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eboho\Desktop\SOCIETY\"/>
    </mc:Choice>
  </mc:AlternateContent>
  <bookViews>
    <workbookView xWindow="0" yWindow="0" windowWidth="23040" windowHeight="9384" tabRatio="587" firstSheet="35" activeTab="35"/>
  </bookViews>
  <sheets>
    <sheet name="Coverpage" sheetId="35" state="hidden" r:id="rId1"/>
    <sheet name=" HIGH LEVEL BUDGET  SUMMARY" sheetId="32" state="hidden" r:id="rId2"/>
    <sheet name="INCEXP" sheetId="27" state="hidden" r:id="rId3"/>
    <sheet name="EXP ALLOCATION" sheetId="1" state="hidden" r:id="rId4"/>
    <sheet name="GRAPHS" sheetId="29" state="hidden" r:id="rId5"/>
    <sheet name="INPUT" sheetId="38" state="hidden" r:id="rId6"/>
    <sheet name="SUMMARY" sheetId="2" state="hidden" r:id="rId7"/>
    <sheet name="COVER PAGE" sheetId="43" state="hidden" r:id="rId8"/>
    <sheet name="GRAPHS (2)" sheetId="48" state="hidden" r:id="rId9"/>
    <sheet name="SUMMARY2" sheetId="42" state="hidden" r:id="rId10"/>
    <sheet name="COUNCIL" sheetId="4" state="hidden" r:id="rId11"/>
    <sheet name="MAYOR" sheetId="24" state="hidden" r:id="rId12"/>
    <sheet name="SPEAKER" sheetId="23" state="hidden" r:id="rId13"/>
    <sheet name="MM" sheetId="22" state="hidden" r:id="rId14"/>
    <sheet name="CORP" sheetId="21" state="hidden" r:id="rId15"/>
    <sheet name="PROP" sheetId="6" state="hidden" r:id="rId16"/>
    <sheet name="RATES" sheetId="9" state="hidden" r:id="rId17"/>
    <sheet name="THALL" sheetId="10" state="hidden" r:id="rId18"/>
    <sheet name="FIN" sheetId="8" state="hidden" r:id="rId19"/>
    <sheet name="SOCIAL" sheetId="11" state="hidden" r:id="rId20"/>
    <sheet name="CEMETERY" sheetId="12" state="hidden" r:id="rId21"/>
    <sheet name="LIBRARIES" sheetId="14" state="hidden" r:id="rId22"/>
    <sheet name="HOUSING" sheetId="16" state="hidden" r:id="rId23"/>
    <sheet name="TRAFFIC" sheetId="18" state="hidden" r:id="rId24"/>
    <sheet name="PARKS" sheetId="19" state="hidden" r:id="rId25"/>
    <sheet name="REFUSE" sheetId="15" state="hidden" r:id="rId26"/>
    <sheet name="SEWAGE" sheetId="13" state="hidden" r:id="rId27"/>
    <sheet name="PWORKS" sheetId="7" state="hidden" r:id="rId28"/>
    <sheet name="WATER" sheetId="5" state="hidden" r:id="rId29"/>
    <sheet name="ELECTRIC" sheetId="26" state="hidden" r:id="rId30"/>
    <sheet name="Sheet2" sheetId="39" state="hidden" r:id="rId31"/>
    <sheet name="Sheet1" sheetId="40" state="hidden" r:id="rId32"/>
    <sheet name="PLANNING" sheetId="51" state="hidden" r:id="rId33"/>
    <sheet name="CAPITAL" sheetId="44" state="hidden" r:id="rId34"/>
    <sheet name="PROPERTIES" sheetId="45" r:id="rId35"/>
    <sheet name="INFRUSTRUCTURE SERVICES" sheetId="54" r:id="rId36"/>
    <sheet name="SOCIAL AND COMMUNITY" sheetId="55" r:id="rId37"/>
    <sheet name="URBAN AND PLANNING AND HOUSING" sheetId="56" r:id="rId38"/>
    <sheet name="FINANCE" sheetId="52" r:id="rId39"/>
  </sheets>
  <externalReferences>
    <externalReference r:id="rId40"/>
  </externalReferences>
  <definedNames>
    <definedName name="_xlnm.Print_Area" localSheetId="1">' HIGH LEVEL BUDGET  SUMMARY'!$A$1:$H$27</definedName>
    <definedName name="_xlnm.Print_Area" localSheetId="10">COUNCIL!$A$1:$K$262</definedName>
    <definedName name="_xlnm.Print_Area" localSheetId="0">Coverpage!$A$1:$L$41</definedName>
    <definedName name="_xlnm.Print_Area" localSheetId="29">ELECTRIC!$A$1:$K$262</definedName>
    <definedName name="_xlnm.Print_Area" localSheetId="3">'EXP ALLOCATION'!$A$1:$M$26</definedName>
    <definedName name="_xlnm.Print_Area" localSheetId="2">INCEXP!$A$1:$M$27</definedName>
    <definedName name="_xlnm.Print_Area" localSheetId="21">LIBRARIES!#REF!</definedName>
    <definedName name="_xlnm.Print_Area" localSheetId="24">PARKS!#REF!</definedName>
    <definedName name="_xlnm.Print_Area" localSheetId="25">REFUSE!#REF!</definedName>
    <definedName name="_xlnm.Print_Area" localSheetId="26">SEWAGE!#REF!</definedName>
    <definedName name="_xlnm.Print_Area" localSheetId="36">'SOCIAL AND COMMUNITY'!$A$1:$U$158</definedName>
    <definedName name="_xlnm.Print_Area" localSheetId="6">SUMMARY!$A$1:$H$160</definedName>
    <definedName name="_xlnm.Print_Area" localSheetId="23">TRAFFIC!#REF!</definedName>
    <definedName name="_xlnm.Print_Area" localSheetId="28">WATER!#REF!</definedName>
    <definedName name="_xlnm.Print_Titles" localSheetId="1">' HIGH LEVEL BUDGET  SUMMARY'!$A:$A</definedName>
  </definedNames>
  <calcPr calcId="152511"/>
</workbook>
</file>

<file path=xl/calcChain.xml><?xml version="1.0" encoding="utf-8"?>
<calcChain xmlns="http://schemas.openxmlformats.org/spreadsheetml/2006/main">
  <c r="U71" i="54" l="1"/>
  <c r="U72" i="54"/>
  <c r="U19" i="54" l="1"/>
  <c r="U20" i="54"/>
  <c r="U21" i="54"/>
  <c r="U22" i="54"/>
  <c r="T14" i="52" l="1"/>
  <c r="U133" i="55" l="1"/>
  <c r="U132" i="55"/>
  <c r="U13" i="45" l="1"/>
  <c r="U15" i="45"/>
  <c r="U16" i="45"/>
  <c r="U18" i="45"/>
  <c r="U20" i="45"/>
  <c r="U21" i="45"/>
  <c r="U23" i="45"/>
  <c r="U25" i="45"/>
  <c r="U26" i="45"/>
  <c r="U28" i="45"/>
  <c r="U30" i="45"/>
  <c r="U31" i="45"/>
  <c r="U33" i="45"/>
  <c r="U35" i="45"/>
  <c r="U36" i="45"/>
  <c r="U37" i="45"/>
  <c r="U39" i="45"/>
  <c r="U41" i="45"/>
  <c r="U43" i="45"/>
  <c r="U45" i="45"/>
  <c r="U46" i="45"/>
  <c r="U48" i="45"/>
  <c r="U49" i="45"/>
  <c r="U84" i="54"/>
  <c r="U83" i="54"/>
  <c r="U79" i="54"/>
  <c r="U78" i="54"/>
  <c r="U58" i="54"/>
  <c r="U57" i="54"/>
  <c r="U56" i="54"/>
  <c r="U52" i="54"/>
  <c r="U51" i="54"/>
  <c r="U50" i="54"/>
  <c r="U38" i="54"/>
  <c r="U37" i="54"/>
  <c r="U33" i="54"/>
  <c r="U32" i="54"/>
  <c r="U28" i="54"/>
  <c r="U27" i="54"/>
  <c r="U18" i="54"/>
  <c r="U11" i="54"/>
  <c r="U12" i="54"/>
  <c r="U13" i="54"/>
  <c r="U14" i="54"/>
  <c r="U9" i="54"/>
  <c r="U54" i="55"/>
  <c r="U53" i="55"/>
  <c r="S15" i="52" l="1"/>
  <c r="T15" i="52" s="1"/>
  <c r="T42" i="45" l="1"/>
  <c r="U42" i="45" s="1"/>
  <c r="T34" i="45"/>
  <c r="U34" i="45" s="1"/>
  <c r="T29" i="45"/>
  <c r="U29" i="45" s="1"/>
  <c r="T24" i="45"/>
  <c r="U24" i="45" s="1"/>
  <c r="T19" i="45"/>
  <c r="U19" i="45" s="1"/>
  <c r="T14" i="45"/>
  <c r="U14" i="45" s="1"/>
  <c r="S10" i="52" l="1"/>
  <c r="T10" i="52" s="1"/>
  <c r="S13" i="52"/>
  <c r="T13" i="52" s="1"/>
  <c r="S12" i="52"/>
  <c r="T12" i="52" s="1"/>
  <c r="S11" i="52"/>
  <c r="T11" i="52" s="1"/>
  <c r="S56" i="56"/>
  <c r="T56" i="56" s="1"/>
  <c r="S49" i="56"/>
  <c r="T49" i="56" s="1"/>
  <c r="S47" i="56"/>
  <c r="T47" i="56" s="1"/>
  <c r="R46" i="56"/>
  <c r="S46" i="56" s="1"/>
  <c r="T46" i="56" s="1"/>
  <c r="R47" i="56"/>
  <c r="R48" i="56"/>
  <c r="S48" i="56" s="1"/>
  <c r="T48" i="56" s="1"/>
  <c r="R49" i="56"/>
  <c r="R50" i="56"/>
  <c r="S50" i="56" s="1"/>
  <c r="T50" i="56" s="1"/>
  <c r="R54" i="56"/>
  <c r="S54" i="56" s="1"/>
  <c r="T54" i="56" s="1"/>
  <c r="R55" i="56"/>
  <c r="S55" i="56" s="1"/>
  <c r="T55" i="56" s="1"/>
  <c r="R56" i="56"/>
  <c r="R57" i="56"/>
  <c r="S57" i="56" s="1"/>
  <c r="T57" i="56" s="1"/>
  <c r="R58" i="56"/>
  <c r="S58" i="56" s="1"/>
  <c r="T58" i="56" s="1"/>
  <c r="T65" i="55" l="1"/>
  <c r="U65" i="55" s="1"/>
  <c r="T51" i="55"/>
  <c r="U51" i="55" s="1"/>
  <c r="S102" i="54" l="1"/>
  <c r="T102" i="54" s="1"/>
  <c r="U102" i="54" s="1"/>
  <c r="S97" i="54"/>
  <c r="T97" i="54" s="1"/>
  <c r="U97" i="54" s="1"/>
  <c r="S96" i="54"/>
  <c r="T96" i="54" s="1"/>
  <c r="U96" i="54" s="1"/>
  <c r="S95" i="54"/>
  <c r="T95" i="54" s="1"/>
  <c r="U95" i="54" s="1"/>
  <c r="S89" i="54"/>
  <c r="T89" i="54" s="1"/>
  <c r="U89" i="54" s="1"/>
  <c r="S90" i="54"/>
  <c r="T90" i="54" s="1"/>
  <c r="U90" i="54" s="1"/>
  <c r="S91" i="54"/>
  <c r="T91" i="54" s="1"/>
  <c r="U91" i="54" s="1"/>
  <c r="S88" i="54"/>
  <c r="T88" i="54" s="1"/>
  <c r="U88" i="54" s="1"/>
  <c r="Q51" i="55" l="1"/>
  <c r="I51" i="55"/>
  <c r="J51" i="55" s="1"/>
  <c r="K51" i="55" s="1"/>
  <c r="L51" i="55" s="1"/>
  <c r="M51" i="55" s="1"/>
  <c r="N51" i="55" s="1"/>
  <c r="O51" i="55" s="1"/>
  <c r="S114" i="54" l="1"/>
  <c r="T114" i="54" s="1"/>
  <c r="U114" i="54" s="1"/>
  <c r="S113" i="54"/>
  <c r="T113" i="54" s="1"/>
  <c r="U113" i="54" s="1"/>
  <c r="S112" i="54"/>
  <c r="T112" i="54" s="1"/>
  <c r="U112" i="54" s="1"/>
  <c r="S111" i="54"/>
  <c r="T111" i="54" s="1"/>
  <c r="U111" i="54" s="1"/>
  <c r="S110" i="54"/>
  <c r="T110" i="54" s="1"/>
  <c r="U110" i="54" s="1"/>
  <c r="S109" i="54"/>
  <c r="T109" i="54" s="1"/>
  <c r="U109" i="54" s="1"/>
  <c r="S155" i="55" l="1"/>
  <c r="T155" i="55" s="1"/>
  <c r="U155" i="55" s="1"/>
  <c r="S154" i="55"/>
  <c r="T154" i="55" s="1"/>
  <c r="U154" i="55" s="1"/>
  <c r="S144" i="55"/>
  <c r="T144" i="55" s="1"/>
  <c r="U144" i="55" s="1"/>
  <c r="S143" i="55"/>
  <c r="T143" i="55" s="1"/>
  <c r="U143" i="55" s="1"/>
  <c r="S118" i="55"/>
  <c r="T118" i="55" s="1"/>
  <c r="U118" i="55" s="1"/>
  <c r="S117" i="55"/>
  <c r="T117" i="55" s="1"/>
  <c r="U117" i="55" s="1"/>
  <c r="S112" i="55"/>
  <c r="T112" i="55" s="1"/>
  <c r="U112" i="55" s="1"/>
  <c r="S105" i="55"/>
  <c r="T105" i="55" s="1"/>
  <c r="U105" i="55" s="1"/>
  <c r="S92" i="55"/>
  <c r="T92" i="55" s="1"/>
  <c r="U92" i="55" s="1"/>
  <c r="S71" i="55"/>
  <c r="T71" i="55" s="1"/>
  <c r="U71" i="55" s="1"/>
  <c r="S70" i="55"/>
  <c r="T70" i="55" s="1"/>
  <c r="U70" i="55" s="1"/>
  <c r="S61" i="55"/>
  <c r="T61" i="55" s="1"/>
  <c r="U61" i="55" s="1"/>
  <c r="S62" i="55"/>
  <c r="T62" i="55" s="1"/>
  <c r="U62" i="55" s="1"/>
  <c r="S63" i="55"/>
  <c r="T63" i="55" s="1"/>
  <c r="U63" i="55" s="1"/>
  <c r="S60" i="55"/>
  <c r="T60" i="55" s="1"/>
  <c r="U60" i="55" s="1"/>
  <c r="S47" i="55"/>
  <c r="T47" i="55" s="1"/>
  <c r="U47" i="55" s="1"/>
  <c r="S49" i="55"/>
  <c r="T49" i="55" s="1"/>
  <c r="U49" i="55" s="1"/>
  <c r="S55" i="55"/>
  <c r="T55" i="55" s="1"/>
  <c r="U55" i="55" s="1"/>
  <c r="S56" i="55"/>
  <c r="T56" i="55" s="1"/>
  <c r="U56" i="55" s="1"/>
  <c r="S46" i="55"/>
  <c r="T46" i="55" s="1"/>
  <c r="U46" i="55" s="1"/>
  <c r="S10" i="55" l="1"/>
  <c r="T10" i="55" s="1"/>
  <c r="U10" i="55" s="1"/>
  <c r="S12" i="55"/>
  <c r="T12" i="55" s="1"/>
  <c r="U12" i="55" s="1"/>
  <c r="S13" i="55"/>
  <c r="T13" i="55" s="1"/>
  <c r="U13" i="55" s="1"/>
  <c r="S49" i="45" l="1"/>
  <c r="S44" i="45"/>
  <c r="T44" i="45" s="1"/>
  <c r="U44" i="45" s="1"/>
  <c r="S40" i="45"/>
  <c r="T40" i="45" s="1"/>
  <c r="U40" i="45" s="1"/>
  <c r="S38" i="45"/>
  <c r="T38" i="45" s="1"/>
  <c r="U38" i="45" s="1"/>
  <c r="S32" i="45"/>
  <c r="T32" i="45" s="1"/>
  <c r="U32" i="45" s="1"/>
  <c r="S27" i="45"/>
  <c r="T27" i="45" s="1"/>
  <c r="U27" i="45" s="1"/>
  <c r="S22" i="45"/>
  <c r="T22" i="45" s="1"/>
  <c r="U22" i="45" s="1"/>
  <c r="S17" i="45"/>
  <c r="T17" i="45" s="1"/>
  <c r="U17" i="45" s="1"/>
  <c r="S12" i="45"/>
  <c r="T12" i="45" s="1"/>
  <c r="U12" i="45" s="1"/>
  <c r="Q12" i="45"/>
  <c r="Q13" i="45"/>
  <c r="Q16" i="45"/>
  <c r="Q17" i="45"/>
  <c r="Q18" i="45"/>
  <c r="Q21" i="45"/>
  <c r="Q22" i="45"/>
  <c r="Q23" i="45"/>
  <c r="Q26" i="45"/>
  <c r="Q27" i="45"/>
  <c r="Q28" i="45"/>
  <c r="Q31" i="45"/>
  <c r="Q32" i="45"/>
  <c r="Q33" i="45"/>
  <c r="Q38" i="45"/>
  <c r="Q39" i="45"/>
  <c r="Q40" i="45"/>
  <c r="Q41" i="45"/>
  <c r="Q44" i="45"/>
  <c r="S47" i="45"/>
  <c r="T47" i="45" s="1"/>
  <c r="U47" i="45" s="1"/>
  <c r="S183" i="54" l="1"/>
  <c r="T183" i="54" s="1"/>
  <c r="U183" i="54" s="1"/>
  <c r="S182" i="54"/>
  <c r="T182" i="54" s="1"/>
  <c r="U182" i="54" s="1"/>
  <c r="S178" i="54"/>
  <c r="T178" i="54" s="1"/>
  <c r="U178" i="54" s="1"/>
  <c r="S174" i="54"/>
  <c r="T174" i="54" s="1"/>
  <c r="U174" i="54" s="1"/>
  <c r="S170" i="54"/>
  <c r="T170" i="54" s="1"/>
  <c r="U170" i="54" s="1"/>
  <c r="S143" i="54"/>
  <c r="T143" i="54" s="1"/>
  <c r="U143" i="54" s="1"/>
  <c r="S142" i="54"/>
  <c r="T142" i="54" s="1"/>
  <c r="U142" i="54" s="1"/>
  <c r="S137" i="54"/>
  <c r="T137" i="54" s="1"/>
  <c r="U137" i="54" s="1"/>
  <c r="S136" i="54"/>
  <c r="T136" i="54" s="1"/>
  <c r="U136" i="54" s="1"/>
  <c r="S131" i="54"/>
  <c r="T131" i="54" s="1"/>
  <c r="U131" i="54" s="1"/>
  <c r="S130" i="54"/>
  <c r="T130" i="54" s="1"/>
  <c r="U130" i="54" s="1"/>
  <c r="S126" i="54"/>
  <c r="T126" i="54" s="1"/>
  <c r="U126" i="54" s="1"/>
  <c r="S125" i="54"/>
  <c r="T125" i="54" s="1"/>
  <c r="U125" i="54" s="1"/>
  <c r="S120" i="54"/>
  <c r="T120" i="54" s="1"/>
  <c r="U120" i="54" s="1"/>
  <c r="S108" i="54" l="1"/>
  <c r="T108" i="54" s="1"/>
  <c r="U108" i="54" s="1"/>
  <c r="S113" i="55" l="1"/>
  <c r="T113" i="55" s="1"/>
  <c r="U113" i="55" s="1"/>
  <c r="S110" i="55"/>
  <c r="T110" i="55" s="1"/>
  <c r="U110" i="55" s="1"/>
  <c r="S108" i="55"/>
  <c r="T108" i="55" s="1"/>
  <c r="U108" i="55" s="1"/>
  <c r="S106" i="55"/>
  <c r="T106" i="55" s="1"/>
  <c r="U106" i="55" s="1"/>
  <c r="S22" i="54"/>
  <c r="S21" i="54"/>
  <c r="S20" i="54"/>
  <c r="S19" i="54"/>
  <c r="S18" i="54"/>
  <c r="S14" i="54"/>
  <c r="S13" i="54"/>
  <c r="S12" i="54"/>
  <c r="S11" i="54"/>
  <c r="S84" i="54"/>
  <c r="S83" i="54"/>
  <c r="S79" i="54"/>
  <c r="S78" i="54"/>
  <c r="S72" i="54"/>
  <c r="S71" i="54"/>
  <c r="S67" i="54"/>
  <c r="U67" i="54" s="1"/>
  <c r="S66" i="54"/>
  <c r="U66" i="54" s="1"/>
  <c r="S58" i="54"/>
  <c r="S57" i="54"/>
  <c r="S56" i="54"/>
  <c r="S52" i="54"/>
  <c r="S51" i="54"/>
  <c r="S50" i="54"/>
  <c r="S44" i="54"/>
  <c r="U44" i="54" s="1"/>
  <c r="S43" i="54"/>
  <c r="U43" i="54" s="1"/>
  <c r="S42" i="54"/>
  <c r="U42" i="54" s="1"/>
  <c r="S38" i="54"/>
  <c r="S37" i="54"/>
  <c r="S33" i="54"/>
  <c r="S32" i="54"/>
  <c r="S28" i="54"/>
  <c r="S27" i="54"/>
  <c r="S9" i="54"/>
  <c r="R150" i="55" l="1"/>
  <c r="S150" i="55" s="1"/>
  <c r="T150" i="55" s="1"/>
  <c r="U150" i="55" s="1"/>
  <c r="R149" i="55"/>
  <c r="S149" i="55" s="1"/>
  <c r="T149" i="55" s="1"/>
  <c r="U149" i="55" s="1"/>
  <c r="Q6" i="55" l="1"/>
  <c r="Q7" i="55"/>
  <c r="J8" i="55"/>
  <c r="K8" i="55" s="1"/>
  <c r="L8" i="55" s="1"/>
  <c r="M8" i="55" s="1"/>
  <c r="N8" i="55" s="1"/>
  <c r="O8" i="55" s="1"/>
  <c r="Q8" i="55"/>
  <c r="R8" i="55" s="1"/>
  <c r="S8" i="55" s="1"/>
  <c r="T8" i="55" s="1"/>
  <c r="U8" i="55" s="1"/>
  <c r="J10" i="55"/>
  <c r="K10" i="55" s="1"/>
  <c r="L10" i="55" s="1"/>
  <c r="M10" i="55" s="1"/>
  <c r="N10" i="55" s="1"/>
  <c r="O10" i="55" s="1"/>
  <c r="Q10" i="55"/>
  <c r="R72" i="55"/>
  <c r="S72" i="55" s="1"/>
  <c r="T72" i="55" s="1"/>
  <c r="U72" i="55" s="1"/>
  <c r="Q72" i="55"/>
  <c r="I72" i="55"/>
  <c r="J72" i="55" s="1"/>
  <c r="K72" i="55" s="1"/>
  <c r="L72" i="55" s="1"/>
  <c r="M72" i="55" s="1"/>
  <c r="N72" i="55" s="1"/>
  <c r="O72" i="55" s="1"/>
  <c r="Q62" i="55"/>
  <c r="I62" i="55"/>
  <c r="J62" i="55" s="1"/>
  <c r="K62" i="55" s="1"/>
  <c r="L62" i="55" s="1"/>
  <c r="M62" i="55" s="1"/>
  <c r="N62" i="55" s="1"/>
  <c r="O62" i="55" s="1"/>
  <c r="Q48" i="55"/>
  <c r="R48" i="55" s="1"/>
  <c r="Q189" i="54"/>
  <c r="Q190" i="54"/>
  <c r="M192" i="54"/>
  <c r="N192" i="54" s="1"/>
  <c r="Q192" i="54"/>
  <c r="R192" i="54" s="1"/>
  <c r="S192" i="54" s="1"/>
  <c r="T192" i="54" s="1"/>
  <c r="U192" i="54" s="1"/>
  <c r="M193" i="54"/>
  <c r="N193" i="54" s="1"/>
  <c r="Q193" i="54"/>
  <c r="R193" i="54" s="1"/>
  <c r="S193" i="54" s="1"/>
  <c r="T193" i="54" s="1"/>
  <c r="U193" i="54" s="1"/>
  <c r="M194" i="54"/>
  <c r="N194" i="54" s="1"/>
  <c r="Q194" i="54"/>
  <c r="R194" i="54" s="1"/>
  <c r="S194" i="54" s="1"/>
  <c r="T194" i="54" s="1"/>
  <c r="U194" i="54" s="1"/>
  <c r="M195" i="54"/>
  <c r="N195" i="54" s="1"/>
  <c r="Q195" i="54"/>
  <c r="R195" i="54" s="1"/>
  <c r="S195" i="54" s="1"/>
  <c r="T195" i="54" s="1"/>
  <c r="U195" i="54" s="1"/>
  <c r="M196" i="54"/>
  <c r="N196" i="54" s="1"/>
  <c r="Q196" i="54"/>
  <c r="R196" i="54" s="1"/>
  <c r="S196" i="54" s="1"/>
  <c r="T196" i="54" s="1"/>
  <c r="U196" i="54" s="1"/>
  <c r="M197" i="54"/>
  <c r="N197" i="54" s="1"/>
  <c r="P197" i="54"/>
  <c r="Q197" i="54" s="1"/>
  <c r="R197" i="54" s="1"/>
  <c r="S197" i="54" s="1"/>
  <c r="T197" i="54" s="1"/>
  <c r="U197" i="54" s="1"/>
  <c r="M198" i="54"/>
  <c r="N198" i="54" s="1"/>
  <c r="Q198" i="54"/>
  <c r="R198" i="54" s="1"/>
  <c r="S198" i="54" s="1"/>
  <c r="T198" i="54" s="1"/>
  <c r="U198" i="54" s="1"/>
  <c r="M199" i="54"/>
  <c r="N199" i="54" s="1"/>
  <c r="Q199" i="54"/>
  <c r="R199" i="54" s="1"/>
  <c r="S199" i="54" s="1"/>
  <c r="T199" i="54" s="1"/>
  <c r="U199" i="54" s="1"/>
  <c r="M200" i="54"/>
  <c r="N200" i="54" s="1"/>
  <c r="Q200" i="54"/>
  <c r="R200" i="54" s="1"/>
  <c r="S200" i="54" s="1"/>
  <c r="T200" i="54" s="1"/>
  <c r="U200" i="54" s="1"/>
  <c r="M201" i="54"/>
  <c r="N201" i="54" s="1"/>
  <c r="Q201" i="54"/>
  <c r="R201" i="54" s="1"/>
  <c r="S201" i="54" s="1"/>
  <c r="T201" i="54" s="1"/>
  <c r="U201" i="54" s="1"/>
  <c r="Q202" i="54"/>
  <c r="R202" i="54" s="1"/>
  <c r="S202" i="54" s="1"/>
  <c r="T202" i="54" s="1"/>
  <c r="U202" i="54" s="1"/>
  <c r="Q203" i="54"/>
  <c r="R203" i="54" s="1"/>
  <c r="S203" i="54" s="1"/>
  <c r="T203" i="54" s="1"/>
  <c r="U203" i="54" s="1"/>
  <c r="Q188" i="54"/>
  <c r="Q187" i="54"/>
  <c r="Q186" i="54"/>
  <c r="Q185" i="54"/>
  <c r="R144" i="54"/>
  <c r="S144" i="54" s="1"/>
  <c r="T144" i="54" s="1"/>
  <c r="U144" i="54" s="1"/>
  <c r="Q120" i="54"/>
  <c r="M120" i="54"/>
  <c r="N120" i="54" s="1"/>
  <c r="O120" i="54" s="1"/>
  <c r="J120" i="54"/>
  <c r="K120" i="54" s="1"/>
  <c r="Q119" i="54"/>
  <c r="Q118" i="54"/>
  <c r="Q117" i="54"/>
  <c r="Q116" i="54"/>
  <c r="Q115" i="54"/>
  <c r="Q114" i="54"/>
  <c r="M112" i="54"/>
  <c r="N112" i="54" s="1"/>
  <c r="O112" i="54" s="1"/>
  <c r="J112" i="54"/>
  <c r="K112" i="54" s="1"/>
  <c r="M110" i="54"/>
  <c r="N110" i="54" s="1"/>
  <c r="O110" i="54" s="1"/>
  <c r="J110" i="54"/>
  <c r="K110" i="54" s="1"/>
  <c r="Q109" i="54"/>
  <c r="M109" i="54"/>
  <c r="N109" i="54" s="1"/>
  <c r="O109" i="54" s="1"/>
  <c r="Q106" i="54"/>
  <c r="R106" i="54" s="1"/>
  <c r="S106" i="54" s="1"/>
  <c r="T106" i="54" s="1"/>
  <c r="U106" i="54" s="1"/>
  <c r="J106" i="54"/>
  <c r="K106" i="54" s="1"/>
  <c r="L106" i="54" s="1"/>
  <c r="M106" i="54" s="1"/>
  <c r="N106" i="54" s="1"/>
  <c r="O106" i="54" s="1"/>
  <c r="Q105" i="54"/>
  <c r="Q104" i="54"/>
  <c r="Q8" i="54"/>
  <c r="Q53" i="56"/>
  <c r="Q52" i="56"/>
  <c r="Q51" i="56"/>
  <c r="Q45" i="56"/>
  <c r="Q44" i="56"/>
  <c r="Q43" i="56"/>
  <c r="R125" i="55"/>
  <c r="S125" i="55" s="1"/>
  <c r="T125" i="55" s="1"/>
  <c r="U125" i="55" s="1"/>
  <c r="R123" i="55"/>
  <c r="S123" i="55" s="1"/>
  <c r="T123" i="55" s="1"/>
  <c r="U123" i="55" s="1"/>
  <c r="R121" i="55"/>
  <c r="S121" i="55" s="1"/>
  <c r="T121" i="55" s="1"/>
  <c r="U121" i="55" s="1"/>
  <c r="R119" i="55"/>
  <c r="S119" i="55" s="1"/>
  <c r="T119" i="55" s="1"/>
  <c r="U119" i="55" s="1"/>
  <c r="Q118" i="55"/>
  <c r="M118" i="55"/>
  <c r="N118" i="55" s="1"/>
  <c r="I118" i="55"/>
  <c r="Q117" i="55"/>
  <c r="M117" i="55"/>
  <c r="N117" i="55" s="1"/>
  <c r="I117" i="55"/>
  <c r="Q116" i="55"/>
  <c r="R116" i="55" s="1"/>
  <c r="S116" i="55" s="1"/>
  <c r="T116" i="55" s="1"/>
  <c r="U116" i="55" s="1"/>
  <c r="Q115" i="55"/>
  <c r="R115" i="55" s="1"/>
  <c r="S115" i="55" s="1"/>
  <c r="T115" i="55" s="1"/>
  <c r="U115" i="55" s="1"/>
  <c r="Q114" i="55"/>
  <c r="R114" i="55" s="1"/>
  <c r="S114" i="55" s="1"/>
  <c r="T114" i="55" s="1"/>
  <c r="U114" i="55" s="1"/>
  <c r="L114" i="55"/>
  <c r="M114" i="55" s="1"/>
  <c r="N114" i="55" s="1"/>
  <c r="O114" i="55" s="1"/>
  <c r="K114" i="55"/>
  <c r="I114" i="55"/>
  <c r="Q113" i="55"/>
  <c r="Q111" i="55"/>
  <c r="R111" i="55" s="1"/>
  <c r="S111" i="55" s="1"/>
  <c r="T111" i="55" s="1"/>
  <c r="U111" i="55" s="1"/>
  <c r="I111" i="55"/>
  <c r="Q109" i="55"/>
  <c r="R109" i="55" s="1"/>
  <c r="S109" i="55" s="1"/>
  <c r="T109" i="55" s="1"/>
  <c r="U109" i="55" s="1"/>
  <c r="I109" i="55"/>
  <c r="R107" i="55"/>
  <c r="S107" i="55" s="1"/>
  <c r="T107" i="55" s="1"/>
  <c r="U107" i="55" s="1"/>
  <c r="Q105" i="55"/>
  <c r="Q104" i="55"/>
  <c r="R104" i="55" s="1"/>
  <c r="S104" i="55" s="1"/>
  <c r="T104" i="55" s="1"/>
  <c r="U104" i="55" s="1"/>
  <c r="M104" i="55"/>
  <c r="N104" i="55" s="1"/>
  <c r="O104" i="55" s="1"/>
  <c r="Q103" i="55"/>
  <c r="R103" i="55" s="1"/>
  <c r="S103" i="55" s="1"/>
  <c r="T103" i="55" s="1"/>
  <c r="U103" i="55" s="1"/>
  <c r="M103" i="55"/>
  <c r="N103" i="55" s="1"/>
  <c r="O103" i="55" s="1"/>
  <c r="Q102" i="55"/>
  <c r="R102" i="55" s="1"/>
  <c r="S102" i="55" s="1"/>
  <c r="T102" i="55" s="1"/>
  <c r="U102" i="55" s="1"/>
  <c r="M102" i="55"/>
  <c r="N102" i="55" s="1"/>
  <c r="O102" i="55" s="1"/>
  <c r="Q101" i="55"/>
  <c r="R101" i="55" s="1"/>
  <c r="S101" i="55" s="1"/>
  <c r="T101" i="55" s="1"/>
  <c r="U101" i="55" s="1"/>
  <c r="M101" i="55"/>
  <c r="N101" i="55" s="1"/>
  <c r="O101" i="55" s="1"/>
  <c r="Q100" i="55"/>
  <c r="Q99" i="55"/>
  <c r="Q97" i="55"/>
  <c r="Q96" i="55"/>
  <c r="R96" i="55" s="1"/>
  <c r="S96" i="55" s="1"/>
  <c r="T96" i="55" s="1"/>
  <c r="U96" i="55" s="1"/>
  <c r="O96" i="55"/>
  <c r="Q93" i="55"/>
  <c r="R93" i="55" s="1"/>
  <c r="S93" i="55" s="1"/>
  <c r="T93" i="55" s="1"/>
  <c r="U93" i="55" s="1"/>
  <c r="O93" i="55"/>
  <c r="Q91" i="55"/>
  <c r="R91" i="55" s="1"/>
  <c r="S91" i="55" s="1"/>
  <c r="T91" i="55" s="1"/>
  <c r="U91" i="55" s="1"/>
  <c r="O91" i="55"/>
  <c r="Q89" i="55"/>
  <c r="I89" i="55"/>
  <c r="J89" i="55" s="1"/>
  <c r="K89" i="55" s="1"/>
  <c r="L89" i="55" s="1"/>
  <c r="M89" i="55" s="1"/>
  <c r="N89" i="55" s="1"/>
  <c r="O89" i="55" s="1"/>
  <c r="Q88" i="55"/>
  <c r="I88" i="55"/>
  <c r="J88" i="55" s="1"/>
  <c r="K88" i="55" s="1"/>
  <c r="L88" i="55" s="1"/>
  <c r="M88" i="55" s="1"/>
  <c r="N88" i="55" s="1"/>
  <c r="O88" i="55" s="1"/>
  <c r="Q86" i="55"/>
  <c r="R86" i="55" s="1"/>
  <c r="S86" i="55" s="1"/>
  <c r="T86" i="55" s="1"/>
  <c r="U86" i="55" s="1"/>
  <c r="I86" i="55"/>
  <c r="J86" i="55" s="1"/>
  <c r="K86" i="55" s="1"/>
  <c r="L86" i="55" s="1"/>
  <c r="M86" i="55" s="1"/>
  <c r="N86" i="55" s="1"/>
  <c r="O86" i="55" s="1"/>
  <c r="Q85" i="55"/>
  <c r="R85" i="55" s="1"/>
  <c r="S85" i="55" s="1"/>
  <c r="T85" i="55" s="1"/>
  <c r="U85" i="55" s="1"/>
  <c r="I85" i="55"/>
  <c r="J85" i="55" s="1"/>
  <c r="K85" i="55" s="1"/>
  <c r="L85" i="55" s="1"/>
  <c r="M85" i="55" s="1"/>
  <c r="N85" i="55" s="1"/>
  <c r="O85" i="55" s="1"/>
  <c r="Q83" i="55"/>
  <c r="R83" i="55" s="1"/>
  <c r="S83" i="55" s="1"/>
  <c r="T83" i="55" s="1"/>
  <c r="U83" i="55" s="1"/>
  <c r="I83" i="55"/>
  <c r="J83" i="55" s="1"/>
  <c r="K83" i="55" s="1"/>
  <c r="L83" i="55" s="1"/>
  <c r="M83" i="55" s="1"/>
  <c r="N83" i="55" s="1"/>
  <c r="O83" i="55" s="1"/>
  <c r="Q82" i="55"/>
  <c r="R82" i="55" s="1"/>
  <c r="S82" i="55" s="1"/>
  <c r="T82" i="55" s="1"/>
  <c r="U82" i="55" s="1"/>
  <c r="I82" i="55"/>
  <c r="J82" i="55" s="1"/>
  <c r="K82" i="55" s="1"/>
  <c r="L82" i="55" s="1"/>
  <c r="M82" i="55" s="1"/>
  <c r="N82" i="55" s="1"/>
  <c r="O82" i="55" s="1"/>
  <c r="Q81" i="55"/>
  <c r="R81" i="55" s="1"/>
  <c r="S81" i="55" s="1"/>
  <c r="T81" i="55" s="1"/>
  <c r="U81" i="55" s="1"/>
  <c r="I81" i="55"/>
  <c r="J81" i="55" s="1"/>
  <c r="K81" i="55" s="1"/>
  <c r="L81" i="55" s="1"/>
  <c r="M81" i="55" s="1"/>
  <c r="N81" i="55" s="1"/>
  <c r="O81" i="55" s="1"/>
  <c r="Q79" i="55"/>
  <c r="R79" i="55" s="1"/>
  <c r="S79" i="55" s="1"/>
  <c r="T79" i="55" s="1"/>
  <c r="U79" i="55" s="1"/>
  <c r="O79" i="55"/>
  <c r="L79" i="55"/>
  <c r="M79" i="55" s="1"/>
  <c r="Q78" i="55"/>
  <c r="R78" i="55" s="1"/>
  <c r="S78" i="55" s="1"/>
  <c r="T78" i="55" s="1"/>
  <c r="U78" i="55" s="1"/>
  <c r="O78" i="55"/>
  <c r="L78" i="55"/>
  <c r="M78" i="55" s="1"/>
  <c r="I78" i="55"/>
  <c r="Q77" i="55"/>
  <c r="R77" i="55" s="1"/>
  <c r="S77" i="55" s="1"/>
  <c r="T77" i="55" s="1"/>
  <c r="U77" i="55" s="1"/>
  <c r="I77" i="55"/>
  <c r="J77" i="55" s="1"/>
  <c r="K77" i="55" s="1"/>
  <c r="L77" i="55" s="1"/>
  <c r="M77" i="55" s="1"/>
  <c r="N77" i="55" s="1"/>
  <c r="O77" i="55" s="1"/>
  <c r="Q76" i="55"/>
  <c r="Q75" i="55"/>
  <c r="Q74" i="55"/>
  <c r="Q71" i="55"/>
  <c r="O71" i="55"/>
  <c r="Q70" i="55"/>
  <c r="I70" i="55"/>
  <c r="J70" i="55" s="1"/>
  <c r="K70" i="55" s="1"/>
  <c r="Q69" i="55"/>
  <c r="R69" i="55" s="1"/>
  <c r="S69" i="55" s="1"/>
  <c r="T69" i="55" s="1"/>
  <c r="U69" i="55" s="1"/>
  <c r="I69" i="55"/>
  <c r="J69" i="55" s="1"/>
  <c r="K69" i="55" s="1"/>
  <c r="L69" i="55" s="1"/>
  <c r="M69" i="55" s="1"/>
  <c r="N69" i="55" s="1"/>
  <c r="O69" i="55" s="1"/>
  <c r="Q68" i="55"/>
  <c r="R68" i="55" s="1"/>
  <c r="S68" i="55" s="1"/>
  <c r="T68" i="55" s="1"/>
  <c r="U68" i="55" s="1"/>
  <c r="I68" i="55"/>
  <c r="J68" i="55" s="1"/>
  <c r="K68" i="55" s="1"/>
  <c r="L68" i="55" s="1"/>
  <c r="M68" i="55" s="1"/>
  <c r="N68" i="55" s="1"/>
  <c r="O68" i="55" s="1"/>
  <c r="Q67" i="55"/>
  <c r="R67" i="55" s="1"/>
  <c r="S67" i="55" s="1"/>
  <c r="T67" i="55" s="1"/>
  <c r="U67" i="55" s="1"/>
  <c r="I67" i="55"/>
  <c r="J67" i="55" s="1"/>
  <c r="K67" i="55" s="1"/>
  <c r="L67" i="55" s="1"/>
  <c r="M67" i="55" s="1"/>
  <c r="N67" i="55" s="1"/>
  <c r="O67" i="55" s="1"/>
  <c r="Q66" i="55"/>
  <c r="R66" i="55" s="1"/>
  <c r="S66" i="55" s="1"/>
  <c r="T66" i="55" s="1"/>
  <c r="I66" i="55"/>
  <c r="J66" i="55" s="1"/>
  <c r="K66" i="55" s="1"/>
  <c r="L66" i="55" s="1"/>
  <c r="M66" i="55" s="1"/>
  <c r="N66" i="55" s="1"/>
  <c r="O66" i="55" s="1"/>
  <c r="Q65" i="55"/>
  <c r="I65" i="55"/>
  <c r="J65" i="55" s="1"/>
  <c r="K65" i="55" s="1"/>
  <c r="L65" i="55" s="1"/>
  <c r="M65" i="55" s="1"/>
  <c r="N65" i="55" s="1"/>
  <c r="O65" i="55" s="1"/>
  <c r="Q64" i="55"/>
  <c r="R64" i="55" s="1"/>
  <c r="S64" i="55" s="1"/>
  <c r="T64" i="55" s="1"/>
  <c r="U64" i="55" s="1"/>
  <c r="I64" i="55"/>
  <c r="J64" i="55" s="1"/>
  <c r="K64" i="55" s="1"/>
  <c r="L64" i="55" s="1"/>
  <c r="M64" i="55" s="1"/>
  <c r="N64" i="55" s="1"/>
  <c r="O64" i="55" s="1"/>
  <c r="Q52" i="55"/>
  <c r="I52" i="55"/>
  <c r="J52" i="55" s="1"/>
  <c r="K52" i="55" s="1"/>
  <c r="L52" i="55" s="1"/>
  <c r="M52" i="55" s="1"/>
  <c r="N52" i="55" s="1"/>
  <c r="O52" i="55" s="1"/>
  <c r="Q50" i="55"/>
  <c r="R50" i="55" s="1"/>
  <c r="S50" i="55" s="1"/>
  <c r="T50" i="55" s="1"/>
  <c r="U50" i="55" s="1"/>
  <c r="I50" i="55"/>
  <c r="J50" i="55" s="1"/>
  <c r="K50" i="55" s="1"/>
  <c r="L50" i="55" s="1"/>
  <c r="M50" i="55" s="1"/>
  <c r="N50" i="55" s="1"/>
  <c r="O50" i="55" s="1"/>
  <c r="I48" i="55"/>
  <c r="J48" i="55" s="1"/>
  <c r="K48" i="55" s="1"/>
  <c r="L48" i="55" s="1"/>
  <c r="M48" i="55" s="1"/>
  <c r="N48" i="55" s="1"/>
  <c r="O48" i="55" s="1"/>
  <c r="Q45" i="55"/>
  <c r="Q44" i="55"/>
  <c r="Q43" i="55"/>
  <c r="Q41" i="55"/>
  <c r="Q40" i="55"/>
  <c r="R40" i="55" s="1"/>
  <c r="S40" i="55" s="1"/>
  <c r="T40" i="55" s="1"/>
  <c r="U40" i="55" s="1"/>
  <c r="Q39" i="55"/>
  <c r="R39" i="55" s="1"/>
  <c r="S39" i="55" s="1"/>
  <c r="T39" i="55" s="1"/>
  <c r="U39" i="55" s="1"/>
  <c r="I39" i="55"/>
  <c r="J39" i="55" s="1"/>
  <c r="K39" i="55" s="1"/>
  <c r="L39" i="55" s="1"/>
  <c r="M39" i="55" s="1"/>
  <c r="N39" i="55" s="1"/>
  <c r="O39" i="55" s="1"/>
  <c r="Q38" i="55"/>
  <c r="R38" i="55" s="1"/>
  <c r="S38" i="55" s="1"/>
  <c r="T38" i="55" s="1"/>
  <c r="U38" i="55" s="1"/>
  <c r="I38" i="55"/>
  <c r="J38" i="55" s="1"/>
  <c r="K38" i="55" s="1"/>
  <c r="L38" i="55" s="1"/>
  <c r="M38" i="55" s="1"/>
  <c r="N38" i="55" s="1"/>
  <c r="O38" i="55" s="1"/>
  <c r="Q37" i="55"/>
  <c r="R37" i="55" s="1"/>
  <c r="S37" i="55" s="1"/>
  <c r="T37" i="55" s="1"/>
  <c r="U37" i="55" s="1"/>
  <c r="I37" i="55"/>
  <c r="J37" i="55" s="1"/>
  <c r="K37" i="55" s="1"/>
  <c r="L37" i="55" s="1"/>
  <c r="M37" i="55" s="1"/>
  <c r="N37" i="55" s="1"/>
  <c r="O37" i="55" s="1"/>
  <c r="Q36" i="55"/>
  <c r="R36" i="55" s="1"/>
  <c r="S36" i="55" s="1"/>
  <c r="T36" i="55" s="1"/>
  <c r="U36" i="55" s="1"/>
  <c r="I36" i="55"/>
  <c r="J36" i="55" s="1"/>
  <c r="K36" i="55" s="1"/>
  <c r="L36" i="55" s="1"/>
  <c r="M36" i="55" s="1"/>
  <c r="N36" i="55" s="1"/>
  <c r="O36" i="55" s="1"/>
  <c r="Q35" i="55"/>
  <c r="Q14" i="55"/>
  <c r="Q12" i="55"/>
  <c r="M12" i="55"/>
  <c r="N12" i="55" s="1"/>
  <c r="O12" i="55" s="1"/>
  <c r="Q11" i="55"/>
  <c r="R11" i="55" s="1"/>
  <c r="S11" i="55" s="1"/>
  <c r="T11" i="55" s="1"/>
  <c r="U11" i="55" s="1"/>
  <c r="L11" i="55"/>
  <c r="M11" i="55" s="1"/>
  <c r="N11" i="55" s="1"/>
  <c r="O11" i="55" s="1"/>
  <c r="Q165" i="54"/>
  <c r="R165" i="54" s="1"/>
  <c r="S165" i="54" s="1"/>
  <c r="T165" i="54" s="1"/>
  <c r="U165" i="54" s="1"/>
  <c r="J165" i="54"/>
  <c r="K165" i="54" s="1"/>
  <c r="L165" i="54" s="1"/>
  <c r="M165" i="54" s="1"/>
  <c r="N165" i="54" s="1"/>
  <c r="O165" i="54" s="1"/>
  <c r="Q164" i="54"/>
  <c r="R164" i="54" s="1"/>
  <c r="S164" i="54" s="1"/>
  <c r="T164" i="54" s="1"/>
  <c r="U164" i="54" s="1"/>
  <c r="J164" i="54"/>
  <c r="K164" i="54" s="1"/>
  <c r="L164" i="54" s="1"/>
  <c r="M164" i="54" s="1"/>
  <c r="N164" i="54" s="1"/>
  <c r="O164" i="54" s="1"/>
  <c r="Q163" i="54"/>
  <c r="R163" i="54" s="1"/>
  <c r="S163" i="54" s="1"/>
  <c r="T163" i="54" s="1"/>
  <c r="U163" i="54" s="1"/>
  <c r="J163" i="54"/>
  <c r="K163" i="54" s="1"/>
  <c r="L163" i="54" s="1"/>
  <c r="M163" i="54" s="1"/>
  <c r="N163" i="54" s="1"/>
  <c r="O163" i="54" s="1"/>
  <c r="Q162" i="54"/>
  <c r="R162" i="54" s="1"/>
  <c r="S162" i="54" s="1"/>
  <c r="T162" i="54" s="1"/>
  <c r="U162" i="54" s="1"/>
  <c r="J162" i="54"/>
  <c r="K162" i="54" s="1"/>
  <c r="L162" i="54" s="1"/>
  <c r="M162" i="54" s="1"/>
  <c r="N162" i="54" s="1"/>
  <c r="O162" i="54" s="1"/>
  <c r="Q161" i="54"/>
  <c r="R161" i="54" s="1"/>
  <c r="S161" i="54" s="1"/>
  <c r="T161" i="54" s="1"/>
  <c r="U161" i="54" s="1"/>
  <c r="J161" i="54"/>
  <c r="K161" i="54" s="1"/>
  <c r="L161" i="54" s="1"/>
  <c r="M161" i="54" s="1"/>
  <c r="N161" i="54" s="1"/>
  <c r="O161" i="54" s="1"/>
  <c r="Q160" i="54"/>
  <c r="R160" i="54" s="1"/>
  <c r="S160" i="54" s="1"/>
  <c r="T160" i="54" s="1"/>
  <c r="U160" i="54" s="1"/>
  <c r="J160" i="54"/>
  <c r="K160" i="54" s="1"/>
  <c r="L160" i="54" s="1"/>
  <c r="M160" i="54" s="1"/>
  <c r="N160" i="54" s="1"/>
  <c r="O160" i="54" s="1"/>
  <c r="Q159" i="54"/>
  <c r="R159" i="54" s="1"/>
  <c r="S159" i="54" s="1"/>
  <c r="T159" i="54" s="1"/>
  <c r="U159" i="54" s="1"/>
  <c r="J159" i="54"/>
  <c r="K159" i="54" s="1"/>
  <c r="L159" i="54" s="1"/>
  <c r="M159" i="54" s="1"/>
  <c r="N159" i="54" s="1"/>
  <c r="O159" i="54" s="1"/>
  <c r="Q158" i="54"/>
  <c r="R158" i="54" s="1"/>
  <c r="S158" i="54" s="1"/>
  <c r="T158" i="54" s="1"/>
  <c r="U158" i="54" s="1"/>
  <c r="J158" i="54"/>
  <c r="K158" i="54" s="1"/>
  <c r="L158" i="54" s="1"/>
  <c r="M158" i="54" s="1"/>
  <c r="N158" i="54" s="1"/>
  <c r="O158" i="54" s="1"/>
  <c r="Q157" i="54"/>
  <c r="R157" i="54" s="1"/>
  <c r="S157" i="54" s="1"/>
  <c r="T157" i="54" s="1"/>
  <c r="U157" i="54" s="1"/>
  <c r="J157" i="54"/>
  <c r="K157" i="54" s="1"/>
  <c r="L157" i="54" s="1"/>
  <c r="M157" i="54" s="1"/>
  <c r="N157" i="54" s="1"/>
  <c r="O157" i="54" s="1"/>
  <c r="Q156" i="54"/>
  <c r="R156" i="54" s="1"/>
  <c r="S156" i="54" s="1"/>
  <c r="T156" i="54" s="1"/>
  <c r="U156" i="54" s="1"/>
  <c r="J156" i="54"/>
  <c r="K156" i="54" s="1"/>
  <c r="L156" i="54" s="1"/>
  <c r="M156" i="54" s="1"/>
  <c r="N156" i="54" s="1"/>
  <c r="O156" i="54" s="1"/>
  <c r="Q155" i="54"/>
  <c r="R155" i="54" s="1"/>
  <c r="S155" i="54" s="1"/>
  <c r="T155" i="54" s="1"/>
  <c r="U155" i="54" s="1"/>
  <c r="J155" i="54"/>
  <c r="K155" i="54" s="1"/>
  <c r="L155" i="54" s="1"/>
  <c r="M155" i="54" s="1"/>
  <c r="N155" i="54" s="1"/>
  <c r="O155" i="54" s="1"/>
  <c r="Q154" i="54"/>
  <c r="R154" i="54" s="1"/>
  <c r="S154" i="54" s="1"/>
  <c r="T154" i="54" s="1"/>
  <c r="U154" i="54" s="1"/>
  <c r="J154" i="54"/>
  <c r="K154" i="54" s="1"/>
  <c r="L154" i="54" s="1"/>
  <c r="M154" i="54" s="1"/>
  <c r="N154" i="54" s="1"/>
  <c r="O154" i="54" s="1"/>
  <c r="Q153" i="54"/>
  <c r="R153" i="54" s="1"/>
  <c r="S153" i="54" s="1"/>
  <c r="T153" i="54" s="1"/>
  <c r="U153" i="54" s="1"/>
  <c r="J153" i="54"/>
  <c r="K153" i="54" s="1"/>
  <c r="L153" i="54" s="1"/>
  <c r="M153" i="54" s="1"/>
  <c r="N153" i="54" s="1"/>
  <c r="O153" i="54" s="1"/>
  <c r="Q152" i="54"/>
  <c r="R152" i="54" s="1"/>
  <c r="S152" i="54" s="1"/>
  <c r="T152" i="54" s="1"/>
  <c r="U152" i="54" s="1"/>
  <c r="J152" i="54"/>
  <c r="K152" i="54" s="1"/>
  <c r="L152" i="54" s="1"/>
  <c r="M152" i="54" s="1"/>
  <c r="N152" i="54" s="1"/>
  <c r="O152" i="54" s="1"/>
  <c r="Q151" i="54"/>
  <c r="R151" i="54" s="1"/>
  <c r="S151" i="54" s="1"/>
  <c r="T151" i="54" s="1"/>
  <c r="U151" i="54" s="1"/>
  <c r="J151" i="54"/>
  <c r="K151" i="54" s="1"/>
  <c r="L151" i="54" s="1"/>
  <c r="M151" i="54" s="1"/>
  <c r="N151" i="54" s="1"/>
  <c r="O151" i="54" s="1"/>
  <c r="Q149" i="54"/>
  <c r="R149" i="54" s="1"/>
  <c r="S149" i="54" s="1"/>
  <c r="T149" i="54" s="1"/>
  <c r="U149" i="54" s="1"/>
  <c r="J149" i="54"/>
  <c r="K149" i="54" s="1"/>
  <c r="L149" i="54" s="1"/>
  <c r="M149" i="54" s="1"/>
  <c r="N149" i="54" s="1"/>
  <c r="O149" i="54" s="1"/>
  <c r="Q148" i="54"/>
  <c r="R148" i="54" s="1"/>
  <c r="S148" i="54" s="1"/>
  <c r="T148" i="54" s="1"/>
  <c r="U148" i="54" s="1"/>
  <c r="J148" i="54"/>
  <c r="K148" i="54" s="1"/>
  <c r="L148" i="54" s="1"/>
  <c r="M148" i="54" s="1"/>
  <c r="N148" i="54" s="1"/>
  <c r="O148" i="54" s="1"/>
  <c r="Q147" i="54"/>
  <c r="Q12" i="52"/>
  <c r="Q11" i="52"/>
  <c r="I11" i="52"/>
  <c r="J11" i="52" s="1"/>
  <c r="K11" i="52" s="1"/>
  <c r="L11" i="52" s="1"/>
  <c r="M11" i="52" s="1"/>
  <c r="N11" i="52" s="1"/>
  <c r="O11" i="52" s="1"/>
  <c r="Q10" i="52"/>
  <c r="I10" i="52"/>
  <c r="J10" i="52" s="1"/>
  <c r="K10" i="52" s="1"/>
  <c r="L10" i="52" s="1"/>
  <c r="M10" i="52" s="1"/>
  <c r="N10" i="52" s="1"/>
  <c r="O10" i="52" s="1"/>
  <c r="R52" i="55" l="1"/>
  <c r="S52" i="55" s="1"/>
  <c r="T52" i="55" s="1"/>
  <c r="S48" i="55"/>
  <c r="T48" i="55" s="1"/>
  <c r="U48" i="55" s="1"/>
  <c r="C173" i="44"/>
  <c r="I155" i="42" l="1"/>
  <c r="I154" i="42"/>
  <c r="D240" i="23" l="1"/>
  <c r="E240" i="23"/>
  <c r="F240" i="23"/>
  <c r="G240" i="23"/>
  <c r="I240" i="23"/>
  <c r="F240" i="26"/>
  <c r="G240" i="26"/>
  <c r="H240" i="26"/>
  <c r="I240" i="26"/>
  <c r="D240" i="26"/>
  <c r="F240" i="5"/>
  <c r="G240" i="5"/>
  <c r="H240" i="5"/>
  <c r="I240" i="5"/>
  <c r="D240" i="5"/>
  <c r="D252" i="16"/>
  <c r="D253" i="16" s="1"/>
  <c r="E260" i="16"/>
  <c r="F260" i="16"/>
  <c r="G260" i="16"/>
  <c r="H260" i="16"/>
  <c r="I260" i="16"/>
  <c r="J260" i="16"/>
  <c r="K260" i="16"/>
  <c r="D260" i="16"/>
  <c r="D206" i="12"/>
  <c r="E206" i="12"/>
  <c r="G206" i="12"/>
  <c r="G252" i="18"/>
  <c r="G257" i="18" s="1"/>
  <c r="G261" i="18" s="1"/>
  <c r="D252" i="18"/>
  <c r="D257" i="18" s="1"/>
  <c r="E256" i="16"/>
  <c r="F256" i="16"/>
  <c r="G256" i="16"/>
  <c r="H256" i="16"/>
  <c r="I256" i="16"/>
  <c r="J256" i="16"/>
  <c r="K256" i="16"/>
  <c r="D256" i="16"/>
  <c r="D257" i="16" s="1"/>
  <c r="G212" i="16"/>
  <c r="G252" i="16" s="1"/>
  <c r="G253" i="16" s="1"/>
  <c r="H212" i="16"/>
  <c r="H252" i="16" s="1"/>
  <c r="H253" i="16" s="1"/>
  <c r="E240" i="21"/>
  <c r="G240" i="21"/>
  <c r="H240" i="21"/>
  <c r="D225" i="21"/>
  <c r="E225" i="21"/>
  <c r="G225" i="21"/>
  <c r="H225" i="21"/>
  <c r="I225" i="21"/>
  <c r="J225" i="21"/>
  <c r="K225" i="21"/>
  <c r="H216" i="21"/>
  <c r="I216" i="21"/>
  <c r="J216" i="21"/>
  <c r="K216" i="21"/>
  <c r="G257" i="16" l="1"/>
  <c r="G261" i="16" s="1"/>
  <c r="D261" i="16"/>
  <c r="H257" i="16"/>
  <c r="H261" i="16" s="1"/>
  <c r="H148" i="16"/>
  <c r="I148" i="16"/>
  <c r="J148" i="16"/>
  <c r="K148" i="16"/>
  <c r="H161" i="16"/>
  <c r="I260" i="23"/>
  <c r="J260" i="23"/>
  <c r="K260" i="23"/>
  <c r="I182" i="23"/>
  <c r="J182" i="23" s="1"/>
  <c r="K182" i="23" s="1"/>
  <c r="I183" i="23"/>
  <c r="J183" i="23" s="1"/>
  <c r="K183" i="23" s="1"/>
  <c r="I184" i="23"/>
  <c r="J184" i="23"/>
  <c r="K184" i="23" s="1"/>
  <c r="I185" i="23"/>
  <c r="J185" i="23" s="1"/>
  <c r="K185" i="23" s="1"/>
  <c r="I186" i="23"/>
  <c r="J186" i="23" s="1"/>
  <c r="K186" i="23" s="1"/>
  <c r="I187" i="23"/>
  <c r="J187" i="23" s="1"/>
  <c r="K187" i="23" s="1"/>
  <c r="I188" i="23"/>
  <c r="J188" i="23" s="1"/>
  <c r="K188" i="23" s="1"/>
  <c r="I189" i="23"/>
  <c r="J189" i="23" s="1"/>
  <c r="K189" i="23" s="1"/>
  <c r="I190" i="23"/>
  <c r="J190" i="23" s="1"/>
  <c r="K190" i="23" s="1"/>
  <c r="I191" i="23"/>
  <c r="J191" i="23" s="1"/>
  <c r="K191" i="23" s="1"/>
  <c r="I192" i="23"/>
  <c r="J192" i="23" s="1"/>
  <c r="K192" i="23" s="1"/>
  <c r="I193" i="23"/>
  <c r="J193" i="23" s="1"/>
  <c r="K193" i="23" s="1"/>
  <c r="I194" i="23"/>
  <c r="J194" i="23" s="1"/>
  <c r="K194" i="23" s="1"/>
  <c r="I195" i="23"/>
  <c r="J195" i="23" s="1"/>
  <c r="K195" i="23" s="1"/>
  <c r="I196" i="23"/>
  <c r="J196" i="23"/>
  <c r="K196" i="23" s="1"/>
  <c r="I197" i="23"/>
  <c r="J197" i="23" s="1"/>
  <c r="K197" i="23" s="1"/>
  <c r="I198" i="23"/>
  <c r="J198" i="23" s="1"/>
  <c r="K198" i="23" s="1"/>
  <c r="I199" i="23"/>
  <c r="J199" i="23" s="1"/>
  <c r="K199" i="23" s="1"/>
  <c r="G156" i="21" l="1"/>
  <c r="H156" i="21"/>
  <c r="I156" i="21"/>
  <c r="J156" i="21"/>
  <c r="K156" i="21"/>
  <c r="C176" i="44"/>
  <c r="C172" i="44"/>
  <c r="C171" i="44"/>
  <c r="V24" i="44"/>
  <c r="V57" i="44"/>
  <c r="V64" i="44"/>
  <c r="V74" i="44"/>
  <c r="V94" i="44"/>
  <c r="V109" i="44"/>
  <c r="U138" i="44"/>
  <c r="T138" i="44"/>
  <c r="U57" i="44"/>
  <c r="T57" i="44"/>
  <c r="V138" i="44"/>
  <c r="U109" i="44"/>
  <c r="U162" i="44"/>
  <c r="D206" i="21"/>
  <c r="E206" i="21"/>
  <c r="F208" i="21"/>
  <c r="F212" i="21" s="1"/>
  <c r="F209" i="21"/>
  <c r="F210" i="21"/>
  <c r="F211" i="21"/>
  <c r="G211" i="21" s="1"/>
  <c r="E212" i="21"/>
  <c r="F214" i="21"/>
  <c r="F215" i="21"/>
  <c r="F216" i="21" s="1"/>
  <c r="D216" i="21"/>
  <c r="E216" i="21"/>
  <c r="G216" i="21"/>
  <c r="F218" i="21"/>
  <c r="F219" i="21"/>
  <c r="F220" i="21"/>
  <c r="F221" i="21" s="1"/>
  <c r="D221" i="21"/>
  <c r="E221" i="21"/>
  <c r="F223" i="21"/>
  <c r="F224" i="21"/>
  <c r="F227" i="21"/>
  <c r="I227" i="21"/>
  <c r="F228" i="21"/>
  <c r="F229" i="21"/>
  <c r="F230" i="21"/>
  <c r="F231" i="21"/>
  <c r="F232" i="21"/>
  <c r="F233" i="21"/>
  <c r="F234" i="21"/>
  <c r="F235" i="21"/>
  <c r="F236" i="21"/>
  <c r="F237" i="21"/>
  <c r="F238" i="21"/>
  <c r="F239" i="21"/>
  <c r="D240" i="21"/>
  <c r="F242" i="21"/>
  <c r="F243" i="21"/>
  <c r="F245" i="21"/>
  <c r="F248" i="21" s="1"/>
  <c r="F246" i="21"/>
  <c r="F247" i="21"/>
  <c r="D248" i="21"/>
  <c r="E248" i="21"/>
  <c r="G248" i="21"/>
  <c r="H248" i="21"/>
  <c r="F250" i="21"/>
  <c r="H250" i="21" s="1"/>
  <c r="E251" i="21"/>
  <c r="I251" i="21"/>
  <c r="J251" i="21"/>
  <c r="K251" i="21"/>
  <c r="F255" i="21"/>
  <c r="H255" i="21" s="1"/>
  <c r="I255" i="21"/>
  <c r="K255" i="21"/>
  <c r="K256" i="21" s="1"/>
  <c r="E256" i="21"/>
  <c r="I256" i="21"/>
  <c r="F259" i="21"/>
  <c r="H259" i="21"/>
  <c r="J259" i="21" s="1"/>
  <c r="J260" i="21" s="1"/>
  <c r="I259" i="21"/>
  <c r="K259" i="21" s="1"/>
  <c r="K260" i="21" s="1"/>
  <c r="E260" i="21"/>
  <c r="F260" i="21"/>
  <c r="V15" i="44"/>
  <c r="J95" i="21"/>
  <c r="K95" i="21" s="1"/>
  <c r="J96" i="21"/>
  <c r="K96" i="21" s="1"/>
  <c r="I144" i="21"/>
  <c r="I88" i="21"/>
  <c r="J41" i="21"/>
  <c r="K41" i="21" s="1"/>
  <c r="I79" i="21"/>
  <c r="I122" i="21"/>
  <c r="F225" i="21" l="1"/>
  <c r="J227" i="21"/>
  <c r="J240" i="21" s="1"/>
  <c r="I240" i="21"/>
  <c r="H211" i="21"/>
  <c r="G212" i="21"/>
  <c r="F240" i="21"/>
  <c r="V167" i="44"/>
  <c r="J255" i="21"/>
  <c r="J256" i="21" s="1"/>
  <c r="H256" i="21"/>
  <c r="H251" i="21"/>
  <c r="I260" i="21"/>
  <c r="F251" i="21"/>
  <c r="H260" i="21"/>
  <c r="F256" i="21"/>
  <c r="K227" i="21" l="1"/>
  <c r="K240" i="21" s="1"/>
  <c r="I211" i="21"/>
  <c r="H212" i="21"/>
  <c r="J211" i="21" l="1"/>
  <c r="I212" i="21"/>
  <c r="J62" i="8"/>
  <c r="J63" i="8" s="1"/>
  <c r="H63" i="8"/>
  <c r="I63" i="8"/>
  <c r="K227" i="15"/>
  <c r="K227" i="13"/>
  <c r="K227" i="5"/>
  <c r="K240" i="5" s="1"/>
  <c r="K227" i="26"/>
  <c r="K240" i="26" s="1"/>
  <c r="J227" i="22"/>
  <c r="K227" i="22" s="1"/>
  <c r="J227" i="5"/>
  <c r="J240" i="5" s="1"/>
  <c r="J227" i="26"/>
  <c r="J240" i="26" s="1"/>
  <c r="I227" i="22"/>
  <c r="I176" i="42"/>
  <c r="I173" i="42"/>
  <c r="I147" i="42"/>
  <c r="I146" i="42"/>
  <c r="I145" i="42"/>
  <c r="I144" i="42"/>
  <c r="I143" i="42"/>
  <c r="I142" i="42"/>
  <c r="I141" i="42"/>
  <c r="I140" i="42"/>
  <c r="I139" i="42"/>
  <c r="I138" i="42"/>
  <c r="I137" i="42"/>
  <c r="I136" i="42"/>
  <c r="I134" i="42"/>
  <c r="I133" i="42"/>
  <c r="I132" i="42"/>
  <c r="I131" i="42"/>
  <c r="I130" i="42"/>
  <c r="I128" i="42"/>
  <c r="I127" i="42"/>
  <c r="I126" i="42"/>
  <c r="I124" i="42"/>
  <c r="I123" i="42"/>
  <c r="I122" i="42"/>
  <c r="I120" i="42"/>
  <c r="I117" i="42"/>
  <c r="I116" i="42"/>
  <c r="I115" i="42"/>
  <c r="I114" i="42"/>
  <c r="I112" i="42"/>
  <c r="I111" i="42"/>
  <c r="I110" i="42"/>
  <c r="I109" i="42"/>
  <c r="I108" i="42"/>
  <c r="I107" i="42"/>
  <c r="I106" i="42"/>
  <c r="I105" i="42"/>
  <c r="I104" i="42"/>
  <c r="I103" i="42"/>
  <c r="I102" i="42"/>
  <c r="I101" i="42"/>
  <c r="I99" i="42"/>
  <c r="I97" i="42"/>
  <c r="I96" i="42"/>
  <c r="I95" i="42"/>
  <c r="I94" i="42"/>
  <c r="I93" i="42"/>
  <c r="I92" i="42"/>
  <c r="I87" i="42"/>
  <c r="I86" i="42"/>
  <c r="I85" i="42"/>
  <c r="I83" i="42"/>
  <c r="I82" i="42"/>
  <c r="I81" i="42"/>
  <c r="I80" i="42"/>
  <c r="I79" i="42"/>
  <c r="I78" i="42"/>
  <c r="I76" i="42"/>
  <c r="I75" i="42"/>
  <c r="I74" i="42"/>
  <c r="I73" i="42"/>
  <c r="I72" i="42"/>
  <c r="I68" i="42"/>
  <c r="I40" i="42"/>
  <c r="K37" i="42"/>
  <c r="I37" i="42"/>
  <c r="D18" i="51"/>
  <c r="E18" i="51"/>
  <c r="F18" i="51"/>
  <c r="G18" i="51"/>
  <c r="H18" i="51"/>
  <c r="I18" i="51"/>
  <c r="K17" i="51"/>
  <c r="J17" i="51"/>
  <c r="J131" i="51"/>
  <c r="K131" i="51" s="1"/>
  <c r="J65" i="51"/>
  <c r="K65" i="51" s="1"/>
  <c r="K65" i="42" s="1"/>
  <c r="I156" i="51"/>
  <c r="I151" i="51"/>
  <c r="J151" i="51"/>
  <c r="K151" i="51"/>
  <c r="J154" i="51"/>
  <c r="K154" i="51" s="1"/>
  <c r="K156" i="51" s="1"/>
  <c r="D38" i="8"/>
  <c r="F38" i="8"/>
  <c r="G38" i="8"/>
  <c r="H38" i="8"/>
  <c r="I38" i="8"/>
  <c r="J38" i="8"/>
  <c r="K38" i="8"/>
  <c r="J37" i="8"/>
  <c r="K37" i="8" s="1"/>
  <c r="E32" i="8"/>
  <c r="F32" i="8"/>
  <c r="G32" i="8"/>
  <c r="H32" i="8"/>
  <c r="D32" i="8"/>
  <c r="I31" i="8"/>
  <c r="I32" i="8" s="1"/>
  <c r="J57" i="15"/>
  <c r="K57" i="15" s="1"/>
  <c r="J56" i="15"/>
  <c r="K56" i="15" s="1"/>
  <c r="J55" i="15"/>
  <c r="K55" i="15" s="1"/>
  <c r="J54" i="15"/>
  <c r="K54" i="15" s="1"/>
  <c r="J53" i="15"/>
  <c r="K53" i="15" s="1"/>
  <c r="J52" i="15"/>
  <c r="K52" i="15" s="1"/>
  <c r="J51" i="15"/>
  <c r="K51" i="15" s="1"/>
  <c r="J50" i="15"/>
  <c r="K50" i="15" s="1"/>
  <c r="J49" i="15"/>
  <c r="K49" i="15" s="1"/>
  <c r="J48" i="15"/>
  <c r="K48" i="15" s="1"/>
  <c r="J47" i="15"/>
  <c r="K47" i="15" s="1"/>
  <c r="J46" i="15"/>
  <c r="K46" i="15" s="1"/>
  <c r="J45" i="15"/>
  <c r="K45" i="15" s="1"/>
  <c r="I59" i="15"/>
  <c r="I156" i="15"/>
  <c r="J156" i="15"/>
  <c r="K156" i="15"/>
  <c r="I259" i="19"/>
  <c r="I260" i="19" s="1"/>
  <c r="F156" i="19"/>
  <c r="G156" i="19"/>
  <c r="H156" i="19"/>
  <c r="I156" i="19"/>
  <c r="J156" i="19"/>
  <c r="K156" i="19"/>
  <c r="I151" i="19"/>
  <c r="J151" i="19"/>
  <c r="K151" i="19"/>
  <c r="I148" i="19"/>
  <c r="J119" i="19"/>
  <c r="K119" i="19" s="1"/>
  <c r="J118" i="19"/>
  <c r="K118" i="19" s="1"/>
  <c r="J117" i="19"/>
  <c r="K117" i="19" s="1"/>
  <c r="J116" i="19"/>
  <c r="K116" i="19" s="1"/>
  <c r="J115" i="19"/>
  <c r="K115" i="19" s="1"/>
  <c r="J114" i="19"/>
  <c r="K114" i="19" s="1"/>
  <c r="J113" i="19"/>
  <c r="K113" i="19" s="1"/>
  <c r="K112" i="19"/>
  <c r="J112" i="19"/>
  <c r="J111" i="19"/>
  <c r="K111" i="19" s="1"/>
  <c r="J110" i="19"/>
  <c r="K110" i="19" s="1"/>
  <c r="J109" i="19"/>
  <c r="K109" i="19" s="1"/>
  <c r="J108" i="19"/>
  <c r="K108" i="19" s="1"/>
  <c r="J107" i="19"/>
  <c r="K107" i="19" s="1"/>
  <c r="J106" i="19"/>
  <c r="K106" i="19" s="1"/>
  <c r="J105" i="19"/>
  <c r="K105" i="19" s="1"/>
  <c r="K104" i="19"/>
  <c r="J104" i="19"/>
  <c r="J103" i="19"/>
  <c r="K103" i="19" s="1"/>
  <c r="J102" i="19"/>
  <c r="K102" i="19" s="1"/>
  <c r="J101" i="19"/>
  <c r="K101" i="19" s="1"/>
  <c r="J100" i="19"/>
  <c r="K100" i="19" s="1"/>
  <c r="J99" i="19"/>
  <c r="K99" i="19" s="1"/>
  <c r="J98" i="19"/>
  <c r="K98" i="19" s="1"/>
  <c r="J97" i="19"/>
  <c r="K97" i="19" s="1"/>
  <c r="K96" i="19"/>
  <c r="J96" i="19"/>
  <c r="J95" i="19"/>
  <c r="K95" i="19" s="1"/>
  <c r="J94" i="19"/>
  <c r="K94" i="19" s="1"/>
  <c r="J93" i="19"/>
  <c r="K93" i="19" s="1"/>
  <c r="J92" i="19"/>
  <c r="K92" i="19" s="1"/>
  <c r="J91" i="19"/>
  <c r="K91" i="19" s="1"/>
  <c r="J90" i="19"/>
  <c r="K90" i="19" s="1"/>
  <c r="J89" i="19"/>
  <c r="K89" i="19" s="1"/>
  <c r="K88" i="19"/>
  <c r="J88" i="19"/>
  <c r="J87" i="19"/>
  <c r="K87" i="19" s="1"/>
  <c r="J86" i="19"/>
  <c r="K86" i="19" s="1"/>
  <c r="J85" i="19"/>
  <c r="K85" i="19" s="1"/>
  <c r="J84" i="19"/>
  <c r="K84" i="19" s="1"/>
  <c r="J83" i="19"/>
  <c r="K83" i="19" s="1"/>
  <c r="J82" i="19"/>
  <c r="K82" i="19" s="1"/>
  <c r="J81" i="19"/>
  <c r="K81" i="19" s="1"/>
  <c r="K80" i="19"/>
  <c r="J80" i="19"/>
  <c r="J79" i="19"/>
  <c r="K79" i="19" s="1"/>
  <c r="J78" i="19"/>
  <c r="K78" i="19" s="1"/>
  <c r="J77" i="19"/>
  <c r="K77" i="19" s="1"/>
  <c r="J76" i="19"/>
  <c r="K76" i="19" s="1"/>
  <c r="J75" i="19"/>
  <c r="K75" i="19" s="1"/>
  <c r="J74" i="19"/>
  <c r="K74" i="19" s="1"/>
  <c r="J73" i="19"/>
  <c r="K73" i="19" s="1"/>
  <c r="K72" i="19"/>
  <c r="J72" i="19"/>
  <c r="I59" i="19"/>
  <c r="J57" i="19"/>
  <c r="K57" i="19" s="1"/>
  <c r="J56" i="19"/>
  <c r="K56" i="19" s="1"/>
  <c r="J55" i="19"/>
  <c r="K55" i="19" s="1"/>
  <c r="J54" i="19"/>
  <c r="K54" i="19" s="1"/>
  <c r="J53" i="19"/>
  <c r="K53" i="19" s="1"/>
  <c r="J52" i="19"/>
  <c r="K52" i="19" s="1"/>
  <c r="J51" i="19"/>
  <c r="K51" i="19" s="1"/>
  <c r="J50" i="19"/>
  <c r="K50" i="19" s="1"/>
  <c r="J49" i="19"/>
  <c r="K49" i="19" s="1"/>
  <c r="J48" i="19"/>
  <c r="K48" i="19" s="1"/>
  <c r="J47" i="19"/>
  <c r="K47" i="19" s="1"/>
  <c r="J46" i="19"/>
  <c r="K46" i="19" s="1"/>
  <c r="J45" i="19"/>
  <c r="K45" i="19" s="1"/>
  <c r="J44" i="19"/>
  <c r="K44" i="19" s="1"/>
  <c r="J43" i="19"/>
  <c r="K43" i="19" s="1"/>
  <c r="J42" i="19"/>
  <c r="K42" i="19" s="1"/>
  <c r="K59" i="19" s="1"/>
  <c r="J41" i="19"/>
  <c r="K41" i="19" s="1"/>
  <c r="I156" i="18"/>
  <c r="J156" i="18"/>
  <c r="K156" i="18"/>
  <c r="I158" i="18"/>
  <c r="I160" i="18" s="1"/>
  <c r="J158" i="18"/>
  <c r="J160" i="18" s="1"/>
  <c r="K158" i="18"/>
  <c r="I159" i="18"/>
  <c r="J159" i="18"/>
  <c r="K159" i="18"/>
  <c r="K160" i="18" s="1"/>
  <c r="I148" i="18"/>
  <c r="J122" i="18"/>
  <c r="K122" i="18" s="1"/>
  <c r="K121" i="18"/>
  <c r="J121" i="18"/>
  <c r="J120" i="18"/>
  <c r="K120" i="18" s="1"/>
  <c r="J119" i="18"/>
  <c r="K119" i="18" s="1"/>
  <c r="J118" i="18"/>
  <c r="K118" i="18" s="1"/>
  <c r="J117" i="18"/>
  <c r="K117" i="18" s="1"/>
  <c r="J116" i="18"/>
  <c r="K116" i="18" s="1"/>
  <c r="K115" i="18"/>
  <c r="J115" i="18"/>
  <c r="J114" i="18"/>
  <c r="K114" i="18" s="1"/>
  <c r="K113" i="18"/>
  <c r="J113" i="18"/>
  <c r="J112" i="18"/>
  <c r="K112" i="18" s="1"/>
  <c r="J111" i="18"/>
  <c r="K111" i="18" s="1"/>
  <c r="J110" i="18"/>
  <c r="K110" i="18" s="1"/>
  <c r="J109" i="18"/>
  <c r="K109" i="18" s="1"/>
  <c r="J108" i="18"/>
  <c r="K108" i="18" s="1"/>
  <c r="K107" i="18"/>
  <c r="J107" i="18"/>
  <c r="J106" i="18"/>
  <c r="K106" i="18" s="1"/>
  <c r="K105" i="18"/>
  <c r="J105" i="18"/>
  <c r="J104" i="18"/>
  <c r="K104" i="18" s="1"/>
  <c r="J103" i="18"/>
  <c r="K103" i="18" s="1"/>
  <c r="J102" i="18"/>
  <c r="K102" i="18" s="1"/>
  <c r="J101" i="18"/>
  <c r="K101" i="18" s="1"/>
  <c r="J100" i="18"/>
  <c r="K100" i="18" s="1"/>
  <c r="K99" i="18"/>
  <c r="J99" i="18"/>
  <c r="J98" i="18"/>
  <c r="K98" i="18" s="1"/>
  <c r="K97" i="18"/>
  <c r="J97" i="18"/>
  <c r="J96" i="18"/>
  <c r="K96" i="18" s="1"/>
  <c r="J95" i="18"/>
  <c r="K95" i="18" s="1"/>
  <c r="J94" i="18"/>
  <c r="K94" i="18" s="1"/>
  <c r="J93" i="18"/>
  <c r="K93" i="18" s="1"/>
  <c r="J92" i="18"/>
  <c r="K92" i="18" s="1"/>
  <c r="K91" i="18"/>
  <c r="J91" i="18"/>
  <c r="J90" i="18"/>
  <c r="K90" i="18" s="1"/>
  <c r="K89" i="18"/>
  <c r="J89" i="18"/>
  <c r="J88" i="18"/>
  <c r="K88" i="18" s="1"/>
  <c r="J87" i="18"/>
  <c r="K87" i="18" s="1"/>
  <c r="J86" i="18"/>
  <c r="K86" i="18" s="1"/>
  <c r="J85" i="18"/>
  <c r="K85" i="18" s="1"/>
  <c r="J84" i="18"/>
  <c r="K84" i="18" s="1"/>
  <c r="K83" i="18"/>
  <c r="J83" i="18"/>
  <c r="J82" i="18"/>
  <c r="K82" i="18" s="1"/>
  <c r="J81" i="18"/>
  <c r="K81" i="18" s="1"/>
  <c r="J80" i="18"/>
  <c r="K80" i="18" s="1"/>
  <c r="J79" i="18"/>
  <c r="K79" i="18" s="1"/>
  <c r="J78" i="18"/>
  <c r="K78" i="18" s="1"/>
  <c r="J77" i="18"/>
  <c r="K77" i="18" s="1"/>
  <c r="J76" i="18"/>
  <c r="K76" i="18" s="1"/>
  <c r="K75" i="18"/>
  <c r="J75" i="18"/>
  <c r="J74" i="18"/>
  <c r="K74" i="18" s="1"/>
  <c r="J73" i="18"/>
  <c r="K73" i="18" s="1"/>
  <c r="J72" i="18"/>
  <c r="K72" i="18" s="1"/>
  <c r="J57" i="18"/>
  <c r="K57" i="18" s="1"/>
  <c r="J56" i="18"/>
  <c r="K56" i="18" s="1"/>
  <c r="J55" i="18"/>
  <c r="K55" i="18" s="1"/>
  <c r="K54" i="18"/>
  <c r="J54" i="18"/>
  <c r="J53" i="18"/>
  <c r="K53" i="18" s="1"/>
  <c r="J52" i="18"/>
  <c r="K52" i="18" s="1"/>
  <c r="J51" i="18"/>
  <c r="K51" i="18" s="1"/>
  <c r="J50" i="18"/>
  <c r="K50" i="18" s="1"/>
  <c r="I59" i="18"/>
  <c r="K148" i="18" l="1"/>
  <c r="K148" i="19"/>
  <c r="J59" i="19"/>
  <c r="K62" i="8"/>
  <c r="K63" i="8" s="1"/>
  <c r="I31" i="42"/>
  <c r="J148" i="19"/>
  <c r="J148" i="18"/>
  <c r="J59" i="15"/>
  <c r="J31" i="8"/>
  <c r="K211" i="21"/>
  <c r="J212" i="21"/>
  <c r="J156" i="51"/>
  <c r="J59" i="18"/>
  <c r="K59" i="15"/>
  <c r="K259" i="19"/>
  <c r="K260" i="19" s="1"/>
  <c r="K59" i="18"/>
  <c r="J209" i="16"/>
  <c r="I209" i="16"/>
  <c r="I212" i="16" s="1"/>
  <c r="I252" i="16" s="1"/>
  <c r="J185" i="16"/>
  <c r="K185" i="16" s="1"/>
  <c r="J189" i="16"/>
  <c r="K189" i="16" s="1"/>
  <c r="J193" i="16"/>
  <c r="K193" i="16" s="1"/>
  <c r="J197" i="16"/>
  <c r="K197" i="16" s="1"/>
  <c r="I182" i="16"/>
  <c r="J182" i="16" s="1"/>
  <c r="K182" i="16" s="1"/>
  <c r="I183" i="16"/>
  <c r="J183" i="16" s="1"/>
  <c r="K183" i="16" s="1"/>
  <c r="I184" i="16"/>
  <c r="J184" i="16" s="1"/>
  <c r="K184" i="16" s="1"/>
  <c r="I185" i="16"/>
  <c r="I186" i="16"/>
  <c r="J186" i="16" s="1"/>
  <c r="K186" i="16" s="1"/>
  <c r="I187" i="16"/>
  <c r="J187" i="16" s="1"/>
  <c r="K187" i="16" s="1"/>
  <c r="I188" i="16"/>
  <c r="J188" i="16" s="1"/>
  <c r="K188" i="16" s="1"/>
  <c r="I189" i="16"/>
  <c r="I190" i="16"/>
  <c r="J190" i="16" s="1"/>
  <c r="K190" i="16" s="1"/>
  <c r="I191" i="16"/>
  <c r="J191" i="16" s="1"/>
  <c r="K191" i="16" s="1"/>
  <c r="I192" i="16"/>
  <c r="J192" i="16" s="1"/>
  <c r="K192" i="16" s="1"/>
  <c r="I193" i="16"/>
  <c r="I194" i="16"/>
  <c r="J194" i="16" s="1"/>
  <c r="K194" i="16" s="1"/>
  <c r="I195" i="16"/>
  <c r="J195" i="16" s="1"/>
  <c r="K195" i="16" s="1"/>
  <c r="I196" i="16"/>
  <c r="J196" i="16" s="1"/>
  <c r="K196" i="16" s="1"/>
  <c r="I197" i="16"/>
  <c r="I198" i="16"/>
  <c r="J198" i="16" s="1"/>
  <c r="K198" i="16" s="1"/>
  <c r="I199" i="16"/>
  <c r="J199" i="16" s="1"/>
  <c r="K199" i="16" s="1"/>
  <c r="I200" i="16"/>
  <c r="J200" i="16" s="1"/>
  <c r="K200" i="16" s="1"/>
  <c r="I181" i="16"/>
  <c r="J181" i="16" s="1"/>
  <c r="K181" i="16" s="1"/>
  <c r="J42" i="16"/>
  <c r="K42" i="16" s="1"/>
  <c r="J43" i="16"/>
  <c r="K43" i="16"/>
  <c r="J44" i="16"/>
  <c r="K44" i="16" s="1"/>
  <c r="J45" i="16"/>
  <c r="K45" i="16" s="1"/>
  <c r="J46" i="16"/>
  <c r="K46" i="16" s="1"/>
  <c r="J47" i="16"/>
  <c r="K47" i="16"/>
  <c r="J48" i="16"/>
  <c r="K48" i="16" s="1"/>
  <c r="J49" i="16"/>
  <c r="K49" i="16" s="1"/>
  <c r="J50" i="16"/>
  <c r="K50" i="16" s="1"/>
  <c r="J41" i="16"/>
  <c r="K41" i="16" s="1"/>
  <c r="I59" i="16"/>
  <c r="I208" i="12"/>
  <c r="K208" i="12"/>
  <c r="I209" i="12"/>
  <c r="K209" i="12" s="1"/>
  <c r="I210" i="12"/>
  <c r="K210" i="12" s="1"/>
  <c r="I211" i="12"/>
  <c r="K211" i="12"/>
  <c r="I214" i="12"/>
  <c r="K214" i="12" s="1"/>
  <c r="K216" i="12" s="1"/>
  <c r="I215" i="12"/>
  <c r="K215" i="12" s="1"/>
  <c r="I218" i="12"/>
  <c r="K218" i="12" s="1"/>
  <c r="I219" i="12"/>
  <c r="K219" i="12" s="1"/>
  <c r="I220" i="12"/>
  <c r="K220" i="12" s="1"/>
  <c r="I223" i="12"/>
  <c r="K223" i="12" s="1"/>
  <c r="K225" i="12" s="1"/>
  <c r="I224" i="12"/>
  <c r="K224" i="12" s="1"/>
  <c r="I227" i="12"/>
  <c r="K227" i="12"/>
  <c r="I228" i="12"/>
  <c r="K228" i="12" s="1"/>
  <c r="I229" i="12"/>
  <c r="K229" i="12" s="1"/>
  <c r="I230" i="12"/>
  <c r="K230" i="12" s="1"/>
  <c r="I231" i="12"/>
  <c r="K231" i="12" s="1"/>
  <c r="I232" i="12"/>
  <c r="K232" i="12"/>
  <c r="I233" i="12"/>
  <c r="K233" i="12" s="1"/>
  <c r="I234" i="12"/>
  <c r="K234" i="12" s="1"/>
  <c r="I235" i="12"/>
  <c r="K235" i="12"/>
  <c r="I236" i="12"/>
  <c r="K236" i="12" s="1"/>
  <c r="I237" i="12"/>
  <c r="K237" i="12" s="1"/>
  <c r="I238" i="12"/>
  <c r="K238" i="12" s="1"/>
  <c r="I239" i="12"/>
  <c r="K239" i="12" s="1"/>
  <c r="I242" i="12"/>
  <c r="K242" i="12" s="1"/>
  <c r="I243" i="12"/>
  <c r="K243" i="12" s="1"/>
  <c r="I244" i="12"/>
  <c r="K244" i="12"/>
  <c r="I245" i="12"/>
  <c r="K245" i="12"/>
  <c r="I246" i="12"/>
  <c r="K246" i="12" s="1"/>
  <c r="I247" i="12"/>
  <c r="K247" i="12" s="1"/>
  <c r="I250" i="12"/>
  <c r="K250" i="12" s="1"/>
  <c r="K251" i="12" s="1"/>
  <c r="I251" i="12"/>
  <c r="I255" i="12"/>
  <c r="I256" i="12" s="1"/>
  <c r="K255" i="12"/>
  <c r="K256" i="12" s="1"/>
  <c r="I259" i="12"/>
  <c r="I260" i="12" s="1"/>
  <c r="J178" i="12"/>
  <c r="K178" i="12" s="1"/>
  <c r="J179" i="12"/>
  <c r="K179" i="12" s="1"/>
  <c r="J180" i="12"/>
  <c r="K180" i="12" s="1"/>
  <c r="J201" i="12"/>
  <c r="K201" i="12"/>
  <c r="J202" i="12"/>
  <c r="K202" i="12" s="1"/>
  <c r="J203" i="12"/>
  <c r="K203" i="12" s="1"/>
  <c r="J204" i="12"/>
  <c r="K204" i="12" s="1"/>
  <c r="J205" i="12"/>
  <c r="K205" i="12"/>
  <c r="I177" i="12"/>
  <c r="I156" i="12"/>
  <c r="J156" i="12"/>
  <c r="K156" i="12"/>
  <c r="J73" i="12"/>
  <c r="K73" i="12" s="1"/>
  <c r="J74" i="12"/>
  <c r="K74" i="12" s="1"/>
  <c r="J75" i="12"/>
  <c r="K75" i="12"/>
  <c r="J76" i="12"/>
  <c r="K76" i="12" s="1"/>
  <c r="J77" i="12"/>
  <c r="K77" i="12" s="1"/>
  <c r="J78" i="12"/>
  <c r="K78" i="12" s="1"/>
  <c r="J79" i="12"/>
  <c r="K79" i="12"/>
  <c r="J80" i="12"/>
  <c r="K80" i="12" s="1"/>
  <c r="J81" i="12"/>
  <c r="K81" i="12" s="1"/>
  <c r="J82" i="12"/>
  <c r="K82" i="12" s="1"/>
  <c r="J83" i="12"/>
  <c r="K83" i="12"/>
  <c r="J84" i="12"/>
  <c r="K84" i="12" s="1"/>
  <c r="J85" i="12"/>
  <c r="K85" i="12" s="1"/>
  <c r="J86" i="12"/>
  <c r="K86" i="12" s="1"/>
  <c r="J87" i="12"/>
  <c r="K87" i="12"/>
  <c r="J88" i="12"/>
  <c r="K88" i="12" s="1"/>
  <c r="J89" i="12"/>
  <c r="K89" i="12" s="1"/>
  <c r="J90" i="12"/>
  <c r="K90" i="12" s="1"/>
  <c r="J91" i="12"/>
  <c r="K91" i="12"/>
  <c r="J92" i="12"/>
  <c r="K92" i="12" s="1"/>
  <c r="J93" i="12"/>
  <c r="K93" i="12" s="1"/>
  <c r="J94" i="12"/>
  <c r="K94" i="12" s="1"/>
  <c r="J95" i="12"/>
  <c r="K95" i="12"/>
  <c r="J96" i="12"/>
  <c r="K96" i="12" s="1"/>
  <c r="J97" i="12"/>
  <c r="K97" i="12" s="1"/>
  <c r="J98" i="12"/>
  <c r="K98" i="12" s="1"/>
  <c r="J99" i="12"/>
  <c r="K99" i="12"/>
  <c r="J100" i="12"/>
  <c r="K100" i="12" s="1"/>
  <c r="J101" i="12"/>
  <c r="K101" i="12" s="1"/>
  <c r="J102" i="12"/>
  <c r="K102" i="12" s="1"/>
  <c r="J103" i="12"/>
  <c r="K103" i="12"/>
  <c r="J104" i="12"/>
  <c r="K104" i="12" s="1"/>
  <c r="J105" i="12"/>
  <c r="K105" i="12" s="1"/>
  <c r="J106" i="12"/>
  <c r="K106" i="12" s="1"/>
  <c r="J107" i="12"/>
  <c r="K107" i="12"/>
  <c r="J108" i="12"/>
  <c r="K108" i="12" s="1"/>
  <c r="J109" i="12"/>
  <c r="K109" i="12" s="1"/>
  <c r="J110" i="12"/>
  <c r="K110" i="12" s="1"/>
  <c r="J111" i="12"/>
  <c r="K111" i="12"/>
  <c r="J112" i="12"/>
  <c r="K112" i="12" s="1"/>
  <c r="J113" i="12"/>
  <c r="K113" i="12" s="1"/>
  <c r="J114" i="12"/>
  <c r="K114" i="12" s="1"/>
  <c r="J115" i="12"/>
  <c r="K115" i="12"/>
  <c r="J116" i="12"/>
  <c r="K116" i="12" s="1"/>
  <c r="J117" i="12"/>
  <c r="K117" i="12" s="1"/>
  <c r="J118" i="12"/>
  <c r="K118" i="12" s="1"/>
  <c r="J119" i="12"/>
  <c r="K119" i="12"/>
  <c r="J120" i="12"/>
  <c r="K120" i="12" s="1"/>
  <c r="J121" i="12"/>
  <c r="K121" i="12" s="1"/>
  <c r="J122" i="12"/>
  <c r="K122" i="12" s="1"/>
  <c r="J123" i="12"/>
  <c r="K123" i="12"/>
  <c r="J124" i="12"/>
  <c r="K124" i="12" s="1"/>
  <c r="J125" i="12"/>
  <c r="K125" i="12" s="1"/>
  <c r="J126" i="12"/>
  <c r="K126" i="12" s="1"/>
  <c r="J127" i="12"/>
  <c r="K127" i="12"/>
  <c r="J128" i="12"/>
  <c r="K128" i="12" s="1"/>
  <c r="J129" i="12"/>
  <c r="K129" i="12" s="1"/>
  <c r="J130" i="12"/>
  <c r="K130" i="12" s="1"/>
  <c r="J131" i="12"/>
  <c r="K131" i="12"/>
  <c r="J132" i="12"/>
  <c r="K132" i="12" s="1"/>
  <c r="J133" i="12"/>
  <c r="K133" i="12" s="1"/>
  <c r="K72" i="12"/>
  <c r="J72" i="12"/>
  <c r="I148" i="12"/>
  <c r="J42" i="12"/>
  <c r="K42" i="12"/>
  <c r="J43" i="12"/>
  <c r="K43" i="12"/>
  <c r="J44" i="12"/>
  <c r="K44" i="12"/>
  <c r="J45" i="12"/>
  <c r="K45" i="12"/>
  <c r="J46" i="12"/>
  <c r="K46" i="12"/>
  <c r="J47" i="12"/>
  <c r="K47" i="12"/>
  <c r="J48" i="12"/>
  <c r="K48" i="12"/>
  <c r="J49" i="12"/>
  <c r="K49" i="12"/>
  <c r="J50" i="12"/>
  <c r="K50" i="12"/>
  <c r="J41" i="12"/>
  <c r="J59" i="12" s="1"/>
  <c r="I59" i="12"/>
  <c r="I148" i="15"/>
  <c r="J118" i="15"/>
  <c r="K118" i="15" s="1"/>
  <c r="K148" i="15" s="1"/>
  <c r="I118" i="15"/>
  <c r="I240" i="15"/>
  <c r="J240" i="15"/>
  <c r="K240" i="15"/>
  <c r="I248" i="15"/>
  <c r="J248" i="15"/>
  <c r="K248" i="15"/>
  <c r="I251" i="15"/>
  <c r="J251" i="15"/>
  <c r="K251" i="15"/>
  <c r="I256" i="15"/>
  <c r="J256" i="15"/>
  <c r="K256" i="15"/>
  <c r="I260" i="15"/>
  <c r="J260" i="15"/>
  <c r="K260" i="15"/>
  <c r="I189" i="15"/>
  <c r="J189" i="15" s="1"/>
  <c r="K189" i="15" s="1"/>
  <c r="J182" i="15"/>
  <c r="K182" i="15" s="1"/>
  <c r="J183" i="15"/>
  <c r="K183" i="15" s="1"/>
  <c r="J184" i="15"/>
  <c r="K184" i="15" s="1"/>
  <c r="J185" i="15"/>
  <c r="K185" i="15"/>
  <c r="J186" i="15"/>
  <c r="K186" i="15" s="1"/>
  <c r="J187" i="15"/>
  <c r="K187" i="15" s="1"/>
  <c r="J188" i="15"/>
  <c r="K188" i="15" s="1"/>
  <c r="J190" i="15"/>
  <c r="K190" i="15" s="1"/>
  <c r="J191" i="15"/>
  <c r="K191" i="15"/>
  <c r="J192" i="15"/>
  <c r="K192" i="15" s="1"/>
  <c r="J193" i="15"/>
  <c r="K193" i="15" s="1"/>
  <c r="J194" i="15"/>
  <c r="K194" i="15" s="1"/>
  <c r="J195" i="15"/>
  <c r="K195" i="15"/>
  <c r="J196" i="15"/>
  <c r="K196" i="15" s="1"/>
  <c r="J197" i="15"/>
  <c r="K197" i="15" s="1"/>
  <c r="J198" i="15"/>
  <c r="K198" i="15" s="1"/>
  <c r="J199" i="15"/>
  <c r="K199" i="15"/>
  <c r="J201" i="15"/>
  <c r="K201" i="15"/>
  <c r="J202" i="15"/>
  <c r="K202" i="15" s="1"/>
  <c r="J203" i="15"/>
  <c r="K203" i="15" s="1"/>
  <c r="J204" i="15"/>
  <c r="K204" i="15" s="1"/>
  <c r="J205" i="15"/>
  <c r="K205" i="15"/>
  <c r="I188" i="15"/>
  <c r="J227" i="23"/>
  <c r="B206" i="23"/>
  <c r="C206" i="23" s="1"/>
  <c r="J227" i="24"/>
  <c r="K227" i="24" s="1"/>
  <c r="K240" i="4"/>
  <c r="K227" i="4"/>
  <c r="J227" i="4"/>
  <c r="J240" i="4" s="1"/>
  <c r="I227" i="4"/>
  <c r="I182" i="4"/>
  <c r="J182" i="4" s="1"/>
  <c r="K182" i="4" s="1"/>
  <c r="I183" i="4"/>
  <c r="J183" i="4" s="1"/>
  <c r="K183" i="4" s="1"/>
  <c r="I184" i="4"/>
  <c r="J184" i="4" s="1"/>
  <c r="K184" i="4" s="1"/>
  <c r="I185" i="4"/>
  <c r="J185" i="4" s="1"/>
  <c r="K185" i="4" s="1"/>
  <c r="I186" i="4"/>
  <c r="J186" i="4" s="1"/>
  <c r="K186" i="4" s="1"/>
  <c r="I187" i="4"/>
  <c r="J187" i="4" s="1"/>
  <c r="K187" i="4" s="1"/>
  <c r="I188" i="4"/>
  <c r="J188" i="4"/>
  <c r="K188" i="4" s="1"/>
  <c r="I189" i="4"/>
  <c r="J189" i="4"/>
  <c r="K189" i="4" s="1"/>
  <c r="I190" i="4"/>
  <c r="J190" i="4" s="1"/>
  <c r="K190" i="4" s="1"/>
  <c r="I191" i="4"/>
  <c r="J191" i="4" s="1"/>
  <c r="K191" i="4" s="1"/>
  <c r="I192" i="4"/>
  <c r="J192" i="4" s="1"/>
  <c r="K192" i="4" s="1"/>
  <c r="I193" i="4"/>
  <c r="J193" i="4" s="1"/>
  <c r="K193" i="4" s="1"/>
  <c r="I194" i="4"/>
  <c r="J194" i="4" s="1"/>
  <c r="K194" i="4" s="1"/>
  <c r="I195" i="4"/>
  <c r="J195" i="4" s="1"/>
  <c r="K195" i="4" s="1"/>
  <c r="I196" i="4"/>
  <c r="J196" i="4"/>
  <c r="K196" i="4" s="1"/>
  <c r="I197" i="4"/>
  <c r="J197" i="4"/>
  <c r="K197" i="4" s="1"/>
  <c r="I198" i="4"/>
  <c r="J198" i="4" s="1"/>
  <c r="K198" i="4" s="1"/>
  <c r="I199" i="4"/>
  <c r="J199" i="4" s="1"/>
  <c r="K199" i="4" s="1"/>
  <c r="I201" i="4"/>
  <c r="J201" i="4"/>
  <c r="K201" i="4" s="1"/>
  <c r="I202" i="4"/>
  <c r="I203" i="4"/>
  <c r="I204" i="4"/>
  <c r="J204" i="4" s="1"/>
  <c r="I205" i="4"/>
  <c r="J205" i="4" s="1"/>
  <c r="J89" i="4"/>
  <c r="K89" i="4" s="1"/>
  <c r="J90" i="4"/>
  <c r="K90" i="4" s="1"/>
  <c r="J91" i="4"/>
  <c r="K91" i="4" s="1"/>
  <c r="J92" i="4"/>
  <c r="K92" i="4"/>
  <c r="J93" i="4"/>
  <c r="K93" i="4" s="1"/>
  <c r="J94" i="4"/>
  <c r="K94" i="4" s="1"/>
  <c r="J95" i="4"/>
  <c r="J96" i="4"/>
  <c r="K96" i="4"/>
  <c r="J97" i="4"/>
  <c r="K97" i="4" s="1"/>
  <c r="J98" i="4"/>
  <c r="K98" i="4" s="1"/>
  <c r="J99" i="4"/>
  <c r="K99" i="4" s="1"/>
  <c r="J100" i="4"/>
  <c r="K100" i="4"/>
  <c r="J101" i="4"/>
  <c r="K101" i="4" s="1"/>
  <c r="J102" i="4"/>
  <c r="K102" i="4" s="1"/>
  <c r="J103" i="4"/>
  <c r="K103" i="4" s="1"/>
  <c r="J104" i="4"/>
  <c r="K104" i="4"/>
  <c r="J105" i="4"/>
  <c r="K105" i="4" s="1"/>
  <c r="J106" i="4"/>
  <c r="K106" i="4" s="1"/>
  <c r="J107" i="4"/>
  <c r="K107" i="4" s="1"/>
  <c r="J108" i="4"/>
  <c r="K108" i="4"/>
  <c r="J109" i="4"/>
  <c r="K109" i="4" s="1"/>
  <c r="J110" i="4"/>
  <c r="K110" i="4" s="1"/>
  <c r="J111" i="4"/>
  <c r="K111" i="4" s="1"/>
  <c r="J112" i="4"/>
  <c r="K112" i="4"/>
  <c r="J113" i="4"/>
  <c r="K113" i="4" s="1"/>
  <c r="J114" i="4"/>
  <c r="K114" i="4" s="1"/>
  <c r="J115" i="4"/>
  <c r="K115" i="4" s="1"/>
  <c r="J116" i="4"/>
  <c r="K116" i="4"/>
  <c r="J117" i="4"/>
  <c r="K117" i="4" s="1"/>
  <c r="J118" i="4"/>
  <c r="K118" i="4" s="1"/>
  <c r="J119" i="4"/>
  <c r="K119" i="4" s="1"/>
  <c r="J120" i="4"/>
  <c r="K120" i="4"/>
  <c r="J121" i="4"/>
  <c r="K121" i="4" s="1"/>
  <c r="J122" i="4"/>
  <c r="K122" i="4" s="1"/>
  <c r="J123" i="4"/>
  <c r="K123" i="4" s="1"/>
  <c r="J124" i="4"/>
  <c r="K124" i="4"/>
  <c r="J126" i="4"/>
  <c r="K126" i="4" s="1"/>
  <c r="J127" i="4"/>
  <c r="K127" i="4" s="1"/>
  <c r="J128" i="4"/>
  <c r="K128" i="4"/>
  <c r="J129" i="4"/>
  <c r="K129" i="4" s="1"/>
  <c r="J130" i="4"/>
  <c r="K130" i="4" s="1"/>
  <c r="J131" i="4"/>
  <c r="K131" i="4" s="1"/>
  <c r="J132" i="4"/>
  <c r="K132" i="4"/>
  <c r="J133" i="4"/>
  <c r="K133" i="4" s="1"/>
  <c r="J134" i="4"/>
  <c r="K134" i="4" s="1"/>
  <c r="J135" i="4"/>
  <c r="K135" i="4" s="1"/>
  <c r="J136" i="4"/>
  <c r="K136" i="4"/>
  <c r="J137" i="4"/>
  <c r="K137" i="4" s="1"/>
  <c r="J73" i="4"/>
  <c r="K73" i="4" s="1"/>
  <c r="J74" i="4"/>
  <c r="K74" i="4" s="1"/>
  <c r="J75" i="4"/>
  <c r="K75" i="4" s="1"/>
  <c r="J76" i="4"/>
  <c r="K76" i="4" s="1"/>
  <c r="J77" i="4"/>
  <c r="K77" i="4" s="1"/>
  <c r="J78" i="4"/>
  <c r="K78" i="4" s="1"/>
  <c r="J79" i="4"/>
  <c r="K79" i="4" s="1"/>
  <c r="J80" i="4"/>
  <c r="K80" i="4" s="1"/>
  <c r="J81" i="4"/>
  <c r="K81" i="4" s="1"/>
  <c r="J82" i="4"/>
  <c r="K82" i="4" s="1"/>
  <c r="J83" i="4"/>
  <c r="K83" i="4" s="1"/>
  <c r="J84" i="4"/>
  <c r="K84" i="4" s="1"/>
  <c r="J85" i="4"/>
  <c r="K85" i="4" s="1"/>
  <c r="J86" i="4"/>
  <c r="K86" i="4" s="1"/>
  <c r="J87" i="4"/>
  <c r="K87" i="4" s="1"/>
  <c r="K88" i="4"/>
  <c r="I125" i="4"/>
  <c r="I125" i="42" s="1"/>
  <c r="J88" i="4"/>
  <c r="I88" i="4"/>
  <c r="I153" i="8"/>
  <c r="I153" i="42" s="1"/>
  <c r="I91" i="8"/>
  <c r="I91" i="42" s="1"/>
  <c r="I90" i="8"/>
  <c r="I90" i="42" s="1"/>
  <c r="I88" i="8"/>
  <c r="I100" i="8"/>
  <c r="I100" i="42" s="1"/>
  <c r="I84" i="8"/>
  <c r="I84" i="42" s="1"/>
  <c r="I129" i="8"/>
  <c r="I129" i="42" s="1"/>
  <c r="I256" i="9"/>
  <c r="J256" i="9"/>
  <c r="K256" i="9"/>
  <c r="I260" i="9"/>
  <c r="J260" i="9"/>
  <c r="K260" i="9"/>
  <c r="J173" i="9"/>
  <c r="K173" i="9" s="1"/>
  <c r="I172" i="9"/>
  <c r="J31" i="9"/>
  <c r="I32" i="9"/>
  <c r="I161" i="9" s="1"/>
  <c r="I165" i="9" s="1"/>
  <c r="J172" i="9" l="1"/>
  <c r="I172" i="42"/>
  <c r="I252" i="9"/>
  <c r="I257" i="9" s="1"/>
  <c r="I261" i="9" s="1"/>
  <c r="I174" i="9"/>
  <c r="K204" i="4"/>
  <c r="K205" i="4"/>
  <c r="K227" i="23"/>
  <c r="K240" i="23" s="1"/>
  <c r="J240" i="23"/>
  <c r="J148" i="15"/>
  <c r="K41" i="12"/>
  <c r="I177" i="42"/>
  <c r="K31" i="9"/>
  <c r="J125" i="4"/>
  <c r="K125" i="4" s="1"/>
  <c r="I148" i="4"/>
  <c r="J203" i="4"/>
  <c r="J177" i="12"/>
  <c r="J59" i="16"/>
  <c r="I253" i="16"/>
  <c r="I257" i="16"/>
  <c r="I261" i="16" s="1"/>
  <c r="L211" i="21"/>
  <c r="K212" i="21"/>
  <c r="K95" i="4"/>
  <c r="J202" i="4"/>
  <c r="K209" i="16"/>
  <c r="K212" i="16" s="1"/>
  <c r="K252" i="16" s="1"/>
  <c r="J212" i="16"/>
  <c r="J252" i="16" s="1"/>
  <c r="K31" i="8"/>
  <c r="K32" i="8" s="1"/>
  <c r="J32" i="8"/>
  <c r="K59" i="16"/>
  <c r="K248" i="12"/>
  <c r="K212" i="12"/>
  <c r="K240" i="12"/>
  <c r="K221" i="12"/>
  <c r="K259" i="12"/>
  <c r="K260" i="12" s="1"/>
  <c r="I240" i="12"/>
  <c r="I212" i="12"/>
  <c r="I225" i="12"/>
  <c r="I248" i="12"/>
  <c r="I221" i="12"/>
  <c r="I216" i="12"/>
  <c r="J148" i="12"/>
  <c r="K148" i="12"/>
  <c r="K59" i="12"/>
  <c r="I262" i="9"/>
  <c r="K253" i="16" l="1"/>
  <c r="K257" i="16"/>
  <c r="K261" i="16" s="1"/>
  <c r="K177" i="12"/>
  <c r="K203" i="4"/>
  <c r="K31" i="42"/>
  <c r="J257" i="16"/>
  <c r="J261" i="16" s="1"/>
  <c r="J253" i="16"/>
  <c r="K202" i="4"/>
  <c r="J252" i="9"/>
  <c r="J257" i="9" s="1"/>
  <c r="J261" i="9" s="1"/>
  <c r="K172" i="9"/>
  <c r="K174" i="9" s="1"/>
  <c r="K252" i="9" s="1"/>
  <c r="K257" i="9" s="1"/>
  <c r="K261" i="9" s="1"/>
  <c r="J174" i="9"/>
  <c r="J94" i="24"/>
  <c r="K94" i="24" s="1"/>
  <c r="J92" i="24"/>
  <c r="K92" i="24" s="1"/>
  <c r="I88" i="24"/>
  <c r="I88" i="42" s="1"/>
  <c r="J77" i="24"/>
  <c r="K77" i="24" s="1"/>
  <c r="I77" i="24"/>
  <c r="H156" i="23"/>
  <c r="I156" i="23"/>
  <c r="J156" i="23"/>
  <c r="K156" i="23"/>
  <c r="I148" i="23"/>
  <c r="J79" i="23"/>
  <c r="K79" i="23" s="1"/>
  <c r="J98" i="23"/>
  <c r="K78" i="24"/>
  <c r="J78" i="24"/>
  <c r="J139" i="24"/>
  <c r="K139" i="24" s="1"/>
  <c r="J140" i="24"/>
  <c r="K140" i="24" s="1"/>
  <c r="J141" i="24"/>
  <c r="K141" i="24" s="1"/>
  <c r="J142" i="24"/>
  <c r="K142" i="24" s="1"/>
  <c r="J143" i="24"/>
  <c r="K143" i="24" s="1"/>
  <c r="J144" i="24"/>
  <c r="K144" i="24" s="1"/>
  <c r="K138" i="24"/>
  <c r="J138" i="24"/>
  <c r="I201" i="22"/>
  <c r="J201" i="22"/>
  <c r="I202" i="22"/>
  <c r="J202" i="22"/>
  <c r="I203" i="22"/>
  <c r="I204" i="22"/>
  <c r="I205" i="22"/>
  <c r="I181" i="22"/>
  <c r="J181" i="22" s="1"/>
  <c r="K181" i="22" s="1"/>
  <c r="K143" i="22"/>
  <c r="J143" i="22"/>
  <c r="J77" i="22"/>
  <c r="K77" i="22" s="1"/>
  <c r="I77" i="22"/>
  <c r="I156" i="22"/>
  <c r="J156" i="22"/>
  <c r="K156" i="22"/>
  <c r="I160" i="22"/>
  <c r="J160" i="22"/>
  <c r="K160" i="22"/>
  <c r="I66" i="22"/>
  <c r="J66" i="22"/>
  <c r="K66" i="22"/>
  <c r="I59" i="22"/>
  <c r="J59" i="22"/>
  <c r="K59" i="22"/>
  <c r="D164" i="51"/>
  <c r="D165" i="51" s="1"/>
  <c r="D169" i="51" s="1"/>
  <c r="E164" i="51"/>
  <c r="F164" i="51"/>
  <c r="G164" i="51"/>
  <c r="H164" i="51"/>
  <c r="J164" i="51"/>
  <c r="K164" i="51"/>
  <c r="I164" i="51"/>
  <c r="I113" i="51"/>
  <c r="J72" i="51"/>
  <c r="K72" i="51" s="1"/>
  <c r="I148" i="22"/>
  <c r="I208" i="22"/>
  <c r="K208" i="22" s="1"/>
  <c r="I209" i="22"/>
  <c r="K209" i="22" s="1"/>
  <c r="I210" i="22"/>
  <c r="K210" i="22" s="1"/>
  <c r="I211" i="22"/>
  <c r="K211" i="22" s="1"/>
  <c r="I214" i="22"/>
  <c r="K214" i="22" s="1"/>
  <c r="I215" i="22"/>
  <c r="K215" i="22" s="1"/>
  <c r="I218" i="22"/>
  <c r="K218" i="22" s="1"/>
  <c r="I219" i="22"/>
  <c r="K219" i="22" s="1"/>
  <c r="I220" i="22"/>
  <c r="K220" i="22" s="1"/>
  <c r="I223" i="22"/>
  <c r="K223" i="22" s="1"/>
  <c r="K225" i="22" s="1"/>
  <c r="I224" i="22"/>
  <c r="K224" i="22" s="1"/>
  <c r="I228" i="22"/>
  <c r="K228" i="22" s="1"/>
  <c r="I229" i="22"/>
  <c r="K229" i="22" s="1"/>
  <c r="I230" i="22"/>
  <c r="K230" i="22" s="1"/>
  <c r="I231" i="22"/>
  <c r="K231" i="22" s="1"/>
  <c r="I232" i="22"/>
  <c r="K232" i="22" s="1"/>
  <c r="I233" i="22"/>
  <c r="K233" i="22" s="1"/>
  <c r="I234" i="22"/>
  <c r="K234" i="22" s="1"/>
  <c r="I235" i="22"/>
  <c r="K235" i="22" s="1"/>
  <c r="I236" i="22"/>
  <c r="K236" i="22" s="1"/>
  <c r="I237" i="22"/>
  <c r="K237" i="22" s="1"/>
  <c r="I238" i="22"/>
  <c r="K238" i="22" s="1"/>
  <c r="I239" i="22"/>
  <c r="K239" i="22"/>
  <c r="I242" i="22"/>
  <c r="K242" i="22" s="1"/>
  <c r="I243" i="22"/>
  <c r="K243" i="22" s="1"/>
  <c r="I244" i="22"/>
  <c r="K244" i="22"/>
  <c r="I245" i="22"/>
  <c r="K245" i="22" s="1"/>
  <c r="I246" i="22"/>
  <c r="K246" i="22" s="1"/>
  <c r="I247" i="22"/>
  <c r="K247" i="22" s="1"/>
  <c r="I250" i="22"/>
  <c r="K250" i="22" s="1"/>
  <c r="K251" i="22" s="1"/>
  <c r="I255" i="22"/>
  <c r="K255" i="22" s="1"/>
  <c r="K256" i="22" s="1"/>
  <c r="I256" i="22"/>
  <c r="I259" i="22"/>
  <c r="I260" i="22" s="1"/>
  <c r="F148" i="51"/>
  <c r="F161" i="51" s="1"/>
  <c r="G148" i="51"/>
  <c r="G165" i="51" s="1"/>
  <c r="J88" i="51"/>
  <c r="K88" i="51" s="1"/>
  <c r="J89" i="51"/>
  <c r="K89" i="51" s="1"/>
  <c r="J90" i="51"/>
  <c r="K90" i="51" s="1"/>
  <c r="J91" i="51"/>
  <c r="K91" i="51" s="1"/>
  <c r="J92" i="51"/>
  <c r="K92" i="51" s="1"/>
  <c r="J94" i="51"/>
  <c r="K94" i="51" s="1"/>
  <c r="J95" i="51"/>
  <c r="K95" i="51" s="1"/>
  <c r="J96" i="51"/>
  <c r="K96" i="51" s="1"/>
  <c r="J97" i="51"/>
  <c r="K97" i="51" s="1"/>
  <c r="J98" i="51"/>
  <c r="K98" i="51" s="1"/>
  <c r="J99" i="51"/>
  <c r="K99" i="51" s="1"/>
  <c r="J100" i="51"/>
  <c r="K100" i="51" s="1"/>
  <c r="J101" i="51"/>
  <c r="K101" i="51" s="1"/>
  <c r="J102" i="51"/>
  <c r="K102" i="51" s="1"/>
  <c r="J103" i="51"/>
  <c r="K103" i="51" s="1"/>
  <c r="J104" i="51"/>
  <c r="K104" i="51" s="1"/>
  <c r="J105" i="51"/>
  <c r="K105" i="51" s="1"/>
  <c r="J106" i="51"/>
  <c r="K106" i="51" s="1"/>
  <c r="J107" i="51"/>
  <c r="K107" i="51" s="1"/>
  <c r="J108" i="51"/>
  <c r="K108" i="51" s="1"/>
  <c r="J109" i="51"/>
  <c r="K109" i="51" s="1"/>
  <c r="J111" i="51"/>
  <c r="K111" i="51" s="1"/>
  <c r="J112" i="51"/>
  <c r="K112" i="51" s="1"/>
  <c r="J114" i="51"/>
  <c r="K114" i="51" s="1"/>
  <c r="J115" i="51"/>
  <c r="K115" i="51" s="1"/>
  <c r="J116" i="51"/>
  <c r="K116" i="51" s="1"/>
  <c r="J117" i="51"/>
  <c r="K117" i="51" s="1"/>
  <c r="J118" i="51"/>
  <c r="K118" i="51" s="1"/>
  <c r="J119" i="51"/>
  <c r="K119" i="51" s="1"/>
  <c r="J121" i="51"/>
  <c r="K121" i="51" s="1"/>
  <c r="J122" i="51"/>
  <c r="K122" i="51" s="1"/>
  <c r="J123" i="51"/>
  <c r="K123" i="51" s="1"/>
  <c r="J124" i="51"/>
  <c r="K124" i="51" s="1"/>
  <c r="J125" i="51"/>
  <c r="K125" i="51" s="1"/>
  <c r="J126" i="51"/>
  <c r="K126" i="51" s="1"/>
  <c r="J127" i="51"/>
  <c r="K127" i="51" s="1"/>
  <c r="J128" i="51"/>
  <c r="K128" i="51" s="1"/>
  <c r="J129" i="51"/>
  <c r="K129" i="51" s="1"/>
  <c r="J130" i="51"/>
  <c r="K130" i="51" s="1"/>
  <c r="J132" i="51"/>
  <c r="K132" i="51" s="1"/>
  <c r="J133" i="51"/>
  <c r="K133" i="51" s="1"/>
  <c r="J134" i="51"/>
  <c r="K134" i="51" s="1"/>
  <c r="J135" i="51"/>
  <c r="K135" i="51" s="1"/>
  <c r="J136" i="51"/>
  <c r="K136" i="51" s="1"/>
  <c r="J137" i="51"/>
  <c r="K137" i="51" s="1"/>
  <c r="J138" i="51"/>
  <c r="K138" i="51" s="1"/>
  <c r="J139" i="51"/>
  <c r="K139" i="51" s="1"/>
  <c r="J140" i="51"/>
  <c r="K140" i="51" s="1"/>
  <c r="J141" i="51"/>
  <c r="K141" i="51" s="1"/>
  <c r="J142" i="51"/>
  <c r="K142" i="51" s="1"/>
  <c r="J143" i="51"/>
  <c r="K143" i="51" s="1"/>
  <c r="J144" i="51"/>
  <c r="K144" i="51" s="1"/>
  <c r="J145" i="51"/>
  <c r="K145" i="51" s="1"/>
  <c r="J146" i="51"/>
  <c r="K146" i="51" s="1"/>
  <c r="J147" i="51"/>
  <c r="K147" i="51" s="1"/>
  <c r="J87" i="51"/>
  <c r="K87" i="51" s="1"/>
  <c r="G261" i="51"/>
  <c r="D261" i="51"/>
  <c r="E260" i="51"/>
  <c r="F259" i="51"/>
  <c r="F260" i="51" s="1"/>
  <c r="F261" i="51" s="1"/>
  <c r="E256" i="51"/>
  <c r="E257" i="51" s="1"/>
  <c r="E251" i="51"/>
  <c r="E248" i="51"/>
  <c r="E240" i="51"/>
  <c r="F225" i="51"/>
  <c r="E225" i="51"/>
  <c r="H224" i="51"/>
  <c r="H225" i="51" s="1"/>
  <c r="E221" i="51"/>
  <c r="E216" i="51"/>
  <c r="E212" i="51"/>
  <c r="E206" i="51"/>
  <c r="E174" i="51"/>
  <c r="E160" i="51"/>
  <c r="H159" i="51"/>
  <c r="H158" i="51"/>
  <c r="E156" i="51"/>
  <c r="H154" i="51"/>
  <c r="H153" i="51"/>
  <c r="E151" i="51"/>
  <c r="H150" i="51"/>
  <c r="H151" i="51" s="1"/>
  <c r="E148" i="51"/>
  <c r="H147" i="51"/>
  <c r="H146" i="51"/>
  <c r="H145" i="51"/>
  <c r="H144" i="51"/>
  <c r="H143" i="51"/>
  <c r="H142" i="51"/>
  <c r="H141" i="51"/>
  <c r="H140" i="51"/>
  <c r="H139" i="51"/>
  <c r="H138" i="51"/>
  <c r="H137" i="51"/>
  <c r="H136" i="51"/>
  <c r="H135" i="51"/>
  <c r="H134" i="51"/>
  <c r="H133" i="51"/>
  <c r="H132" i="51"/>
  <c r="H131" i="51"/>
  <c r="H130" i="51"/>
  <c r="H129" i="51"/>
  <c r="H128" i="51"/>
  <c r="H127" i="51"/>
  <c r="H126" i="51"/>
  <c r="H125" i="51"/>
  <c r="E70" i="51"/>
  <c r="H69" i="51"/>
  <c r="H68" i="51"/>
  <c r="E66" i="51"/>
  <c r="H65" i="51"/>
  <c r="H66" i="51" s="1"/>
  <c r="E63" i="51"/>
  <c r="H62" i="51"/>
  <c r="H63" i="51" s="1"/>
  <c r="E38" i="51"/>
  <c r="E35" i="51"/>
  <c r="E32" i="51"/>
  <c r="K25" i="51"/>
  <c r="J25" i="51"/>
  <c r="K18" i="51"/>
  <c r="J18" i="51"/>
  <c r="J113" i="51" l="1"/>
  <c r="K113" i="51" s="1"/>
  <c r="I113" i="42"/>
  <c r="J204" i="22"/>
  <c r="K202" i="22"/>
  <c r="K201" i="22"/>
  <c r="J205" i="22"/>
  <c r="J203" i="22"/>
  <c r="J148" i="23"/>
  <c r="I77" i="42"/>
  <c r="J88" i="24"/>
  <c r="K88" i="24" s="1"/>
  <c r="H148" i="51"/>
  <c r="E165" i="51"/>
  <c r="F165" i="51"/>
  <c r="F262" i="51" s="1"/>
  <c r="H160" i="51"/>
  <c r="K216" i="22"/>
  <c r="K212" i="22"/>
  <c r="I251" i="22"/>
  <c r="K98" i="23"/>
  <c r="K148" i="23" s="1"/>
  <c r="K148" i="22"/>
  <c r="J148" i="22"/>
  <c r="I148" i="51"/>
  <c r="I165" i="51" s="1"/>
  <c r="H70" i="51"/>
  <c r="H156" i="51"/>
  <c r="E161" i="51"/>
  <c r="K148" i="51"/>
  <c r="K165" i="51" s="1"/>
  <c r="J148" i="51"/>
  <c r="J165" i="51" s="1"/>
  <c r="E261" i="51"/>
  <c r="K248" i="22"/>
  <c r="K240" i="22"/>
  <c r="K221" i="22"/>
  <c r="K259" i="22"/>
  <c r="K260" i="22" s="1"/>
  <c r="I240" i="22"/>
  <c r="I212" i="22"/>
  <c r="I225" i="22"/>
  <c r="I248" i="22"/>
  <c r="I221" i="22"/>
  <c r="I216" i="22"/>
  <c r="G262" i="51"/>
  <c r="D262" i="51"/>
  <c r="H259" i="51"/>
  <c r="K205" i="22" l="1"/>
  <c r="K203" i="22"/>
  <c r="K204" i="22"/>
  <c r="E262" i="51"/>
  <c r="H165" i="51"/>
  <c r="H161" i="51"/>
  <c r="H260" i="51"/>
  <c r="H261" i="51" s="1"/>
  <c r="J259" i="51"/>
  <c r="H262" i="51" l="1"/>
  <c r="J260" i="51"/>
  <c r="K259" i="51"/>
  <c r="K260" i="51" s="1"/>
  <c r="I160" i="21" l="1"/>
  <c r="J160" i="21"/>
  <c r="K160" i="21"/>
  <c r="J73" i="21"/>
  <c r="J74" i="21"/>
  <c r="J75" i="21"/>
  <c r="J76" i="21"/>
  <c r="J77" i="21"/>
  <c r="J78" i="21"/>
  <c r="J79" i="21"/>
  <c r="J80" i="21"/>
  <c r="J81" i="21"/>
  <c r="J82" i="21"/>
  <c r="J83" i="21"/>
  <c r="K83" i="21"/>
  <c r="J84" i="21"/>
  <c r="J85" i="21"/>
  <c r="K85" i="21"/>
  <c r="J86" i="21"/>
  <c r="J87" i="21"/>
  <c r="J88" i="21"/>
  <c r="J89" i="21"/>
  <c r="K89" i="21"/>
  <c r="J90" i="21"/>
  <c r="J91" i="21"/>
  <c r="K91" i="21"/>
  <c r="J92" i="21"/>
  <c r="J93" i="21"/>
  <c r="J94" i="21"/>
  <c r="J97" i="21"/>
  <c r="J98" i="21"/>
  <c r="J99" i="21"/>
  <c r="K99" i="21"/>
  <c r="J100" i="21"/>
  <c r="J101" i="21"/>
  <c r="J102" i="21"/>
  <c r="J103" i="21"/>
  <c r="K103" i="21" s="1"/>
  <c r="J104" i="21"/>
  <c r="J105" i="21"/>
  <c r="J106" i="21"/>
  <c r="J107" i="21"/>
  <c r="K107" i="21"/>
  <c r="J108" i="21"/>
  <c r="J109" i="21"/>
  <c r="J110" i="21"/>
  <c r="J111" i="21"/>
  <c r="J112" i="21"/>
  <c r="J113" i="21"/>
  <c r="J114" i="21"/>
  <c r="J115" i="21"/>
  <c r="K115" i="21"/>
  <c r="J116" i="21"/>
  <c r="J117" i="21"/>
  <c r="J118" i="21"/>
  <c r="J119" i="21"/>
  <c r="K119" i="21" s="1"/>
  <c r="J120" i="21"/>
  <c r="J121" i="21"/>
  <c r="J122" i="21"/>
  <c r="J123" i="21"/>
  <c r="J124" i="21"/>
  <c r="J125" i="21"/>
  <c r="K125" i="21"/>
  <c r="J126" i="21"/>
  <c r="J127" i="21"/>
  <c r="J128" i="21"/>
  <c r="J129" i="21"/>
  <c r="J130" i="21"/>
  <c r="J131" i="21"/>
  <c r="J132" i="21"/>
  <c r="J133" i="21"/>
  <c r="K133" i="21" s="1"/>
  <c r="J134" i="21"/>
  <c r="J135" i="21"/>
  <c r="J136" i="21"/>
  <c r="J137" i="21"/>
  <c r="J138" i="21"/>
  <c r="J139" i="21"/>
  <c r="K139" i="21"/>
  <c r="J140" i="21"/>
  <c r="J141" i="21"/>
  <c r="J142" i="21"/>
  <c r="J143" i="21"/>
  <c r="K143" i="21" s="1"/>
  <c r="J144" i="21"/>
  <c r="J145" i="21"/>
  <c r="J146" i="21"/>
  <c r="J147" i="21"/>
  <c r="K147" i="21"/>
  <c r="J72" i="21"/>
  <c r="K72" i="21" s="1"/>
  <c r="I148" i="21"/>
  <c r="L148" i="21"/>
  <c r="J42" i="21"/>
  <c r="J43" i="21"/>
  <c r="J44" i="21"/>
  <c r="J45" i="21"/>
  <c r="J46" i="21"/>
  <c r="J47" i="21"/>
  <c r="J48" i="21"/>
  <c r="I59" i="21"/>
  <c r="K45" i="21" l="1"/>
  <c r="K111" i="21"/>
  <c r="K81" i="21"/>
  <c r="K106" i="21"/>
  <c r="K78" i="21"/>
  <c r="K47" i="21"/>
  <c r="K145" i="21"/>
  <c r="K140" i="21"/>
  <c r="K137" i="21"/>
  <c r="K134" i="21"/>
  <c r="K131" i="21"/>
  <c r="K128" i="21"/>
  <c r="K121" i="21"/>
  <c r="K116" i="21"/>
  <c r="K113" i="21"/>
  <c r="K108" i="21"/>
  <c r="K105" i="21"/>
  <c r="K100" i="21"/>
  <c r="K97" i="21"/>
  <c r="K92" i="21"/>
  <c r="K74" i="21"/>
  <c r="K48" i="21"/>
  <c r="K138" i="21"/>
  <c r="K132" i="21"/>
  <c r="K129" i="21"/>
  <c r="K98" i="21"/>
  <c r="K90" i="21"/>
  <c r="K136" i="21"/>
  <c r="K127" i="21"/>
  <c r="K124" i="21"/>
  <c r="K118" i="21"/>
  <c r="K110" i="21"/>
  <c r="K102" i="21"/>
  <c r="K80" i="21"/>
  <c r="K76" i="21"/>
  <c r="K73" i="21"/>
  <c r="K146" i="21"/>
  <c r="K114" i="21"/>
  <c r="K44" i="21"/>
  <c r="K142" i="21"/>
  <c r="K46" i="21"/>
  <c r="K43" i="21"/>
  <c r="K141" i="21"/>
  <c r="K135" i="21"/>
  <c r="K130" i="21"/>
  <c r="K126" i="21"/>
  <c r="K123" i="21"/>
  <c r="K120" i="21"/>
  <c r="K117" i="21"/>
  <c r="K112" i="21"/>
  <c r="K109" i="21"/>
  <c r="K104" i="21"/>
  <c r="K101" i="21"/>
  <c r="K94" i="21"/>
  <c r="K82" i="21"/>
  <c r="K75" i="21"/>
  <c r="K77" i="21"/>
  <c r="K86" i="21"/>
  <c r="K84" i="21"/>
  <c r="K122" i="21"/>
  <c r="K79" i="21"/>
  <c r="K93" i="21"/>
  <c r="K42" i="21"/>
  <c r="K59" i="21" s="1"/>
  <c r="K87" i="21"/>
  <c r="K88" i="21"/>
  <c r="K144" i="21"/>
  <c r="J59" i="21"/>
  <c r="J148" i="21"/>
  <c r="I16" i="15"/>
  <c r="J16" i="15" s="1"/>
  <c r="K16" i="15" s="1"/>
  <c r="I20" i="18"/>
  <c r="J20" i="18" s="1"/>
  <c r="I17" i="18"/>
  <c r="J17" i="18" s="1"/>
  <c r="K17" i="18" s="1"/>
  <c r="I21" i="16"/>
  <c r="J21" i="16"/>
  <c r="K21" i="16" s="1"/>
  <c r="I22" i="16"/>
  <c r="J22" i="16" s="1"/>
  <c r="K22" i="16" s="1"/>
  <c r="I23" i="16"/>
  <c r="I24" i="16"/>
  <c r="J24" i="16" s="1"/>
  <c r="K24" i="16" s="1"/>
  <c r="J20" i="16"/>
  <c r="I20" i="16"/>
  <c r="I13" i="16"/>
  <c r="J13" i="16" s="1"/>
  <c r="K13" i="16" s="1"/>
  <c r="I14" i="16"/>
  <c r="J14" i="16" s="1"/>
  <c r="K14" i="16" s="1"/>
  <c r="I15" i="16"/>
  <c r="J15" i="16"/>
  <c r="K15" i="16" s="1"/>
  <c r="I16" i="16"/>
  <c r="J16" i="16"/>
  <c r="K16" i="16" s="1"/>
  <c r="I17" i="16"/>
  <c r="J17" i="16" s="1"/>
  <c r="K17" i="16" s="1"/>
  <c r="J12" i="16"/>
  <c r="K12" i="16" s="1"/>
  <c r="I12" i="16"/>
  <c r="H25" i="14"/>
  <c r="I21" i="14"/>
  <c r="J21" i="14" s="1"/>
  <c r="I22" i="14"/>
  <c r="J22" i="14" s="1"/>
  <c r="I23" i="14"/>
  <c r="J23" i="14" s="1"/>
  <c r="I24" i="14"/>
  <c r="J24" i="14" s="1"/>
  <c r="I20" i="14"/>
  <c r="H18" i="14"/>
  <c r="I11" i="14"/>
  <c r="J11" i="14" s="1"/>
  <c r="I12" i="14"/>
  <c r="J12" i="14" s="1"/>
  <c r="I13" i="14"/>
  <c r="J13" i="14" s="1"/>
  <c r="I14" i="14"/>
  <c r="J14" i="14" s="1"/>
  <c r="I15" i="14"/>
  <c r="J15" i="14" s="1"/>
  <c r="I16" i="14"/>
  <c r="J16" i="14" s="1"/>
  <c r="I17" i="14"/>
  <c r="J17" i="14" s="1"/>
  <c r="I10" i="14"/>
  <c r="L18" i="11"/>
  <c r="I24" i="8"/>
  <c r="L25" i="21"/>
  <c r="I260" i="24"/>
  <c r="J260" i="24"/>
  <c r="K260" i="24"/>
  <c r="I208" i="24"/>
  <c r="I209" i="24"/>
  <c r="I210" i="24"/>
  <c r="I211" i="24"/>
  <c r="K211" i="24" s="1"/>
  <c r="I214" i="24"/>
  <c r="K214" i="24" s="1"/>
  <c r="I215" i="24"/>
  <c r="I218" i="24"/>
  <c r="I219" i="24"/>
  <c r="I220" i="24"/>
  <c r="I223" i="24"/>
  <c r="I224" i="24"/>
  <c r="I228" i="24"/>
  <c r="K228" i="24"/>
  <c r="I229" i="24"/>
  <c r="K229" i="24"/>
  <c r="I230" i="24"/>
  <c r="I231" i="24"/>
  <c r="I232" i="24"/>
  <c r="I233" i="24"/>
  <c r="I234" i="24"/>
  <c r="I235" i="24"/>
  <c r="I236" i="24"/>
  <c r="K236" i="24"/>
  <c r="I237" i="24"/>
  <c r="K237" i="24"/>
  <c r="I238" i="24"/>
  <c r="I239" i="24"/>
  <c r="I242" i="24"/>
  <c r="I243" i="24"/>
  <c r="I244" i="24"/>
  <c r="I245" i="24"/>
  <c r="I246" i="24"/>
  <c r="K246" i="24"/>
  <c r="I247" i="24"/>
  <c r="I250" i="24"/>
  <c r="K250" i="24" s="1"/>
  <c r="I151" i="24"/>
  <c r="J151" i="24"/>
  <c r="K151" i="24"/>
  <c r="I156" i="24"/>
  <c r="J156" i="24"/>
  <c r="K156" i="24"/>
  <c r="I160" i="24"/>
  <c r="J160" i="24"/>
  <c r="K160" i="24"/>
  <c r="I260" i="4"/>
  <c r="I240" i="4"/>
  <c r="I211" i="11"/>
  <c r="I211" i="42" s="1"/>
  <c r="J211" i="11"/>
  <c r="K211" i="11"/>
  <c r="I212" i="11"/>
  <c r="I216" i="11"/>
  <c r="J216" i="11"/>
  <c r="K216" i="11"/>
  <c r="I221" i="11"/>
  <c r="J221" i="11"/>
  <c r="K221" i="11"/>
  <c r="I225" i="11"/>
  <c r="J225" i="11"/>
  <c r="K225" i="11"/>
  <c r="I204" i="11"/>
  <c r="J204" i="11"/>
  <c r="K204" i="11" s="1"/>
  <c r="I148" i="11"/>
  <c r="J148" i="11"/>
  <c r="J100" i="11"/>
  <c r="K100" i="11" s="1"/>
  <c r="J88" i="11"/>
  <c r="K88" i="11" s="1"/>
  <c r="J77" i="11"/>
  <c r="K77" i="11" s="1"/>
  <c r="J212" i="10"/>
  <c r="I216" i="10"/>
  <c r="J216" i="10"/>
  <c r="K216" i="10"/>
  <c r="I221" i="10"/>
  <c r="J221" i="10"/>
  <c r="K221" i="10"/>
  <c r="I225" i="10"/>
  <c r="J225" i="10"/>
  <c r="K225" i="10"/>
  <c r="I240" i="10"/>
  <c r="J240" i="10"/>
  <c r="K240" i="10"/>
  <c r="I248" i="10"/>
  <c r="J248" i="10"/>
  <c r="K248" i="10"/>
  <c r="I251" i="10"/>
  <c r="J251" i="10"/>
  <c r="K251" i="10"/>
  <c r="I256" i="10"/>
  <c r="J256" i="10"/>
  <c r="K256" i="10"/>
  <c r="I260" i="10"/>
  <c r="J260" i="10"/>
  <c r="K260" i="10"/>
  <c r="J208" i="10"/>
  <c r="K208" i="10" s="1"/>
  <c r="K212" i="10" s="1"/>
  <c r="I208" i="10"/>
  <c r="I212" i="10" s="1"/>
  <c r="J155" i="10"/>
  <c r="J154" i="10"/>
  <c r="J153" i="10"/>
  <c r="J73" i="10"/>
  <c r="K73" i="10" s="1"/>
  <c r="J74" i="10"/>
  <c r="K74" i="10" s="1"/>
  <c r="J75" i="10"/>
  <c r="K75" i="10" s="1"/>
  <c r="J76" i="10"/>
  <c r="K76" i="10"/>
  <c r="J77" i="10"/>
  <c r="K77" i="10" s="1"/>
  <c r="J78" i="10"/>
  <c r="J79" i="10"/>
  <c r="J80" i="10"/>
  <c r="K80" i="10"/>
  <c r="J81" i="10"/>
  <c r="J82" i="10"/>
  <c r="J83" i="10"/>
  <c r="J84" i="10"/>
  <c r="K84" i="10"/>
  <c r="J85" i="10"/>
  <c r="K85" i="10" s="1"/>
  <c r="J86" i="10"/>
  <c r="J87" i="10"/>
  <c r="J88" i="10"/>
  <c r="K88" i="10"/>
  <c r="J89" i="10"/>
  <c r="K89" i="10" s="1"/>
  <c r="J90" i="10"/>
  <c r="K90" i="10" s="1"/>
  <c r="J91" i="10"/>
  <c r="J92" i="10"/>
  <c r="K92" i="10"/>
  <c r="J93" i="10"/>
  <c r="J94" i="10"/>
  <c r="J95" i="10"/>
  <c r="J96" i="10"/>
  <c r="K96" i="10"/>
  <c r="J97" i="10"/>
  <c r="K97" i="10" s="1"/>
  <c r="J98" i="10"/>
  <c r="K98" i="10" s="1"/>
  <c r="J99" i="10"/>
  <c r="J100" i="10"/>
  <c r="K100" i="10"/>
  <c r="J101" i="10"/>
  <c r="J102" i="10"/>
  <c r="J103" i="10"/>
  <c r="J104" i="10"/>
  <c r="K104" i="10"/>
  <c r="J105" i="10"/>
  <c r="J106" i="10"/>
  <c r="K106" i="10" s="1"/>
  <c r="J107" i="10"/>
  <c r="J108" i="10"/>
  <c r="K108" i="10"/>
  <c r="J109" i="10"/>
  <c r="K109" i="10" s="1"/>
  <c r="J110" i="10"/>
  <c r="J111" i="10"/>
  <c r="J112" i="10"/>
  <c r="K112" i="10"/>
  <c r="J113" i="10"/>
  <c r="J114" i="10"/>
  <c r="K114" i="10" s="1"/>
  <c r="J115" i="10"/>
  <c r="J116" i="10"/>
  <c r="K116" i="10"/>
  <c r="J117" i="10"/>
  <c r="J118" i="10"/>
  <c r="J119" i="10"/>
  <c r="K119" i="10" s="1"/>
  <c r="J120" i="10"/>
  <c r="K120" i="10"/>
  <c r="J121" i="10"/>
  <c r="K121" i="10" s="1"/>
  <c r="J122" i="10"/>
  <c r="K122" i="10" s="1"/>
  <c r="J72" i="10"/>
  <c r="K72" i="10" s="1"/>
  <c r="J41" i="10"/>
  <c r="J42" i="10"/>
  <c r="K42" i="10" s="1"/>
  <c r="J43" i="10"/>
  <c r="J44" i="10"/>
  <c r="J45" i="10"/>
  <c r="J46" i="10"/>
  <c r="J47" i="10"/>
  <c r="J48" i="10"/>
  <c r="K48" i="10"/>
  <c r="J49" i="10"/>
  <c r="J50" i="10"/>
  <c r="K50" i="10" s="1"/>
  <c r="J51" i="10"/>
  <c r="K51" i="10" s="1"/>
  <c r="J52" i="10"/>
  <c r="K52" i="10"/>
  <c r="J53" i="10"/>
  <c r="K53" i="10" s="1"/>
  <c r="J54" i="10"/>
  <c r="K54" i="10" s="1"/>
  <c r="J55" i="10"/>
  <c r="K55" i="10" s="1"/>
  <c r="J56" i="10"/>
  <c r="K56" i="10"/>
  <c r="J57" i="10"/>
  <c r="K57" i="10" s="1"/>
  <c r="K40" i="10"/>
  <c r="J40" i="10"/>
  <c r="J40" i="42" s="1"/>
  <c r="I59" i="10"/>
  <c r="I148" i="10"/>
  <c r="H156" i="10"/>
  <c r="I156" i="10"/>
  <c r="F34" i="9"/>
  <c r="F35" i="9" s="1"/>
  <c r="E35" i="9"/>
  <c r="F37" i="9"/>
  <c r="F38" i="9" s="1"/>
  <c r="E38" i="9"/>
  <c r="F40" i="9"/>
  <c r="F41" i="9"/>
  <c r="F42" i="9"/>
  <c r="F43" i="9"/>
  <c r="F44" i="9"/>
  <c r="F45" i="9"/>
  <c r="F46" i="9"/>
  <c r="F47" i="9"/>
  <c r="F48" i="9"/>
  <c r="F49" i="9"/>
  <c r="F50" i="9"/>
  <c r="F51" i="9"/>
  <c r="F52" i="9"/>
  <c r="F53" i="9"/>
  <c r="F54" i="9"/>
  <c r="F55" i="9"/>
  <c r="F56" i="9"/>
  <c r="F57" i="9"/>
  <c r="F58" i="9"/>
  <c r="D59" i="9"/>
  <c r="E59" i="9"/>
  <c r="G59" i="9"/>
  <c r="F61" i="9"/>
  <c r="F63" i="9" s="1"/>
  <c r="F62" i="9"/>
  <c r="D63" i="9"/>
  <c r="E63" i="9"/>
  <c r="G63" i="9"/>
  <c r="F65" i="9"/>
  <c r="E66" i="9"/>
  <c r="F66" i="9"/>
  <c r="F68" i="9"/>
  <c r="F70" i="9" s="1"/>
  <c r="F69" i="9"/>
  <c r="E70" i="9"/>
  <c r="K43" i="10" l="1"/>
  <c r="K118" i="10"/>
  <c r="K115" i="10"/>
  <c r="K102" i="10"/>
  <c r="K99" i="10"/>
  <c r="K86" i="10"/>
  <c r="K83" i="10"/>
  <c r="K252" i="10"/>
  <c r="K257" i="10" s="1"/>
  <c r="K261" i="10" s="1"/>
  <c r="K148" i="11"/>
  <c r="K235" i="24"/>
  <c r="K231" i="24"/>
  <c r="K220" i="24"/>
  <c r="K153" i="10"/>
  <c r="K153" i="42" s="1"/>
  <c r="J153" i="42"/>
  <c r="K210" i="24"/>
  <c r="I210" i="42"/>
  <c r="K47" i="10"/>
  <c r="K110" i="10"/>
  <c r="K107" i="10"/>
  <c r="K94" i="10"/>
  <c r="K91" i="10"/>
  <c r="K78" i="10"/>
  <c r="K148" i="10" s="1"/>
  <c r="K215" i="24"/>
  <c r="F59" i="9"/>
  <c r="K49" i="10"/>
  <c r="K46" i="10"/>
  <c r="K117" i="10"/>
  <c r="K101" i="10"/>
  <c r="K93" i="10"/>
  <c r="K82" i="10"/>
  <c r="J156" i="10"/>
  <c r="J154" i="42"/>
  <c r="K242" i="24"/>
  <c r="K234" i="24"/>
  <c r="K230" i="24"/>
  <c r="K219" i="24"/>
  <c r="K209" i="24"/>
  <c r="I209" i="42"/>
  <c r="K20" i="16"/>
  <c r="K45" i="10"/>
  <c r="K111" i="10"/>
  <c r="K103" i="10"/>
  <c r="K95" i="10"/>
  <c r="K87" i="10"/>
  <c r="K79" i="10"/>
  <c r="K155" i="10"/>
  <c r="K155" i="42" s="1"/>
  <c r="J155" i="42"/>
  <c r="J252" i="10"/>
  <c r="J257" i="10" s="1"/>
  <c r="J261" i="10" s="1"/>
  <c r="I252" i="10"/>
  <c r="I257" i="10" s="1"/>
  <c r="I261" i="10" s="1"/>
  <c r="K245" i="24"/>
  <c r="K239" i="24"/>
  <c r="K233" i="24"/>
  <c r="K224" i="24"/>
  <c r="K218" i="24"/>
  <c r="K208" i="24"/>
  <c r="I208" i="42"/>
  <c r="K20" i="18"/>
  <c r="K44" i="10"/>
  <c r="K41" i="10"/>
  <c r="K113" i="10"/>
  <c r="K105" i="10"/>
  <c r="K81" i="10"/>
  <c r="K247" i="24"/>
  <c r="K244" i="24"/>
  <c r="K248" i="24" s="1"/>
  <c r="K238" i="24"/>
  <c r="K232" i="24"/>
  <c r="K223" i="24"/>
  <c r="J23" i="16"/>
  <c r="K23" i="16" s="1"/>
  <c r="I25" i="16"/>
  <c r="I18" i="14"/>
  <c r="I25" i="14"/>
  <c r="J212" i="11"/>
  <c r="K212" i="11"/>
  <c r="K148" i="21"/>
  <c r="I248" i="24"/>
  <c r="J59" i="10"/>
  <c r="J20" i="14"/>
  <c r="J25" i="14" s="1"/>
  <c r="J10" i="14"/>
  <c r="J18" i="14" s="1"/>
  <c r="K240" i="24"/>
  <c r="K243" i="24"/>
  <c r="I240" i="24"/>
  <c r="K154" i="10"/>
  <c r="J148" i="10"/>
  <c r="K59" i="10"/>
  <c r="K25" i="16" l="1"/>
  <c r="K156" i="10"/>
  <c r="K154" i="42"/>
  <c r="J25" i="16"/>
  <c r="I197" i="5"/>
  <c r="J197" i="5" s="1"/>
  <c r="I180" i="26"/>
  <c r="K66" i="42"/>
  <c r="I62" i="42"/>
  <c r="I63" i="42" s="1"/>
  <c r="E2" i="48" s="1"/>
  <c r="J62" i="42"/>
  <c r="J63" i="42" s="1"/>
  <c r="K62" i="42"/>
  <c r="K63" i="42" s="1"/>
  <c r="I38" i="42"/>
  <c r="K38" i="42"/>
  <c r="I34" i="42"/>
  <c r="I35" i="42" s="1"/>
  <c r="J34" i="42"/>
  <c r="J35" i="42" s="1"/>
  <c r="K34" i="42"/>
  <c r="K35" i="42" s="1"/>
  <c r="I32" i="42"/>
  <c r="C2" i="48" s="1"/>
  <c r="K32" i="42"/>
  <c r="I240" i="13"/>
  <c r="J240" i="13"/>
  <c r="K240" i="13"/>
  <c r="I248" i="13"/>
  <c r="J248" i="13"/>
  <c r="K248" i="13"/>
  <c r="I251" i="13"/>
  <c r="J251" i="13"/>
  <c r="K251" i="13"/>
  <c r="I256" i="13"/>
  <c r="J256" i="13"/>
  <c r="K256" i="13"/>
  <c r="I260" i="13"/>
  <c r="J260" i="13"/>
  <c r="K260" i="13"/>
  <c r="I206" i="13"/>
  <c r="J182" i="13"/>
  <c r="K182" i="13"/>
  <c r="J183" i="13"/>
  <c r="K183" i="13"/>
  <c r="J184" i="13"/>
  <c r="K184" i="13"/>
  <c r="J185" i="13"/>
  <c r="K185" i="13"/>
  <c r="J186" i="13"/>
  <c r="K186" i="13"/>
  <c r="J187" i="13"/>
  <c r="K187" i="13"/>
  <c r="J188" i="13"/>
  <c r="K188" i="13"/>
  <c r="J189" i="13"/>
  <c r="K189" i="13"/>
  <c r="J190" i="13"/>
  <c r="K190" i="13"/>
  <c r="J191" i="13"/>
  <c r="K191" i="13"/>
  <c r="J193" i="13"/>
  <c r="K193" i="13"/>
  <c r="J194" i="13"/>
  <c r="K194" i="13"/>
  <c r="J195" i="13"/>
  <c r="K195" i="13"/>
  <c r="J196" i="13"/>
  <c r="K196" i="13"/>
  <c r="J197" i="13"/>
  <c r="K197" i="13"/>
  <c r="J198" i="13"/>
  <c r="K198" i="13"/>
  <c r="J199" i="13"/>
  <c r="K199" i="13"/>
  <c r="J200" i="13"/>
  <c r="K200" i="13"/>
  <c r="J181" i="13"/>
  <c r="I192" i="13"/>
  <c r="J192" i="13" s="1"/>
  <c r="K192" i="13" s="1"/>
  <c r="I156" i="13"/>
  <c r="J156" i="13"/>
  <c r="K156" i="13"/>
  <c r="I148" i="13"/>
  <c r="J73" i="13"/>
  <c r="K73" i="13" s="1"/>
  <c r="J74" i="13"/>
  <c r="K74" i="13" s="1"/>
  <c r="J75" i="13"/>
  <c r="K75" i="13" s="1"/>
  <c r="J76" i="13"/>
  <c r="K76" i="13" s="1"/>
  <c r="J77" i="13"/>
  <c r="K77" i="13" s="1"/>
  <c r="J78" i="13"/>
  <c r="K78" i="13" s="1"/>
  <c r="J79" i="13"/>
  <c r="K79" i="13" s="1"/>
  <c r="J80" i="13"/>
  <c r="K80" i="13" s="1"/>
  <c r="J81" i="13"/>
  <c r="K81" i="13" s="1"/>
  <c r="J82" i="13"/>
  <c r="K82" i="13" s="1"/>
  <c r="J83" i="13"/>
  <c r="K83" i="13" s="1"/>
  <c r="J84" i="13"/>
  <c r="K84" i="13" s="1"/>
  <c r="J85" i="13"/>
  <c r="K85" i="13" s="1"/>
  <c r="J86" i="13"/>
  <c r="K86" i="13" s="1"/>
  <c r="J87" i="13"/>
  <c r="K87" i="13" s="1"/>
  <c r="J88" i="13"/>
  <c r="K88" i="13" s="1"/>
  <c r="J89" i="13"/>
  <c r="K89" i="13" s="1"/>
  <c r="J90" i="13"/>
  <c r="K90" i="13" s="1"/>
  <c r="J91" i="13"/>
  <c r="K91" i="13" s="1"/>
  <c r="J92" i="13"/>
  <c r="K92" i="13" s="1"/>
  <c r="J93" i="13"/>
  <c r="K93" i="13" s="1"/>
  <c r="J94" i="13"/>
  <c r="K94" i="13" s="1"/>
  <c r="J95" i="13"/>
  <c r="K95" i="13" s="1"/>
  <c r="J96" i="13"/>
  <c r="K96" i="13" s="1"/>
  <c r="J97" i="13"/>
  <c r="K97" i="13" s="1"/>
  <c r="J98" i="13"/>
  <c r="K98" i="13" s="1"/>
  <c r="J99" i="13"/>
  <c r="K99" i="13" s="1"/>
  <c r="J100" i="13"/>
  <c r="K100" i="13" s="1"/>
  <c r="J101" i="13"/>
  <c r="K101" i="13" s="1"/>
  <c r="J102" i="13"/>
  <c r="K102" i="13" s="1"/>
  <c r="J103" i="13"/>
  <c r="K103" i="13" s="1"/>
  <c r="J104" i="13"/>
  <c r="K104" i="13" s="1"/>
  <c r="J105" i="13"/>
  <c r="K105" i="13" s="1"/>
  <c r="J106" i="13"/>
  <c r="K106" i="13" s="1"/>
  <c r="J107" i="13"/>
  <c r="K107" i="13" s="1"/>
  <c r="J108" i="13"/>
  <c r="K108" i="13" s="1"/>
  <c r="J109" i="13"/>
  <c r="K109" i="13" s="1"/>
  <c r="J110" i="13"/>
  <c r="K110" i="13" s="1"/>
  <c r="J111" i="13"/>
  <c r="K111" i="13" s="1"/>
  <c r="J112" i="13"/>
  <c r="K112" i="13" s="1"/>
  <c r="J113" i="13"/>
  <c r="K113" i="13" s="1"/>
  <c r="J114" i="13"/>
  <c r="K114" i="13" s="1"/>
  <c r="J115" i="13"/>
  <c r="K115" i="13" s="1"/>
  <c r="J116" i="13"/>
  <c r="K116" i="13" s="1"/>
  <c r="J117" i="13"/>
  <c r="K117" i="13" s="1"/>
  <c r="J118" i="13"/>
  <c r="K118" i="13" s="1"/>
  <c r="J119" i="13"/>
  <c r="K119" i="13" s="1"/>
  <c r="J120" i="13"/>
  <c r="K120" i="13" s="1"/>
  <c r="J121" i="13"/>
  <c r="K121" i="13" s="1"/>
  <c r="J122" i="13"/>
  <c r="K122" i="13" s="1"/>
  <c r="J123" i="13"/>
  <c r="K123" i="13" s="1"/>
  <c r="J124" i="13"/>
  <c r="K124" i="13" s="1"/>
  <c r="J125" i="13"/>
  <c r="K125" i="13" s="1"/>
  <c r="J126" i="13"/>
  <c r="K126" i="13" s="1"/>
  <c r="J127" i="13"/>
  <c r="K127" i="13" s="1"/>
  <c r="J128" i="13"/>
  <c r="K128" i="13" s="1"/>
  <c r="J129" i="13"/>
  <c r="K129" i="13" s="1"/>
  <c r="J130" i="13"/>
  <c r="K130" i="13" s="1"/>
  <c r="J131" i="13"/>
  <c r="K131" i="13" s="1"/>
  <c r="J132" i="13"/>
  <c r="K132" i="13" s="1"/>
  <c r="J133" i="13"/>
  <c r="K133" i="13" s="1"/>
  <c r="J72" i="13"/>
  <c r="J148" i="13" s="1"/>
  <c r="I59" i="13"/>
  <c r="J42" i="13"/>
  <c r="K42" i="13" s="1"/>
  <c r="J43" i="13"/>
  <c r="K43" i="13" s="1"/>
  <c r="J44" i="13"/>
  <c r="K44" i="13" s="1"/>
  <c r="J45" i="13"/>
  <c r="K45" i="13" s="1"/>
  <c r="J46" i="13"/>
  <c r="K46" i="13" s="1"/>
  <c r="J47" i="13"/>
  <c r="K47" i="13" s="1"/>
  <c r="J48" i="13"/>
  <c r="K48" i="13" s="1"/>
  <c r="J49" i="13"/>
  <c r="K49" i="13" s="1"/>
  <c r="J50" i="13"/>
  <c r="K50" i="13" s="1"/>
  <c r="J51" i="13"/>
  <c r="K51" i="13" s="1"/>
  <c r="J52" i="13"/>
  <c r="K52" i="13" s="1"/>
  <c r="J53" i="13"/>
  <c r="K53" i="13" s="1"/>
  <c r="J54" i="13"/>
  <c r="K54" i="13" s="1"/>
  <c r="J55" i="13"/>
  <c r="K55" i="13" s="1"/>
  <c r="J56" i="13"/>
  <c r="K56" i="13" s="1"/>
  <c r="J57" i="13"/>
  <c r="K57" i="13" s="1"/>
  <c r="J58" i="13"/>
  <c r="K58" i="13" s="1"/>
  <c r="J41" i="13"/>
  <c r="K41" i="13" s="1"/>
  <c r="J21" i="13"/>
  <c r="K21" i="13" s="1"/>
  <c r="J22" i="13"/>
  <c r="K22" i="13" s="1"/>
  <c r="J23" i="13"/>
  <c r="K23" i="13" s="1"/>
  <c r="I24" i="13"/>
  <c r="J24" i="13" s="1"/>
  <c r="K24" i="13" s="1"/>
  <c r="I21" i="13"/>
  <c r="I20" i="13"/>
  <c r="I25" i="13" s="1"/>
  <c r="J8" i="13"/>
  <c r="K8" i="13" s="1"/>
  <c r="J9" i="13"/>
  <c r="K9" i="13" s="1"/>
  <c r="J10" i="13"/>
  <c r="K10" i="13" s="1"/>
  <c r="J11" i="13"/>
  <c r="K11" i="13" s="1"/>
  <c r="J12" i="13"/>
  <c r="K12" i="13" s="1"/>
  <c r="J13" i="13"/>
  <c r="K13" i="13" s="1"/>
  <c r="J15" i="13"/>
  <c r="K15" i="13" s="1"/>
  <c r="J16" i="13"/>
  <c r="K16" i="13" s="1"/>
  <c r="I17" i="13"/>
  <c r="J17" i="13" s="1"/>
  <c r="K17" i="13" s="1"/>
  <c r="I16" i="13"/>
  <c r="I14" i="13"/>
  <c r="J14" i="13" s="1"/>
  <c r="K14" i="13" s="1"/>
  <c r="I7" i="13"/>
  <c r="I18" i="13" s="1"/>
  <c r="I256" i="7"/>
  <c r="J256" i="7"/>
  <c r="K256" i="7"/>
  <c r="I260" i="7"/>
  <c r="J260" i="7"/>
  <c r="K260" i="7"/>
  <c r="I240" i="7"/>
  <c r="J240" i="7"/>
  <c r="K240" i="7"/>
  <c r="I206" i="7"/>
  <c r="I252" i="7" s="1"/>
  <c r="I257" i="7" s="1"/>
  <c r="I261" i="7" s="1"/>
  <c r="J182" i="7"/>
  <c r="K182" i="7" s="1"/>
  <c r="J183" i="7"/>
  <c r="K183" i="7" s="1"/>
  <c r="J184" i="7"/>
  <c r="K184" i="7" s="1"/>
  <c r="J185" i="7"/>
  <c r="K185" i="7" s="1"/>
  <c r="J186" i="7"/>
  <c r="K186" i="7" s="1"/>
  <c r="J187" i="7"/>
  <c r="K187" i="7" s="1"/>
  <c r="J188" i="7"/>
  <c r="K188" i="7" s="1"/>
  <c r="J189" i="7"/>
  <c r="K189" i="7" s="1"/>
  <c r="J190" i="7"/>
  <c r="K190" i="7" s="1"/>
  <c r="J191" i="7"/>
  <c r="K191" i="7" s="1"/>
  <c r="J192" i="7"/>
  <c r="K192" i="7" s="1"/>
  <c r="J193" i="7"/>
  <c r="K193" i="7" s="1"/>
  <c r="J194" i="7"/>
  <c r="K194" i="7" s="1"/>
  <c r="J195" i="7"/>
  <c r="K195" i="7" s="1"/>
  <c r="J196" i="7"/>
  <c r="K196" i="7" s="1"/>
  <c r="J197" i="7"/>
  <c r="K197" i="7" s="1"/>
  <c r="J198" i="7"/>
  <c r="K198" i="7" s="1"/>
  <c r="J199" i="7"/>
  <c r="K199" i="7" s="1"/>
  <c r="J200" i="7"/>
  <c r="K200" i="7" s="1"/>
  <c r="J201" i="7"/>
  <c r="K201" i="7" s="1"/>
  <c r="J202" i="7"/>
  <c r="K202" i="7" s="1"/>
  <c r="J203" i="7"/>
  <c r="K203" i="7" s="1"/>
  <c r="J204" i="7"/>
  <c r="K204" i="7" s="1"/>
  <c r="J205" i="7"/>
  <c r="K205" i="7" s="1"/>
  <c r="J181" i="7"/>
  <c r="I156" i="7"/>
  <c r="J156" i="7"/>
  <c r="K156" i="7"/>
  <c r="I160" i="7"/>
  <c r="J160" i="7"/>
  <c r="K160" i="7"/>
  <c r="I164" i="7"/>
  <c r="J164" i="7"/>
  <c r="K164" i="7"/>
  <c r="J73" i="7"/>
  <c r="K73" i="7" s="1"/>
  <c r="J74" i="7"/>
  <c r="K74" i="7" s="1"/>
  <c r="J75" i="7"/>
  <c r="K75" i="7" s="1"/>
  <c r="J76" i="7"/>
  <c r="K76" i="7" s="1"/>
  <c r="J77" i="7"/>
  <c r="K77" i="7" s="1"/>
  <c r="J78" i="7"/>
  <c r="K78" i="7" s="1"/>
  <c r="J79" i="7"/>
  <c r="K79" i="7" s="1"/>
  <c r="J80" i="7"/>
  <c r="K80" i="7" s="1"/>
  <c r="J81" i="7"/>
  <c r="K81" i="7" s="1"/>
  <c r="J82" i="7"/>
  <c r="K82" i="7" s="1"/>
  <c r="J83" i="7"/>
  <c r="K83" i="7" s="1"/>
  <c r="J84" i="7"/>
  <c r="K84" i="7" s="1"/>
  <c r="J85" i="7"/>
  <c r="K85" i="7" s="1"/>
  <c r="J86" i="7"/>
  <c r="K86" i="7" s="1"/>
  <c r="J87" i="7"/>
  <c r="K87" i="7" s="1"/>
  <c r="J88" i="7"/>
  <c r="K88" i="7" s="1"/>
  <c r="J89" i="7"/>
  <c r="K89" i="7" s="1"/>
  <c r="J90" i="7"/>
  <c r="K90" i="7" s="1"/>
  <c r="J91" i="7"/>
  <c r="K91" i="7" s="1"/>
  <c r="J92" i="7"/>
  <c r="K92" i="7" s="1"/>
  <c r="J93" i="7"/>
  <c r="K93" i="7" s="1"/>
  <c r="J94" i="7"/>
  <c r="K94" i="7" s="1"/>
  <c r="J95" i="7"/>
  <c r="K95" i="7" s="1"/>
  <c r="J96" i="7"/>
  <c r="K96" i="7" s="1"/>
  <c r="J97" i="7"/>
  <c r="K97" i="7" s="1"/>
  <c r="J98" i="7"/>
  <c r="K98" i="7" s="1"/>
  <c r="J99" i="7"/>
  <c r="K99" i="7" s="1"/>
  <c r="J100" i="7"/>
  <c r="K100" i="7" s="1"/>
  <c r="J101" i="7"/>
  <c r="K101" i="7" s="1"/>
  <c r="J102" i="7"/>
  <c r="K102" i="7" s="1"/>
  <c r="J103" i="7"/>
  <c r="K103" i="7" s="1"/>
  <c r="J104" i="7"/>
  <c r="K104" i="7" s="1"/>
  <c r="J105" i="7"/>
  <c r="K105" i="7" s="1"/>
  <c r="J106" i="7"/>
  <c r="K106" i="7" s="1"/>
  <c r="J107" i="7"/>
  <c r="K107" i="7" s="1"/>
  <c r="J108" i="7"/>
  <c r="K108" i="7" s="1"/>
  <c r="J109" i="7"/>
  <c r="K109" i="7" s="1"/>
  <c r="J110" i="7"/>
  <c r="K110" i="7" s="1"/>
  <c r="J111" i="7"/>
  <c r="K111" i="7" s="1"/>
  <c r="J112" i="7"/>
  <c r="K112" i="7" s="1"/>
  <c r="J113" i="7"/>
  <c r="K113" i="7" s="1"/>
  <c r="J114" i="7"/>
  <c r="K114" i="7" s="1"/>
  <c r="J115" i="7"/>
  <c r="K115" i="7" s="1"/>
  <c r="J116" i="7"/>
  <c r="K116" i="7" s="1"/>
  <c r="J117" i="7"/>
  <c r="K117" i="7" s="1"/>
  <c r="J118" i="7"/>
  <c r="K118" i="7" s="1"/>
  <c r="J119" i="7"/>
  <c r="K119" i="7" s="1"/>
  <c r="J120" i="7"/>
  <c r="K120" i="7" s="1"/>
  <c r="J121" i="7"/>
  <c r="K121" i="7" s="1"/>
  <c r="J122" i="7"/>
  <c r="K122" i="7" s="1"/>
  <c r="J123" i="7"/>
  <c r="K123" i="7" s="1"/>
  <c r="J124" i="7"/>
  <c r="K124" i="7" s="1"/>
  <c r="J125" i="7"/>
  <c r="K125" i="7" s="1"/>
  <c r="J126" i="7"/>
  <c r="K126" i="7" s="1"/>
  <c r="J127" i="7"/>
  <c r="K127" i="7" s="1"/>
  <c r="J128" i="7"/>
  <c r="K128" i="7" s="1"/>
  <c r="J129" i="7"/>
  <c r="K129" i="7" s="1"/>
  <c r="J130" i="7"/>
  <c r="K130" i="7" s="1"/>
  <c r="J131" i="7"/>
  <c r="K131" i="7" s="1"/>
  <c r="J132" i="7"/>
  <c r="K132" i="7" s="1"/>
  <c r="J133" i="7"/>
  <c r="K133" i="7" s="1"/>
  <c r="J134" i="7"/>
  <c r="K134" i="7" s="1"/>
  <c r="J135" i="7"/>
  <c r="K135" i="7" s="1"/>
  <c r="J136" i="7"/>
  <c r="K136" i="7" s="1"/>
  <c r="J137" i="7"/>
  <c r="K137" i="7" s="1"/>
  <c r="J138" i="7"/>
  <c r="K138" i="7" s="1"/>
  <c r="J139" i="7"/>
  <c r="K139" i="7" s="1"/>
  <c r="J140" i="7"/>
  <c r="K140" i="7" s="1"/>
  <c r="J141" i="7"/>
  <c r="K141" i="7" s="1"/>
  <c r="J142" i="7"/>
  <c r="K142" i="7" s="1"/>
  <c r="J143" i="7"/>
  <c r="K143" i="7" s="1"/>
  <c r="J144" i="7"/>
  <c r="K144" i="7" s="1"/>
  <c r="K72" i="7"/>
  <c r="J72" i="7"/>
  <c r="I59" i="7"/>
  <c r="J42" i="7"/>
  <c r="K42" i="7"/>
  <c r="J43" i="7"/>
  <c r="K43" i="7" s="1"/>
  <c r="J44" i="7"/>
  <c r="K44" i="7" s="1"/>
  <c r="J45" i="7"/>
  <c r="K45" i="7" s="1"/>
  <c r="J46" i="7"/>
  <c r="K46" i="7"/>
  <c r="J47" i="7"/>
  <c r="K47" i="7" s="1"/>
  <c r="J48" i="7"/>
  <c r="K48" i="7" s="1"/>
  <c r="J49" i="7"/>
  <c r="K49" i="7" s="1"/>
  <c r="J50" i="7"/>
  <c r="K50" i="7"/>
  <c r="J51" i="7"/>
  <c r="K51" i="7" s="1"/>
  <c r="J52" i="7"/>
  <c r="K52" i="7" s="1"/>
  <c r="J53" i="7"/>
  <c r="K53" i="7" s="1"/>
  <c r="J54" i="7"/>
  <c r="K54" i="7"/>
  <c r="J55" i="7"/>
  <c r="K55" i="7" s="1"/>
  <c r="J56" i="7"/>
  <c r="K56" i="7" s="1"/>
  <c r="J57" i="7"/>
  <c r="K57" i="7" s="1"/>
  <c r="J41" i="7"/>
  <c r="K41" i="7" s="1"/>
  <c r="K59" i="7" s="1"/>
  <c r="J25" i="7"/>
  <c r="I24" i="7"/>
  <c r="J24" i="7" s="1"/>
  <c r="K24" i="7" s="1"/>
  <c r="I23" i="7"/>
  <c r="J23" i="7" s="1"/>
  <c r="K23" i="7" s="1"/>
  <c r="K22" i="7"/>
  <c r="J22" i="7"/>
  <c r="I21" i="7"/>
  <c r="J21" i="7" s="1"/>
  <c r="K21" i="7" s="1"/>
  <c r="I20" i="7"/>
  <c r="J20" i="7" s="1"/>
  <c r="K20" i="7" s="1"/>
  <c r="K25" i="7" s="1"/>
  <c r="I17" i="7"/>
  <c r="J17" i="7" s="1"/>
  <c r="K17" i="7" s="1"/>
  <c r="J16" i="7"/>
  <c r="K16" i="7" s="1"/>
  <c r="J15" i="7"/>
  <c r="K15" i="7" s="1"/>
  <c r="I14" i="7"/>
  <c r="J14" i="7" s="1"/>
  <c r="K14" i="7" s="1"/>
  <c r="K13" i="7"/>
  <c r="J13" i="7"/>
  <c r="I12" i="7"/>
  <c r="J12" i="7" s="1"/>
  <c r="K12" i="7" s="1"/>
  <c r="J11" i="7"/>
  <c r="K11" i="7" s="1"/>
  <c r="J10" i="7"/>
  <c r="K10" i="7" s="1"/>
  <c r="I10" i="7"/>
  <c r="J9" i="7"/>
  <c r="K9" i="7" s="1"/>
  <c r="J8" i="7"/>
  <c r="K8" i="7" s="1"/>
  <c r="I7" i="7"/>
  <c r="J7" i="7" s="1"/>
  <c r="I242" i="5"/>
  <c r="I243" i="5"/>
  <c r="K243" i="5" s="1"/>
  <c r="I244" i="5"/>
  <c r="K244" i="5"/>
  <c r="I245" i="5"/>
  <c r="K245" i="5"/>
  <c r="I246" i="5"/>
  <c r="K246" i="5" s="1"/>
  <c r="I247" i="5"/>
  <c r="K247" i="5" s="1"/>
  <c r="I250" i="5"/>
  <c r="K250" i="5" s="1"/>
  <c r="K251" i="5" s="1"/>
  <c r="I255" i="5"/>
  <c r="K255" i="5" s="1"/>
  <c r="K256" i="5" s="1"/>
  <c r="I256" i="5"/>
  <c r="I259" i="5"/>
  <c r="K259" i="5" s="1"/>
  <c r="K260" i="5" s="1"/>
  <c r="J199" i="5"/>
  <c r="I148" i="5"/>
  <c r="J133" i="5"/>
  <c r="K133" i="5" s="1"/>
  <c r="J132" i="5"/>
  <c r="K132" i="5" s="1"/>
  <c r="J131" i="5"/>
  <c r="K131" i="5" s="1"/>
  <c r="J130" i="5"/>
  <c r="K130" i="5" s="1"/>
  <c r="J129" i="5"/>
  <c r="K129" i="5" s="1"/>
  <c r="J128" i="5"/>
  <c r="K128" i="5" s="1"/>
  <c r="J127" i="5"/>
  <c r="K127" i="5" s="1"/>
  <c r="J126" i="5"/>
  <c r="K126" i="5" s="1"/>
  <c r="J125" i="5"/>
  <c r="K125" i="5" s="1"/>
  <c r="J124" i="5"/>
  <c r="K124" i="5" s="1"/>
  <c r="J123" i="5"/>
  <c r="K123" i="5" s="1"/>
  <c r="J122" i="5"/>
  <c r="K122" i="5" s="1"/>
  <c r="J121" i="5"/>
  <c r="K121" i="5" s="1"/>
  <c r="J120" i="5"/>
  <c r="K120" i="5" s="1"/>
  <c r="J119" i="5"/>
  <c r="K119" i="5" s="1"/>
  <c r="J118" i="5"/>
  <c r="K118" i="5" s="1"/>
  <c r="J117" i="5"/>
  <c r="K117" i="5" s="1"/>
  <c r="J116" i="5"/>
  <c r="K116" i="5" s="1"/>
  <c r="J115" i="5"/>
  <c r="K115" i="5" s="1"/>
  <c r="J114" i="5"/>
  <c r="K114" i="5" s="1"/>
  <c r="J113" i="5"/>
  <c r="K113" i="5" s="1"/>
  <c r="J112" i="5"/>
  <c r="K112" i="5" s="1"/>
  <c r="J111" i="5"/>
  <c r="K111" i="5" s="1"/>
  <c r="J110" i="5"/>
  <c r="K110" i="5" s="1"/>
  <c r="J109" i="5"/>
  <c r="K109" i="5" s="1"/>
  <c r="J108" i="5"/>
  <c r="K108" i="5" s="1"/>
  <c r="J107" i="5"/>
  <c r="K107" i="5" s="1"/>
  <c r="J106" i="5"/>
  <c r="K106" i="5" s="1"/>
  <c r="J105" i="5"/>
  <c r="K105" i="5" s="1"/>
  <c r="J104" i="5"/>
  <c r="K104" i="5" s="1"/>
  <c r="J103" i="5"/>
  <c r="K103" i="5" s="1"/>
  <c r="J102" i="5"/>
  <c r="K102" i="5" s="1"/>
  <c r="J101" i="5"/>
  <c r="K101" i="5" s="1"/>
  <c r="J100" i="5"/>
  <c r="K100" i="5" s="1"/>
  <c r="J99" i="5"/>
  <c r="K99" i="5" s="1"/>
  <c r="J98" i="5"/>
  <c r="K98" i="5" s="1"/>
  <c r="J97" i="5"/>
  <c r="K97" i="5" s="1"/>
  <c r="J96" i="5"/>
  <c r="K96" i="5" s="1"/>
  <c r="J95" i="5"/>
  <c r="K95" i="5" s="1"/>
  <c r="J94" i="5"/>
  <c r="K94" i="5" s="1"/>
  <c r="J93" i="5"/>
  <c r="K93" i="5" s="1"/>
  <c r="J92" i="5"/>
  <c r="K92" i="5" s="1"/>
  <c r="J91" i="5"/>
  <c r="K91" i="5" s="1"/>
  <c r="J90" i="5"/>
  <c r="K90" i="5" s="1"/>
  <c r="J89" i="5"/>
  <c r="K89" i="5" s="1"/>
  <c r="J88" i="5"/>
  <c r="K88" i="5" s="1"/>
  <c r="J87" i="5"/>
  <c r="K87" i="5" s="1"/>
  <c r="J86" i="5"/>
  <c r="K86" i="5" s="1"/>
  <c r="J85" i="5"/>
  <c r="K85" i="5" s="1"/>
  <c r="J84" i="5"/>
  <c r="K84" i="5" s="1"/>
  <c r="J83" i="5"/>
  <c r="K83" i="5" s="1"/>
  <c r="J82" i="5"/>
  <c r="K82" i="5" s="1"/>
  <c r="J81" i="5"/>
  <c r="K81" i="5" s="1"/>
  <c r="J80" i="5"/>
  <c r="K80" i="5" s="1"/>
  <c r="J79" i="5"/>
  <c r="K79" i="5" s="1"/>
  <c r="J78" i="5"/>
  <c r="K78" i="5" s="1"/>
  <c r="J77" i="5"/>
  <c r="K77" i="5" s="1"/>
  <c r="J76" i="5"/>
  <c r="K76" i="5" s="1"/>
  <c r="J75" i="5"/>
  <c r="K75" i="5" s="1"/>
  <c r="J74" i="5"/>
  <c r="K74" i="5" s="1"/>
  <c r="J73" i="5"/>
  <c r="K73" i="5" s="1"/>
  <c r="J72" i="5"/>
  <c r="K72" i="5" s="1"/>
  <c r="I70" i="5"/>
  <c r="J69" i="5"/>
  <c r="J70" i="5" s="1"/>
  <c r="I59" i="5"/>
  <c r="J42" i="5"/>
  <c r="K42" i="5" s="1"/>
  <c r="J43" i="5"/>
  <c r="K43" i="5"/>
  <c r="J44" i="5"/>
  <c r="K44" i="5" s="1"/>
  <c r="J45" i="5"/>
  <c r="K45" i="5" s="1"/>
  <c r="J46" i="5"/>
  <c r="K46" i="5" s="1"/>
  <c r="J47" i="5"/>
  <c r="K47" i="5"/>
  <c r="J48" i="5"/>
  <c r="K48" i="5" s="1"/>
  <c r="J49" i="5"/>
  <c r="K49" i="5" s="1"/>
  <c r="J50" i="5"/>
  <c r="K50" i="5" s="1"/>
  <c r="J51" i="5"/>
  <c r="K51" i="5"/>
  <c r="J52" i="5"/>
  <c r="K52" i="5" s="1"/>
  <c r="J53" i="5"/>
  <c r="K53" i="5" s="1"/>
  <c r="J54" i="5"/>
  <c r="K54" i="5" s="1"/>
  <c r="J55" i="5"/>
  <c r="K55" i="5"/>
  <c r="J56" i="5"/>
  <c r="K56" i="5" s="1"/>
  <c r="J57" i="5"/>
  <c r="K57" i="5" s="1"/>
  <c r="K41" i="5"/>
  <c r="K59" i="5" s="1"/>
  <c r="J41" i="5"/>
  <c r="I25" i="5"/>
  <c r="J21" i="5"/>
  <c r="K21" i="5" s="1"/>
  <c r="J22" i="5"/>
  <c r="K22" i="5" s="1"/>
  <c r="J23" i="5"/>
  <c r="K23" i="5" s="1"/>
  <c r="J24" i="5"/>
  <c r="K24" i="5" s="1"/>
  <c r="J20" i="5"/>
  <c r="K20" i="5" s="1"/>
  <c r="K25" i="5" s="1"/>
  <c r="J8" i="5"/>
  <c r="K8" i="5" s="1"/>
  <c r="J9" i="5"/>
  <c r="K9" i="5" s="1"/>
  <c r="J10" i="5"/>
  <c r="K10" i="5" s="1"/>
  <c r="J11" i="5"/>
  <c r="K11" i="5" s="1"/>
  <c r="J13" i="5"/>
  <c r="K13" i="5" s="1"/>
  <c r="J15" i="5"/>
  <c r="K15" i="5" s="1"/>
  <c r="J16" i="5"/>
  <c r="K16" i="5" s="1"/>
  <c r="J17" i="5"/>
  <c r="K17" i="5" s="1"/>
  <c r="I248" i="26"/>
  <c r="J248" i="26"/>
  <c r="K248" i="26"/>
  <c r="I251" i="26"/>
  <c r="J251" i="26"/>
  <c r="K251" i="26"/>
  <c r="I256" i="26"/>
  <c r="J256" i="26"/>
  <c r="K256" i="26"/>
  <c r="I260" i="26"/>
  <c r="J260" i="26"/>
  <c r="K260" i="26"/>
  <c r="J182" i="26"/>
  <c r="K182" i="26" s="1"/>
  <c r="J183" i="26"/>
  <c r="K183" i="26" s="1"/>
  <c r="J184" i="26"/>
  <c r="K184" i="26" s="1"/>
  <c r="J185" i="26"/>
  <c r="K185" i="26" s="1"/>
  <c r="J186" i="26"/>
  <c r="K186" i="26" s="1"/>
  <c r="J187" i="26"/>
  <c r="K187" i="26" s="1"/>
  <c r="J188" i="26"/>
  <c r="K188" i="26" s="1"/>
  <c r="J189" i="26"/>
  <c r="K189" i="26" s="1"/>
  <c r="J190" i="26"/>
  <c r="K190" i="26" s="1"/>
  <c r="J191" i="26"/>
  <c r="K191" i="26" s="1"/>
  <c r="J192" i="26"/>
  <c r="K192" i="26" s="1"/>
  <c r="J193" i="26"/>
  <c r="K193" i="26" s="1"/>
  <c r="J194" i="26"/>
  <c r="K194" i="26" s="1"/>
  <c r="J195" i="26"/>
  <c r="K195" i="26" s="1"/>
  <c r="J196" i="26"/>
  <c r="K196" i="26" s="1"/>
  <c r="J197" i="26"/>
  <c r="K197" i="26" s="1"/>
  <c r="J198" i="26"/>
  <c r="K198" i="26" s="1"/>
  <c r="J199" i="26"/>
  <c r="K199" i="26" s="1"/>
  <c r="J200" i="26"/>
  <c r="K200" i="26" s="1"/>
  <c r="K180" i="26"/>
  <c r="J180" i="26"/>
  <c r="J72" i="26"/>
  <c r="K72" i="26" s="1"/>
  <c r="J73" i="26"/>
  <c r="K73" i="26" s="1"/>
  <c r="J74" i="26"/>
  <c r="K74" i="26" s="1"/>
  <c r="J75" i="26"/>
  <c r="K75" i="26" s="1"/>
  <c r="J76" i="26"/>
  <c r="K76" i="26" s="1"/>
  <c r="J77" i="26"/>
  <c r="K77" i="26" s="1"/>
  <c r="J78" i="26"/>
  <c r="K78" i="26" s="1"/>
  <c r="J79" i="26"/>
  <c r="K79" i="26" s="1"/>
  <c r="J80" i="26"/>
  <c r="K80" i="26" s="1"/>
  <c r="J82" i="26"/>
  <c r="K82" i="26" s="1"/>
  <c r="J83" i="26"/>
  <c r="K83" i="26" s="1"/>
  <c r="J84" i="26"/>
  <c r="K84" i="26" s="1"/>
  <c r="J85" i="26"/>
  <c r="K85" i="26" s="1"/>
  <c r="J86" i="26"/>
  <c r="K86" i="26" s="1"/>
  <c r="J87" i="26"/>
  <c r="K87" i="26" s="1"/>
  <c r="J88" i="26"/>
  <c r="K88" i="26" s="1"/>
  <c r="J89" i="26"/>
  <c r="K89" i="26" s="1"/>
  <c r="J90" i="26"/>
  <c r="K90" i="26" s="1"/>
  <c r="J91" i="26"/>
  <c r="K91" i="26" s="1"/>
  <c r="J92" i="26"/>
  <c r="K92" i="26" s="1"/>
  <c r="J93" i="26"/>
  <c r="K93" i="26" s="1"/>
  <c r="J94" i="26"/>
  <c r="K94" i="26" s="1"/>
  <c r="J95" i="26"/>
  <c r="K95" i="26" s="1"/>
  <c r="J96" i="26"/>
  <c r="K96" i="26" s="1"/>
  <c r="J97" i="26"/>
  <c r="K97" i="26" s="1"/>
  <c r="J98" i="26"/>
  <c r="K98" i="26" s="1"/>
  <c r="J99" i="26"/>
  <c r="K99" i="26" s="1"/>
  <c r="J100" i="26"/>
  <c r="K100" i="26" s="1"/>
  <c r="J101" i="26"/>
  <c r="K101" i="26" s="1"/>
  <c r="J102" i="26"/>
  <c r="K102" i="26" s="1"/>
  <c r="J103" i="26"/>
  <c r="K103" i="26" s="1"/>
  <c r="J104" i="26"/>
  <c r="K104" i="26" s="1"/>
  <c r="J105" i="26"/>
  <c r="K105" i="26" s="1"/>
  <c r="J106" i="26"/>
  <c r="K106" i="26" s="1"/>
  <c r="J107" i="26"/>
  <c r="K107" i="26" s="1"/>
  <c r="J108" i="26"/>
  <c r="K108" i="26" s="1"/>
  <c r="J109" i="26"/>
  <c r="K109" i="26" s="1"/>
  <c r="J110" i="26"/>
  <c r="K110" i="26" s="1"/>
  <c r="J111" i="26"/>
  <c r="K111" i="26" s="1"/>
  <c r="J112" i="26"/>
  <c r="K112" i="26" s="1"/>
  <c r="J113" i="26"/>
  <c r="K113" i="26" s="1"/>
  <c r="J114" i="26"/>
  <c r="K114" i="26" s="1"/>
  <c r="J115" i="26"/>
  <c r="K115" i="26" s="1"/>
  <c r="J116" i="26"/>
  <c r="K116" i="26" s="1"/>
  <c r="J117" i="26"/>
  <c r="K117" i="26" s="1"/>
  <c r="J118" i="26"/>
  <c r="K118" i="26" s="1"/>
  <c r="J119" i="26"/>
  <c r="K119" i="26" s="1"/>
  <c r="K81" i="26"/>
  <c r="J81" i="26"/>
  <c r="I148" i="26"/>
  <c r="I163" i="26"/>
  <c r="J163" i="26"/>
  <c r="J164" i="26" s="1"/>
  <c r="K163" i="26"/>
  <c r="K164" i="26" s="1"/>
  <c r="I164" i="26"/>
  <c r="I70" i="26"/>
  <c r="J68" i="26"/>
  <c r="K68" i="26" s="1"/>
  <c r="K70" i="26" s="1"/>
  <c r="I25" i="26"/>
  <c r="J24" i="26"/>
  <c r="K24" i="26" s="1"/>
  <c r="J23" i="26"/>
  <c r="K23" i="26" s="1"/>
  <c r="J22" i="26"/>
  <c r="K22" i="26" s="1"/>
  <c r="J21" i="26"/>
  <c r="K21" i="26" s="1"/>
  <c r="J20" i="26"/>
  <c r="K20" i="26" s="1"/>
  <c r="K25" i="26" s="1"/>
  <c r="J10" i="26"/>
  <c r="K10" i="26" s="1"/>
  <c r="J11" i="26"/>
  <c r="K11" i="26" s="1"/>
  <c r="J13" i="26"/>
  <c r="K13" i="26"/>
  <c r="J15" i="26"/>
  <c r="K15" i="26"/>
  <c r="I59" i="26"/>
  <c r="J42" i="26"/>
  <c r="K42" i="26" s="1"/>
  <c r="J43" i="26"/>
  <c r="K43" i="26" s="1"/>
  <c r="J44" i="26"/>
  <c r="K44" i="26" s="1"/>
  <c r="J45" i="26"/>
  <c r="J46" i="26"/>
  <c r="K46" i="26" s="1"/>
  <c r="J47" i="26"/>
  <c r="K47" i="26"/>
  <c r="J48" i="26"/>
  <c r="K48" i="26" s="1"/>
  <c r="J49" i="26"/>
  <c r="K49" i="26" s="1"/>
  <c r="J50" i="26"/>
  <c r="K50" i="26" s="1"/>
  <c r="J51" i="26"/>
  <c r="J52" i="26"/>
  <c r="K52" i="26" s="1"/>
  <c r="J53" i="26"/>
  <c r="K53" i="26" s="1"/>
  <c r="J54" i="26"/>
  <c r="K54" i="26" s="1"/>
  <c r="J55" i="26"/>
  <c r="K55" i="26"/>
  <c r="J56" i="26"/>
  <c r="K56" i="26" s="1"/>
  <c r="J57" i="26"/>
  <c r="K57" i="26" s="1"/>
  <c r="J58" i="26"/>
  <c r="K58" i="26" s="1"/>
  <c r="J41" i="26"/>
  <c r="K41" i="26" s="1"/>
  <c r="J252" i="13" l="1"/>
  <c r="J257" i="13" s="1"/>
  <c r="J261" i="13" s="1"/>
  <c r="K197" i="5"/>
  <c r="J70" i="26"/>
  <c r="J25" i="5"/>
  <c r="K69" i="5"/>
  <c r="K70" i="5" s="1"/>
  <c r="I251" i="5"/>
  <c r="I25" i="7"/>
  <c r="I161" i="7" s="1"/>
  <c r="I165" i="7" s="1"/>
  <c r="I262" i="7" s="1"/>
  <c r="J59" i="7"/>
  <c r="J161" i="7" s="1"/>
  <c r="J165" i="7" s="1"/>
  <c r="K181" i="7"/>
  <c r="K206" i="7" s="1"/>
  <c r="J7" i="13"/>
  <c r="K72" i="13"/>
  <c r="K148" i="13" s="1"/>
  <c r="J25" i="26"/>
  <c r="K59" i="13"/>
  <c r="J59" i="5"/>
  <c r="K161" i="7"/>
  <c r="K165" i="7" s="1"/>
  <c r="I252" i="13"/>
  <c r="I257" i="13" s="1"/>
  <c r="I261" i="13" s="1"/>
  <c r="K148" i="5"/>
  <c r="J206" i="7"/>
  <c r="J252" i="7" s="1"/>
  <c r="J257" i="7" s="1"/>
  <c r="J261" i="7" s="1"/>
  <c r="J262" i="7" s="1"/>
  <c r="J20" i="13"/>
  <c r="K181" i="13"/>
  <c r="K206" i="13" s="1"/>
  <c r="J206" i="13"/>
  <c r="I161" i="13"/>
  <c r="I165" i="13" s="1"/>
  <c r="I262" i="13" s="1"/>
  <c r="J59" i="13"/>
  <c r="J148" i="5"/>
  <c r="I174" i="42"/>
  <c r="A36" i="48" s="1"/>
  <c r="J156" i="42"/>
  <c r="K156" i="42"/>
  <c r="I212" i="42"/>
  <c r="I156" i="42"/>
  <c r="H2" i="48" s="1"/>
  <c r="K199" i="5"/>
  <c r="K51" i="26"/>
  <c r="J59" i="26"/>
  <c r="K45" i="26"/>
  <c r="K59" i="26" s="1"/>
  <c r="K7" i="7"/>
  <c r="K18" i="7" s="1"/>
  <c r="J18" i="7"/>
  <c r="I18" i="7"/>
  <c r="I260" i="5"/>
  <c r="I248" i="5"/>
  <c r="K242" i="5"/>
  <c r="K248" i="5" s="1"/>
  <c r="K148" i="26"/>
  <c r="J148" i="26"/>
  <c r="K252" i="13" l="1"/>
  <c r="K257" i="13" s="1"/>
  <c r="K261" i="13" s="1"/>
  <c r="J18" i="13"/>
  <c r="K7" i="13"/>
  <c r="K18" i="13" s="1"/>
  <c r="K20" i="13"/>
  <c r="K25" i="13" s="1"/>
  <c r="J25" i="13"/>
  <c r="J161" i="13" s="1"/>
  <c r="J165" i="13" s="1"/>
  <c r="J262" i="13" s="1"/>
  <c r="K161" i="13" l="1"/>
  <c r="K165" i="13" s="1"/>
  <c r="K262" i="13" s="1"/>
  <c r="I212" i="6"/>
  <c r="J212" i="6"/>
  <c r="K212" i="6"/>
  <c r="I214" i="6"/>
  <c r="K214" i="6" s="1"/>
  <c r="I215" i="6"/>
  <c r="I218" i="6"/>
  <c r="K218" i="6" s="1"/>
  <c r="I219" i="6"/>
  <c r="I219" i="42" s="1"/>
  <c r="I220" i="6"/>
  <c r="I223" i="6"/>
  <c r="I223" i="42" s="1"/>
  <c r="K223" i="6"/>
  <c r="K223" i="42" s="1"/>
  <c r="I224" i="6"/>
  <c r="K224" i="6" s="1"/>
  <c r="I227" i="6"/>
  <c r="I228" i="6"/>
  <c r="I228" i="42" s="1"/>
  <c r="K228" i="6"/>
  <c r="K228" i="42" s="1"/>
  <c r="I229" i="6"/>
  <c r="I229" i="42" s="1"/>
  <c r="I230" i="6"/>
  <c r="I231" i="6"/>
  <c r="I232" i="6"/>
  <c r="I233" i="6"/>
  <c r="I233" i="42" s="1"/>
  <c r="K233" i="6"/>
  <c r="K233" i="42" s="1"/>
  <c r="I234" i="6"/>
  <c r="I234" i="42" s="1"/>
  <c r="I235" i="6"/>
  <c r="I236" i="6"/>
  <c r="I237" i="6"/>
  <c r="I237" i="42" s="1"/>
  <c r="I238" i="6"/>
  <c r="I238" i="42" s="1"/>
  <c r="K238" i="6"/>
  <c r="K238" i="42" s="1"/>
  <c r="I239" i="6"/>
  <c r="I242" i="6"/>
  <c r="I242" i="42" s="1"/>
  <c r="I243" i="6"/>
  <c r="I243" i="42" s="1"/>
  <c r="I244" i="6"/>
  <c r="I245" i="6"/>
  <c r="I245" i="42" s="1"/>
  <c r="I246" i="6"/>
  <c r="I246" i="42" s="1"/>
  <c r="I247" i="6"/>
  <c r="I250" i="6"/>
  <c r="K250" i="6"/>
  <c r="K251" i="6" s="1"/>
  <c r="I251" i="6"/>
  <c r="I255" i="6"/>
  <c r="I256" i="6" s="1"/>
  <c r="I259" i="6"/>
  <c r="K259" i="6" s="1"/>
  <c r="K260" i="6" s="1"/>
  <c r="I260" i="6"/>
  <c r="K179" i="6"/>
  <c r="J179" i="6"/>
  <c r="I179" i="6"/>
  <c r="I156" i="6"/>
  <c r="I161" i="6" s="1"/>
  <c r="I165" i="6" s="1"/>
  <c r="J156" i="6"/>
  <c r="K156" i="6"/>
  <c r="J161" i="6"/>
  <c r="J165" i="6" s="1"/>
  <c r="I148" i="6"/>
  <c r="J148" i="6"/>
  <c r="K148" i="6"/>
  <c r="I63" i="6"/>
  <c r="J63" i="6"/>
  <c r="K63" i="6"/>
  <c r="K50" i="6"/>
  <c r="J50" i="6"/>
  <c r="J59" i="6" s="1"/>
  <c r="I59" i="6"/>
  <c r="K225" i="6" l="1"/>
  <c r="K232" i="6"/>
  <c r="K232" i="42" s="1"/>
  <c r="I232" i="42"/>
  <c r="K230" i="6"/>
  <c r="K230" i="42" s="1"/>
  <c r="I230" i="42"/>
  <c r="I240" i="6"/>
  <c r="I227" i="42"/>
  <c r="K247" i="6"/>
  <c r="I247" i="42"/>
  <c r="K245" i="6"/>
  <c r="K244" i="6"/>
  <c r="K242" i="6"/>
  <c r="K248" i="6" s="1"/>
  <c r="K234" i="6"/>
  <c r="K234" i="42" s="1"/>
  <c r="K229" i="6"/>
  <c r="K229" i="42" s="1"/>
  <c r="K220" i="6"/>
  <c r="I220" i="42"/>
  <c r="I216" i="6"/>
  <c r="K235" i="6"/>
  <c r="K235" i="42" s="1"/>
  <c r="I235" i="42"/>
  <c r="K246" i="6"/>
  <c r="K246" i="42" s="1"/>
  <c r="K243" i="6"/>
  <c r="K239" i="6"/>
  <c r="K239" i="42" s="1"/>
  <c r="I239" i="42"/>
  <c r="K237" i="6"/>
  <c r="K237" i="42" s="1"/>
  <c r="K236" i="6"/>
  <c r="K236" i="42" s="1"/>
  <c r="I236" i="42"/>
  <c r="K231" i="6"/>
  <c r="K231" i="42" s="1"/>
  <c r="I231" i="42"/>
  <c r="K219" i="6"/>
  <c r="K219" i="42" s="1"/>
  <c r="K215" i="6"/>
  <c r="I248" i="6"/>
  <c r="I225" i="6"/>
  <c r="I221" i="6"/>
  <c r="I252" i="6"/>
  <c r="I257" i="6" s="1"/>
  <c r="I261" i="6" s="1"/>
  <c r="I262" i="6" s="1"/>
  <c r="K255" i="6"/>
  <c r="K256" i="6" s="1"/>
  <c r="K227" i="6"/>
  <c r="K240" i="6" l="1"/>
  <c r="K227" i="42"/>
  <c r="K240" i="42" s="1"/>
  <c r="I240" i="42"/>
  <c r="E36" i="48" s="1"/>
  <c r="K221" i="6"/>
  <c r="K220" i="42"/>
  <c r="K216" i="6"/>
  <c r="K252" i="6"/>
  <c r="K257" i="6" s="1"/>
  <c r="K261" i="6" s="1"/>
  <c r="I250" i="8" l="1"/>
  <c r="K250" i="8" s="1"/>
  <c r="K251" i="8" s="1"/>
  <c r="I255" i="8"/>
  <c r="K255" i="8" s="1"/>
  <c r="K256" i="8" s="1"/>
  <c r="I259" i="8"/>
  <c r="K259" i="8" s="1"/>
  <c r="K260" i="8" s="1"/>
  <c r="J245" i="8"/>
  <c r="K245" i="8" s="1"/>
  <c r="K245" i="42" s="1"/>
  <c r="I244" i="8"/>
  <c r="I244" i="42" s="1"/>
  <c r="J243" i="8"/>
  <c r="K243" i="8" s="1"/>
  <c r="K243" i="42" s="1"/>
  <c r="J242" i="8"/>
  <c r="I240" i="8"/>
  <c r="J240" i="8"/>
  <c r="K240" i="8"/>
  <c r="I221" i="8"/>
  <c r="I218" i="8"/>
  <c r="I214" i="8"/>
  <c r="I180" i="8"/>
  <c r="J179" i="8"/>
  <c r="K179" i="8" s="1"/>
  <c r="I179" i="8"/>
  <c r="I179" i="42" s="1"/>
  <c r="I178" i="8"/>
  <c r="I156" i="8"/>
  <c r="J156" i="8"/>
  <c r="K156" i="8"/>
  <c r="J144" i="8"/>
  <c r="J143" i="8"/>
  <c r="K143" i="8" s="1"/>
  <c r="K142" i="8"/>
  <c r="J142" i="8"/>
  <c r="J141" i="8"/>
  <c r="K141" i="8" s="1"/>
  <c r="K140" i="8"/>
  <c r="J140" i="8"/>
  <c r="J139" i="8"/>
  <c r="K139" i="8" s="1"/>
  <c r="J138" i="8"/>
  <c r="K138" i="8" s="1"/>
  <c r="J137" i="8"/>
  <c r="K137" i="8" s="1"/>
  <c r="K137" i="42" s="1"/>
  <c r="K136" i="8"/>
  <c r="K136" i="42" s="1"/>
  <c r="J136" i="8"/>
  <c r="I135" i="8"/>
  <c r="J134" i="8"/>
  <c r="K134" i="8" s="1"/>
  <c r="K134" i="42" s="1"/>
  <c r="J133" i="8"/>
  <c r="K133" i="8" s="1"/>
  <c r="K133" i="42" s="1"/>
  <c r="J132" i="8"/>
  <c r="K132" i="8" s="1"/>
  <c r="K132" i="42" s="1"/>
  <c r="J131" i="8"/>
  <c r="K131" i="8" s="1"/>
  <c r="K131" i="42" s="1"/>
  <c r="J130" i="8"/>
  <c r="K130" i="8" s="1"/>
  <c r="K130" i="42" s="1"/>
  <c r="J129" i="8"/>
  <c r="K129" i="8" s="1"/>
  <c r="K129" i="42" s="1"/>
  <c r="J128" i="8"/>
  <c r="K128" i="8" s="1"/>
  <c r="K128" i="42" s="1"/>
  <c r="J127" i="8"/>
  <c r="K127" i="8" s="1"/>
  <c r="K127" i="42" s="1"/>
  <c r="J126" i="8"/>
  <c r="K126" i="8" s="1"/>
  <c r="K126" i="42" s="1"/>
  <c r="J125" i="8"/>
  <c r="K125" i="8" s="1"/>
  <c r="K125" i="42" s="1"/>
  <c r="J124" i="8"/>
  <c r="K124" i="8" s="1"/>
  <c r="K124" i="42" s="1"/>
  <c r="J123" i="8"/>
  <c r="K123" i="8" s="1"/>
  <c r="K123" i="42" s="1"/>
  <c r="J122" i="8"/>
  <c r="K122" i="8" s="1"/>
  <c r="K122" i="42" s="1"/>
  <c r="J121" i="8"/>
  <c r="K121" i="8" s="1"/>
  <c r="K121" i="42" s="1"/>
  <c r="I121" i="8"/>
  <c r="I121" i="42" s="1"/>
  <c r="J120" i="8"/>
  <c r="K120" i="8" s="1"/>
  <c r="K120" i="42" s="1"/>
  <c r="I119" i="8"/>
  <c r="J118" i="8"/>
  <c r="J118" i="42" s="1"/>
  <c r="I118" i="8"/>
  <c r="I118" i="42" s="1"/>
  <c r="J117" i="8"/>
  <c r="J117" i="42" s="1"/>
  <c r="J116" i="8"/>
  <c r="J116" i="42" s="1"/>
  <c r="J115" i="8"/>
  <c r="J115" i="42" s="1"/>
  <c r="J114" i="8"/>
  <c r="J114" i="42" s="1"/>
  <c r="J113" i="8"/>
  <c r="J113" i="42" s="1"/>
  <c r="J112" i="8"/>
  <c r="J112" i="42" s="1"/>
  <c r="J111" i="8"/>
  <c r="J111" i="42" s="1"/>
  <c r="J110" i="8"/>
  <c r="J110" i="42" s="1"/>
  <c r="J109" i="8"/>
  <c r="J109" i="42" s="1"/>
  <c r="J108" i="8"/>
  <c r="J108" i="42" s="1"/>
  <c r="J107" i="8"/>
  <c r="J107" i="42" s="1"/>
  <c r="J106" i="8"/>
  <c r="J106" i="42" s="1"/>
  <c r="J105" i="8"/>
  <c r="J105" i="42" s="1"/>
  <c r="J104" i="8"/>
  <c r="J104" i="42" s="1"/>
  <c r="J103" i="8"/>
  <c r="J103" i="42" s="1"/>
  <c r="J102" i="8"/>
  <c r="J102" i="42" s="1"/>
  <c r="J101" i="8"/>
  <c r="J101" i="42" s="1"/>
  <c r="J100" i="8"/>
  <c r="J100" i="42" s="1"/>
  <c r="J99" i="8"/>
  <c r="J99" i="42" s="1"/>
  <c r="J98" i="8"/>
  <c r="J97" i="8"/>
  <c r="J97" i="42" s="1"/>
  <c r="J96" i="8"/>
  <c r="J96" i="42" s="1"/>
  <c r="J95" i="8"/>
  <c r="J95" i="42" s="1"/>
  <c r="J94" i="8"/>
  <c r="J94" i="42" s="1"/>
  <c r="J93" i="8"/>
  <c r="J93" i="42" s="1"/>
  <c r="J92" i="8"/>
  <c r="J92" i="42" s="1"/>
  <c r="J91" i="8"/>
  <c r="J91" i="42" s="1"/>
  <c r="J90" i="8"/>
  <c r="J89" i="8"/>
  <c r="J88" i="8"/>
  <c r="J88" i="42" s="1"/>
  <c r="J87" i="8"/>
  <c r="J86" i="8"/>
  <c r="J85" i="8"/>
  <c r="J84" i="8"/>
  <c r="J84" i="42" s="1"/>
  <c r="K83" i="8"/>
  <c r="K83" i="42" s="1"/>
  <c r="J83" i="8"/>
  <c r="J83" i="42" s="1"/>
  <c r="K82" i="8"/>
  <c r="K82" i="42" s="1"/>
  <c r="J82" i="8"/>
  <c r="K81" i="8"/>
  <c r="K81" i="42" s="1"/>
  <c r="J81" i="8"/>
  <c r="J81" i="42" s="1"/>
  <c r="K80" i="8"/>
  <c r="K80" i="42" s="1"/>
  <c r="J80" i="8"/>
  <c r="J80" i="42" s="1"/>
  <c r="K79" i="8"/>
  <c r="K79" i="42" s="1"/>
  <c r="J79" i="8"/>
  <c r="J79" i="42" s="1"/>
  <c r="K78" i="8"/>
  <c r="K78" i="42" s="1"/>
  <c r="J78" i="8"/>
  <c r="J78" i="42" s="1"/>
  <c r="K77" i="8"/>
  <c r="K77" i="42" s="1"/>
  <c r="J77" i="8"/>
  <c r="J77" i="42" s="1"/>
  <c r="K76" i="8"/>
  <c r="K76" i="42" s="1"/>
  <c r="J76" i="8"/>
  <c r="K75" i="8"/>
  <c r="K75" i="42" s="1"/>
  <c r="J75" i="8"/>
  <c r="K74" i="8"/>
  <c r="K74" i="42" s="1"/>
  <c r="J74" i="8"/>
  <c r="J73" i="8"/>
  <c r="K73" i="8" s="1"/>
  <c r="K73" i="42" s="1"/>
  <c r="J72" i="8"/>
  <c r="K72" i="8" s="1"/>
  <c r="I58" i="8"/>
  <c r="J57" i="8"/>
  <c r="K57" i="8" s="1"/>
  <c r="I57" i="8"/>
  <c r="I57" i="42" s="1"/>
  <c r="I56" i="8"/>
  <c r="I56" i="42" s="1"/>
  <c r="I55" i="8"/>
  <c r="I55" i="42" s="1"/>
  <c r="I54" i="8"/>
  <c r="I54" i="42" s="1"/>
  <c r="I53" i="8"/>
  <c r="I53" i="42" s="1"/>
  <c r="I52" i="8"/>
  <c r="I52" i="42" s="1"/>
  <c r="I51" i="8"/>
  <c r="I51" i="42" s="1"/>
  <c r="I50" i="8"/>
  <c r="I50" i="42" s="1"/>
  <c r="I49" i="8"/>
  <c r="I49" i="42" s="1"/>
  <c r="I48" i="8"/>
  <c r="I48" i="42" s="1"/>
  <c r="J47" i="8"/>
  <c r="J47" i="42" s="1"/>
  <c r="I47" i="8"/>
  <c r="I47" i="42" s="1"/>
  <c r="I46" i="8"/>
  <c r="I46" i="42" s="1"/>
  <c r="I45" i="8"/>
  <c r="I45" i="42" s="1"/>
  <c r="I44" i="8"/>
  <c r="I44" i="42" s="1"/>
  <c r="I43" i="8"/>
  <c r="I43" i="42" s="1"/>
  <c r="I42" i="8"/>
  <c r="I42" i="42" s="1"/>
  <c r="I41" i="8"/>
  <c r="I41" i="42" s="1"/>
  <c r="J24" i="8"/>
  <c r="K24" i="8" s="1"/>
  <c r="K23" i="8"/>
  <c r="J23" i="8"/>
  <c r="J22" i="8"/>
  <c r="K22" i="8" s="1"/>
  <c r="I21" i="8"/>
  <c r="J21" i="8" s="1"/>
  <c r="K21" i="8" s="1"/>
  <c r="J20" i="8"/>
  <c r="I20" i="8"/>
  <c r="I25" i="8" s="1"/>
  <c r="J15" i="8"/>
  <c r="K15" i="8" s="1"/>
  <c r="J14" i="8"/>
  <c r="K14" i="8" s="1"/>
  <c r="J13" i="8"/>
  <c r="K13" i="8" s="1"/>
  <c r="J12" i="8"/>
  <c r="K12" i="8" s="1"/>
  <c r="J11" i="8"/>
  <c r="K11" i="8" s="1"/>
  <c r="J10" i="8"/>
  <c r="K10" i="8" s="1"/>
  <c r="J8" i="8"/>
  <c r="K8" i="8" s="1"/>
  <c r="J7" i="8"/>
  <c r="K7" i="8" s="1"/>
  <c r="J6" i="8"/>
  <c r="K6" i="8" s="1"/>
  <c r="I17" i="8"/>
  <c r="J17" i="8" s="1"/>
  <c r="K17" i="8" s="1"/>
  <c r="I16" i="8"/>
  <c r="J16" i="8" s="1"/>
  <c r="K16" i="8" s="1"/>
  <c r="I14" i="8"/>
  <c r="I9" i="8"/>
  <c r="J9" i="8" s="1"/>
  <c r="K9" i="8" s="1"/>
  <c r="I6" i="8"/>
  <c r="K18" i="8" l="1"/>
  <c r="I18" i="8"/>
  <c r="K20" i="8"/>
  <c r="K25" i="8" s="1"/>
  <c r="J25" i="8"/>
  <c r="J119" i="8"/>
  <c r="I119" i="42"/>
  <c r="J218" i="8"/>
  <c r="I218" i="42"/>
  <c r="I221" i="42" s="1"/>
  <c r="K242" i="8"/>
  <c r="J244" i="8"/>
  <c r="K244" i="8" s="1"/>
  <c r="K244" i="42" s="1"/>
  <c r="K85" i="8"/>
  <c r="K85" i="42" s="1"/>
  <c r="J85" i="42"/>
  <c r="J18" i="8"/>
  <c r="J43" i="8"/>
  <c r="J43" i="42" s="1"/>
  <c r="J49" i="8"/>
  <c r="J49" i="42" s="1"/>
  <c r="K86" i="8"/>
  <c r="K86" i="42" s="1"/>
  <c r="J86" i="42"/>
  <c r="K90" i="8"/>
  <c r="K90" i="42" s="1"/>
  <c r="J90" i="42"/>
  <c r="J180" i="8"/>
  <c r="K180" i="8" s="1"/>
  <c r="I251" i="8"/>
  <c r="J135" i="8"/>
  <c r="K135" i="8" s="1"/>
  <c r="K135" i="42" s="1"/>
  <c r="I135" i="42"/>
  <c r="K87" i="8"/>
  <c r="K87" i="42" s="1"/>
  <c r="J87" i="42"/>
  <c r="I148" i="8"/>
  <c r="J178" i="8"/>
  <c r="K178" i="8" s="1"/>
  <c r="I178" i="42"/>
  <c r="J214" i="8"/>
  <c r="I214" i="42"/>
  <c r="I260" i="8"/>
  <c r="I248" i="8"/>
  <c r="K89" i="8"/>
  <c r="K88" i="8"/>
  <c r="K88" i="42" s="1"/>
  <c r="K144" i="8"/>
  <c r="K84" i="8"/>
  <c r="K84" i="42" s="1"/>
  <c r="K91" i="8"/>
  <c r="K91" i="42" s="1"/>
  <c r="K95" i="8"/>
  <c r="K95" i="42" s="1"/>
  <c r="K103" i="8"/>
  <c r="K103" i="42" s="1"/>
  <c r="K92" i="8"/>
  <c r="K92" i="42" s="1"/>
  <c r="K94" i="8"/>
  <c r="K94" i="42" s="1"/>
  <c r="K96" i="8"/>
  <c r="K96" i="42" s="1"/>
  <c r="K98" i="8"/>
  <c r="K100" i="8"/>
  <c r="K100" i="42" s="1"/>
  <c r="K102" i="8"/>
  <c r="K102" i="42" s="1"/>
  <c r="K104" i="8"/>
  <c r="K104" i="42" s="1"/>
  <c r="K106" i="8"/>
  <c r="K106" i="42" s="1"/>
  <c r="K108" i="8"/>
  <c r="K108" i="42" s="1"/>
  <c r="K110" i="8"/>
  <c r="K110" i="42" s="1"/>
  <c r="K112" i="8"/>
  <c r="K112" i="42" s="1"/>
  <c r="K114" i="8"/>
  <c r="K114" i="42" s="1"/>
  <c r="K116" i="8"/>
  <c r="K116" i="42" s="1"/>
  <c r="K118" i="8"/>
  <c r="K118" i="42" s="1"/>
  <c r="K119" i="8"/>
  <c r="K119" i="42" s="1"/>
  <c r="K93" i="8"/>
  <c r="K93" i="42" s="1"/>
  <c r="K97" i="8"/>
  <c r="K97" i="42" s="1"/>
  <c r="K99" i="8"/>
  <c r="K99" i="42" s="1"/>
  <c r="K101" i="8"/>
  <c r="K101" i="42" s="1"/>
  <c r="K105" i="8"/>
  <c r="K105" i="42" s="1"/>
  <c r="K107" i="8"/>
  <c r="K107" i="42" s="1"/>
  <c r="K109" i="8"/>
  <c r="K109" i="42" s="1"/>
  <c r="K111" i="8"/>
  <c r="K111" i="42" s="1"/>
  <c r="K113" i="8"/>
  <c r="K113" i="42" s="1"/>
  <c r="K115" i="8"/>
  <c r="K115" i="42" s="1"/>
  <c r="K117" i="8"/>
  <c r="K117" i="42" s="1"/>
  <c r="J41" i="8"/>
  <c r="J41" i="42" s="1"/>
  <c r="J48" i="8"/>
  <c r="J48" i="42" s="1"/>
  <c r="J58" i="8"/>
  <c r="K58" i="8" s="1"/>
  <c r="I58" i="42"/>
  <c r="J42" i="8"/>
  <c r="J42" i="42" s="1"/>
  <c r="J44" i="8"/>
  <c r="J44" i="42" s="1"/>
  <c r="K47" i="8"/>
  <c r="J45" i="8"/>
  <c r="J45" i="42" s="1"/>
  <c r="K43" i="8"/>
  <c r="J46" i="8"/>
  <c r="J46" i="42" s="1"/>
  <c r="K49" i="8"/>
  <c r="J52" i="8"/>
  <c r="K52" i="8" s="1"/>
  <c r="I59" i="8"/>
  <c r="I161" i="8" s="1"/>
  <c r="I165" i="8" s="1"/>
  <c r="J50" i="8"/>
  <c r="J55" i="8"/>
  <c r="K55" i="8" s="1"/>
  <c r="J53" i="8"/>
  <c r="K53" i="8" s="1"/>
  <c r="J56" i="8"/>
  <c r="K56" i="8" s="1"/>
  <c r="J51" i="8"/>
  <c r="K51" i="8" s="1"/>
  <c r="J54" i="8"/>
  <c r="K54" i="8" s="1"/>
  <c r="I256" i="8"/>
  <c r="I248" i="42"/>
  <c r="F36" i="48" s="1"/>
  <c r="H28" i="4"/>
  <c r="I28" i="4" s="1"/>
  <c r="H73" i="4"/>
  <c r="H74" i="4"/>
  <c r="H75" i="4"/>
  <c r="H76" i="4"/>
  <c r="H77" i="4"/>
  <c r="H78" i="4"/>
  <c r="H79" i="4"/>
  <c r="H80" i="4"/>
  <c r="H81" i="4"/>
  <c r="H82" i="4"/>
  <c r="H83" i="4"/>
  <c r="H84" i="4"/>
  <c r="H85" i="4"/>
  <c r="H86" i="4"/>
  <c r="H87" i="4"/>
  <c r="H89" i="4"/>
  <c r="H90" i="4"/>
  <c r="H91" i="4"/>
  <c r="H92" i="4"/>
  <c r="H93" i="4"/>
  <c r="H94" i="4"/>
  <c r="H95" i="4"/>
  <c r="H96" i="4"/>
  <c r="H97" i="4"/>
  <c r="H99" i="4"/>
  <c r="H100" i="4"/>
  <c r="H101" i="4"/>
  <c r="H102" i="4"/>
  <c r="H103" i="4"/>
  <c r="H104" i="4"/>
  <c r="H105" i="4"/>
  <c r="H106" i="4"/>
  <c r="H107" i="4"/>
  <c r="H108" i="4"/>
  <c r="H109" i="4"/>
  <c r="H110" i="4"/>
  <c r="H111" i="4"/>
  <c r="H112" i="4"/>
  <c r="H113" i="4"/>
  <c r="H114" i="4"/>
  <c r="H115" i="4"/>
  <c r="H116" i="4"/>
  <c r="H117" i="4"/>
  <c r="H118" i="4"/>
  <c r="H119" i="4"/>
  <c r="H120" i="4"/>
  <c r="H121" i="4"/>
  <c r="H122" i="4"/>
  <c r="H124" i="4"/>
  <c r="H126" i="4"/>
  <c r="H127" i="4"/>
  <c r="H128" i="4"/>
  <c r="H129" i="4"/>
  <c r="H130" i="4"/>
  <c r="H131" i="4"/>
  <c r="H132" i="4"/>
  <c r="H133" i="4"/>
  <c r="H135" i="4"/>
  <c r="H136" i="4"/>
  <c r="H137" i="4"/>
  <c r="K242" i="42" l="1"/>
  <c r="I29" i="4"/>
  <c r="I161" i="4" s="1"/>
  <c r="I165" i="4" s="1"/>
  <c r="J28" i="4"/>
  <c r="K218" i="8"/>
  <c r="J221" i="8"/>
  <c r="K214" i="8"/>
  <c r="I59" i="42"/>
  <c r="D2" i="48" s="1"/>
  <c r="K42" i="8"/>
  <c r="K48" i="8"/>
  <c r="K41" i="8"/>
  <c r="K46" i="8"/>
  <c r="K45" i="8"/>
  <c r="K44" i="8"/>
  <c r="J59" i="8"/>
  <c r="K50" i="8"/>
  <c r="S69" i="44"/>
  <c r="K218" i="42" l="1"/>
  <c r="K221" i="42" s="1"/>
  <c r="K221" i="8"/>
  <c r="J29" i="4"/>
  <c r="K28" i="4"/>
  <c r="K214" i="42"/>
  <c r="K59" i="8"/>
  <c r="H31" i="5" l="1"/>
  <c r="H135" i="8"/>
  <c r="G150" i="10"/>
  <c r="G151" i="10" s="1"/>
  <c r="H150" i="10"/>
  <c r="H151" i="10" s="1"/>
  <c r="D150" i="10"/>
  <c r="E150" i="10"/>
  <c r="H148" i="23"/>
  <c r="G255" i="42"/>
  <c r="D255" i="42"/>
  <c r="G250" i="42"/>
  <c r="E250" i="42"/>
  <c r="D250" i="42"/>
  <c r="G247" i="42"/>
  <c r="E247" i="42"/>
  <c r="D247" i="42"/>
  <c r="G246" i="42"/>
  <c r="E246" i="42"/>
  <c r="D246" i="42"/>
  <c r="G245" i="42"/>
  <c r="E245" i="42"/>
  <c r="D245" i="42"/>
  <c r="G244" i="42"/>
  <c r="E244" i="42"/>
  <c r="D244" i="42"/>
  <c r="G243" i="42"/>
  <c r="E243" i="42"/>
  <c r="D243" i="42"/>
  <c r="G242" i="42"/>
  <c r="E242" i="42"/>
  <c r="D242" i="42"/>
  <c r="G239" i="42"/>
  <c r="E239" i="42"/>
  <c r="D239" i="42"/>
  <c r="G238" i="42"/>
  <c r="E238" i="42"/>
  <c r="D238" i="42"/>
  <c r="G237" i="42"/>
  <c r="E237" i="42"/>
  <c r="D237" i="42"/>
  <c r="G236" i="42"/>
  <c r="E236" i="42"/>
  <c r="D236" i="42"/>
  <c r="G235" i="42"/>
  <c r="E235" i="42"/>
  <c r="D235" i="42"/>
  <c r="G234" i="42"/>
  <c r="E234" i="42"/>
  <c r="D234" i="42"/>
  <c r="G233" i="42"/>
  <c r="E233" i="42"/>
  <c r="D233" i="42"/>
  <c r="G232" i="42"/>
  <c r="E232" i="42"/>
  <c r="D232" i="42"/>
  <c r="G231" i="42"/>
  <c r="E231" i="42"/>
  <c r="D231" i="42"/>
  <c r="G230" i="42"/>
  <c r="E230" i="42"/>
  <c r="D230" i="42"/>
  <c r="G229" i="42"/>
  <c r="E229" i="42"/>
  <c r="D229" i="42"/>
  <c r="G228" i="42"/>
  <c r="E228" i="42"/>
  <c r="D228" i="42"/>
  <c r="G227" i="42"/>
  <c r="E227" i="42"/>
  <c r="D227" i="42"/>
  <c r="G224" i="42"/>
  <c r="E224" i="42"/>
  <c r="D224" i="42"/>
  <c r="G223" i="42"/>
  <c r="E223" i="42"/>
  <c r="D223" i="42"/>
  <c r="G220" i="42"/>
  <c r="E220" i="42"/>
  <c r="D220" i="42"/>
  <c r="G219" i="42"/>
  <c r="E219" i="42"/>
  <c r="D219" i="42"/>
  <c r="G218" i="42"/>
  <c r="E218" i="42"/>
  <c r="D218" i="42"/>
  <c r="G215" i="42"/>
  <c r="E215" i="42"/>
  <c r="D215" i="42"/>
  <c r="G214" i="42"/>
  <c r="E214" i="42"/>
  <c r="D214" i="42"/>
  <c r="G211" i="42"/>
  <c r="D211" i="42"/>
  <c r="G210" i="42"/>
  <c r="E210" i="42"/>
  <c r="D210" i="42"/>
  <c r="G209" i="42"/>
  <c r="E209" i="42"/>
  <c r="D209" i="42"/>
  <c r="G208" i="42"/>
  <c r="E208" i="42"/>
  <c r="D208" i="42"/>
  <c r="E205" i="42"/>
  <c r="D176" i="42"/>
  <c r="E176" i="42"/>
  <c r="G176" i="42"/>
  <c r="D177" i="42"/>
  <c r="E177" i="42"/>
  <c r="G177" i="42"/>
  <c r="D178" i="42"/>
  <c r="E178" i="42"/>
  <c r="G178" i="42"/>
  <c r="D179" i="42"/>
  <c r="E179" i="42"/>
  <c r="G179" i="42"/>
  <c r="D180" i="42"/>
  <c r="E180" i="42"/>
  <c r="G180" i="42"/>
  <c r="D181" i="42"/>
  <c r="E181" i="42"/>
  <c r="G181" i="42"/>
  <c r="D182" i="42"/>
  <c r="E182" i="42"/>
  <c r="G182" i="42"/>
  <c r="D183" i="42"/>
  <c r="E183" i="42"/>
  <c r="G183" i="42"/>
  <c r="D184" i="42"/>
  <c r="E184" i="42"/>
  <c r="G184" i="42"/>
  <c r="D185" i="42"/>
  <c r="E185" i="42"/>
  <c r="G185" i="42"/>
  <c r="D186" i="42"/>
  <c r="E186" i="42"/>
  <c r="G186" i="42"/>
  <c r="D187" i="42"/>
  <c r="E187" i="42"/>
  <c r="G187" i="42"/>
  <c r="D188" i="42"/>
  <c r="E188" i="42"/>
  <c r="G188" i="42"/>
  <c r="D189" i="42"/>
  <c r="E189" i="42"/>
  <c r="G189" i="42"/>
  <c r="D190" i="42"/>
  <c r="E190" i="42"/>
  <c r="G190" i="42"/>
  <c r="D191" i="42"/>
  <c r="E191" i="42"/>
  <c r="G191" i="42"/>
  <c r="D192" i="42"/>
  <c r="E192" i="42"/>
  <c r="G192" i="42"/>
  <c r="D193" i="42"/>
  <c r="E193" i="42"/>
  <c r="G193" i="42"/>
  <c r="D194" i="42"/>
  <c r="E194" i="42"/>
  <c r="G194" i="42"/>
  <c r="D195" i="42"/>
  <c r="E195" i="42"/>
  <c r="G195" i="42"/>
  <c r="D196" i="42"/>
  <c r="E196" i="42"/>
  <c r="G196" i="42"/>
  <c r="D197" i="42"/>
  <c r="E197" i="42"/>
  <c r="G197" i="42"/>
  <c r="D198" i="42"/>
  <c r="E198" i="42"/>
  <c r="G198" i="42"/>
  <c r="D199" i="42"/>
  <c r="E199" i="42"/>
  <c r="G199" i="42"/>
  <c r="D200" i="42"/>
  <c r="E200" i="42"/>
  <c r="G200" i="42"/>
  <c r="D201" i="42"/>
  <c r="E201" i="42"/>
  <c r="G201" i="42"/>
  <c r="G202" i="42"/>
  <c r="D203" i="42"/>
  <c r="E203" i="42"/>
  <c r="G203" i="42"/>
  <c r="D204" i="42"/>
  <c r="E204" i="42"/>
  <c r="G204" i="42"/>
  <c r="D205" i="42"/>
  <c r="G205" i="42"/>
  <c r="G159" i="42"/>
  <c r="E159" i="42"/>
  <c r="D159" i="42"/>
  <c r="G158" i="42"/>
  <c r="E158" i="42"/>
  <c r="D158" i="42"/>
  <c r="D155" i="42"/>
  <c r="D154" i="42"/>
  <c r="D153" i="42"/>
  <c r="D72" i="42"/>
  <c r="E72" i="42"/>
  <c r="G72" i="42"/>
  <c r="D73" i="42"/>
  <c r="E73" i="42"/>
  <c r="G73" i="42"/>
  <c r="D74" i="42"/>
  <c r="E74" i="42"/>
  <c r="G74" i="42"/>
  <c r="D75" i="42"/>
  <c r="E75" i="42"/>
  <c r="G75" i="42"/>
  <c r="D76" i="42"/>
  <c r="E76" i="42"/>
  <c r="G76" i="42"/>
  <c r="D77" i="42"/>
  <c r="E77" i="42"/>
  <c r="G77" i="42"/>
  <c r="D78" i="42"/>
  <c r="E78" i="42"/>
  <c r="G78" i="42"/>
  <c r="D79" i="42"/>
  <c r="E79" i="42"/>
  <c r="G79" i="42"/>
  <c r="D80" i="42"/>
  <c r="E80" i="42"/>
  <c r="G80" i="42"/>
  <c r="D81" i="42"/>
  <c r="E81" i="42"/>
  <c r="G81" i="42"/>
  <c r="D82" i="42"/>
  <c r="E82" i="42"/>
  <c r="G82" i="42"/>
  <c r="D83" i="42"/>
  <c r="E83" i="42"/>
  <c r="G83" i="42"/>
  <c r="D84" i="42"/>
  <c r="E84" i="42"/>
  <c r="G84" i="42"/>
  <c r="D85" i="42"/>
  <c r="E85" i="42"/>
  <c r="G85" i="42"/>
  <c r="D86" i="42"/>
  <c r="E86" i="42"/>
  <c r="G86" i="42"/>
  <c r="D87" i="42"/>
  <c r="E87" i="42"/>
  <c r="G87" i="42"/>
  <c r="D88" i="42"/>
  <c r="E88" i="42"/>
  <c r="G88" i="42"/>
  <c r="D89" i="42"/>
  <c r="G89" i="42"/>
  <c r="D90" i="42"/>
  <c r="E90" i="42"/>
  <c r="G90" i="42"/>
  <c r="D91" i="42"/>
  <c r="E91" i="42"/>
  <c r="G91" i="42"/>
  <c r="D92" i="42"/>
  <c r="E92" i="42"/>
  <c r="G92" i="42"/>
  <c r="D93" i="42"/>
  <c r="E93" i="42"/>
  <c r="G93" i="42"/>
  <c r="D94" i="42"/>
  <c r="E94" i="42"/>
  <c r="G94" i="42"/>
  <c r="D95" i="42"/>
  <c r="E95" i="42"/>
  <c r="G95" i="42"/>
  <c r="D96" i="42"/>
  <c r="E96" i="42"/>
  <c r="G96" i="42"/>
  <c r="D97" i="42"/>
  <c r="E97" i="42"/>
  <c r="G97" i="42"/>
  <c r="D98" i="42"/>
  <c r="E98" i="42"/>
  <c r="G98" i="42"/>
  <c r="D99" i="42"/>
  <c r="E99" i="42"/>
  <c r="G99" i="42"/>
  <c r="D100" i="42"/>
  <c r="E100" i="42"/>
  <c r="G100" i="42"/>
  <c r="D101" i="42"/>
  <c r="E101" i="42"/>
  <c r="G101" i="42"/>
  <c r="D102" i="42"/>
  <c r="E102" i="42"/>
  <c r="G102" i="42"/>
  <c r="D103" i="42"/>
  <c r="E103" i="42"/>
  <c r="G103" i="42"/>
  <c r="D104" i="42"/>
  <c r="E104" i="42"/>
  <c r="G104" i="42"/>
  <c r="D105" i="42"/>
  <c r="E105" i="42"/>
  <c r="G105" i="42"/>
  <c r="D106" i="42"/>
  <c r="E106" i="42"/>
  <c r="G106" i="42"/>
  <c r="D107" i="42"/>
  <c r="E107" i="42"/>
  <c r="G107" i="42"/>
  <c r="D108" i="42"/>
  <c r="E108" i="42"/>
  <c r="G108" i="42"/>
  <c r="D109" i="42"/>
  <c r="E109" i="42"/>
  <c r="G109" i="42"/>
  <c r="D110" i="42"/>
  <c r="E110" i="42"/>
  <c r="G110" i="42"/>
  <c r="D111" i="42"/>
  <c r="E111" i="42"/>
  <c r="G111" i="42"/>
  <c r="D112" i="42"/>
  <c r="E112" i="42"/>
  <c r="G112" i="42"/>
  <c r="D113" i="42"/>
  <c r="E113" i="42"/>
  <c r="G113" i="42"/>
  <c r="D114" i="42"/>
  <c r="E114" i="42"/>
  <c r="G114" i="42"/>
  <c r="D115" i="42"/>
  <c r="G115" i="42"/>
  <c r="D116" i="42"/>
  <c r="E116" i="42"/>
  <c r="G116" i="42"/>
  <c r="D117" i="42"/>
  <c r="E117" i="42"/>
  <c r="G117" i="42"/>
  <c r="D118" i="42"/>
  <c r="E118" i="42"/>
  <c r="G118" i="42"/>
  <c r="D119" i="42"/>
  <c r="E119" i="42"/>
  <c r="G119" i="42"/>
  <c r="D120" i="42"/>
  <c r="E120" i="42"/>
  <c r="G120" i="42"/>
  <c r="D121" i="42"/>
  <c r="E121" i="42"/>
  <c r="G121" i="42"/>
  <c r="D122" i="42"/>
  <c r="E122" i="42"/>
  <c r="G122" i="42"/>
  <c r="D123" i="42"/>
  <c r="E123" i="42"/>
  <c r="G123" i="42"/>
  <c r="D124" i="42"/>
  <c r="E124" i="42"/>
  <c r="G124" i="42"/>
  <c r="D125" i="42"/>
  <c r="E125" i="42"/>
  <c r="G125" i="42"/>
  <c r="D126" i="42"/>
  <c r="E126" i="42"/>
  <c r="G126" i="42"/>
  <c r="D127" i="42"/>
  <c r="E127" i="42"/>
  <c r="G127" i="42"/>
  <c r="D128" i="42"/>
  <c r="E128" i="42"/>
  <c r="G128" i="42"/>
  <c r="D129" i="42"/>
  <c r="E129" i="42"/>
  <c r="G129" i="42"/>
  <c r="D130" i="42"/>
  <c r="E130" i="42"/>
  <c r="G130" i="42"/>
  <c r="D131" i="42"/>
  <c r="E131" i="42"/>
  <c r="G131" i="42"/>
  <c r="D132" i="42"/>
  <c r="E132" i="42"/>
  <c r="G132" i="42"/>
  <c r="D133" i="42"/>
  <c r="E133" i="42"/>
  <c r="G133" i="42"/>
  <c r="D134" i="42"/>
  <c r="G134" i="42"/>
  <c r="D135" i="42"/>
  <c r="E135" i="42"/>
  <c r="G135" i="42"/>
  <c r="D136" i="42"/>
  <c r="E136" i="42"/>
  <c r="D137" i="42"/>
  <c r="E137" i="42"/>
  <c r="D138" i="42"/>
  <c r="E138" i="42"/>
  <c r="D139" i="42"/>
  <c r="E139" i="42"/>
  <c r="D140" i="42"/>
  <c r="E140" i="42"/>
  <c r="D141" i="42"/>
  <c r="E141" i="42"/>
  <c r="D142" i="42"/>
  <c r="E142" i="42"/>
  <c r="D143" i="42"/>
  <c r="E143" i="42"/>
  <c r="D144" i="42"/>
  <c r="E144" i="42"/>
  <c r="G144" i="42"/>
  <c r="D145" i="42"/>
  <c r="E145" i="42"/>
  <c r="D146" i="42"/>
  <c r="E146" i="42"/>
  <c r="D147" i="42"/>
  <c r="E147" i="42"/>
  <c r="G147" i="42"/>
  <c r="E148" i="23" l="1"/>
  <c r="F148" i="23"/>
  <c r="G148" i="23"/>
  <c r="E172" i="42"/>
  <c r="E173" i="42"/>
  <c r="G163" i="42"/>
  <c r="G164" i="42" s="1"/>
  <c r="D163" i="42"/>
  <c r="G69" i="42"/>
  <c r="E69" i="42"/>
  <c r="D69" i="42"/>
  <c r="G68" i="42"/>
  <c r="E68" i="42"/>
  <c r="D68" i="42"/>
  <c r="G65" i="42"/>
  <c r="E65" i="42"/>
  <c r="D65" i="42"/>
  <c r="G62" i="42"/>
  <c r="E62" i="42"/>
  <c r="D62" i="42"/>
  <c r="G61" i="42"/>
  <c r="E61" i="42"/>
  <c r="D61" i="42"/>
  <c r="G58" i="42"/>
  <c r="E58" i="42"/>
  <c r="D58" i="42"/>
  <c r="G57" i="42"/>
  <c r="E57" i="42"/>
  <c r="D57" i="42"/>
  <c r="G56" i="42"/>
  <c r="E56" i="42"/>
  <c r="D56" i="42"/>
  <c r="G55" i="42"/>
  <c r="E55" i="42"/>
  <c r="D55" i="42"/>
  <c r="G54" i="42"/>
  <c r="E54" i="42"/>
  <c r="D54" i="42"/>
  <c r="G53" i="42"/>
  <c r="E53" i="42"/>
  <c r="D53" i="42"/>
  <c r="G52" i="42"/>
  <c r="E52" i="42"/>
  <c r="D52" i="42"/>
  <c r="G51" i="42"/>
  <c r="E51" i="42"/>
  <c r="D51" i="42"/>
  <c r="G50" i="42"/>
  <c r="E50" i="42"/>
  <c r="D50" i="42"/>
  <c r="G49" i="42"/>
  <c r="E49" i="42"/>
  <c r="D49" i="42"/>
  <c r="G48" i="42"/>
  <c r="E48" i="42"/>
  <c r="D48" i="42"/>
  <c r="G47" i="42"/>
  <c r="E47" i="42"/>
  <c r="D47" i="42"/>
  <c r="G46" i="42"/>
  <c r="E46" i="42"/>
  <c r="D46" i="42"/>
  <c r="G45" i="42"/>
  <c r="E45" i="42"/>
  <c r="D45" i="42"/>
  <c r="G44" i="42"/>
  <c r="E44" i="42"/>
  <c r="D44" i="42"/>
  <c r="G43" i="42"/>
  <c r="E43" i="42"/>
  <c r="D43" i="42"/>
  <c r="G42" i="42"/>
  <c r="E42" i="42"/>
  <c r="D42" i="42"/>
  <c r="G41" i="42"/>
  <c r="E41" i="42"/>
  <c r="D41" i="42"/>
  <c r="H40" i="42"/>
  <c r="G40" i="42"/>
  <c r="E40" i="42"/>
  <c r="D40" i="42"/>
  <c r="H37" i="42"/>
  <c r="G37" i="42"/>
  <c r="E37" i="42"/>
  <c r="D37" i="42"/>
  <c r="H34" i="42"/>
  <c r="G34" i="42"/>
  <c r="E34" i="42"/>
  <c r="D34" i="42"/>
  <c r="E31" i="42"/>
  <c r="E28" i="42"/>
  <c r="D28" i="42"/>
  <c r="E24" i="42"/>
  <c r="D24" i="42"/>
  <c r="E23" i="42"/>
  <c r="D23" i="42"/>
  <c r="E22" i="42"/>
  <c r="D22" i="42"/>
  <c r="E21" i="42"/>
  <c r="D21" i="42"/>
  <c r="E20" i="42"/>
  <c r="D20" i="42"/>
  <c r="D8" i="42"/>
  <c r="D9" i="42"/>
  <c r="E9" i="42"/>
  <c r="D10" i="42"/>
  <c r="E10" i="42"/>
  <c r="D11" i="42"/>
  <c r="E11" i="42"/>
  <c r="D12" i="42"/>
  <c r="E12" i="42"/>
  <c r="D13" i="42"/>
  <c r="E13" i="42"/>
  <c r="D14" i="42"/>
  <c r="E14" i="42"/>
  <c r="D15" i="42"/>
  <c r="E15" i="42"/>
  <c r="D16" i="42"/>
  <c r="E16" i="42"/>
  <c r="D17" i="42"/>
  <c r="E17" i="42"/>
  <c r="D7" i="42"/>
  <c r="E7" i="42"/>
  <c r="G32" i="26" l="1"/>
  <c r="H181" i="5"/>
  <c r="H182" i="5"/>
  <c r="H183" i="5"/>
  <c r="H184" i="5"/>
  <c r="H185" i="5"/>
  <c r="H186" i="5"/>
  <c r="H187" i="5"/>
  <c r="H188" i="5"/>
  <c r="H189" i="5"/>
  <c r="H190" i="5"/>
  <c r="H191" i="5"/>
  <c r="H192" i="5"/>
  <c r="H193" i="5"/>
  <c r="H194" i="5"/>
  <c r="H195" i="5"/>
  <c r="H196" i="5"/>
  <c r="H197" i="5"/>
  <c r="H198" i="5"/>
  <c r="H199" i="5"/>
  <c r="H200" i="5"/>
  <c r="H201" i="5"/>
  <c r="H202" i="5"/>
  <c r="H203" i="5"/>
  <c r="H204" i="5"/>
  <c r="H205" i="5"/>
  <c r="I205" i="5" s="1"/>
  <c r="D160" i="11"/>
  <c r="G212" i="11"/>
  <c r="L212" i="11"/>
  <c r="D212" i="11"/>
  <c r="F216" i="11"/>
  <c r="G216" i="11"/>
  <c r="H216" i="11"/>
  <c r="F221" i="11"/>
  <c r="G221" i="11"/>
  <c r="H221" i="11"/>
  <c r="F225" i="11"/>
  <c r="G225" i="11"/>
  <c r="H225" i="11"/>
  <c r="D225" i="11"/>
  <c r="H211" i="11"/>
  <c r="H212" i="11" s="1"/>
  <c r="F211" i="11"/>
  <c r="F212" i="11" s="1"/>
  <c r="E211" i="11"/>
  <c r="E211" i="42" s="1"/>
  <c r="G252" i="11"/>
  <c r="G257" i="11" s="1"/>
  <c r="G261" i="11" s="1"/>
  <c r="H202" i="11"/>
  <c r="I202" i="11" s="1"/>
  <c r="H199" i="11"/>
  <c r="I199" i="11" s="1"/>
  <c r="J199" i="11" s="1"/>
  <c r="K199" i="11" s="1"/>
  <c r="H180" i="11"/>
  <c r="I180" i="11" s="1"/>
  <c r="J202" i="11" l="1"/>
  <c r="J205" i="5"/>
  <c r="I206" i="5"/>
  <c r="I252" i="5"/>
  <c r="I257" i="5" s="1"/>
  <c r="I261" i="5" s="1"/>
  <c r="J180" i="11"/>
  <c r="K180" i="11" s="1"/>
  <c r="I180" i="42"/>
  <c r="G145" i="8"/>
  <c r="G145" i="42" s="1"/>
  <c r="H145" i="8"/>
  <c r="G146" i="8"/>
  <c r="G146" i="42" s="1"/>
  <c r="H146" i="8"/>
  <c r="G160" i="9"/>
  <c r="H160" i="9"/>
  <c r="E153" i="9"/>
  <c r="E153" i="42" s="1"/>
  <c r="E154" i="9"/>
  <c r="E154" i="42" s="1"/>
  <c r="E155" i="9"/>
  <c r="E155" i="42" s="1"/>
  <c r="G153" i="9"/>
  <c r="G153" i="42" s="1"/>
  <c r="H153" i="9"/>
  <c r="G154" i="9"/>
  <c r="G154" i="42" s="1"/>
  <c r="H154" i="9"/>
  <c r="G155" i="9"/>
  <c r="G155" i="42" s="1"/>
  <c r="H155" i="9"/>
  <c r="H155" i="42" s="1"/>
  <c r="G28" i="9"/>
  <c r="G28" i="42" s="1"/>
  <c r="G20" i="9"/>
  <c r="G20" i="42" s="1"/>
  <c r="G21" i="9"/>
  <c r="G21" i="42" s="1"/>
  <c r="G22" i="9"/>
  <c r="G22" i="42" s="1"/>
  <c r="G23" i="9"/>
  <c r="G23" i="42" s="1"/>
  <c r="G24" i="9"/>
  <c r="G24" i="42" s="1"/>
  <c r="G7" i="9"/>
  <c r="G7" i="42" s="1"/>
  <c r="G8" i="9"/>
  <c r="G9" i="9"/>
  <c r="G9" i="42" s="1"/>
  <c r="G10" i="9"/>
  <c r="G10" i="42" s="1"/>
  <c r="G11" i="9"/>
  <c r="G11" i="42" s="1"/>
  <c r="G12" i="9"/>
  <c r="G12" i="42" s="1"/>
  <c r="G13" i="9"/>
  <c r="G14" i="9"/>
  <c r="G14" i="42" s="1"/>
  <c r="G15" i="9"/>
  <c r="G15" i="42" s="1"/>
  <c r="G16" i="9"/>
  <c r="G16" i="42" s="1"/>
  <c r="G17" i="9"/>
  <c r="G17" i="42" s="1"/>
  <c r="G148" i="6"/>
  <c r="E148" i="6"/>
  <c r="D148" i="6"/>
  <c r="F256" i="23"/>
  <c r="F260" i="23"/>
  <c r="F216" i="23"/>
  <c r="F248" i="23"/>
  <c r="K205" i="5" l="1"/>
  <c r="J206" i="5"/>
  <c r="G13" i="42"/>
  <c r="K202" i="11"/>
  <c r="G148" i="4"/>
  <c r="K206" i="5" l="1"/>
  <c r="K252" i="5"/>
  <c r="H59" i="24"/>
  <c r="J59" i="24"/>
  <c r="G29" i="24"/>
  <c r="D29" i="24"/>
  <c r="G18" i="24"/>
  <c r="G18" i="21"/>
  <c r="G248" i="42"/>
  <c r="D248" i="42"/>
  <c r="G240" i="42"/>
  <c r="D240" i="42"/>
  <c r="D225" i="42"/>
  <c r="G225" i="42"/>
  <c r="G221" i="42"/>
  <c r="D221" i="42"/>
  <c r="G216" i="42"/>
  <c r="D216" i="42"/>
  <c r="G206" i="42"/>
  <c r="G212" i="42"/>
  <c r="D212" i="42"/>
  <c r="G156" i="42"/>
  <c r="D156" i="42"/>
  <c r="D148" i="42"/>
  <c r="D59" i="42"/>
  <c r="G38" i="42"/>
  <c r="D38" i="42"/>
  <c r="G32" i="42"/>
  <c r="D32" i="42"/>
  <c r="G29" i="42"/>
  <c r="D29" i="42"/>
  <c r="G25" i="42"/>
  <c r="D25" i="42"/>
  <c r="G18" i="42"/>
  <c r="D18" i="42"/>
  <c r="G240" i="4"/>
  <c r="G206" i="4"/>
  <c r="G206" i="24"/>
  <c r="D18" i="24"/>
  <c r="G18" i="23"/>
  <c r="D18" i="23"/>
  <c r="G59" i="22"/>
  <c r="D59" i="22"/>
  <c r="D18" i="22"/>
  <c r="G18" i="22"/>
  <c r="G156" i="9"/>
  <c r="G63" i="4"/>
  <c r="G63" i="24"/>
  <c r="G63" i="23"/>
  <c r="G63" i="22"/>
  <c r="G63" i="10"/>
  <c r="G63" i="8"/>
  <c r="G63" i="6"/>
  <c r="D63" i="4"/>
  <c r="D63" i="24"/>
  <c r="D63" i="23"/>
  <c r="D63" i="22"/>
  <c r="D63" i="21"/>
  <c r="D63" i="10"/>
  <c r="D63" i="8"/>
  <c r="D63" i="11"/>
  <c r="D63" i="6"/>
  <c r="G174" i="24"/>
  <c r="G174" i="23"/>
  <c r="G174" i="22"/>
  <c r="G174" i="21"/>
  <c r="G252" i="21" s="1"/>
  <c r="G257" i="21" s="1"/>
  <c r="G261" i="21" s="1"/>
  <c r="G174" i="6"/>
  <c r="G174" i="10"/>
  <c r="G174" i="8"/>
  <c r="G174" i="9"/>
  <c r="D174" i="24"/>
  <c r="D174" i="23"/>
  <c r="D174" i="22"/>
  <c r="D174" i="21"/>
  <c r="D252" i="21" s="1"/>
  <c r="D257" i="21" s="1"/>
  <c r="D261" i="21" s="1"/>
  <c r="D174" i="6"/>
  <c r="D174" i="10"/>
  <c r="D174" i="8"/>
  <c r="D174" i="11"/>
  <c r="D174" i="9"/>
  <c r="G248" i="4"/>
  <c r="G248" i="24"/>
  <c r="G248" i="23"/>
  <c r="G248" i="22"/>
  <c r="G248" i="6"/>
  <c r="G248" i="9"/>
  <c r="G248" i="10"/>
  <c r="G248" i="8"/>
  <c r="D248" i="4"/>
  <c r="D248" i="24"/>
  <c r="D248" i="23"/>
  <c r="D248" i="22"/>
  <c r="D248" i="6"/>
  <c r="D248" i="9"/>
  <c r="D248" i="10"/>
  <c r="D248" i="11"/>
  <c r="D248" i="8"/>
  <c r="D240" i="4"/>
  <c r="D240" i="24"/>
  <c r="D240" i="22"/>
  <c r="D240" i="6"/>
  <c r="D240" i="9"/>
  <c r="D240" i="10"/>
  <c r="D240" i="11"/>
  <c r="D240" i="8"/>
  <c r="D221" i="24"/>
  <c r="D221" i="23"/>
  <c r="D221" i="22"/>
  <c r="D221" i="6"/>
  <c r="D221" i="9"/>
  <c r="D221" i="10"/>
  <c r="D221" i="11"/>
  <c r="D221" i="8"/>
  <c r="G216" i="24"/>
  <c r="G216" i="23"/>
  <c r="G216" i="22"/>
  <c r="G216" i="6"/>
  <c r="G216" i="9"/>
  <c r="G216" i="10"/>
  <c r="G216" i="8"/>
  <c r="D216" i="24"/>
  <c r="D216" i="23"/>
  <c r="D216" i="22"/>
  <c r="D216" i="6"/>
  <c r="D216" i="9"/>
  <c r="D216" i="10"/>
  <c r="D216" i="11"/>
  <c r="D216" i="8"/>
  <c r="D206" i="4"/>
  <c r="D252" i="4" s="1"/>
  <c r="D257" i="4" s="1"/>
  <c r="D261" i="4" s="1"/>
  <c r="D206" i="24"/>
  <c r="D206" i="23"/>
  <c r="D206" i="22"/>
  <c r="D202" i="42"/>
  <c r="D206" i="42" s="1"/>
  <c r="D206" i="6"/>
  <c r="D206" i="9"/>
  <c r="D206" i="10"/>
  <c r="D206" i="11"/>
  <c r="D206" i="8"/>
  <c r="G252" i="22"/>
  <c r="G257" i="22" s="1"/>
  <c r="G261" i="22" s="1"/>
  <c r="G252" i="6"/>
  <c r="G257" i="6" s="1"/>
  <c r="G261" i="6" s="1"/>
  <c r="D252" i="6"/>
  <c r="D257" i="6" s="1"/>
  <c r="D261" i="6" s="1"/>
  <c r="G156" i="4"/>
  <c r="G156" i="24"/>
  <c r="G156" i="23"/>
  <c r="G156" i="22"/>
  <c r="G156" i="6"/>
  <c r="G156" i="8"/>
  <c r="G156" i="10"/>
  <c r="D156" i="4"/>
  <c r="D156" i="24"/>
  <c r="D156" i="23"/>
  <c r="D156" i="22"/>
  <c r="D156" i="21"/>
  <c r="D156" i="6"/>
  <c r="D156" i="9"/>
  <c r="D156" i="8"/>
  <c r="D156" i="11"/>
  <c r="D156" i="10"/>
  <c r="G161" i="4"/>
  <c r="G165" i="4" s="1"/>
  <c r="G148" i="24"/>
  <c r="G148" i="22"/>
  <c r="G148" i="21"/>
  <c r="G148" i="9"/>
  <c r="G148" i="11"/>
  <c r="G148" i="10"/>
  <c r="D148" i="4"/>
  <c r="D161" i="4" s="1"/>
  <c r="D165" i="4" s="1"/>
  <c r="D148" i="24"/>
  <c r="D148" i="23"/>
  <c r="D148" i="22"/>
  <c r="D148" i="21"/>
  <c r="D148" i="9"/>
  <c r="D148" i="8"/>
  <c r="D148" i="11"/>
  <c r="D148" i="10"/>
  <c r="G25" i="24"/>
  <c r="G25" i="23"/>
  <c r="G25" i="22"/>
  <c r="G25" i="21"/>
  <c r="G25" i="6"/>
  <c r="G25" i="9"/>
  <c r="G32" i="9" s="1"/>
  <c r="G25" i="8"/>
  <c r="G25" i="11"/>
  <c r="G25" i="10"/>
  <c r="D25" i="24"/>
  <c r="D25" i="23"/>
  <c r="D25" i="22"/>
  <c r="D25" i="21"/>
  <c r="D25" i="6"/>
  <c r="D25" i="9"/>
  <c r="D32" i="9" s="1"/>
  <c r="D25" i="8"/>
  <c r="D25" i="11"/>
  <c r="D25" i="10"/>
  <c r="D59" i="4"/>
  <c r="D59" i="24"/>
  <c r="D59" i="23"/>
  <c r="D59" i="21"/>
  <c r="D59" i="6"/>
  <c r="D59" i="8"/>
  <c r="D59" i="11"/>
  <c r="D59" i="10"/>
  <c r="G59" i="4"/>
  <c r="G59" i="24"/>
  <c r="G59" i="23"/>
  <c r="G59" i="21"/>
  <c r="G59" i="6"/>
  <c r="G59" i="8"/>
  <c r="G59" i="11"/>
  <c r="G59" i="10"/>
  <c r="D18" i="10"/>
  <c r="G18" i="10"/>
  <c r="G240" i="8"/>
  <c r="G221" i="8"/>
  <c r="G206" i="8"/>
  <c r="G18" i="8"/>
  <c r="D18" i="8"/>
  <c r="H59" i="11"/>
  <c r="F25" i="11"/>
  <c r="D18" i="11"/>
  <c r="F18" i="11"/>
  <c r="G18" i="11"/>
  <c r="G261" i="12"/>
  <c r="G165" i="12"/>
  <c r="D165" i="12"/>
  <c r="D262" i="12" s="1"/>
  <c r="G148" i="12"/>
  <c r="D148" i="12"/>
  <c r="G59" i="12"/>
  <c r="D59" i="12"/>
  <c r="G25" i="12"/>
  <c r="D25" i="12"/>
  <c r="G18" i="12"/>
  <c r="D18" i="12"/>
  <c r="G261" i="14"/>
  <c r="D261" i="14"/>
  <c r="G148" i="14"/>
  <c r="D148" i="14"/>
  <c r="G25" i="14"/>
  <c r="D25" i="14"/>
  <c r="D18" i="14"/>
  <c r="G18" i="14"/>
  <c r="D148" i="16"/>
  <c r="G148" i="16"/>
  <c r="D59" i="16"/>
  <c r="G59" i="16"/>
  <c r="D25" i="16"/>
  <c r="G25" i="16"/>
  <c r="D18" i="16"/>
  <c r="G18" i="16"/>
  <c r="D261" i="18"/>
  <c r="G165" i="18"/>
  <c r="D165" i="18"/>
  <c r="F59" i="18"/>
  <c r="G59" i="18"/>
  <c r="D59" i="18"/>
  <c r="G25" i="18"/>
  <c r="F25" i="18"/>
  <c r="D25" i="18"/>
  <c r="D18" i="18"/>
  <c r="F18" i="18"/>
  <c r="G18" i="18"/>
  <c r="G261" i="19"/>
  <c r="G262" i="19" s="1"/>
  <c r="D261" i="19"/>
  <c r="G165" i="19"/>
  <c r="D165" i="19"/>
  <c r="F148" i="19"/>
  <c r="G148" i="19"/>
  <c r="D148" i="19"/>
  <c r="G63" i="19"/>
  <c r="D63" i="19"/>
  <c r="G59" i="19"/>
  <c r="F59" i="19"/>
  <c r="D59" i="19"/>
  <c r="F25" i="19"/>
  <c r="G25" i="19"/>
  <c r="D25" i="19"/>
  <c r="G18" i="19"/>
  <c r="F18" i="19"/>
  <c r="D18" i="19"/>
  <c r="G261" i="15"/>
  <c r="D261" i="15"/>
  <c r="F206" i="15"/>
  <c r="G206" i="15"/>
  <c r="D206" i="15"/>
  <c r="G165" i="15"/>
  <c r="D165" i="15"/>
  <c r="F59" i="15"/>
  <c r="G59" i="15"/>
  <c r="D59" i="15"/>
  <c r="G32" i="15"/>
  <c r="F32" i="15"/>
  <c r="D32" i="15"/>
  <c r="F25" i="15"/>
  <c r="G25" i="15"/>
  <c r="D25" i="15"/>
  <c r="D18" i="15"/>
  <c r="G18" i="15"/>
  <c r="F18" i="15"/>
  <c r="G261" i="13"/>
  <c r="D261" i="13"/>
  <c r="G206" i="13"/>
  <c r="F206" i="13"/>
  <c r="D206" i="13"/>
  <c r="F156" i="13"/>
  <c r="G156" i="13"/>
  <c r="H156" i="13"/>
  <c r="D156" i="13"/>
  <c r="G148" i="13"/>
  <c r="F148" i="13"/>
  <c r="F63" i="13"/>
  <c r="G63" i="13"/>
  <c r="H63" i="13"/>
  <c r="D63" i="13"/>
  <c r="D59" i="13"/>
  <c r="G59" i="13"/>
  <c r="F59" i="13"/>
  <c r="D32" i="13"/>
  <c r="F32" i="13"/>
  <c r="G32" i="13"/>
  <c r="G25" i="13"/>
  <c r="F25" i="13"/>
  <c r="D25" i="13"/>
  <c r="D18" i="13"/>
  <c r="F18" i="13"/>
  <c r="G18" i="13"/>
  <c r="G261" i="7"/>
  <c r="D261" i="7"/>
  <c r="D240" i="7"/>
  <c r="G240" i="7"/>
  <c r="D206" i="7"/>
  <c r="G206" i="7"/>
  <c r="F206" i="7"/>
  <c r="G63" i="7"/>
  <c r="D63" i="7"/>
  <c r="D59" i="7"/>
  <c r="G59" i="7"/>
  <c r="G38" i="7"/>
  <c r="D38" i="7"/>
  <c r="G25" i="7"/>
  <c r="D25" i="7"/>
  <c r="D18" i="7"/>
  <c r="G18" i="7"/>
  <c r="D63" i="5"/>
  <c r="F63" i="5"/>
  <c r="G63" i="5"/>
  <c r="H63" i="5"/>
  <c r="G32" i="5"/>
  <c r="D32" i="5"/>
  <c r="F32" i="5"/>
  <c r="D261" i="26"/>
  <c r="G261" i="26"/>
  <c r="D206" i="26"/>
  <c r="G206" i="26"/>
  <c r="D148" i="26"/>
  <c r="G148" i="26"/>
  <c r="G70" i="26"/>
  <c r="H70" i="26"/>
  <c r="D70" i="26"/>
  <c r="D63" i="26"/>
  <c r="G63" i="26"/>
  <c r="D59" i="26"/>
  <c r="G59" i="26"/>
  <c r="H59" i="26"/>
  <c r="D25" i="26"/>
  <c r="G25" i="26"/>
  <c r="G18" i="26"/>
  <c r="F18" i="26"/>
  <c r="D18" i="26"/>
  <c r="D206" i="5"/>
  <c r="D252" i="5" s="1"/>
  <c r="G206" i="5"/>
  <c r="G252" i="5" s="1"/>
  <c r="D165" i="5"/>
  <c r="D262" i="5" s="1"/>
  <c r="G165" i="5"/>
  <c r="G262" i="5" s="1"/>
  <c r="F148" i="5"/>
  <c r="G148" i="5"/>
  <c r="D148" i="5"/>
  <c r="F70" i="5"/>
  <c r="G70" i="5"/>
  <c r="D70" i="5"/>
  <c r="D59" i="5"/>
  <c r="G59" i="5"/>
  <c r="G25" i="5"/>
  <c r="F25" i="5"/>
  <c r="D25" i="5"/>
  <c r="D18" i="5"/>
  <c r="G18" i="5"/>
  <c r="F18" i="5"/>
  <c r="H59" i="14"/>
  <c r="H63" i="14"/>
  <c r="H66" i="14"/>
  <c r="H70" i="14"/>
  <c r="H29" i="4"/>
  <c r="H35" i="4"/>
  <c r="H38" i="4"/>
  <c r="H59" i="4"/>
  <c r="H63" i="4"/>
  <c r="H66" i="4"/>
  <c r="H70" i="4"/>
  <c r="H72" i="4"/>
  <c r="H138" i="4"/>
  <c r="H139" i="4"/>
  <c r="H140" i="4"/>
  <c r="H141" i="4"/>
  <c r="H142" i="4"/>
  <c r="H143" i="4"/>
  <c r="H144" i="4"/>
  <c r="H145" i="4"/>
  <c r="H146" i="4"/>
  <c r="H147" i="4"/>
  <c r="H151" i="4"/>
  <c r="H156" i="4"/>
  <c r="H160" i="4"/>
  <c r="H164" i="4"/>
  <c r="H240" i="4"/>
  <c r="H248" i="4"/>
  <c r="H260" i="4"/>
  <c r="D161" i="14" l="1"/>
  <c r="D165" i="14" s="1"/>
  <c r="D262" i="14" s="1"/>
  <c r="G252" i="10"/>
  <c r="G257" i="10" s="1"/>
  <c r="G261" i="10" s="1"/>
  <c r="K257" i="5"/>
  <c r="K261" i="5" s="1"/>
  <c r="D262" i="18"/>
  <c r="D161" i="7"/>
  <c r="D165" i="7" s="1"/>
  <c r="G161" i="7"/>
  <c r="G165" i="7" s="1"/>
  <c r="G262" i="7" s="1"/>
  <c r="G262" i="15"/>
  <c r="D262" i="15"/>
  <c r="D262" i="19"/>
  <c r="D252" i="9"/>
  <c r="D257" i="9" s="1"/>
  <c r="D261" i="9" s="1"/>
  <c r="G252" i="9"/>
  <c r="G257" i="9" s="1"/>
  <c r="G261" i="9" s="1"/>
  <c r="D161" i="21"/>
  <c r="D165" i="21" s="1"/>
  <c r="D262" i="21" s="1"/>
  <c r="F161" i="13"/>
  <c r="F165" i="13" s="1"/>
  <c r="G161" i="13"/>
  <c r="G165" i="13" s="1"/>
  <c r="G262" i="13" s="1"/>
  <c r="G161" i="16"/>
  <c r="G165" i="16" s="1"/>
  <c r="G262" i="16" s="1"/>
  <c r="D161" i="16"/>
  <c r="D165" i="16" s="1"/>
  <c r="D262" i="16" s="1"/>
  <c r="D252" i="23"/>
  <c r="D257" i="23" s="1"/>
  <c r="D261" i="23" s="1"/>
  <c r="D165" i="42"/>
  <c r="D161" i="42"/>
  <c r="G161" i="42"/>
  <c r="G165" i="42" s="1"/>
  <c r="D161" i="26"/>
  <c r="D165" i="26" s="1"/>
  <c r="G262" i="18"/>
  <c r="G161" i="14"/>
  <c r="G165" i="14" s="1"/>
  <c r="G262" i="14" s="1"/>
  <c r="G161" i="6"/>
  <c r="G165" i="6" s="1"/>
  <c r="G262" i="6" s="1"/>
  <c r="D262" i="26"/>
  <c r="G161" i="26"/>
  <c r="G165" i="26" s="1"/>
  <c r="G262" i="26" s="1"/>
  <c r="D262" i="7"/>
  <c r="D161" i="13"/>
  <c r="D165" i="13" s="1"/>
  <c r="D262" i="13" s="1"/>
  <c r="G252" i="8"/>
  <c r="G257" i="8" s="1"/>
  <c r="G261" i="8" s="1"/>
  <c r="G161" i="11"/>
  <c r="G165" i="11" s="1"/>
  <c r="G262" i="11" s="1"/>
  <c r="D161" i="22"/>
  <c r="D165" i="22" s="1"/>
  <c r="G161" i="21"/>
  <c r="G165" i="21" s="1"/>
  <c r="G262" i="21" s="1"/>
  <c r="G252" i="23"/>
  <c r="G257" i="23" s="1"/>
  <c r="G261" i="23" s="1"/>
  <c r="D252" i="10"/>
  <c r="D257" i="10" s="1"/>
  <c r="D261" i="10" s="1"/>
  <c r="D252" i="11"/>
  <c r="D257" i="11" s="1"/>
  <c r="D261" i="11" s="1"/>
  <c r="G252" i="24"/>
  <c r="G257" i="24" s="1"/>
  <c r="G261" i="24" s="1"/>
  <c r="D161" i="6"/>
  <c r="D165" i="6" s="1"/>
  <c r="D262" i="6" s="1"/>
  <c r="D252" i="24"/>
  <c r="D257" i="24" s="1"/>
  <c r="D261" i="24" s="1"/>
  <c r="G252" i="42"/>
  <c r="G257" i="42" s="1"/>
  <c r="G260" i="42" s="1"/>
  <c r="G264" i="42" s="1"/>
  <c r="D161" i="23"/>
  <c r="D165" i="23" s="1"/>
  <c r="G161" i="24"/>
  <c r="G165" i="24" s="1"/>
  <c r="D161" i="24"/>
  <c r="D165" i="24" s="1"/>
  <c r="G252" i="4"/>
  <c r="G257" i="4" s="1"/>
  <c r="G261" i="4" s="1"/>
  <c r="G262" i="4" s="1"/>
  <c r="D252" i="42"/>
  <c r="D257" i="42" s="1"/>
  <c r="D260" i="42" s="1"/>
  <c r="D264" i="42" s="1"/>
  <c r="G161" i="23"/>
  <c r="G165" i="23" s="1"/>
  <c r="G262" i="23" s="1"/>
  <c r="G161" i="22"/>
  <c r="G165" i="22" s="1"/>
  <c r="G262" i="22" s="1"/>
  <c r="G161" i="9"/>
  <c r="G165" i="9" s="1"/>
  <c r="D161" i="9"/>
  <c r="D165" i="9" s="1"/>
  <c r="D262" i="9" s="1"/>
  <c r="G161" i="10"/>
  <c r="G165" i="10" s="1"/>
  <c r="G262" i="10" s="1"/>
  <c r="D161" i="11"/>
  <c r="D165" i="11" s="1"/>
  <c r="D161" i="8"/>
  <c r="D165" i="8" s="1"/>
  <c r="D161" i="10"/>
  <c r="D165" i="10" s="1"/>
  <c r="D262" i="10" s="1"/>
  <c r="D252" i="8"/>
  <c r="D257" i="8" s="1"/>
  <c r="D261" i="8" s="1"/>
  <c r="D252" i="22"/>
  <c r="D257" i="22" s="1"/>
  <c r="D261" i="22" s="1"/>
  <c r="D262" i="4"/>
  <c r="O44" i="45"/>
  <c r="N44" i="45"/>
  <c r="M44" i="45"/>
  <c r="L44" i="45"/>
  <c r="J32" i="45"/>
  <c r="K32" i="45" s="1"/>
  <c r="J27" i="45"/>
  <c r="K27" i="45" s="1"/>
  <c r="J22" i="45"/>
  <c r="K22" i="45" s="1"/>
  <c r="J12" i="45"/>
  <c r="K12" i="45" s="1"/>
  <c r="C180" i="44"/>
  <c r="G164" i="44"/>
  <c r="T162" i="44"/>
  <c r="S162" i="44"/>
  <c r="R162" i="44"/>
  <c r="M149" i="44"/>
  <c r="G149" i="44"/>
  <c r="F149" i="44"/>
  <c r="M148" i="44"/>
  <c r="H148" i="44"/>
  <c r="M147" i="44"/>
  <c r="H147" i="44"/>
  <c r="M146" i="44"/>
  <c r="H146" i="44"/>
  <c r="M145" i="44"/>
  <c r="H145" i="44"/>
  <c r="M144" i="44"/>
  <c r="H144" i="44"/>
  <c r="M143" i="44"/>
  <c r="H143" i="44"/>
  <c r="M142" i="44"/>
  <c r="H142" i="44"/>
  <c r="M141" i="44"/>
  <c r="H141" i="44"/>
  <c r="S138" i="44"/>
  <c r="R138" i="44"/>
  <c r="P138" i="44"/>
  <c r="O138" i="44"/>
  <c r="N138" i="44"/>
  <c r="M128" i="44"/>
  <c r="M115" i="44"/>
  <c r="M113" i="44"/>
  <c r="H113" i="44"/>
  <c r="M112" i="44"/>
  <c r="H112" i="44"/>
  <c r="T109" i="44"/>
  <c r="S109" i="44"/>
  <c r="R109" i="44"/>
  <c r="P109" i="44"/>
  <c r="O109" i="44"/>
  <c r="N109" i="44"/>
  <c r="M103" i="44"/>
  <c r="M102" i="44"/>
  <c r="M101" i="44"/>
  <c r="M100" i="44"/>
  <c r="M99" i="44"/>
  <c r="M98" i="44"/>
  <c r="M97" i="44"/>
  <c r="U94" i="44"/>
  <c r="T94" i="44"/>
  <c r="S94" i="44"/>
  <c r="R94" i="44"/>
  <c r="P94" i="44"/>
  <c r="N94" i="44"/>
  <c r="L93" i="44"/>
  <c r="L164" i="44" s="1"/>
  <c r="K93" i="44"/>
  <c r="J93" i="44"/>
  <c r="J164" i="44" s="1"/>
  <c r="I93" i="44"/>
  <c r="I164" i="44" s="1"/>
  <c r="H93" i="44"/>
  <c r="H164" i="44" s="1"/>
  <c r="G93" i="44"/>
  <c r="M92" i="44"/>
  <c r="M91" i="44"/>
  <c r="M87" i="44"/>
  <c r="M86" i="44"/>
  <c r="O81" i="44"/>
  <c r="O94" i="44" s="1"/>
  <c r="M80" i="44"/>
  <c r="M79" i="44"/>
  <c r="M78" i="44"/>
  <c r="M77" i="44"/>
  <c r="U74" i="44"/>
  <c r="T74" i="44"/>
  <c r="S74" i="44"/>
  <c r="R74" i="44"/>
  <c r="P74" i="44"/>
  <c r="O74" i="44"/>
  <c r="N74" i="44"/>
  <c r="M69" i="44"/>
  <c r="M68" i="44"/>
  <c r="M67" i="44"/>
  <c r="U64" i="44"/>
  <c r="T64" i="44"/>
  <c r="S64" i="44"/>
  <c r="R64" i="44"/>
  <c r="P64" i="44"/>
  <c r="O64" i="44"/>
  <c r="N64" i="44"/>
  <c r="M64" i="44"/>
  <c r="M61" i="44"/>
  <c r="S57" i="44"/>
  <c r="R57" i="44"/>
  <c r="P57" i="44"/>
  <c r="O57" i="44"/>
  <c r="N57" i="44"/>
  <c r="M48" i="44"/>
  <c r="M41" i="44"/>
  <c r="M40" i="44"/>
  <c r="M39" i="44"/>
  <c r="M38" i="44"/>
  <c r="M37" i="44"/>
  <c r="M36" i="44"/>
  <c r="M35" i="44"/>
  <c r="H35" i="44"/>
  <c r="M34" i="44"/>
  <c r="H34" i="44"/>
  <c r="M33" i="44"/>
  <c r="H33" i="44"/>
  <c r="M32" i="44"/>
  <c r="M28" i="44"/>
  <c r="U24" i="44"/>
  <c r="T24" i="44"/>
  <c r="S24" i="44"/>
  <c r="R24" i="44"/>
  <c r="P24" i="44"/>
  <c r="O24" i="44"/>
  <c r="N24" i="44"/>
  <c r="M22" i="44"/>
  <c r="H22" i="44"/>
  <c r="M18" i="44"/>
  <c r="U15" i="44"/>
  <c r="T15" i="44"/>
  <c r="S15" i="44"/>
  <c r="R15" i="44"/>
  <c r="P15" i="44"/>
  <c r="O15" i="44"/>
  <c r="N15" i="44"/>
  <c r="K15" i="44"/>
  <c r="M12" i="44"/>
  <c r="M10" i="44"/>
  <c r="M15" i="44" s="1"/>
  <c r="H10" i="44"/>
  <c r="M6" i="44"/>
  <c r="H6" i="44"/>
  <c r="M5" i="44"/>
  <c r="H5" i="44"/>
  <c r="H260" i="26"/>
  <c r="F260" i="26"/>
  <c r="E260" i="26"/>
  <c r="H256" i="26"/>
  <c r="F256" i="26"/>
  <c r="E256" i="26"/>
  <c r="H251" i="26"/>
  <c r="F251" i="26"/>
  <c r="E251" i="26"/>
  <c r="H248" i="26"/>
  <c r="F248" i="26"/>
  <c r="E248" i="26"/>
  <c r="E240" i="26"/>
  <c r="E225" i="26"/>
  <c r="F224" i="26"/>
  <c r="F223" i="26"/>
  <c r="E221" i="26"/>
  <c r="F220" i="26"/>
  <c r="F219" i="26"/>
  <c r="F218" i="26"/>
  <c r="E216" i="26"/>
  <c r="F215" i="26"/>
  <c r="F214" i="26"/>
  <c r="E212" i="26"/>
  <c r="F211" i="26"/>
  <c r="F210" i="26"/>
  <c r="F209" i="26"/>
  <c r="F208" i="26"/>
  <c r="E206" i="26"/>
  <c r="F205" i="26"/>
  <c r="F204" i="26"/>
  <c r="F203" i="26"/>
  <c r="F202" i="26"/>
  <c r="F201" i="26"/>
  <c r="H200" i="26"/>
  <c r="F199" i="26"/>
  <c r="F198" i="26"/>
  <c r="F197" i="26"/>
  <c r="F196" i="26"/>
  <c r="F195" i="26"/>
  <c r="F194" i="26"/>
  <c r="F193" i="26"/>
  <c r="F192" i="26"/>
  <c r="F191" i="26"/>
  <c r="F190" i="26"/>
  <c r="F189" i="26"/>
  <c r="F188" i="26"/>
  <c r="F187" i="26"/>
  <c r="F186" i="26"/>
  <c r="F185" i="26"/>
  <c r="F184" i="26"/>
  <c r="H183" i="26"/>
  <c r="H182" i="26"/>
  <c r="H181" i="26"/>
  <c r="I181" i="26" s="1"/>
  <c r="H180" i="26"/>
  <c r="F179" i="26"/>
  <c r="F178" i="26"/>
  <c r="F177" i="26"/>
  <c r="F176" i="26"/>
  <c r="E174" i="26"/>
  <c r="F173" i="26"/>
  <c r="K173" i="26" s="1"/>
  <c r="F172" i="26"/>
  <c r="F174" i="26" s="1"/>
  <c r="E164" i="26"/>
  <c r="H163" i="26"/>
  <c r="H164" i="26" s="1"/>
  <c r="F163" i="26"/>
  <c r="F164" i="26" s="1"/>
  <c r="E160" i="26"/>
  <c r="F159" i="26"/>
  <c r="F158" i="26"/>
  <c r="E156" i="26"/>
  <c r="F155" i="26"/>
  <c r="F154" i="26"/>
  <c r="F153" i="26"/>
  <c r="E151" i="26"/>
  <c r="F150" i="26"/>
  <c r="F151" i="26" s="1"/>
  <c r="E148" i="26"/>
  <c r="F147" i="26"/>
  <c r="F146" i="26"/>
  <c r="F145" i="26"/>
  <c r="F144" i="26"/>
  <c r="F143" i="26"/>
  <c r="F142" i="26"/>
  <c r="F141" i="26"/>
  <c r="F140" i="26"/>
  <c r="F139" i="26"/>
  <c r="F138" i="26"/>
  <c r="F137" i="26"/>
  <c r="F136" i="26"/>
  <c r="F135" i="26"/>
  <c r="F134" i="26"/>
  <c r="F133" i="26"/>
  <c r="F132" i="26"/>
  <c r="F131" i="26"/>
  <c r="F130" i="26"/>
  <c r="F129" i="26"/>
  <c r="F128" i="26"/>
  <c r="F127" i="26"/>
  <c r="F126" i="26"/>
  <c r="F125" i="26"/>
  <c r="F124" i="26"/>
  <c r="F123" i="26"/>
  <c r="F122" i="26"/>
  <c r="F121" i="26"/>
  <c r="F120" i="26"/>
  <c r="H119" i="26"/>
  <c r="H118" i="26"/>
  <c r="H114" i="26"/>
  <c r="F113" i="26"/>
  <c r="F112" i="26"/>
  <c r="F111" i="26"/>
  <c r="F110" i="26"/>
  <c r="F109" i="26"/>
  <c r="F108" i="26"/>
  <c r="F107" i="26"/>
  <c r="F106" i="26"/>
  <c r="F105" i="26"/>
  <c r="F104" i="26"/>
  <c r="F103" i="26"/>
  <c r="F102" i="26"/>
  <c r="F101" i="26"/>
  <c r="F100" i="26"/>
  <c r="F99" i="26"/>
  <c r="F98" i="26"/>
  <c r="F97" i="26"/>
  <c r="F96" i="26"/>
  <c r="F95" i="26"/>
  <c r="F94" i="26"/>
  <c r="F93" i="26"/>
  <c r="F92" i="26"/>
  <c r="F91" i="26"/>
  <c r="F90" i="26"/>
  <c r="F89" i="26"/>
  <c r="F88" i="26"/>
  <c r="F87" i="26"/>
  <c r="F86" i="26"/>
  <c r="F85" i="26"/>
  <c r="H81" i="26"/>
  <c r="F80" i="26"/>
  <c r="F79" i="26"/>
  <c r="F78" i="26"/>
  <c r="F77" i="26"/>
  <c r="F76" i="26"/>
  <c r="F75" i="26"/>
  <c r="F74" i="26"/>
  <c r="E70" i="26"/>
  <c r="F69" i="26"/>
  <c r="F70" i="26" s="1"/>
  <c r="E66" i="26"/>
  <c r="F65" i="26"/>
  <c r="F66" i="26" s="1"/>
  <c r="E63" i="26"/>
  <c r="H62" i="26"/>
  <c r="F61" i="26"/>
  <c r="F63" i="26" s="1"/>
  <c r="E59" i="26"/>
  <c r="F58" i="26"/>
  <c r="F40" i="26"/>
  <c r="F38" i="26"/>
  <c r="E38" i="26"/>
  <c r="E35" i="26"/>
  <c r="F34" i="26"/>
  <c r="F35" i="26" s="1"/>
  <c r="H32" i="26"/>
  <c r="F32" i="26"/>
  <c r="E32" i="26"/>
  <c r="E29" i="26"/>
  <c r="F28" i="26"/>
  <c r="F29" i="26" s="1"/>
  <c r="F25" i="26"/>
  <c r="E25" i="26"/>
  <c r="H24" i="26"/>
  <c r="H23" i="26"/>
  <c r="H22" i="26"/>
  <c r="H21" i="26"/>
  <c r="H20" i="26"/>
  <c r="E18" i="26"/>
  <c r="H17" i="26"/>
  <c r="I17" i="26" s="1"/>
  <c r="J17" i="26" s="1"/>
  <c r="K17" i="26" s="1"/>
  <c r="H16" i="26"/>
  <c r="I16" i="26" s="1"/>
  <c r="J16" i="26" s="1"/>
  <c r="K16" i="26" s="1"/>
  <c r="H15" i="26"/>
  <c r="H14" i="26"/>
  <c r="I14" i="26" s="1"/>
  <c r="J14" i="26" s="1"/>
  <c r="K14" i="26" s="1"/>
  <c r="H13" i="26"/>
  <c r="H12" i="26"/>
  <c r="I12" i="26" s="1"/>
  <c r="J12" i="26" s="1"/>
  <c r="K12" i="26" s="1"/>
  <c r="H11" i="26"/>
  <c r="H10" i="26"/>
  <c r="H9" i="26"/>
  <c r="I9" i="26" s="1"/>
  <c r="H8" i="26"/>
  <c r="H7" i="26"/>
  <c r="E260" i="5"/>
  <c r="H259" i="5"/>
  <c r="F259" i="5"/>
  <c r="F260" i="5" s="1"/>
  <c r="E256" i="5"/>
  <c r="F255" i="5"/>
  <c r="E251" i="5"/>
  <c r="F250" i="5"/>
  <c r="F251" i="5" s="1"/>
  <c r="E248" i="5"/>
  <c r="F247" i="5"/>
  <c r="H247" i="5" s="1"/>
  <c r="J247" i="5" s="1"/>
  <c r="F246" i="5"/>
  <c r="H246" i="5" s="1"/>
  <c r="J246" i="5" s="1"/>
  <c r="F245" i="5"/>
  <c r="H245" i="5" s="1"/>
  <c r="J245" i="5" s="1"/>
  <c r="F244" i="5"/>
  <c r="H244" i="5" s="1"/>
  <c r="J244" i="5" s="1"/>
  <c r="F243" i="5"/>
  <c r="H243" i="5" s="1"/>
  <c r="J243" i="5" s="1"/>
  <c r="F242" i="5"/>
  <c r="E240" i="5"/>
  <c r="E225" i="5"/>
  <c r="F224" i="5"/>
  <c r="F223" i="5"/>
  <c r="E221" i="5"/>
  <c r="F220" i="5"/>
  <c r="F219" i="5"/>
  <c r="F218" i="5"/>
  <c r="E216" i="5"/>
  <c r="F215" i="5"/>
  <c r="F214" i="5"/>
  <c r="F216" i="5" s="1"/>
  <c r="E212" i="5"/>
  <c r="F211" i="5"/>
  <c r="F210" i="5"/>
  <c r="F209" i="5"/>
  <c r="F208" i="5"/>
  <c r="E206" i="5"/>
  <c r="F205" i="5"/>
  <c r="F204" i="5"/>
  <c r="F203" i="5"/>
  <c r="F202" i="5"/>
  <c r="F201" i="5"/>
  <c r="F200" i="5"/>
  <c r="F198" i="5"/>
  <c r="F196" i="5"/>
  <c r="F195" i="5"/>
  <c r="F194" i="5"/>
  <c r="F193" i="5"/>
  <c r="F192" i="5"/>
  <c r="F191" i="5"/>
  <c r="F190" i="5"/>
  <c r="F189" i="5"/>
  <c r="F188" i="5"/>
  <c r="F187" i="5"/>
  <c r="F186" i="5"/>
  <c r="F185" i="5"/>
  <c r="F184" i="5"/>
  <c r="F183" i="5"/>
  <c r="F182" i="5"/>
  <c r="F181" i="5"/>
  <c r="F180" i="5"/>
  <c r="F179" i="5"/>
  <c r="F178" i="5"/>
  <c r="F177" i="5"/>
  <c r="F176" i="5"/>
  <c r="E174" i="5"/>
  <c r="F173" i="5"/>
  <c r="F172" i="5"/>
  <c r="E164" i="5"/>
  <c r="F163" i="5"/>
  <c r="F164" i="5" s="1"/>
  <c r="E160" i="5"/>
  <c r="F159" i="5"/>
  <c r="F158" i="5"/>
  <c r="F160" i="5" s="1"/>
  <c r="H156" i="5"/>
  <c r="E156" i="5"/>
  <c r="E151" i="5"/>
  <c r="E148" i="5"/>
  <c r="H133" i="5"/>
  <c r="H132" i="5"/>
  <c r="H131" i="5"/>
  <c r="H130" i="5"/>
  <c r="H129" i="5"/>
  <c r="H128" i="5"/>
  <c r="H127" i="5"/>
  <c r="H126" i="5"/>
  <c r="H125" i="5"/>
  <c r="H124" i="5"/>
  <c r="H123" i="5"/>
  <c r="H122" i="5"/>
  <c r="H121" i="5"/>
  <c r="H120" i="5"/>
  <c r="H119" i="5"/>
  <c r="H118" i="5"/>
  <c r="H117" i="5"/>
  <c r="H116" i="5"/>
  <c r="H115" i="5"/>
  <c r="H114" i="5"/>
  <c r="H83" i="5"/>
  <c r="H82" i="5"/>
  <c r="H81" i="5"/>
  <c r="H80" i="5"/>
  <c r="H78" i="5"/>
  <c r="H77" i="5"/>
  <c r="H76" i="5"/>
  <c r="H75" i="5"/>
  <c r="H74" i="5"/>
  <c r="H73" i="5"/>
  <c r="E70" i="5"/>
  <c r="H69" i="5"/>
  <c r="E66" i="5"/>
  <c r="E63" i="5"/>
  <c r="F59" i="5"/>
  <c r="E59" i="5"/>
  <c r="H56" i="5"/>
  <c r="H56" i="42" s="1"/>
  <c r="H55" i="5"/>
  <c r="H54" i="5"/>
  <c r="H53" i="5"/>
  <c r="H52" i="5"/>
  <c r="H51" i="5"/>
  <c r="H50" i="5"/>
  <c r="H48" i="5"/>
  <c r="H47" i="5"/>
  <c r="H47" i="42" s="1"/>
  <c r="H46" i="5"/>
  <c r="H45" i="5"/>
  <c r="H44" i="5"/>
  <c r="H43" i="5"/>
  <c r="H42" i="5"/>
  <c r="H41" i="5"/>
  <c r="E38" i="5"/>
  <c r="E35" i="5"/>
  <c r="E32" i="5"/>
  <c r="H32" i="5"/>
  <c r="E29" i="5"/>
  <c r="E25" i="5"/>
  <c r="H24" i="5"/>
  <c r="H23" i="5"/>
  <c r="H22" i="5"/>
  <c r="H21" i="5"/>
  <c r="H20" i="5"/>
  <c r="E18" i="5"/>
  <c r="H17" i="5"/>
  <c r="H16" i="5"/>
  <c r="H15" i="5"/>
  <c r="H14" i="5"/>
  <c r="I14" i="5" s="1"/>
  <c r="J14" i="5" s="1"/>
  <c r="K14" i="5" s="1"/>
  <c r="H13" i="5"/>
  <c r="H12" i="5"/>
  <c r="I12" i="5" s="1"/>
  <c r="J12" i="5" s="1"/>
  <c r="K12" i="5" s="1"/>
  <c r="H11" i="5"/>
  <c r="H10" i="5"/>
  <c r="H9" i="5"/>
  <c r="H8" i="5"/>
  <c r="H7" i="5"/>
  <c r="I7" i="5" s="1"/>
  <c r="H260" i="7"/>
  <c r="F260" i="7"/>
  <c r="E260" i="7"/>
  <c r="H256" i="7"/>
  <c r="F256" i="7"/>
  <c r="E256" i="7"/>
  <c r="E251" i="7"/>
  <c r="E248" i="7"/>
  <c r="H240" i="7"/>
  <c r="F240" i="7"/>
  <c r="F252" i="7" s="1"/>
  <c r="F257" i="7" s="1"/>
  <c r="F261" i="7" s="1"/>
  <c r="E240" i="7"/>
  <c r="E225" i="7"/>
  <c r="E221" i="7"/>
  <c r="E216" i="7"/>
  <c r="E212" i="7"/>
  <c r="E206" i="7"/>
  <c r="H204" i="7"/>
  <c r="H203" i="7"/>
  <c r="H202" i="7"/>
  <c r="H201" i="7"/>
  <c r="H200" i="7"/>
  <c r="H199" i="7"/>
  <c r="H198" i="7"/>
  <c r="H197" i="7"/>
  <c r="H196" i="7"/>
  <c r="H195" i="7"/>
  <c r="H194" i="7"/>
  <c r="H193" i="7"/>
  <c r="H192" i="7"/>
  <c r="H191" i="7"/>
  <c r="H190" i="7"/>
  <c r="H189" i="7"/>
  <c r="H188" i="7"/>
  <c r="H187" i="7"/>
  <c r="H186" i="7"/>
  <c r="H185" i="7"/>
  <c r="H184" i="7"/>
  <c r="H183" i="7"/>
  <c r="H182" i="7"/>
  <c r="H181" i="7"/>
  <c r="E174" i="7"/>
  <c r="K173" i="7"/>
  <c r="K172" i="7"/>
  <c r="H164" i="7"/>
  <c r="F164" i="7"/>
  <c r="E164" i="7"/>
  <c r="H160" i="7"/>
  <c r="F160" i="7"/>
  <c r="E160" i="7"/>
  <c r="H156" i="7"/>
  <c r="F156" i="7"/>
  <c r="E156" i="7"/>
  <c r="E151" i="7"/>
  <c r="E148" i="7"/>
  <c r="H147" i="7"/>
  <c r="H146" i="7"/>
  <c r="H145" i="7"/>
  <c r="H144" i="7"/>
  <c r="H143" i="7"/>
  <c r="H142" i="7"/>
  <c r="H141" i="7"/>
  <c r="H140" i="7"/>
  <c r="H139" i="7"/>
  <c r="H138" i="7"/>
  <c r="H137" i="7"/>
  <c r="H136" i="7"/>
  <c r="H135" i="7"/>
  <c r="H134" i="7"/>
  <c r="H133" i="7"/>
  <c r="H132" i="7"/>
  <c r="H131" i="7"/>
  <c r="H130" i="7"/>
  <c r="H129" i="7"/>
  <c r="H128" i="7"/>
  <c r="H127" i="7"/>
  <c r="H126" i="7"/>
  <c r="H125" i="7"/>
  <c r="H124" i="7"/>
  <c r="H123" i="7"/>
  <c r="H122" i="7"/>
  <c r="H121" i="7"/>
  <c r="H120" i="7"/>
  <c r="H119" i="7"/>
  <c r="H118" i="7"/>
  <c r="H117" i="7"/>
  <c r="H116" i="7"/>
  <c r="H115" i="7"/>
  <c r="H114" i="7"/>
  <c r="H113" i="7"/>
  <c r="H112" i="7"/>
  <c r="H111" i="7"/>
  <c r="H110" i="7"/>
  <c r="H109" i="7"/>
  <c r="H108" i="7"/>
  <c r="H107" i="7"/>
  <c r="H106" i="7"/>
  <c r="H105" i="7"/>
  <c r="H104" i="7"/>
  <c r="H103" i="7"/>
  <c r="H102" i="7"/>
  <c r="H101" i="7"/>
  <c r="H100" i="7"/>
  <c r="H99" i="7"/>
  <c r="H98" i="7"/>
  <c r="H97" i="7"/>
  <c r="H96" i="7"/>
  <c r="H95" i="7"/>
  <c r="H94" i="7"/>
  <c r="H93" i="7"/>
  <c r="H92" i="7"/>
  <c r="H91" i="7"/>
  <c r="H90" i="7"/>
  <c r="H89" i="7"/>
  <c r="H88" i="7"/>
  <c r="H87" i="7"/>
  <c r="H86" i="7"/>
  <c r="H84" i="7"/>
  <c r="H83" i="7"/>
  <c r="H82" i="7"/>
  <c r="H81" i="7"/>
  <c r="H80" i="7"/>
  <c r="H79" i="7"/>
  <c r="H78" i="7"/>
  <c r="H77" i="7"/>
  <c r="H76" i="7"/>
  <c r="H75" i="7"/>
  <c r="H74" i="7"/>
  <c r="H73" i="7"/>
  <c r="H72" i="7"/>
  <c r="H72" i="42" s="1"/>
  <c r="E70" i="7"/>
  <c r="F69" i="7"/>
  <c r="F68" i="7"/>
  <c r="E66" i="7"/>
  <c r="F65" i="7"/>
  <c r="F66" i="7" s="1"/>
  <c r="E63" i="7"/>
  <c r="H63" i="7"/>
  <c r="F61" i="7"/>
  <c r="F63" i="7" s="1"/>
  <c r="H59" i="7"/>
  <c r="E59" i="7"/>
  <c r="F58" i="7"/>
  <c r="F40" i="7"/>
  <c r="H38" i="7"/>
  <c r="F38" i="7"/>
  <c r="E38" i="7"/>
  <c r="E35" i="7"/>
  <c r="F34" i="7"/>
  <c r="F35" i="7" s="1"/>
  <c r="E32" i="7"/>
  <c r="F31" i="7"/>
  <c r="F32" i="7" s="1"/>
  <c r="E29" i="7"/>
  <c r="F28" i="7"/>
  <c r="F29" i="7" s="1"/>
  <c r="F25" i="7"/>
  <c r="E25" i="7"/>
  <c r="H24" i="7"/>
  <c r="H23" i="7"/>
  <c r="H22" i="7"/>
  <c r="H21" i="7"/>
  <c r="H20" i="7"/>
  <c r="F18" i="7"/>
  <c r="E18" i="7"/>
  <c r="H17" i="7"/>
  <c r="H16" i="7"/>
  <c r="H15" i="7"/>
  <c r="H14" i="7"/>
  <c r="H13" i="7"/>
  <c r="H12" i="7"/>
  <c r="H11" i="7"/>
  <c r="H10" i="7"/>
  <c r="H9" i="7"/>
  <c r="H8" i="7"/>
  <c r="H7" i="7"/>
  <c r="H260" i="13"/>
  <c r="F260" i="13"/>
  <c r="E260" i="13"/>
  <c r="H256" i="13"/>
  <c r="F256" i="13"/>
  <c r="E256" i="13"/>
  <c r="H251" i="13"/>
  <c r="F251" i="13"/>
  <c r="E251" i="13"/>
  <c r="H248" i="13"/>
  <c r="F248" i="13"/>
  <c r="E248" i="13"/>
  <c r="H240" i="13"/>
  <c r="F240" i="13"/>
  <c r="E240" i="13"/>
  <c r="E225" i="13"/>
  <c r="E221" i="13"/>
  <c r="E216" i="13"/>
  <c r="E212" i="13"/>
  <c r="E206" i="13"/>
  <c r="H205" i="13"/>
  <c r="H204" i="13"/>
  <c r="H203" i="13"/>
  <c r="H202" i="13"/>
  <c r="H201" i="13"/>
  <c r="H200" i="13"/>
  <c r="H199" i="13"/>
  <c r="H198" i="13"/>
  <c r="H197" i="13"/>
  <c r="H196" i="13"/>
  <c r="H195" i="13"/>
  <c r="H194" i="13"/>
  <c r="H193" i="13"/>
  <c r="H192" i="13"/>
  <c r="H191" i="13"/>
  <c r="H190" i="13"/>
  <c r="H189" i="13"/>
  <c r="H188" i="13"/>
  <c r="H187" i="13"/>
  <c r="H186" i="13"/>
  <c r="H185" i="13"/>
  <c r="H184" i="13"/>
  <c r="H183" i="13"/>
  <c r="H182" i="13"/>
  <c r="H181" i="13"/>
  <c r="E174" i="13"/>
  <c r="E164" i="13"/>
  <c r="E160" i="13"/>
  <c r="E156" i="13"/>
  <c r="E151" i="13"/>
  <c r="E148" i="13"/>
  <c r="H147" i="13"/>
  <c r="H146" i="13"/>
  <c r="H145" i="13"/>
  <c r="H144" i="13"/>
  <c r="H143" i="13"/>
  <c r="H142" i="13"/>
  <c r="H141" i="13"/>
  <c r="H140" i="13"/>
  <c r="H139" i="13"/>
  <c r="H138" i="13"/>
  <c r="H137" i="13"/>
  <c r="H136" i="13"/>
  <c r="H135" i="13"/>
  <c r="H134" i="13"/>
  <c r="H133" i="13"/>
  <c r="H132" i="13"/>
  <c r="H131" i="13"/>
  <c r="H130" i="13"/>
  <c r="H129" i="13"/>
  <c r="H128" i="13"/>
  <c r="H127" i="13"/>
  <c r="H126" i="13"/>
  <c r="H125" i="13"/>
  <c r="H124" i="13"/>
  <c r="H123" i="13"/>
  <c r="H122" i="13"/>
  <c r="H121" i="13"/>
  <c r="H120" i="13"/>
  <c r="H119" i="13"/>
  <c r="H118" i="13"/>
  <c r="H117" i="13"/>
  <c r="H116" i="13"/>
  <c r="H115" i="13"/>
  <c r="H114" i="13"/>
  <c r="H113" i="13"/>
  <c r="H112" i="13"/>
  <c r="H111" i="13"/>
  <c r="H110" i="13"/>
  <c r="H109" i="13"/>
  <c r="H108" i="13"/>
  <c r="H107" i="13"/>
  <c r="H106" i="13"/>
  <c r="H105" i="13"/>
  <c r="H104" i="13"/>
  <c r="H103" i="13"/>
  <c r="H102" i="13"/>
  <c r="H101" i="13"/>
  <c r="H100" i="13"/>
  <c r="H99" i="13"/>
  <c r="H98" i="13"/>
  <c r="H97" i="13"/>
  <c r="H96" i="13"/>
  <c r="H95" i="13"/>
  <c r="H94" i="13"/>
  <c r="H93" i="13"/>
  <c r="H92" i="13"/>
  <c r="H91" i="13"/>
  <c r="H90" i="13"/>
  <c r="H89" i="13"/>
  <c r="H88" i="13"/>
  <c r="H87" i="13"/>
  <c r="H86" i="13"/>
  <c r="H85" i="13"/>
  <c r="H83" i="13"/>
  <c r="H82" i="13"/>
  <c r="H81" i="13"/>
  <c r="H80" i="13"/>
  <c r="H79" i="13"/>
  <c r="H78" i="13"/>
  <c r="H77" i="13"/>
  <c r="H76" i="13"/>
  <c r="H75" i="13"/>
  <c r="H74" i="13"/>
  <c r="H73" i="13"/>
  <c r="E70" i="13"/>
  <c r="E66" i="13"/>
  <c r="E63" i="13"/>
  <c r="E59" i="13"/>
  <c r="H57" i="13"/>
  <c r="H57" i="42" s="1"/>
  <c r="H55" i="13"/>
  <c r="H54" i="13"/>
  <c r="H53" i="13"/>
  <c r="H52" i="13"/>
  <c r="H51" i="13"/>
  <c r="H50" i="13"/>
  <c r="H50" i="42" s="1"/>
  <c r="H49" i="13"/>
  <c r="H48" i="13"/>
  <c r="H46" i="13"/>
  <c r="H45" i="13"/>
  <c r="H44" i="13"/>
  <c r="H43" i="13"/>
  <c r="H42" i="13"/>
  <c r="H41" i="13"/>
  <c r="H41" i="42" s="1"/>
  <c r="E38" i="13"/>
  <c r="E35" i="13"/>
  <c r="E32" i="13"/>
  <c r="H31" i="13"/>
  <c r="H32" i="13" s="1"/>
  <c r="E29" i="13"/>
  <c r="E25" i="13"/>
  <c r="H24" i="13"/>
  <c r="H23" i="13"/>
  <c r="H22" i="13"/>
  <c r="H21" i="13"/>
  <c r="H20" i="13"/>
  <c r="E18" i="13"/>
  <c r="H17" i="13"/>
  <c r="H15" i="13"/>
  <c r="H14" i="13"/>
  <c r="H13" i="13"/>
  <c r="H12" i="13"/>
  <c r="H11" i="13"/>
  <c r="H10" i="13"/>
  <c r="H9" i="13"/>
  <c r="H8" i="13"/>
  <c r="H7" i="13"/>
  <c r="H260" i="15"/>
  <c r="F260" i="15"/>
  <c r="E260" i="15"/>
  <c r="H256" i="15"/>
  <c r="F256" i="15"/>
  <c r="E256" i="15"/>
  <c r="H251" i="15"/>
  <c r="F251" i="15"/>
  <c r="E251" i="15"/>
  <c r="H248" i="15"/>
  <c r="F248" i="15"/>
  <c r="E248" i="15"/>
  <c r="H240" i="15"/>
  <c r="F240" i="15"/>
  <c r="E240" i="15"/>
  <c r="E225" i="15"/>
  <c r="E221" i="15"/>
  <c r="E216" i="15"/>
  <c r="E212" i="15"/>
  <c r="E206" i="15"/>
  <c r="H205" i="15"/>
  <c r="H204" i="15"/>
  <c r="H203" i="15"/>
  <c r="H202" i="15"/>
  <c r="H201" i="15"/>
  <c r="H200" i="15"/>
  <c r="I200" i="15" s="1"/>
  <c r="J200" i="15" s="1"/>
  <c r="K200" i="15" s="1"/>
  <c r="H199" i="15"/>
  <c r="H198" i="15"/>
  <c r="H197" i="15"/>
  <c r="H196" i="15"/>
  <c r="H195" i="15"/>
  <c r="H194" i="15"/>
  <c r="H193" i="15"/>
  <c r="H192" i="15"/>
  <c r="H191" i="15"/>
  <c r="H190" i="15"/>
  <c r="H189" i="15"/>
  <c r="H188" i="15"/>
  <c r="H187" i="15"/>
  <c r="H186" i="15"/>
  <c r="H185" i="15"/>
  <c r="H184" i="15"/>
  <c r="H183" i="15"/>
  <c r="H182" i="15"/>
  <c r="H181" i="15"/>
  <c r="I181" i="15" s="1"/>
  <c r="E174" i="15"/>
  <c r="E164" i="15"/>
  <c r="F161" i="15"/>
  <c r="F165" i="15" s="1"/>
  <c r="E160" i="15"/>
  <c r="H159" i="15"/>
  <c r="H158" i="15"/>
  <c r="H160" i="15" s="1"/>
  <c r="E156" i="15"/>
  <c r="H154" i="15"/>
  <c r="H153" i="15"/>
  <c r="E151" i="15"/>
  <c r="H150" i="15"/>
  <c r="H151" i="15" s="1"/>
  <c r="E148" i="15"/>
  <c r="H147" i="15"/>
  <c r="H146" i="15"/>
  <c r="H145" i="15"/>
  <c r="H144" i="15"/>
  <c r="H143" i="15"/>
  <c r="H142" i="15"/>
  <c r="H141" i="15"/>
  <c r="H140" i="15"/>
  <c r="H139" i="15"/>
  <c r="H138" i="15"/>
  <c r="H137" i="15"/>
  <c r="H136" i="15"/>
  <c r="H135" i="15"/>
  <c r="H134" i="15"/>
  <c r="E70" i="15"/>
  <c r="H69" i="15"/>
  <c r="H68" i="15"/>
  <c r="H66" i="15"/>
  <c r="E66" i="15"/>
  <c r="H65" i="15"/>
  <c r="E63" i="15"/>
  <c r="H62" i="15"/>
  <c r="H61" i="15"/>
  <c r="H63" i="15" s="1"/>
  <c r="E59" i="15"/>
  <c r="H58" i="15"/>
  <c r="E38" i="15"/>
  <c r="E35" i="15"/>
  <c r="E32" i="15"/>
  <c r="H31" i="15"/>
  <c r="E29" i="15"/>
  <c r="E25" i="15"/>
  <c r="H24" i="15"/>
  <c r="I24" i="15" s="1"/>
  <c r="J24" i="15" s="1"/>
  <c r="K24" i="15" s="1"/>
  <c r="H23" i="15"/>
  <c r="I23" i="15" s="1"/>
  <c r="J23" i="15" s="1"/>
  <c r="K23" i="15" s="1"/>
  <c r="H22" i="15"/>
  <c r="I22" i="15" s="1"/>
  <c r="J22" i="15" s="1"/>
  <c r="K22" i="15" s="1"/>
  <c r="H21" i="15"/>
  <c r="I21" i="15" s="1"/>
  <c r="J21" i="15" s="1"/>
  <c r="K21" i="15" s="1"/>
  <c r="H20" i="15"/>
  <c r="I20" i="15" s="1"/>
  <c r="E18" i="15"/>
  <c r="H17" i="15"/>
  <c r="I17" i="15" s="1"/>
  <c r="J17" i="15" s="1"/>
  <c r="K17" i="15" s="1"/>
  <c r="H15" i="15"/>
  <c r="I15" i="15" s="1"/>
  <c r="J15" i="15" s="1"/>
  <c r="K15" i="15" s="1"/>
  <c r="H14" i="15"/>
  <c r="I14" i="15" s="1"/>
  <c r="J14" i="15" s="1"/>
  <c r="K14" i="15" s="1"/>
  <c r="H13" i="15"/>
  <c r="I13" i="15" s="1"/>
  <c r="J13" i="15" s="1"/>
  <c r="K13" i="15" s="1"/>
  <c r="H12" i="15"/>
  <c r="I12" i="15" s="1"/>
  <c r="H11" i="15"/>
  <c r="J11" i="15" s="1"/>
  <c r="K11" i="15" s="1"/>
  <c r="H10" i="15"/>
  <c r="J10" i="15" s="1"/>
  <c r="K10" i="15" s="1"/>
  <c r="H9" i="15"/>
  <c r="J9" i="15" s="1"/>
  <c r="K9" i="15" s="1"/>
  <c r="H8" i="15"/>
  <c r="J8" i="15" s="1"/>
  <c r="K8" i="15" s="1"/>
  <c r="H7" i="15"/>
  <c r="E260" i="19"/>
  <c r="F259" i="19"/>
  <c r="F260" i="19" s="1"/>
  <c r="F256" i="19"/>
  <c r="E256" i="19"/>
  <c r="F255" i="19"/>
  <c r="E251" i="19"/>
  <c r="F250" i="19"/>
  <c r="F251" i="19" s="1"/>
  <c r="E248" i="19"/>
  <c r="F247" i="19"/>
  <c r="F246" i="19"/>
  <c r="F245" i="19"/>
  <c r="F244" i="19"/>
  <c r="F243" i="19"/>
  <c r="F242" i="19"/>
  <c r="E240" i="19"/>
  <c r="F239" i="19"/>
  <c r="F238" i="19"/>
  <c r="F237" i="19"/>
  <c r="F236" i="19"/>
  <c r="F235" i="19"/>
  <c r="F234" i="19"/>
  <c r="F233" i="19"/>
  <c r="F232" i="19"/>
  <c r="F231" i="19"/>
  <c r="F230" i="19"/>
  <c r="F229" i="19"/>
  <c r="F228" i="19"/>
  <c r="F227" i="19"/>
  <c r="E225" i="19"/>
  <c r="F224" i="19"/>
  <c r="F223" i="19"/>
  <c r="E221" i="19"/>
  <c r="F220" i="19"/>
  <c r="F219" i="19"/>
  <c r="F218" i="19"/>
  <c r="E216" i="19"/>
  <c r="F215" i="19"/>
  <c r="F214" i="19"/>
  <c r="F216" i="19" s="1"/>
  <c r="E212" i="19"/>
  <c r="F211" i="19"/>
  <c r="F210" i="19"/>
  <c r="F209" i="19"/>
  <c r="F208" i="19"/>
  <c r="E206" i="19"/>
  <c r="F205" i="19"/>
  <c r="H205" i="19" s="1"/>
  <c r="I205" i="19" s="1"/>
  <c r="F204" i="19"/>
  <c r="H204" i="19" s="1"/>
  <c r="I204" i="19" s="1"/>
  <c r="F203" i="19"/>
  <c r="H203" i="19" s="1"/>
  <c r="I203" i="19" s="1"/>
  <c r="J203" i="19" s="1"/>
  <c r="K203" i="19" s="1"/>
  <c r="F202" i="19"/>
  <c r="H202" i="19" s="1"/>
  <c r="I202" i="19" s="1"/>
  <c r="F201" i="19"/>
  <c r="H201" i="19" s="1"/>
  <c r="I201" i="19" s="1"/>
  <c r="J201" i="19" s="1"/>
  <c r="K201" i="19" s="1"/>
  <c r="H200" i="19"/>
  <c r="I200" i="19" s="1"/>
  <c r="J200" i="19" s="1"/>
  <c r="K200" i="19" s="1"/>
  <c r="H199" i="19"/>
  <c r="I199" i="19" s="1"/>
  <c r="J199" i="19" s="1"/>
  <c r="K199" i="19" s="1"/>
  <c r="H198" i="19"/>
  <c r="I198" i="19" s="1"/>
  <c r="J198" i="19" s="1"/>
  <c r="K198" i="19" s="1"/>
  <c r="H197" i="19"/>
  <c r="I197" i="19" s="1"/>
  <c r="J197" i="19" s="1"/>
  <c r="K197" i="19" s="1"/>
  <c r="H196" i="19"/>
  <c r="I196" i="19" s="1"/>
  <c r="J196" i="19" s="1"/>
  <c r="K196" i="19" s="1"/>
  <c r="H195" i="19"/>
  <c r="I195" i="19" s="1"/>
  <c r="J195" i="19" s="1"/>
  <c r="K195" i="19" s="1"/>
  <c r="H194" i="19"/>
  <c r="I194" i="19" s="1"/>
  <c r="J194" i="19" s="1"/>
  <c r="K194" i="19" s="1"/>
  <c r="H193" i="19"/>
  <c r="I193" i="19" s="1"/>
  <c r="J193" i="19" s="1"/>
  <c r="K193" i="19" s="1"/>
  <c r="H192" i="19"/>
  <c r="I192" i="19" s="1"/>
  <c r="J192" i="19" s="1"/>
  <c r="K192" i="19" s="1"/>
  <c r="H191" i="19"/>
  <c r="I191" i="19" s="1"/>
  <c r="J191" i="19" s="1"/>
  <c r="K191" i="19" s="1"/>
  <c r="H190" i="19"/>
  <c r="I190" i="19" s="1"/>
  <c r="J190" i="19" s="1"/>
  <c r="K190" i="19" s="1"/>
  <c r="H189" i="19"/>
  <c r="I189" i="19" s="1"/>
  <c r="J189" i="19" s="1"/>
  <c r="K189" i="19" s="1"/>
  <c r="H188" i="19"/>
  <c r="I188" i="19" s="1"/>
  <c r="J188" i="19" s="1"/>
  <c r="K188" i="19" s="1"/>
  <c r="H187" i="19"/>
  <c r="I187" i="19" s="1"/>
  <c r="J187" i="19" s="1"/>
  <c r="K187" i="19" s="1"/>
  <c r="H186" i="19"/>
  <c r="I186" i="19" s="1"/>
  <c r="J186" i="19" s="1"/>
  <c r="K186" i="19" s="1"/>
  <c r="H185" i="19"/>
  <c r="I185" i="19" s="1"/>
  <c r="J185" i="19" s="1"/>
  <c r="K185" i="19" s="1"/>
  <c r="H184" i="19"/>
  <c r="I184" i="19" s="1"/>
  <c r="J184" i="19" s="1"/>
  <c r="K184" i="19" s="1"/>
  <c r="H183" i="19"/>
  <c r="I183" i="19" s="1"/>
  <c r="J183" i="19" s="1"/>
  <c r="K183" i="19" s="1"/>
  <c r="H182" i="19"/>
  <c r="I182" i="19" s="1"/>
  <c r="J182" i="19" s="1"/>
  <c r="K182" i="19" s="1"/>
  <c r="H181" i="19"/>
  <c r="I181" i="19" s="1"/>
  <c r="F180" i="19"/>
  <c r="F179" i="19"/>
  <c r="F178" i="19"/>
  <c r="F177" i="19"/>
  <c r="F176" i="19"/>
  <c r="E174" i="19"/>
  <c r="F173" i="19"/>
  <c r="F172" i="19"/>
  <c r="F164" i="19"/>
  <c r="E164" i="19"/>
  <c r="F163" i="19"/>
  <c r="E160" i="19"/>
  <c r="E156" i="19"/>
  <c r="E151" i="19"/>
  <c r="H150" i="19"/>
  <c r="H151" i="19" s="1"/>
  <c r="E148" i="19"/>
  <c r="H147" i="19"/>
  <c r="H146" i="19"/>
  <c r="H145" i="19"/>
  <c r="H144" i="19"/>
  <c r="H143" i="19"/>
  <c r="H142" i="19"/>
  <c r="H141" i="19"/>
  <c r="H140" i="19"/>
  <c r="H139" i="19"/>
  <c r="H138" i="19"/>
  <c r="H137" i="19"/>
  <c r="H136" i="19"/>
  <c r="H135" i="19"/>
  <c r="H134" i="19"/>
  <c r="H133" i="19"/>
  <c r="H132" i="19"/>
  <c r="H131" i="19"/>
  <c r="H130" i="19"/>
  <c r="H129" i="19"/>
  <c r="H128" i="19"/>
  <c r="H127" i="19"/>
  <c r="H126" i="19"/>
  <c r="H125" i="19"/>
  <c r="H124" i="19"/>
  <c r="H123" i="19"/>
  <c r="H122" i="19"/>
  <c r="H121" i="19"/>
  <c r="H120" i="19"/>
  <c r="E70" i="19"/>
  <c r="H69" i="19"/>
  <c r="H68" i="19"/>
  <c r="E66" i="19"/>
  <c r="H65" i="19"/>
  <c r="H66" i="19" s="1"/>
  <c r="F63" i="19"/>
  <c r="E63" i="19"/>
  <c r="H61" i="19"/>
  <c r="H63" i="19" s="1"/>
  <c r="E59" i="19"/>
  <c r="H58" i="19"/>
  <c r="H59" i="19" s="1"/>
  <c r="E38" i="19"/>
  <c r="E35" i="19"/>
  <c r="E32" i="19"/>
  <c r="E29" i="19"/>
  <c r="E25" i="19"/>
  <c r="H24" i="19"/>
  <c r="I24" i="19" s="1"/>
  <c r="J24" i="19" s="1"/>
  <c r="K24" i="19" s="1"/>
  <c r="H23" i="19"/>
  <c r="I23" i="19" s="1"/>
  <c r="J23" i="19" s="1"/>
  <c r="K23" i="19" s="1"/>
  <c r="H22" i="19"/>
  <c r="I22" i="19" s="1"/>
  <c r="J22" i="19" s="1"/>
  <c r="K22" i="19" s="1"/>
  <c r="H21" i="19"/>
  <c r="I21" i="19" s="1"/>
  <c r="J21" i="19" s="1"/>
  <c r="K21" i="19" s="1"/>
  <c r="H20" i="19"/>
  <c r="I20" i="19" s="1"/>
  <c r="E18" i="19"/>
  <c r="H17" i="19"/>
  <c r="I17" i="19" s="1"/>
  <c r="J17" i="19" s="1"/>
  <c r="K17" i="19" s="1"/>
  <c r="H16" i="19"/>
  <c r="I16" i="19" s="1"/>
  <c r="J16" i="19" s="1"/>
  <c r="K16" i="19" s="1"/>
  <c r="H15" i="19"/>
  <c r="I15" i="19" s="1"/>
  <c r="J15" i="19" s="1"/>
  <c r="K15" i="19" s="1"/>
  <c r="H14" i="19"/>
  <c r="I14" i="19" s="1"/>
  <c r="J14" i="19" s="1"/>
  <c r="K14" i="19" s="1"/>
  <c r="H13" i="19"/>
  <c r="I13" i="19" s="1"/>
  <c r="J13" i="19" s="1"/>
  <c r="K13" i="19" s="1"/>
  <c r="H12" i="19"/>
  <c r="I12" i="19" s="1"/>
  <c r="J12" i="19" s="1"/>
  <c r="K12" i="19" s="1"/>
  <c r="H11" i="19"/>
  <c r="I11" i="19" s="1"/>
  <c r="J11" i="19" s="1"/>
  <c r="K11" i="19" s="1"/>
  <c r="H10" i="19"/>
  <c r="I10" i="19" s="1"/>
  <c r="J10" i="19" s="1"/>
  <c r="K10" i="19" s="1"/>
  <c r="H9" i="19"/>
  <c r="I9" i="19" s="1"/>
  <c r="J9" i="19" s="1"/>
  <c r="K9" i="19" s="1"/>
  <c r="H8" i="19"/>
  <c r="I8" i="19" s="1"/>
  <c r="J8" i="19" s="1"/>
  <c r="K8" i="19" s="1"/>
  <c r="H7" i="19"/>
  <c r="I7" i="19" s="1"/>
  <c r="E251" i="18"/>
  <c r="E248" i="18"/>
  <c r="E240" i="18"/>
  <c r="F225" i="18"/>
  <c r="F252" i="18" s="1"/>
  <c r="F257" i="18" s="1"/>
  <c r="F261" i="18" s="1"/>
  <c r="E225" i="18"/>
  <c r="H224" i="18"/>
  <c r="E221" i="18"/>
  <c r="E216" i="18"/>
  <c r="E212" i="18"/>
  <c r="E206" i="18"/>
  <c r="E174" i="18"/>
  <c r="E164" i="18"/>
  <c r="F161" i="18"/>
  <c r="F165" i="18" s="1"/>
  <c r="E160" i="18"/>
  <c r="H159" i="18"/>
  <c r="H159" i="42" s="1"/>
  <c r="H158" i="18"/>
  <c r="H158" i="42" s="1"/>
  <c r="E156" i="18"/>
  <c r="H154" i="18"/>
  <c r="H154" i="42" s="1"/>
  <c r="H153" i="18"/>
  <c r="E151" i="18"/>
  <c r="H150" i="18"/>
  <c r="E148" i="18"/>
  <c r="H147" i="18"/>
  <c r="H146" i="18"/>
  <c r="H145" i="18"/>
  <c r="H144" i="18"/>
  <c r="H143" i="18"/>
  <c r="H142" i="18"/>
  <c r="H141" i="18"/>
  <c r="H140" i="18"/>
  <c r="H139" i="18"/>
  <c r="H138" i="18"/>
  <c r="H137" i="18"/>
  <c r="H136" i="18"/>
  <c r="H135" i="18"/>
  <c r="H134" i="18"/>
  <c r="H133" i="18"/>
  <c r="H132" i="18"/>
  <c r="H131" i="18"/>
  <c r="H130" i="18"/>
  <c r="H129" i="18"/>
  <c r="H128" i="18"/>
  <c r="H127" i="18"/>
  <c r="H126" i="18"/>
  <c r="H125" i="18"/>
  <c r="H124" i="18"/>
  <c r="H123" i="18"/>
  <c r="E70" i="18"/>
  <c r="H69" i="18"/>
  <c r="H68" i="18"/>
  <c r="E66" i="18"/>
  <c r="H65" i="18"/>
  <c r="H65" i="42" s="1"/>
  <c r="E63" i="18"/>
  <c r="H62" i="18"/>
  <c r="H62" i="42" s="1"/>
  <c r="H61" i="18"/>
  <c r="E59" i="18"/>
  <c r="H58" i="18"/>
  <c r="E38" i="18"/>
  <c r="E35" i="18"/>
  <c r="E32" i="18"/>
  <c r="E29" i="18"/>
  <c r="E25" i="18"/>
  <c r="H24" i="18"/>
  <c r="I24" i="18" s="1"/>
  <c r="J24" i="18" s="1"/>
  <c r="K24" i="18" s="1"/>
  <c r="H23" i="18"/>
  <c r="I23" i="18" s="1"/>
  <c r="J23" i="18" s="1"/>
  <c r="K23" i="18" s="1"/>
  <c r="H22" i="18"/>
  <c r="I22" i="18" s="1"/>
  <c r="J22" i="18" s="1"/>
  <c r="K22" i="18" s="1"/>
  <c r="H21" i="18"/>
  <c r="I21" i="18" s="1"/>
  <c r="E18" i="18"/>
  <c r="H16" i="18"/>
  <c r="I16" i="18" s="1"/>
  <c r="J16" i="18" s="1"/>
  <c r="K16" i="18" s="1"/>
  <c r="H15" i="18"/>
  <c r="I15" i="18" s="1"/>
  <c r="J15" i="18" s="1"/>
  <c r="K15" i="18" s="1"/>
  <c r="H14" i="18"/>
  <c r="I14" i="18" s="1"/>
  <c r="J14" i="18" s="1"/>
  <c r="K14" i="18" s="1"/>
  <c r="H13" i="18"/>
  <c r="I13" i="18" s="1"/>
  <c r="J13" i="18" s="1"/>
  <c r="K13" i="18" s="1"/>
  <c r="H12" i="18"/>
  <c r="I12" i="18" s="1"/>
  <c r="J12" i="18" s="1"/>
  <c r="K12" i="18" s="1"/>
  <c r="H11" i="18"/>
  <c r="I11" i="18" s="1"/>
  <c r="J11" i="18" s="1"/>
  <c r="K11" i="18" s="1"/>
  <c r="H10" i="18"/>
  <c r="I10" i="18" s="1"/>
  <c r="J10" i="18" s="1"/>
  <c r="K10" i="18" s="1"/>
  <c r="H9" i="18"/>
  <c r="I9" i="18" s="1"/>
  <c r="J9" i="18" s="1"/>
  <c r="K9" i="18" s="1"/>
  <c r="H8" i="18"/>
  <c r="I8" i="18" s="1"/>
  <c r="J8" i="18" s="1"/>
  <c r="K8" i="18" s="1"/>
  <c r="H7" i="18"/>
  <c r="I7" i="18" s="1"/>
  <c r="E251" i="16"/>
  <c r="E248" i="16"/>
  <c r="E240" i="16"/>
  <c r="E225" i="16"/>
  <c r="E221" i="16"/>
  <c r="E216" i="16"/>
  <c r="F212" i="16"/>
  <c r="F252" i="16" s="1"/>
  <c r="E212" i="16"/>
  <c r="F206" i="16"/>
  <c r="E206" i="16"/>
  <c r="K180" i="16"/>
  <c r="J180" i="42" s="1"/>
  <c r="K179" i="16"/>
  <c r="K178" i="16"/>
  <c r="K177" i="16"/>
  <c r="K176" i="16"/>
  <c r="E174" i="16"/>
  <c r="K173" i="16"/>
  <c r="K172" i="16"/>
  <c r="E164" i="16"/>
  <c r="E160" i="16"/>
  <c r="E156" i="16"/>
  <c r="E151" i="16"/>
  <c r="F148" i="16"/>
  <c r="E148" i="16"/>
  <c r="E70" i="16"/>
  <c r="E66" i="16"/>
  <c r="E63" i="16"/>
  <c r="F59" i="16"/>
  <c r="E59" i="16"/>
  <c r="E38" i="16"/>
  <c r="E35" i="16"/>
  <c r="E32" i="16"/>
  <c r="E29" i="16"/>
  <c r="F25" i="16"/>
  <c r="E25" i="16"/>
  <c r="F18" i="16"/>
  <c r="E18" i="16"/>
  <c r="I11" i="16"/>
  <c r="J11" i="16" s="1"/>
  <c r="K11" i="16" s="1"/>
  <c r="I10" i="16"/>
  <c r="J10" i="16" s="1"/>
  <c r="K10" i="16" s="1"/>
  <c r="I9" i="16"/>
  <c r="J9" i="16" s="1"/>
  <c r="K9" i="16" s="1"/>
  <c r="I8" i="16"/>
  <c r="J8" i="16" s="1"/>
  <c r="K8" i="16" s="1"/>
  <c r="I7" i="16"/>
  <c r="E260" i="14"/>
  <c r="F259" i="14"/>
  <c r="F260" i="14" s="1"/>
  <c r="E256" i="14"/>
  <c r="F255" i="14"/>
  <c r="E251" i="14"/>
  <c r="F250" i="14"/>
  <c r="E248" i="14"/>
  <c r="F247" i="14"/>
  <c r="F246" i="14"/>
  <c r="F245" i="14"/>
  <c r="F244" i="14"/>
  <c r="F243" i="14"/>
  <c r="F242" i="14"/>
  <c r="E240" i="14"/>
  <c r="F239" i="14"/>
  <c r="F238" i="14"/>
  <c r="F237" i="14"/>
  <c r="F236" i="14"/>
  <c r="F235" i="14"/>
  <c r="F234" i="14"/>
  <c r="F232" i="14"/>
  <c r="F231" i="14"/>
  <c r="F230" i="14"/>
  <c r="F229" i="14"/>
  <c r="F228" i="14"/>
  <c r="F227" i="14"/>
  <c r="E225" i="14"/>
  <c r="F224" i="14"/>
  <c r="F225" i="14" s="1"/>
  <c r="E221" i="14"/>
  <c r="F220" i="14"/>
  <c r="F219" i="14"/>
  <c r="F218" i="14"/>
  <c r="E216" i="14"/>
  <c r="F215" i="14"/>
  <c r="F214" i="14"/>
  <c r="E212" i="14"/>
  <c r="F211" i="14"/>
  <c r="F210" i="14"/>
  <c r="F209" i="14"/>
  <c r="F208" i="14"/>
  <c r="E206" i="14"/>
  <c r="F204" i="14"/>
  <c r="F203" i="14"/>
  <c r="F202" i="14"/>
  <c r="F201" i="14"/>
  <c r="F200" i="14"/>
  <c r="F199" i="14"/>
  <c r="F198" i="14"/>
  <c r="F197" i="14"/>
  <c r="F196" i="14"/>
  <c r="F195" i="14"/>
  <c r="F194" i="14"/>
  <c r="F193" i="14"/>
  <c r="F192" i="14"/>
  <c r="F191" i="14"/>
  <c r="F190" i="14"/>
  <c r="F189" i="14"/>
  <c r="F188" i="14"/>
  <c r="F187" i="14"/>
  <c r="F186" i="14"/>
  <c r="F185" i="14"/>
  <c r="F184" i="14"/>
  <c r="F183" i="14"/>
  <c r="F182" i="14"/>
  <c r="F181" i="14"/>
  <c r="F180" i="14"/>
  <c r="J180" i="14" s="1"/>
  <c r="F179" i="14"/>
  <c r="J179" i="14" s="1"/>
  <c r="F178" i="14"/>
  <c r="J178" i="14" s="1"/>
  <c r="F177" i="14"/>
  <c r="J177" i="14" s="1"/>
  <c r="F176" i="14"/>
  <c r="E174" i="14"/>
  <c r="F173" i="14"/>
  <c r="J173" i="14" s="1"/>
  <c r="F172" i="14"/>
  <c r="F174" i="14" s="1"/>
  <c r="E164" i="14"/>
  <c r="F163" i="14"/>
  <c r="F164" i="14" s="1"/>
  <c r="E160" i="14"/>
  <c r="F159" i="14"/>
  <c r="F158" i="14"/>
  <c r="E156" i="14"/>
  <c r="F155" i="14"/>
  <c r="F154" i="14"/>
  <c r="F153" i="14"/>
  <c r="E151" i="14"/>
  <c r="F150" i="14"/>
  <c r="F151" i="14" s="1"/>
  <c r="E148" i="14"/>
  <c r="J147" i="14"/>
  <c r="F147" i="14"/>
  <c r="F146" i="14"/>
  <c r="J146" i="14" s="1"/>
  <c r="F145" i="14"/>
  <c r="J145" i="14" s="1"/>
  <c r="J144" i="42" s="1"/>
  <c r="J143" i="14"/>
  <c r="J142" i="14"/>
  <c r="J141" i="14"/>
  <c r="J140" i="14"/>
  <c r="J139" i="14"/>
  <c r="J138" i="14"/>
  <c r="J137" i="42" s="1"/>
  <c r="J137" i="14"/>
  <c r="J136" i="42" s="1"/>
  <c r="J136" i="14"/>
  <c r="J135" i="42" s="1"/>
  <c r="J135" i="14"/>
  <c r="J134" i="42" s="1"/>
  <c r="J134" i="14"/>
  <c r="J133" i="42" s="1"/>
  <c r="J133" i="14"/>
  <c r="J132" i="42" s="1"/>
  <c r="J132" i="14"/>
  <c r="J131" i="42" s="1"/>
  <c r="J131" i="14"/>
  <c r="J130" i="42" s="1"/>
  <c r="J130" i="14"/>
  <c r="J129" i="42" s="1"/>
  <c r="J129" i="14"/>
  <c r="J128" i="42" s="1"/>
  <c r="J128" i="14"/>
  <c r="J127" i="42" s="1"/>
  <c r="J127" i="14"/>
  <c r="J126" i="42" s="1"/>
  <c r="J126" i="14"/>
  <c r="J125" i="42" s="1"/>
  <c r="J125" i="14"/>
  <c r="J124" i="42" s="1"/>
  <c r="J124" i="14"/>
  <c r="J123" i="42" s="1"/>
  <c r="J123" i="14"/>
  <c r="J122" i="42" s="1"/>
  <c r="J122" i="14"/>
  <c r="J121" i="42" s="1"/>
  <c r="J121" i="14"/>
  <c r="J120" i="42" s="1"/>
  <c r="J120" i="14"/>
  <c r="J119" i="42" s="1"/>
  <c r="F117" i="14"/>
  <c r="F116" i="14"/>
  <c r="F115" i="14"/>
  <c r="F114" i="14"/>
  <c r="F113" i="14"/>
  <c r="F112" i="14"/>
  <c r="F111" i="14"/>
  <c r="F110" i="14"/>
  <c r="F109" i="14"/>
  <c r="F108" i="14"/>
  <c r="F107" i="14"/>
  <c r="F106" i="14"/>
  <c r="F105" i="14"/>
  <c r="F104" i="14"/>
  <c r="F103" i="14"/>
  <c r="F102" i="14"/>
  <c r="F101" i="14"/>
  <c r="F100" i="14"/>
  <c r="F99" i="14"/>
  <c r="F98" i="14"/>
  <c r="F97" i="14"/>
  <c r="F96" i="14"/>
  <c r="F95" i="14"/>
  <c r="F94" i="14"/>
  <c r="F93" i="14"/>
  <c r="F92" i="14"/>
  <c r="F91" i="14"/>
  <c r="F90" i="14"/>
  <c r="F89" i="14"/>
  <c r="F88" i="14"/>
  <c r="F87" i="14"/>
  <c r="F86" i="14"/>
  <c r="F85" i="14"/>
  <c r="F84" i="14"/>
  <c r="J83" i="14"/>
  <c r="J82" i="42" s="1"/>
  <c r="F83" i="14"/>
  <c r="F82" i="14"/>
  <c r="F81" i="14"/>
  <c r="F80" i="14"/>
  <c r="F77" i="14"/>
  <c r="J77" i="14" s="1"/>
  <c r="J76" i="42" s="1"/>
  <c r="F76" i="14"/>
  <c r="J76" i="14" s="1"/>
  <c r="J75" i="42" s="1"/>
  <c r="F75" i="14"/>
  <c r="J75" i="14" s="1"/>
  <c r="J74" i="42" s="1"/>
  <c r="F74" i="14"/>
  <c r="J74" i="14" s="1"/>
  <c r="J73" i="42" s="1"/>
  <c r="F73" i="14"/>
  <c r="J73" i="14" s="1"/>
  <c r="F72" i="14"/>
  <c r="I70" i="14"/>
  <c r="I69" i="42" s="1"/>
  <c r="I70" i="42" s="1"/>
  <c r="F2" i="48" s="1"/>
  <c r="E70" i="14"/>
  <c r="F69" i="14"/>
  <c r="J69" i="14" s="1"/>
  <c r="J68" i="42" s="1"/>
  <c r="F68" i="14"/>
  <c r="J66" i="14"/>
  <c r="J65" i="42" s="1"/>
  <c r="J66" i="42" s="1"/>
  <c r="I66" i="14"/>
  <c r="I65" i="42" s="1"/>
  <c r="I66" i="42" s="1"/>
  <c r="E66" i="14"/>
  <c r="F65" i="14"/>
  <c r="F66" i="14" s="1"/>
  <c r="J63" i="14"/>
  <c r="I63" i="14"/>
  <c r="E63" i="14"/>
  <c r="F62" i="14"/>
  <c r="F61" i="14"/>
  <c r="F63" i="14" s="1"/>
  <c r="I59" i="14"/>
  <c r="E59" i="14"/>
  <c r="F58" i="14"/>
  <c r="J58" i="14" s="1"/>
  <c r="F57" i="14"/>
  <c r="J57" i="14" s="1"/>
  <c r="J56" i="42" s="1"/>
  <c r="F56" i="14"/>
  <c r="J56" i="14" s="1"/>
  <c r="J55" i="42" s="1"/>
  <c r="F55" i="14"/>
  <c r="J55" i="14" s="1"/>
  <c r="J54" i="42" s="1"/>
  <c r="F54" i="14"/>
  <c r="J54" i="14" s="1"/>
  <c r="J53" i="42" s="1"/>
  <c r="F53" i="14"/>
  <c r="J53" i="14" s="1"/>
  <c r="J52" i="42" s="1"/>
  <c r="F52" i="14"/>
  <c r="J52" i="14" s="1"/>
  <c r="J51" i="42" s="1"/>
  <c r="F51" i="14"/>
  <c r="J51" i="14" s="1"/>
  <c r="J50" i="42" s="1"/>
  <c r="F50" i="14"/>
  <c r="F49" i="14"/>
  <c r="F48" i="14"/>
  <c r="F47" i="14"/>
  <c r="F46" i="14"/>
  <c r="F45" i="14"/>
  <c r="F44" i="14"/>
  <c r="F43" i="14"/>
  <c r="F42" i="14"/>
  <c r="F40" i="14"/>
  <c r="J38" i="14"/>
  <c r="J37" i="42" s="1"/>
  <c r="J38" i="42" s="1"/>
  <c r="E38" i="14"/>
  <c r="F37" i="14"/>
  <c r="F38" i="14" s="1"/>
  <c r="J35" i="14"/>
  <c r="E35" i="14"/>
  <c r="F34" i="14"/>
  <c r="F35" i="14" s="1"/>
  <c r="J32" i="14"/>
  <c r="J31" i="42" s="1"/>
  <c r="J32" i="42" s="1"/>
  <c r="E32" i="14"/>
  <c r="F31" i="14"/>
  <c r="F32" i="14" s="1"/>
  <c r="E29" i="14"/>
  <c r="J28" i="14"/>
  <c r="F28" i="14"/>
  <c r="F29" i="14" s="1"/>
  <c r="F25" i="14"/>
  <c r="E25" i="14"/>
  <c r="E18" i="14"/>
  <c r="F13" i="14"/>
  <c r="F12" i="14"/>
  <c r="F11" i="14"/>
  <c r="F9" i="14"/>
  <c r="F8" i="14"/>
  <c r="F7" i="14"/>
  <c r="E260" i="12"/>
  <c r="F259" i="12"/>
  <c r="H259" i="12" s="1"/>
  <c r="E256" i="12"/>
  <c r="F255" i="12"/>
  <c r="H255" i="12" s="1"/>
  <c r="E251" i="12"/>
  <c r="F250" i="12"/>
  <c r="H250" i="12" s="1"/>
  <c r="E248" i="12"/>
  <c r="F247" i="12"/>
  <c r="H247" i="12" s="1"/>
  <c r="J247" i="12" s="1"/>
  <c r="F246" i="12"/>
  <c r="H246" i="12" s="1"/>
  <c r="J246" i="12" s="1"/>
  <c r="F245" i="12"/>
  <c r="H245" i="12" s="1"/>
  <c r="J245" i="12" s="1"/>
  <c r="F244" i="12"/>
  <c r="H244" i="12" s="1"/>
  <c r="J244" i="12" s="1"/>
  <c r="F243" i="12"/>
  <c r="H243" i="12" s="1"/>
  <c r="J243" i="12" s="1"/>
  <c r="F242" i="12"/>
  <c r="H242" i="12" s="1"/>
  <c r="E240" i="12"/>
  <c r="F239" i="12"/>
  <c r="H239" i="12" s="1"/>
  <c r="J239" i="12" s="1"/>
  <c r="F238" i="12"/>
  <c r="H238" i="12" s="1"/>
  <c r="J238" i="12" s="1"/>
  <c r="F237" i="12"/>
  <c r="H237" i="12" s="1"/>
  <c r="J237" i="12" s="1"/>
  <c r="F236" i="12"/>
  <c r="H236" i="12" s="1"/>
  <c r="J236" i="12" s="1"/>
  <c r="F235" i="12"/>
  <c r="H235" i="12" s="1"/>
  <c r="J235" i="12" s="1"/>
  <c r="F234" i="12"/>
  <c r="H234" i="12" s="1"/>
  <c r="J234" i="12" s="1"/>
  <c r="F233" i="12"/>
  <c r="H233" i="12" s="1"/>
  <c r="J233" i="12" s="1"/>
  <c r="F232" i="12"/>
  <c r="H232" i="12" s="1"/>
  <c r="J232" i="12" s="1"/>
  <c r="F231" i="12"/>
  <c r="H231" i="12" s="1"/>
  <c r="J231" i="12" s="1"/>
  <c r="F230" i="12"/>
  <c r="H230" i="12" s="1"/>
  <c r="J230" i="12" s="1"/>
  <c r="F229" i="12"/>
  <c r="H229" i="12" s="1"/>
  <c r="J229" i="12" s="1"/>
  <c r="F228" i="12"/>
  <c r="H228" i="12" s="1"/>
  <c r="J228" i="12" s="1"/>
  <c r="F227" i="12"/>
  <c r="H227" i="12" s="1"/>
  <c r="J227" i="12" s="1"/>
  <c r="E225" i="12"/>
  <c r="F224" i="12"/>
  <c r="H224" i="12" s="1"/>
  <c r="J224" i="12" s="1"/>
  <c r="F223" i="12"/>
  <c r="H223" i="12" s="1"/>
  <c r="J223" i="12" s="1"/>
  <c r="E221" i="12"/>
  <c r="F220" i="12"/>
  <c r="H220" i="12" s="1"/>
  <c r="J220" i="12" s="1"/>
  <c r="F219" i="12"/>
  <c r="H219" i="12" s="1"/>
  <c r="J219" i="12" s="1"/>
  <c r="F218" i="12"/>
  <c r="H218" i="12" s="1"/>
  <c r="J218" i="12" s="1"/>
  <c r="E216" i="12"/>
  <c r="F215" i="12"/>
  <c r="H215" i="12" s="1"/>
  <c r="J215" i="12" s="1"/>
  <c r="H214" i="12"/>
  <c r="F214" i="12"/>
  <c r="E212" i="12"/>
  <c r="F211" i="12"/>
  <c r="H211" i="12" s="1"/>
  <c r="J211" i="12" s="1"/>
  <c r="F210" i="12"/>
  <c r="H210" i="12" s="1"/>
  <c r="J210" i="12" s="1"/>
  <c r="F209" i="12"/>
  <c r="H209" i="12" s="1"/>
  <c r="J209" i="12" s="1"/>
  <c r="F208" i="12"/>
  <c r="F204" i="12"/>
  <c r="F203" i="12"/>
  <c r="F202" i="12"/>
  <c r="F201" i="12"/>
  <c r="H200" i="12"/>
  <c r="I200" i="12" s="1"/>
  <c r="J200" i="12" s="1"/>
  <c r="K200" i="12" s="1"/>
  <c r="H199" i="12"/>
  <c r="I199" i="12" s="1"/>
  <c r="J199" i="12" s="1"/>
  <c r="K199" i="12" s="1"/>
  <c r="H198" i="12"/>
  <c r="I198" i="12" s="1"/>
  <c r="J198" i="12" s="1"/>
  <c r="K198" i="12" s="1"/>
  <c r="H197" i="12"/>
  <c r="I197" i="12" s="1"/>
  <c r="J197" i="12" s="1"/>
  <c r="K197" i="12" s="1"/>
  <c r="H196" i="12"/>
  <c r="I196" i="12" s="1"/>
  <c r="J196" i="12" s="1"/>
  <c r="K196" i="12" s="1"/>
  <c r="H195" i="12"/>
  <c r="I195" i="12" s="1"/>
  <c r="J195" i="12" s="1"/>
  <c r="K195" i="12" s="1"/>
  <c r="H194" i="12"/>
  <c r="I194" i="12" s="1"/>
  <c r="J194" i="12" s="1"/>
  <c r="K194" i="12" s="1"/>
  <c r="H193" i="12"/>
  <c r="I193" i="12" s="1"/>
  <c r="J193" i="12" s="1"/>
  <c r="K193" i="12" s="1"/>
  <c r="H192" i="12"/>
  <c r="I192" i="12" s="1"/>
  <c r="J192" i="12" s="1"/>
  <c r="K192" i="12" s="1"/>
  <c r="H191" i="12"/>
  <c r="I191" i="12" s="1"/>
  <c r="J191" i="12" s="1"/>
  <c r="K191" i="12" s="1"/>
  <c r="H190" i="12"/>
  <c r="I190" i="12" s="1"/>
  <c r="J190" i="12" s="1"/>
  <c r="K190" i="12" s="1"/>
  <c r="H189" i="12"/>
  <c r="I189" i="12" s="1"/>
  <c r="J189" i="12" s="1"/>
  <c r="K189" i="12" s="1"/>
  <c r="H188" i="12"/>
  <c r="I188" i="12" s="1"/>
  <c r="J188" i="12" s="1"/>
  <c r="K188" i="12" s="1"/>
  <c r="H187" i="12"/>
  <c r="I187" i="12" s="1"/>
  <c r="J187" i="12" s="1"/>
  <c r="K187" i="12" s="1"/>
  <c r="H186" i="12"/>
  <c r="I186" i="12" s="1"/>
  <c r="J186" i="12" s="1"/>
  <c r="K186" i="12" s="1"/>
  <c r="H185" i="12"/>
  <c r="I185" i="12" s="1"/>
  <c r="J185" i="12" s="1"/>
  <c r="K185" i="12" s="1"/>
  <c r="H184" i="12"/>
  <c r="I184" i="12" s="1"/>
  <c r="J184" i="12" s="1"/>
  <c r="K184" i="12" s="1"/>
  <c r="H183" i="12"/>
  <c r="I183" i="12" s="1"/>
  <c r="J183" i="12" s="1"/>
  <c r="K183" i="12" s="1"/>
  <c r="H182" i="12"/>
  <c r="I182" i="12" s="1"/>
  <c r="J182" i="12" s="1"/>
  <c r="K182" i="12" s="1"/>
  <c r="H181" i="12"/>
  <c r="I181" i="12" s="1"/>
  <c r="H180" i="12"/>
  <c r="H179" i="12"/>
  <c r="H178" i="12"/>
  <c r="H177" i="12"/>
  <c r="K176" i="12"/>
  <c r="E174" i="12"/>
  <c r="F173" i="12"/>
  <c r="K173" i="12" s="1"/>
  <c r="F172" i="12"/>
  <c r="E164" i="12"/>
  <c r="F163" i="12"/>
  <c r="F164" i="12" s="1"/>
  <c r="E160" i="12"/>
  <c r="F159" i="12"/>
  <c r="F158" i="12"/>
  <c r="H156" i="12"/>
  <c r="E156" i="12"/>
  <c r="F153" i="12"/>
  <c r="F156" i="12" s="1"/>
  <c r="F151" i="12"/>
  <c r="E151" i="12"/>
  <c r="F150" i="12"/>
  <c r="H148" i="12"/>
  <c r="E148" i="12"/>
  <c r="F147" i="12"/>
  <c r="F146" i="12"/>
  <c r="F145" i="12"/>
  <c r="F144" i="12"/>
  <c r="F143" i="12"/>
  <c r="F142" i="12"/>
  <c r="F141" i="12"/>
  <c r="F140" i="12"/>
  <c r="F139" i="12"/>
  <c r="F138" i="12"/>
  <c r="F137" i="12"/>
  <c r="F136" i="12"/>
  <c r="F135" i="12"/>
  <c r="F109" i="12"/>
  <c r="F108" i="12"/>
  <c r="F107" i="12"/>
  <c r="F106" i="12"/>
  <c r="F105" i="12"/>
  <c r="F104" i="12"/>
  <c r="F103" i="12"/>
  <c r="F102" i="12"/>
  <c r="F101" i="12"/>
  <c r="F100" i="12"/>
  <c r="F99" i="12"/>
  <c r="F98" i="12"/>
  <c r="F97" i="12"/>
  <c r="F96" i="12"/>
  <c r="F95" i="12"/>
  <c r="F94" i="12"/>
  <c r="F93" i="12"/>
  <c r="F92" i="12"/>
  <c r="F91" i="12"/>
  <c r="F90" i="12"/>
  <c r="F89" i="12"/>
  <c r="F88" i="12"/>
  <c r="F87" i="12"/>
  <c r="F86" i="12"/>
  <c r="E70" i="12"/>
  <c r="F69" i="12"/>
  <c r="F68" i="12"/>
  <c r="F70" i="12" s="1"/>
  <c r="E66" i="12"/>
  <c r="F65" i="12"/>
  <c r="F66" i="12" s="1"/>
  <c r="E63" i="12"/>
  <c r="F62" i="12"/>
  <c r="F61" i="12"/>
  <c r="F63" i="12" s="1"/>
  <c r="H59" i="12"/>
  <c r="F59" i="12"/>
  <c r="E59" i="12"/>
  <c r="E38" i="12"/>
  <c r="F37" i="12"/>
  <c r="F38" i="12" s="1"/>
  <c r="E35" i="12"/>
  <c r="F34" i="12"/>
  <c r="F35" i="12" s="1"/>
  <c r="F32" i="12"/>
  <c r="E32" i="12"/>
  <c r="F31" i="12"/>
  <c r="E29" i="12"/>
  <c r="F28" i="12"/>
  <c r="F29" i="12" s="1"/>
  <c r="F25" i="12"/>
  <c r="E25" i="12"/>
  <c r="H24" i="12"/>
  <c r="I24" i="12" s="1"/>
  <c r="J24" i="12" s="1"/>
  <c r="K24" i="12" s="1"/>
  <c r="H23" i="12"/>
  <c r="I23" i="12" s="1"/>
  <c r="J23" i="12" s="1"/>
  <c r="K23" i="12" s="1"/>
  <c r="H22" i="12"/>
  <c r="I22" i="12" s="1"/>
  <c r="J22" i="12" s="1"/>
  <c r="K22" i="12" s="1"/>
  <c r="H21" i="12"/>
  <c r="I21" i="12" s="1"/>
  <c r="J21" i="12" s="1"/>
  <c r="K21" i="12" s="1"/>
  <c r="H20" i="12"/>
  <c r="I20" i="12" s="1"/>
  <c r="E18" i="12"/>
  <c r="H17" i="12"/>
  <c r="I17" i="12" s="1"/>
  <c r="J17" i="12" s="1"/>
  <c r="K17" i="12" s="1"/>
  <c r="H16" i="12"/>
  <c r="I16" i="12" s="1"/>
  <c r="J16" i="12" s="1"/>
  <c r="K16" i="12" s="1"/>
  <c r="H15" i="12"/>
  <c r="I15" i="12" s="1"/>
  <c r="J15" i="12" s="1"/>
  <c r="K15" i="12" s="1"/>
  <c r="H14" i="12"/>
  <c r="I14" i="12" s="1"/>
  <c r="F13" i="12"/>
  <c r="H13" i="12" s="1"/>
  <c r="F12" i="12"/>
  <c r="H12" i="12" s="1"/>
  <c r="F11" i="12"/>
  <c r="H11" i="12" s="1"/>
  <c r="F10" i="12"/>
  <c r="H10" i="12" s="1"/>
  <c r="F9" i="12"/>
  <c r="H9" i="12" s="1"/>
  <c r="F8" i="12"/>
  <c r="H8" i="12" s="1"/>
  <c r="F7" i="12"/>
  <c r="E248" i="11"/>
  <c r="E240" i="11"/>
  <c r="E225" i="11"/>
  <c r="E221" i="11"/>
  <c r="E216" i="11"/>
  <c r="E212" i="11"/>
  <c r="F206" i="11"/>
  <c r="F252" i="11" s="1"/>
  <c r="F257" i="11" s="1"/>
  <c r="F261" i="11" s="1"/>
  <c r="E206" i="11"/>
  <c r="H203" i="11"/>
  <c r="I203" i="11" s="1"/>
  <c r="H201" i="11"/>
  <c r="I201" i="11" s="1"/>
  <c r="H200" i="11"/>
  <c r="I200" i="11" s="1"/>
  <c r="J200" i="11" s="1"/>
  <c r="K200" i="11" s="1"/>
  <c r="H198" i="11"/>
  <c r="I198" i="11" s="1"/>
  <c r="J198" i="11" s="1"/>
  <c r="K198" i="11" s="1"/>
  <c r="H197" i="11"/>
  <c r="I197" i="11" s="1"/>
  <c r="J197" i="11" s="1"/>
  <c r="K197" i="11" s="1"/>
  <c r="H196" i="11"/>
  <c r="I196" i="11" s="1"/>
  <c r="J196" i="11" s="1"/>
  <c r="K196" i="11" s="1"/>
  <c r="H195" i="11"/>
  <c r="I195" i="11" s="1"/>
  <c r="J195" i="11" s="1"/>
  <c r="K195" i="11" s="1"/>
  <c r="H194" i="11"/>
  <c r="I194" i="11" s="1"/>
  <c r="J194" i="11" s="1"/>
  <c r="K194" i="11" s="1"/>
  <c r="H193" i="11"/>
  <c r="I193" i="11" s="1"/>
  <c r="J193" i="11" s="1"/>
  <c r="K193" i="11" s="1"/>
  <c r="H192" i="11"/>
  <c r="I192" i="11" s="1"/>
  <c r="J192" i="11" s="1"/>
  <c r="K192" i="11" s="1"/>
  <c r="H191" i="11"/>
  <c r="I191" i="11" s="1"/>
  <c r="J191" i="11" s="1"/>
  <c r="K191" i="11" s="1"/>
  <c r="H190" i="11"/>
  <c r="I190" i="11" s="1"/>
  <c r="J190" i="11" s="1"/>
  <c r="K190" i="11" s="1"/>
  <c r="H189" i="11"/>
  <c r="I189" i="11" s="1"/>
  <c r="J189" i="11" s="1"/>
  <c r="K189" i="11" s="1"/>
  <c r="H188" i="11"/>
  <c r="I188" i="11" s="1"/>
  <c r="J188" i="11" s="1"/>
  <c r="K188" i="11" s="1"/>
  <c r="H187" i="11"/>
  <c r="I187" i="11" s="1"/>
  <c r="J187" i="11" s="1"/>
  <c r="K187" i="11" s="1"/>
  <c r="H186" i="11"/>
  <c r="I186" i="11" s="1"/>
  <c r="J186" i="11" s="1"/>
  <c r="K186" i="11" s="1"/>
  <c r="H185" i="11"/>
  <c r="I185" i="11" s="1"/>
  <c r="J185" i="11" s="1"/>
  <c r="K185" i="11" s="1"/>
  <c r="H184" i="11"/>
  <c r="I184" i="11" s="1"/>
  <c r="J184" i="11" s="1"/>
  <c r="K184" i="11" s="1"/>
  <c r="H183" i="11"/>
  <c r="I183" i="11" s="1"/>
  <c r="J183" i="11" s="1"/>
  <c r="K183" i="11" s="1"/>
  <c r="H182" i="11"/>
  <c r="I182" i="11" s="1"/>
  <c r="J182" i="11" s="1"/>
  <c r="K182" i="11" s="1"/>
  <c r="H181" i="11"/>
  <c r="I181" i="11" s="1"/>
  <c r="H179" i="11"/>
  <c r="J179" i="11" s="1"/>
  <c r="K179" i="11" s="1"/>
  <c r="H178" i="11"/>
  <c r="J178" i="11" s="1"/>
  <c r="K178" i="11" s="1"/>
  <c r="H177" i="11"/>
  <c r="H176" i="11"/>
  <c r="E174" i="11"/>
  <c r="E164" i="11"/>
  <c r="E160" i="11"/>
  <c r="E156" i="11"/>
  <c r="E151" i="11"/>
  <c r="L148" i="11"/>
  <c r="H148" i="11"/>
  <c r="F148" i="11"/>
  <c r="E148" i="11"/>
  <c r="E70" i="11"/>
  <c r="E66" i="11"/>
  <c r="E63" i="11"/>
  <c r="F59" i="11"/>
  <c r="E59" i="11"/>
  <c r="E38" i="11"/>
  <c r="E35" i="11"/>
  <c r="E29" i="11"/>
  <c r="E25" i="11"/>
  <c r="H24" i="11"/>
  <c r="I24" i="11" s="1"/>
  <c r="J24" i="11" s="1"/>
  <c r="K24" i="11" s="1"/>
  <c r="H23" i="11"/>
  <c r="I23" i="11" s="1"/>
  <c r="J23" i="11" s="1"/>
  <c r="K23" i="11" s="1"/>
  <c r="H22" i="11"/>
  <c r="I22" i="11" s="1"/>
  <c r="J22" i="11" s="1"/>
  <c r="K22" i="11" s="1"/>
  <c r="H21" i="11"/>
  <c r="I21" i="11" s="1"/>
  <c r="J21" i="11" s="1"/>
  <c r="K21" i="11" s="1"/>
  <c r="H20" i="11"/>
  <c r="I20" i="11" s="1"/>
  <c r="E18" i="11"/>
  <c r="H17" i="11"/>
  <c r="I17" i="11" s="1"/>
  <c r="J17" i="11" s="1"/>
  <c r="K17" i="11" s="1"/>
  <c r="H16" i="11"/>
  <c r="I16" i="11" s="1"/>
  <c r="J16" i="11" s="1"/>
  <c r="K16" i="11" s="1"/>
  <c r="H15" i="11"/>
  <c r="I15" i="11" s="1"/>
  <c r="J15" i="11" s="1"/>
  <c r="K15" i="11" s="1"/>
  <c r="H14" i="11"/>
  <c r="I14" i="11" s="1"/>
  <c r="J14" i="11" s="1"/>
  <c r="K14" i="11" s="1"/>
  <c r="H13" i="11"/>
  <c r="I13" i="11" s="1"/>
  <c r="J13" i="11" s="1"/>
  <c r="K13" i="11" s="1"/>
  <c r="H12" i="11"/>
  <c r="I12" i="11" s="1"/>
  <c r="J12" i="11" s="1"/>
  <c r="K12" i="11" s="1"/>
  <c r="H11" i="11"/>
  <c r="I11" i="11" s="1"/>
  <c r="J11" i="11" s="1"/>
  <c r="K11" i="11" s="1"/>
  <c r="H10" i="11"/>
  <c r="I10" i="11" s="1"/>
  <c r="J10" i="11" s="1"/>
  <c r="K10" i="11" s="1"/>
  <c r="H9" i="11"/>
  <c r="I9" i="11" s="1"/>
  <c r="J9" i="11" s="1"/>
  <c r="K9" i="11" s="1"/>
  <c r="H8" i="11"/>
  <c r="I8" i="11" s="1"/>
  <c r="J8" i="11" s="1"/>
  <c r="K8" i="11" s="1"/>
  <c r="H7" i="11"/>
  <c r="I7" i="11" s="1"/>
  <c r="E260" i="8"/>
  <c r="F259" i="8"/>
  <c r="H259" i="8" s="1"/>
  <c r="E256" i="8"/>
  <c r="F255" i="8"/>
  <c r="F256" i="8" s="1"/>
  <c r="E251" i="8"/>
  <c r="H250" i="8"/>
  <c r="F250" i="8"/>
  <c r="F248" i="8"/>
  <c r="E248" i="8"/>
  <c r="H247" i="8"/>
  <c r="J247" i="8" s="1"/>
  <c r="H246" i="8"/>
  <c r="H245" i="8"/>
  <c r="H244" i="8"/>
  <c r="H243" i="8"/>
  <c r="H242" i="8"/>
  <c r="H240" i="8"/>
  <c r="E240" i="8"/>
  <c r="F239" i="8"/>
  <c r="F238" i="8"/>
  <c r="K225" i="8"/>
  <c r="E225" i="8"/>
  <c r="F224" i="8"/>
  <c r="F223" i="8"/>
  <c r="H221" i="8"/>
  <c r="E221" i="8"/>
  <c r="F220" i="8"/>
  <c r="F219" i="8"/>
  <c r="E216" i="8"/>
  <c r="F215" i="8"/>
  <c r="H215" i="8" s="1"/>
  <c r="I215" i="8" s="1"/>
  <c r="E212" i="8"/>
  <c r="F211" i="8"/>
  <c r="K211" i="8" s="1"/>
  <c r="K211" i="42" s="1"/>
  <c r="F210" i="8"/>
  <c r="K210" i="8" s="1"/>
  <c r="F209" i="8"/>
  <c r="K209" i="8" s="1"/>
  <c r="K208" i="8"/>
  <c r="F208" i="8"/>
  <c r="E206" i="8"/>
  <c r="K204" i="8"/>
  <c r="F204" i="8"/>
  <c r="F203" i="8"/>
  <c r="K203" i="8" s="1"/>
  <c r="F202" i="8"/>
  <c r="K202" i="8" s="1"/>
  <c r="F201" i="8"/>
  <c r="K201" i="8" s="1"/>
  <c r="H200" i="8"/>
  <c r="I200" i="8" s="1"/>
  <c r="J200" i="8" s="1"/>
  <c r="K200" i="8" s="1"/>
  <c r="H199" i="8"/>
  <c r="I199" i="8" s="1"/>
  <c r="J199" i="8" s="1"/>
  <c r="K199" i="8" s="1"/>
  <c r="H198" i="8"/>
  <c r="I198" i="8" s="1"/>
  <c r="J198" i="8" s="1"/>
  <c r="K198" i="8" s="1"/>
  <c r="H197" i="8"/>
  <c r="I197" i="8" s="1"/>
  <c r="J197" i="8" s="1"/>
  <c r="K197" i="8" s="1"/>
  <c r="H196" i="8"/>
  <c r="I196" i="8" s="1"/>
  <c r="J196" i="8" s="1"/>
  <c r="K196" i="8" s="1"/>
  <c r="H195" i="8"/>
  <c r="I195" i="8" s="1"/>
  <c r="J195" i="8" s="1"/>
  <c r="K195" i="8" s="1"/>
  <c r="H194" i="8"/>
  <c r="I194" i="8" s="1"/>
  <c r="J194" i="8" s="1"/>
  <c r="K194" i="8" s="1"/>
  <c r="H193" i="8"/>
  <c r="I193" i="8" s="1"/>
  <c r="J193" i="8" s="1"/>
  <c r="K193" i="8" s="1"/>
  <c r="H192" i="8"/>
  <c r="I192" i="8" s="1"/>
  <c r="J192" i="8" s="1"/>
  <c r="K192" i="8" s="1"/>
  <c r="H191" i="8"/>
  <c r="I191" i="8" s="1"/>
  <c r="J191" i="8" s="1"/>
  <c r="K191" i="8" s="1"/>
  <c r="H190" i="8"/>
  <c r="I190" i="8" s="1"/>
  <c r="J190" i="8" s="1"/>
  <c r="K190" i="8" s="1"/>
  <c r="H189" i="8"/>
  <c r="I189" i="8" s="1"/>
  <c r="J189" i="8" s="1"/>
  <c r="K189" i="8" s="1"/>
  <c r="H188" i="8"/>
  <c r="I188" i="8" s="1"/>
  <c r="J188" i="8" s="1"/>
  <c r="K188" i="8" s="1"/>
  <c r="H187" i="8"/>
  <c r="I187" i="8" s="1"/>
  <c r="J187" i="8" s="1"/>
  <c r="K187" i="8" s="1"/>
  <c r="H186" i="8"/>
  <c r="I186" i="8" s="1"/>
  <c r="J186" i="8" s="1"/>
  <c r="K186" i="8" s="1"/>
  <c r="H185" i="8"/>
  <c r="I185" i="8" s="1"/>
  <c r="J185" i="8" s="1"/>
  <c r="K185" i="8" s="1"/>
  <c r="H184" i="8"/>
  <c r="I184" i="8" s="1"/>
  <c r="J184" i="8" s="1"/>
  <c r="K184" i="8" s="1"/>
  <c r="H183" i="8"/>
  <c r="I183" i="8" s="1"/>
  <c r="J183" i="8" s="1"/>
  <c r="K183" i="8" s="1"/>
  <c r="H182" i="8"/>
  <c r="I182" i="8" s="1"/>
  <c r="J182" i="8" s="1"/>
  <c r="K182" i="8" s="1"/>
  <c r="H181" i="8"/>
  <c r="I181" i="8" s="1"/>
  <c r="H180" i="8"/>
  <c r="H179" i="8"/>
  <c r="H178" i="8"/>
  <c r="F177" i="8"/>
  <c r="H177" i="8" s="1"/>
  <c r="J177" i="8" s="1"/>
  <c r="K177" i="8" s="1"/>
  <c r="F176" i="8"/>
  <c r="E174" i="8"/>
  <c r="F173" i="8"/>
  <c r="K173" i="8" s="1"/>
  <c r="F172" i="8"/>
  <c r="E164" i="8"/>
  <c r="H164" i="8"/>
  <c r="F164" i="8"/>
  <c r="E160" i="8"/>
  <c r="J159" i="8"/>
  <c r="F159" i="8"/>
  <c r="K159" i="8" s="1"/>
  <c r="J158" i="8"/>
  <c r="F158" i="8"/>
  <c r="H156" i="8"/>
  <c r="E156" i="8"/>
  <c r="F155" i="8"/>
  <c r="F154" i="8"/>
  <c r="F153" i="8"/>
  <c r="K151" i="8"/>
  <c r="E151" i="8"/>
  <c r="F150" i="8"/>
  <c r="F151" i="8" s="1"/>
  <c r="E148" i="8"/>
  <c r="J147" i="8"/>
  <c r="K147" i="8" s="1"/>
  <c r="J146" i="8"/>
  <c r="K146" i="8" s="1"/>
  <c r="F146" i="8"/>
  <c r="J145" i="8"/>
  <c r="F145" i="8"/>
  <c r="F143" i="8"/>
  <c r="G143" i="8" s="1"/>
  <c r="F142" i="8"/>
  <c r="G142" i="8" s="1"/>
  <c r="F141" i="8"/>
  <c r="G141" i="8" s="1"/>
  <c r="F140" i="8"/>
  <c r="G140" i="8" s="1"/>
  <c r="F139" i="8"/>
  <c r="G139" i="8" s="1"/>
  <c r="F138" i="8"/>
  <c r="G138" i="8" s="1"/>
  <c r="F137" i="8"/>
  <c r="G137" i="8" s="1"/>
  <c r="F136" i="8"/>
  <c r="G136" i="8" s="1"/>
  <c r="G136" i="42" s="1"/>
  <c r="F108" i="8"/>
  <c r="F107" i="8"/>
  <c r="F106" i="8"/>
  <c r="F105" i="8"/>
  <c r="F104" i="8"/>
  <c r="F99" i="8"/>
  <c r="F98" i="8"/>
  <c r="F97" i="8"/>
  <c r="F96" i="8"/>
  <c r="F95" i="8"/>
  <c r="F94" i="8"/>
  <c r="F93" i="8"/>
  <c r="F92" i="8"/>
  <c r="E70" i="8"/>
  <c r="F69" i="8"/>
  <c r="K69" i="8" s="1"/>
  <c r="F68" i="8"/>
  <c r="K68" i="8" s="1"/>
  <c r="K66" i="8"/>
  <c r="E66" i="8"/>
  <c r="F65" i="8"/>
  <c r="F66" i="8" s="1"/>
  <c r="E63" i="8"/>
  <c r="F61" i="8"/>
  <c r="F63" i="8" s="1"/>
  <c r="H59" i="8"/>
  <c r="E59" i="8"/>
  <c r="F58" i="8"/>
  <c r="F59" i="8" s="1"/>
  <c r="E38" i="8"/>
  <c r="K35" i="8"/>
  <c r="E35" i="8"/>
  <c r="E29" i="8"/>
  <c r="K28" i="8"/>
  <c r="K29" i="8" s="1"/>
  <c r="F25" i="8"/>
  <c r="E25" i="8"/>
  <c r="H24" i="8"/>
  <c r="H23" i="8"/>
  <c r="H22" i="8"/>
  <c r="H21" i="8"/>
  <c r="H20" i="8"/>
  <c r="F18" i="8"/>
  <c r="E18" i="8"/>
  <c r="H15" i="8"/>
  <c r="H14" i="8"/>
  <c r="H13" i="8"/>
  <c r="H12" i="8"/>
  <c r="H11" i="8"/>
  <c r="H10" i="8"/>
  <c r="H9" i="8"/>
  <c r="H8" i="8"/>
  <c r="H7" i="8"/>
  <c r="H6" i="8"/>
  <c r="H260" i="10"/>
  <c r="F260" i="10"/>
  <c r="E260" i="10"/>
  <c r="H256" i="10"/>
  <c r="F256" i="10"/>
  <c r="E256" i="10"/>
  <c r="H251" i="10"/>
  <c r="F251" i="10"/>
  <c r="E251" i="10"/>
  <c r="H248" i="10"/>
  <c r="F248" i="10"/>
  <c r="E248" i="10"/>
  <c r="H240" i="10"/>
  <c r="F240" i="10"/>
  <c r="E240" i="10"/>
  <c r="H225" i="10"/>
  <c r="F225" i="10"/>
  <c r="E225" i="10"/>
  <c r="H221" i="10"/>
  <c r="F221" i="10"/>
  <c r="E221" i="10"/>
  <c r="H216" i="10"/>
  <c r="F216" i="10"/>
  <c r="E216" i="10"/>
  <c r="H212" i="10"/>
  <c r="F212" i="10"/>
  <c r="E212" i="10"/>
  <c r="E206" i="10"/>
  <c r="F204" i="10"/>
  <c r="F203" i="10"/>
  <c r="F202" i="10"/>
  <c r="F201" i="10"/>
  <c r="F199" i="10"/>
  <c r="F198" i="10"/>
  <c r="F197" i="10"/>
  <c r="F196" i="10"/>
  <c r="F195" i="10"/>
  <c r="F194" i="10"/>
  <c r="F193" i="10"/>
  <c r="F192" i="10"/>
  <c r="F191" i="10"/>
  <c r="F190" i="10"/>
  <c r="F189" i="10"/>
  <c r="F188" i="10"/>
  <c r="F187" i="10"/>
  <c r="F186" i="10"/>
  <c r="F185" i="10"/>
  <c r="F184" i="10"/>
  <c r="F183" i="10"/>
  <c r="F182" i="10"/>
  <c r="F180" i="10"/>
  <c r="F179" i="10"/>
  <c r="F178" i="10"/>
  <c r="F177" i="10"/>
  <c r="F176" i="10"/>
  <c r="E174" i="10"/>
  <c r="F173" i="10"/>
  <c r="F172" i="10"/>
  <c r="E164" i="10"/>
  <c r="F163" i="10"/>
  <c r="F164" i="10" s="1"/>
  <c r="E160" i="10"/>
  <c r="F159" i="10"/>
  <c r="F158" i="10"/>
  <c r="F160" i="10" s="1"/>
  <c r="E156" i="10"/>
  <c r="F155" i="10"/>
  <c r="F153" i="10"/>
  <c r="E151" i="10"/>
  <c r="F150" i="10"/>
  <c r="F151" i="10" s="1"/>
  <c r="H148" i="10"/>
  <c r="E148" i="10"/>
  <c r="F147" i="10"/>
  <c r="F146" i="10"/>
  <c r="F145" i="10"/>
  <c r="F144" i="10"/>
  <c r="F143" i="10"/>
  <c r="F142" i="10"/>
  <c r="F141" i="10"/>
  <c r="F140" i="10"/>
  <c r="F139" i="10"/>
  <c r="F138" i="10"/>
  <c r="F137" i="10"/>
  <c r="F136" i="10"/>
  <c r="F135" i="10"/>
  <c r="F134" i="10"/>
  <c r="F133" i="10"/>
  <c r="F132" i="10"/>
  <c r="F131" i="10"/>
  <c r="F130" i="10"/>
  <c r="F129" i="10"/>
  <c r="F128" i="10"/>
  <c r="F127" i="10"/>
  <c r="F126" i="10"/>
  <c r="F125" i="10"/>
  <c r="F124" i="10"/>
  <c r="F123" i="10"/>
  <c r="F122" i="10"/>
  <c r="F121" i="10"/>
  <c r="F120" i="10"/>
  <c r="F117" i="10"/>
  <c r="F116" i="10"/>
  <c r="F115" i="10"/>
  <c r="F114" i="10"/>
  <c r="F113" i="10"/>
  <c r="F112" i="10"/>
  <c r="F111" i="10"/>
  <c r="F110" i="10"/>
  <c r="F109" i="10"/>
  <c r="F108" i="10"/>
  <c r="F107" i="10"/>
  <c r="F106" i="10"/>
  <c r="F105" i="10"/>
  <c r="F104" i="10"/>
  <c r="F103" i="10"/>
  <c r="F102" i="10"/>
  <c r="F101" i="10"/>
  <c r="F100" i="10"/>
  <c r="F99" i="10"/>
  <c r="F98" i="10"/>
  <c r="F97" i="10"/>
  <c r="F96" i="10"/>
  <c r="F95" i="10"/>
  <c r="F94" i="10"/>
  <c r="F93" i="10"/>
  <c r="F92" i="10"/>
  <c r="F91" i="10"/>
  <c r="F90" i="10"/>
  <c r="F89" i="10"/>
  <c r="F88" i="10"/>
  <c r="F87" i="10"/>
  <c r="F86" i="10"/>
  <c r="F85" i="10"/>
  <c r="F84" i="10"/>
  <c r="F83" i="10"/>
  <c r="F82" i="10"/>
  <c r="E70" i="10"/>
  <c r="F69" i="10"/>
  <c r="F68" i="10"/>
  <c r="F70" i="10" s="1"/>
  <c r="E66" i="10"/>
  <c r="F65" i="10"/>
  <c r="F66" i="10" s="1"/>
  <c r="E63" i="10"/>
  <c r="F62" i="10"/>
  <c r="F61" i="10"/>
  <c r="F63" i="10" s="1"/>
  <c r="H59" i="10"/>
  <c r="E59" i="10"/>
  <c r="F58" i="10"/>
  <c r="F40" i="10"/>
  <c r="E38" i="10"/>
  <c r="F37" i="10"/>
  <c r="F38" i="10" s="1"/>
  <c r="E35" i="10"/>
  <c r="F34" i="10"/>
  <c r="F35" i="10" s="1"/>
  <c r="E29" i="10"/>
  <c r="F28" i="10"/>
  <c r="F29" i="10" s="1"/>
  <c r="F25" i="10"/>
  <c r="E25" i="10"/>
  <c r="H24" i="10"/>
  <c r="I24" i="10" s="1"/>
  <c r="J24" i="10" s="1"/>
  <c r="K24" i="10" s="1"/>
  <c r="H23" i="10"/>
  <c r="I23" i="10" s="1"/>
  <c r="J23" i="10" s="1"/>
  <c r="K23" i="10" s="1"/>
  <c r="H22" i="10"/>
  <c r="I22" i="10" s="1"/>
  <c r="J22" i="10" s="1"/>
  <c r="K22" i="10" s="1"/>
  <c r="H21" i="10"/>
  <c r="I21" i="10" s="1"/>
  <c r="J21" i="10" s="1"/>
  <c r="K21" i="10" s="1"/>
  <c r="H20" i="10"/>
  <c r="I20" i="10" s="1"/>
  <c r="E18" i="10"/>
  <c r="H17" i="10"/>
  <c r="I17" i="10" s="1"/>
  <c r="J17" i="10" s="1"/>
  <c r="K17" i="10" s="1"/>
  <c r="H16" i="10"/>
  <c r="I16" i="10" s="1"/>
  <c r="J16" i="10" s="1"/>
  <c r="K16" i="10" s="1"/>
  <c r="H15" i="10"/>
  <c r="I15" i="10" s="1"/>
  <c r="J15" i="10" s="1"/>
  <c r="K15" i="10" s="1"/>
  <c r="H14" i="10"/>
  <c r="I14" i="10" s="1"/>
  <c r="F13" i="10"/>
  <c r="F12" i="10"/>
  <c r="F11" i="10"/>
  <c r="F10" i="10"/>
  <c r="F9" i="10"/>
  <c r="F8" i="10"/>
  <c r="F7" i="10"/>
  <c r="F6" i="10"/>
  <c r="H260" i="9"/>
  <c r="F260" i="9"/>
  <c r="E260" i="9"/>
  <c r="H256" i="9"/>
  <c r="F256" i="9"/>
  <c r="E256" i="9"/>
  <c r="E251" i="9"/>
  <c r="F250" i="9"/>
  <c r="F251" i="9" s="1"/>
  <c r="E248" i="9"/>
  <c r="F247" i="9"/>
  <c r="F246" i="9"/>
  <c r="F245" i="9"/>
  <c r="F244" i="9"/>
  <c r="F243" i="9"/>
  <c r="F242" i="9"/>
  <c r="E240" i="9"/>
  <c r="F239" i="9"/>
  <c r="F238" i="9"/>
  <c r="F237" i="9"/>
  <c r="F236" i="9"/>
  <c r="F235" i="9"/>
  <c r="F234" i="9"/>
  <c r="F233" i="9"/>
  <c r="F232" i="9"/>
  <c r="F231" i="9"/>
  <c r="F230" i="9"/>
  <c r="F229" i="9"/>
  <c r="F228" i="9"/>
  <c r="F227" i="9"/>
  <c r="E225" i="9"/>
  <c r="F224" i="9"/>
  <c r="F223" i="9"/>
  <c r="E221" i="9"/>
  <c r="F220" i="9"/>
  <c r="F219" i="9"/>
  <c r="F218" i="9"/>
  <c r="E216" i="9"/>
  <c r="F215" i="9"/>
  <c r="F214" i="9"/>
  <c r="E212" i="9"/>
  <c r="F211" i="9"/>
  <c r="F210" i="9"/>
  <c r="F209" i="9"/>
  <c r="F208" i="9"/>
  <c r="E206" i="9"/>
  <c r="F203" i="9"/>
  <c r="F202" i="9"/>
  <c r="F201" i="9"/>
  <c r="F200" i="9"/>
  <c r="F199" i="9"/>
  <c r="F198" i="9"/>
  <c r="F197" i="9"/>
  <c r="F196" i="9"/>
  <c r="F195" i="9"/>
  <c r="F194" i="9"/>
  <c r="F193" i="9"/>
  <c r="F192" i="9"/>
  <c r="F191" i="9"/>
  <c r="F190" i="9"/>
  <c r="F189" i="9"/>
  <c r="F188" i="9"/>
  <c r="F187" i="9"/>
  <c r="F186" i="9"/>
  <c r="F185" i="9"/>
  <c r="F184" i="9"/>
  <c r="F183" i="9"/>
  <c r="F182" i="9"/>
  <c r="F181" i="9"/>
  <c r="F180" i="9"/>
  <c r="F179" i="9"/>
  <c r="F178" i="9"/>
  <c r="F177" i="9"/>
  <c r="F176" i="9"/>
  <c r="F174" i="9"/>
  <c r="E174" i="9"/>
  <c r="H173" i="9"/>
  <c r="H172" i="9"/>
  <c r="E164" i="9"/>
  <c r="F163" i="9"/>
  <c r="F164" i="9" s="1"/>
  <c r="E160" i="9"/>
  <c r="F159" i="9"/>
  <c r="F158" i="9"/>
  <c r="F160" i="9" s="1"/>
  <c r="E156" i="9"/>
  <c r="F155" i="9"/>
  <c r="F154" i="9"/>
  <c r="F153" i="9"/>
  <c r="F151" i="9"/>
  <c r="E151" i="9"/>
  <c r="F150" i="9"/>
  <c r="H148" i="9"/>
  <c r="E148" i="9"/>
  <c r="F147" i="9"/>
  <c r="F145" i="9"/>
  <c r="F144" i="9"/>
  <c r="F143" i="9"/>
  <c r="F142" i="9"/>
  <c r="F141" i="9"/>
  <c r="F140" i="9"/>
  <c r="F139" i="9"/>
  <c r="F138" i="9"/>
  <c r="F137" i="9"/>
  <c r="F136" i="9"/>
  <c r="F135" i="9"/>
  <c r="F134" i="9"/>
  <c r="F133" i="9"/>
  <c r="F132" i="9"/>
  <c r="F131" i="9"/>
  <c r="F130" i="9"/>
  <c r="F129" i="9"/>
  <c r="F128" i="9"/>
  <c r="F127" i="9"/>
  <c r="F126" i="9"/>
  <c r="F125" i="9"/>
  <c r="F124" i="9"/>
  <c r="F123" i="9"/>
  <c r="F122" i="9"/>
  <c r="F121" i="9"/>
  <c r="F120" i="9"/>
  <c r="F119" i="9"/>
  <c r="F118" i="9"/>
  <c r="F117" i="9"/>
  <c r="F116" i="9"/>
  <c r="F115" i="9"/>
  <c r="F114" i="9"/>
  <c r="F113" i="9"/>
  <c r="F112" i="9"/>
  <c r="F111" i="9"/>
  <c r="F110" i="9"/>
  <c r="F109" i="9"/>
  <c r="F108" i="9"/>
  <c r="F107" i="9"/>
  <c r="F106" i="9"/>
  <c r="F105" i="9"/>
  <c r="F104" i="9"/>
  <c r="F103" i="9"/>
  <c r="F102" i="9"/>
  <c r="F101" i="9"/>
  <c r="F100" i="9"/>
  <c r="F99" i="9"/>
  <c r="F98" i="9"/>
  <c r="F97" i="9"/>
  <c r="F96" i="9"/>
  <c r="F95" i="9"/>
  <c r="F94" i="9"/>
  <c r="F93" i="9"/>
  <c r="F92" i="9"/>
  <c r="F91" i="9"/>
  <c r="F90" i="9"/>
  <c r="F89" i="9"/>
  <c r="F88" i="9"/>
  <c r="F87" i="9"/>
  <c r="F86" i="9"/>
  <c r="F85" i="9"/>
  <c r="F84" i="9"/>
  <c r="F83" i="9"/>
  <c r="F82" i="9"/>
  <c r="F81" i="9"/>
  <c r="F80" i="9"/>
  <c r="F79" i="9"/>
  <c r="F78" i="9"/>
  <c r="F77" i="9"/>
  <c r="F76" i="9"/>
  <c r="F75" i="9"/>
  <c r="F74" i="9"/>
  <c r="F73" i="9"/>
  <c r="F72" i="9"/>
  <c r="E29" i="9"/>
  <c r="K28" i="9"/>
  <c r="F28" i="9"/>
  <c r="F29" i="9" s="1"/>
  <c r="E25" i="9"/>
  <c r="F24" i="9"/>
  <c r="H23" i="9"/>
  <c r="J23" i="9" s="1"/>
  <c r="K23" i="9" s="1"/>
  <c r="F23" i="9"/>
  <c r="F23" i="42" s="1"/>
  <c r="F22" i="9"/>
  <c r="F21" i="9"/>
  <c r="F21" i="42" s="1"/>
  <c r="F20" i="9"/>
  <c r="F20" i="42" s="1"/>
  <c r="E18" i="9"/>
  <c r="F17" i="9"/>
  <c r="F17" i="42" s="1"/>
  <c r="F16" i="9"/>
  <c r="F15" i="9"/>
  <c r="F15" i="42" s="1"/>
  <c r="F14" i="9"/>
  <c r="H13" i="9"/>
  <c r="F13" i="9"/>
  <c r="F12" i="9"/>
  <c r="H12" i="9" s="1"/>
  <c r="J12" i="9" s="1"/>
  <c r="K12" i="9" s="1"/>
  <c r="H11" i="9"/>
  <c r="J11" i="9" s="1"/>
  <c r="K11" i="9" s="1"/>
  <c r="F11" i="9"/>
  <c r="F10" i="9"/>
  <c r="H10" i="9" s="1"/>
  <c r="J10" i="9" s="1"/>
  <c r="K10" i="9" s="1"/>
  <c r="F9" i="9"/>
  <c r="H9" i="9" s="1"/>
  <c r="J9" i="9" s="1"/>
  <c r="K9" i="9" s="1"/>
  <c r="F8" i="9"/>
  <c r="H8" i="9" s="1"/>
  <c r="J8" i="9" s="1"/>
  <c r="K8" i="9" s="1"/>
  <c r="F7" i="9"/>
  <c r="H7" i="9" s="1"/>
  <c r="J7" i="9" s="1"/>
  <c r="K7" i="9" s="1"/>
  <c r="E260" i="6"/>
  <c r="F259" i="6"/>
  <c r="E256" i="6"/>
  <c r="F255" i="6"/>
  <c r="H255" i="6" s="1"/>
  <c r="E251" i="6"/>
  <c r="F250" i="6"/>
  <c r="H250" i="6" s="1"/>
  <c r="E248" i="6"/>
  <c r="F247" i="6"/>
  <c r="H247" i="6" s="1"/>
  <c r="J247" i="6" s="1"/>
  <c r="F246" i="6"/>
  <c r="H246" i="6" s="1"/>
  <c r="J246" i="6" s="1"/>
  <c r="F245" i="6"/>
  <c r="H245" i="6" s="1"/>
  <c r="J245" i="6" s="1"/>
  <c r="F244" i="6"/>
  <c r="H244" i="6" s="1"/>
  <c r="J244" i="6" s="1"/>
  <c r="F243" i="6"/>
  <c r="H243" i="6" s="1"/>
  <c r="J243" i="6" s="1"/>
  <c r="F242" i="6"/>
  <c r="H242" i="6" s="1"/>
  <c r="J242" i="6" s="1"/>
  <c r="E240" i="6"/>
  <c r="F239" i="6"/>
  <c r="H239" i="6" s="1"/>
  <c r="J239" i="6" s="1"/>
  <c r="F238" i="6"/>
  <c r="H238" i="6" s="1"/>
  <c r="J238" i="6" s="1"/>
  <c r="F237" i="6"/>
  <c r="H237" i="6" s="1"/>
  <c r="J237" i="6" s="1"/>
  <c r="F236" i="6"/>
  <c r="H236" i="6" s="1"/>
  <c r="J236" i="6" s="1"/>
  <c r="F235" i="6"/>
  <c r="H235" i="6" s="1"/>
  <c r="J235" i="6" s="1"/>
  <c r="F234" i="6"/>
  <c r="H234" i="6" s="1"/>
  <c r="J234" i="6" s="1"/>
  <c r="F233" i="6"/>
  <c r="H233" i="6" s="1"/>
  <c r="J233" i="6" s="1"/>
  <c r="F232" i="6"/>
  <c r="H232" i="6" s="1"/>
  <c r="J232" i="6" s="1"/>
  <c r="F231" i="6"/>
  <c r="H231" i="6" s="1"/>
  <c r="J231" i="6" s="1"/>
  <c r="F230" i="6"/>
  <c r="H230" i="6" s="1"/>
  <c r="J230" i="6" s="1"/>
  <c r="F229" i="6"/>
  <c r="H229" i="6" s="1"/>
  <c r="J229" i="6" s="1"/>
  <c r="F228" i="6"/>
  <c r="H228" i="6" s="1"/>
  <c r="J228" i="6" s="1"/>
  <c r="F227" i="6"/>
  <c r="H227" i="6" s="1"/>
  <c r="J227" i="6" s="1"/>
  <c r="E225" i="6"/>
  <c r="F224" i="6"/>
  <c r="H224" i="6" s="1"/>
  <c r="J224" i="6" s="1"/>
  <c r="F223" i="6"/>
  <c r="H223" i="6" s="1"/>
  <c r="J223" i="6" s="1"/>
  <c r="E221" i="6"/>
  <c r="F220" i="6"/>
  <c r="H220" i="6" s="1"/>
  <c r="J220" i="6" s="1"/>
  <c r="F219" i="6"/>
  <c r="H219" i="6" s="1"/>
  <c r="J219" i="6" s="1"/>
  <c r="F218" i="6"/>
  <c r="H218" i="6" s="1"/>
  <c r="J218" i="6" s="1"/>
  <c r="E216" i="6"/>
  <c r="F215" i="6"/>
  <c r="H215" i="6" s="1"/>
  <c r="J215" i="6" s="1"/>
  <c r="F214" i="6"/>
  <c r="H212" i="6"/>
  <c r="E212" i="6"/>
  <c r="F210" i="6"/>
  <c r="F209" i="6"/>
  <c r="F208" i="6"/>
  <c r="E206" i="6"/>
  <c r="F204" i="6"/>
  <c r="F203" i="6"/>
  <c r="H202" i="6"/>
  <c r="H201" i="6"/>
  <c r="H200" i="6"/>
  <c r="H199" i="6"/>
  <c r="H198" i="6"/>
  <c r="H197" i="6"/>
  <c r="H196" i="6"/>
  <c r="H195" i="6"/>
  <c r="H194" i="6"/>
  <c r="H193" i="6"/>
  <c r="H192" i="6"/>
  <c r="H191" i="6"/>
  <c r="H190" i="6"/>
  <c r="H189" i="6"/>
  <c r="H188" i="6"/>
  <c r="H187" i="6"/>
  <c r="H186" i="6"/>
  <c r="H185" i="6"/>
  <c r="H184" i="6"/>
  <c r="H183" i="6"/>
  <c r="H182" i="6"/>
  <c r="H181" i="6"/>
  <c r="H180" i="6"/>
  <c r="H179" i="6"/>
  <c r="H178" i="6"/>
  <c r="H177" i="6"/>
  <c r="H176" i="6"/>
  <c r="E174" i="6"/>
  <c r="F173" i="6"/>
  <c r="F172" i="6"/>
  <c r="E164" i="6"/>
  <c r="F163" i="6"/>
  <c r="F164" i="6" s="1"/>
  <c r="E160" i="6"/>
  <c r="F159" i="6"/>
  <c r="F158" i="6"/>
  <c r="H156" i="6"/>
  <c r="E156" i="6"/>
  <c r="F155" i="6"/>
  <c r="F154" i="6"/>
  <c r="F153" i="6"/>
  <c r="F151" i="6"/>
  <c r="E151" i="6"/>
  <c r="H148" i="6"/>
  <c r="F147" i="6"/>
  <c r="F146" i="6"/>
  <c r="F146" i="42" s="1"/>
  <c r="F145" i="6"/>
  <c r="F143" i="6"/>
  <c r="F142" i="6"/>
  <c r="F141" i="6"/>
  <c r="F140" i="6"/>
  <c r="F139" i="6"/>
  <c r="F138" i="6"/>
  <c r="F137" i="6"/>
  <c r="F136" i="6"/>
  <c r="F135" i="6"/>
  <c r="F134" i="6"/>
  <c r="F133" i="6"/>
  <c r="F132" i="6"/>
  <c r="F131" i="6"/>
  <c r="F130" i="6"/>
  <c r="F129" i="6"/>
  <c r="F128" i="6"/>
  <c r="F127" i="6"/>
  <c r="F126" i="6"/>
  <c r="F125" i="6"/>
  <c r="F124" i="6"/>
  <c r="F123" i="6"/>
  <c r="F122" i="6"/>
  <c r="F121" i="6"/>
  <c r="F120" i="6"/>
  <c r="F119" i="6"/>
  <c r="F119" i="42" s="1"/>
  <c r="F118" i="6"/>
  <c r="F117" i="6"/>
  <c r="F116" i="6"/>
  <c r="F115" i="6"/>
  <c r="F114" i="6"/>
  <c r="F113" i="6"/>
  <c r="F112" i="6"/>
  <c r="F111" i="6"/>
  <c r="F110" i="6"/>
  <c r="F109" i="6"/>
  <c r="F108" i="6"/>
  <c r="F107" i="6"/>
  <c r="F106" i="6"/>
  <c r="F105" i="6"/>
  <c r="F104" i="6"/>
  <c r="F103" i="6"/>
  <c r="F102" i="6"/>
  <c r="F101" i="6"/>
  <c r="F100" i="6"/>
  <c r="F99" i="6"/>
  <c r="F98" i="6"/>
  <c r="F97" i="6"/>
  <c r="F96" i="6"/>
  <c r="F95" i="6"/>
  <c r="F94" i="6"/>
  <c r="F93" i="6"/>
  <c r="F92" i="6"/>
  <c r="F91" i="6"/>
  <c r="F90" i="6"/>
  <c r="F90" i="42" s="1"/>
  <c r="F89" i="6"/>
  <c r="F88" i="6"/>
  <c r="F88" i="42" s="1"/>
  <c r="F87" i="6"/>
  <c r="F86" i="6"/>
  <c r="F85" i="6"/>
  <c r="F85" i="42" s="1"/>
  <c r="F84" i="6"/>
  <c r="F84" i="42" s="1"/>
  <c r="F83" i="6"/>
  <c r="F82" i="6"/>
  <c r="F82" i="42" s="1"/>
  <c r="F81" i="6"/>
  <c r="F80" i="6"/>
  <c r="F80" i="42" s="1"/>
  <c r="F79" i="6"/>
  <c r="F77" i="6"/>
  <c r="F76" i="6"/>
  <c r="F75" i="6"/>
  <c r="F74" i="6"/>
  <c r="F73" i="6"/>
  <c r="F72" i="6"/>
  <c r="E70" i="6"/>
  <c r="F69" i="6"/>
  <c r="F68" i="6"/>
  <c r="E66" i="6"/>
  <c r="F65" i="6"/>
  <c r="F66" i="6" s="1"/>
  <c r="H63" i="6"/>
  <c r="E63" i="6"/>
  <c r="F63" i="6"/>
  <c r="H59" i="6"/>
  <c r="E59" i="6"/>
  <c r="F58" i="6"/>
  <c r="F57" i="6"/>
  <c r="F56" i="6"/>
  <c r="F55" i="6"/>
  <c r="F54" i="6"/>
  <c r="F53" i="6"/>
  <c r="F52" i="6"/>
  <c r="F51" i="6"/>
  <c r="F49" i="6"/>
  <c r="K49" i="6" s="1"/>
  <c r="F48" i="6"/>
  <c r="K48" i="6" s="1"/>
  <c r="F47" i="6"/>
  <c r="K47" i="6" s="1"/>
  <c r="F46" i="6"/>
  <c r="K46" i="6" s="1"/>
  <c r="F45" i="6"/>
  <c r="K45" i="6" s="1"/>
  <c r="F44" i="6"/>
  <c r="K44" i="6" s="1"/>
  <c r="F43" i="6"/>
  <c r="K43" i="6" s="1"/>
  <c r="F42" i="6"/>
  <c r="K42" i="6" s="1"/>
  <c r="F41" i="6"/>
  <c r="K41" i="6" s="1"/>
  <c r="F40" i="6"/>
  <c r="K40" i="6" s="1"/>
  <c r="K38" i="6"/>
  <c r="F38" i="6"/>
  <c r="E38" i="6"/>
  <c r="F37" i="6"/>
  <c r="K35" i="6"/>
  <c r="E35" i="6"/>
  <c r="F34" i="6"/>
  <c r="F35" i="6" s="1"/>
  <c r="E29" i="6"/>
  <c r="K28" i="6"/>
  <c r="F28" i="6"/>
  <c r="F29" i="6" s="1"/>
  <c r="F25" i="6"/>
  <c r="E25" i="6"/>
  <c r="H24" i="6"/>
  <c r="J24" i="6" s="1"/>
  <c r="K24" i="6" s="1"/>
  <c r="H23" i="6"/>
  <c r="J23" i="6" s="1"/>
  <c r="K23" i="6" s="1"/>
  <c r="H22" i="6"/>
  <c r="J22" i="6" s="1"/>
  <c r="K22" i="6" s="1"/>
  <c r="H21" i="6"/>
  <c r="J21" i="6" s="1"/>
  <c r="K21" i="6" s="1"/>
  <c r="H20" i="6"/>
  <c r="J20" i="6" s="1"/>
  <c r="K20" i="6" s="1"/>
  <c r="E18" i="6"/>
  <c r="H17" i="6"/>
  <c r="J17" i="6" s="1"/>
  <c r="K17" i="6" s="1"/>
  <c r="H16" i="6"/>
  <c r="J16" i="6" s="1"/>
  <c r="K16" i="6" s="1"/>
  <c r="H15" i="6"/>
  <c r="J15" i="6" s="1"/>
  <c r="K15" i="6" s="1"/>
  <c r="H14" i="6"/>
  <c r="J14" i="6" s="1"/>
  <c r="K14" i="6" s="1"/>
  <c r="F13" i="6"/>
  <c r="H13" i="6" s="1"/>
  <c r="J13" i="6" s="1"/>
  <c r="K13" i="6" s="1"/>
  <c r="F12" i="6"/>
  <c r="H12" i="6" s="1"/>
  <c r="J12" i="6" s="1"/>
  <c r="K12" i="6" s="1"/>
  <c r="F11" i="6"/>
  <c r="H11" i="6" s="1"/>
  <c r="J11" i="6" s="1"/>
  <c r="K11" i="6" s="1"/>
  <c r="H10" i="6"/>
  <c r="J10" i="6" s="1"/>
  <c r="K10" i="6" s="1"/>
  <c r="F10" i="6"/>
  <c r="F9" i="6"/>
  <c r="H9" i="6" s="1"/>
  <c r="J9" i="6" s="1"/>
  <c r="K9" i="6" s="1"/>
  <c r="F8" i="6"/>
  <c r="H8" i="6" s="1"/>
  <c r="J8" i="6" s="1"/>
  <c r="K8" i="6" s="1"/>
  <c r="F7" i="6"/>
  <c r="E202" i="42"/>
  <c r="F204" i="21"/>
  <c r="F203" i="21"/>
  <c r="F202" i="21"/>
  <c r="F201" i="21"/>
  <c r="H200" i="21"/>
  <c r="I200" i="21" s="1"/>
  <c r="F199" i="21"/>
  <c r="H199" i="21" s="1"/>
  <c r="I199" i="21" s="1"/>
  <c r="F198" i="21"/>
  <c r="H198" i="21" s="1"/>
  <c r="I198" i="21" s="1"/>
  <c r="F197" i="21"/>
  <c r="H197" i="21" s="1"/>
  <c r="I197" i="21" s="1"/>
  <c r="F196" i="21"/>
  <c r="H196" i="21" s="1"/>
  <c r="I196" i="21" s="1"/>
  <c r="F195" i="21"/>
  <c r="H195" i="21" s="1"/>
  <c r="I195" i="21" s="1"/>
  <c r="F194" i="21"/>
  <c r="H194" i="21" s="1"/>
  <c r="I194" i="21" s="1"/>
  <c r="F193" i="21"/>
  <c r="H193" i="21" s="1"/>
  <c r="I193" i="21" s="1"/>
  <c r="F192" i="21"/>
  <c r="H192" i="21" s="1"/>
  <c r="I192" i="21" s="1"/>
  <c r="F191" i="21"/>
  <c r="H191" i="21" s="1"/>
  <c r="I191" i="21" s="1"/>
  <c r="F190" i="21"/>
  <c r="H190" i="21" s="1"/>
  <c r="I190" i="21" s="1"/>
  <c r="F189" i="21"/>
  <c r="H189" i="21" s="1"/>
  <c r="I189" i="21" s="1"/>
  <c r="F188" i="21"/>
  <c r="H188" i="21" s="1"/>
  <c r="I188" i="21" s="1"/>
  <c r="F187" i="21"/>
  <c r="H187" i="21" s="1"/>
  <c r="I187" i="21" s="1"/>
  <c r="F186" i="21"/>
  <c r="H186" i="21" s="1"/>
  <c r="I186" i="21" s="1"/>
  <c r="F185" i="21"/>
  <c r="H185" i="21" s="1"/>
  <c r="I185" i="21" s="1"/>
  <c r="F184" i="21"/>
  <c r="H184" i="21" s="1"/>
  <c r="I184" i="21" s="1"/>
  <c r="F183" i="21"/>
  <c r="H183" i="21" s="1"/>
  <c r="I183" i="21" s="1"/>
  <c r="F182" i="21"/>
  <c r="H182" i="21" s="1"/>
  <c r="I182" i="21" s="1"/>
  <c r="H181" i="21"/>
  <c r="F180" i="21"/>
  <c r="K180" i="21" s="1"/>
  <c r="F179" i="21"/>
  <c r="F178" i="21"/>
  <c r="K178" i="21" s="1"/>
  <c r="F177" i="21"/>
  <c r="K177" i="21" s="1"/>
  <c r="F176" i="21"/>
  <c r="E174" i="21"/>
  <c r="E252" i="21" s="1"/>
  <c r="E257" i="21" s="1"/>
  <c r="E261" i="21" s="1"/>
  <c r="F173" i="21"/>
  <c r="K173" i="21" s="1"/>
  <c r="F172" i="21"/>
  <c r="F164" i="21"/>
  <c r="E164" i="21"/>
  <c r="H160" i="21"/>
  <c r="E160" i="21"/>
  <c r="F159" i="21"/>
  <c r="F158" i="21"/>
  <c r="L156" i="21"/>
  <c r="E156" i="21"/>
  <c r="F155" i="21"/>
  <c r="F154" i="21"/>
  <c r="F153" i="21"/>
  <c r="H151" i="21"/>
  <c r="E151" i="21"/>
  <c r="F150" i="21"/>
  <c r="F151" i="21" s="1"/>
  <c r="H148" i="21"/>
  <c r="F147" i="21"/>
  <c r="E134" i="21"/>
  <c r="F133" i="21"/>
  <c r="F132" i="21"/>
  <c r="F131" i="21"/>
  <c r="F130" i="21"/>
  <c r="F129" i="21"/>
  <c r="E70" i="21"/>
  <c r="E66" i="21"/>
  <c r="E63" i="21"/>
  <c r="H59" i="21"/>
  <c r="E59" i="21"/>
  <c r="F40" i="21"/>
  <c r="F59" i="21" s="1"/>
  <c r="E38" i="21"/>
  <c r="F37" i="21"/>
  <c r="F38" i="21" s="1"/>
  <c r="E35" i="21"/>
  <c r="F34" i="21"/>
  <c r="F35" i="21" s="1"/>
  <c r="F29" i="21"/>
  <c r="E29" i="21"/>
  <c r="F28" i="21"/>
  <c r="F25" i="21"/>
  <c r="E25" i="21"/>
  <c r="H24" i="21"/>
  <c r="I24" i="21" s="1"/>
  <c r="H23" i="21"/>
  <c r="I23" i="21" s="1"/>
  <c r="H22" i="21"/>
  <c r="I22" i="21" s="1"/>
  <c r="J22" i="21" s="1"/>
  <c r="K22" i="21" s="1"/>
  <c r="H21" i="21"/>
  <c r="I21" i="21" s="1"/>
  <c r="J21" i="21" s="1"/>
  <c r="K21" i="21" s="1"/>
  <c r="H20" i="21"/>
  <c r="I20" i="21" s="1"/>
  <c r="F18" i="21"/>
  <c r="E18" i="21"/>
  <c r="H17" i="21"/>
  <c r="I17" i="21" s="1"/>
  <c r="H16" i="21"/>
  <c r="I16" i="21" s="1"/>
  <c r="H15" i="21"/>
  <c r="I15" i="21" s="1"/>
  <c r="H14" i="21"/>
  <c r="I14" i="21" s="1"/>
  <c r="H13" i="21"/>
  <c r="I13" i="21" s="1"/>
  <c r="H12" i="21"/>
  <c r="I12" i="21" s="1"/>
  <c r="H11" i="21"/>
  <c r="I11" i="21" s="1"/>
  <c r="H10" i="21"/>
  <c r="I10" i="21" s="1"/>
  <c r="H9" i="21"/>
  <c r="I9" i="21" s="1"/>
  <c r="H8" i="21"/>
  <c r="I8" i="21" s="1"/>
  <c r="H7" i="21"/>
  <c r="I7" i="21" s="1"/>
  <c r="E260" i="22"/>
  <c r="F259" i="22"/>
  <c r="H259" i="22" s="1"/>
  <c r="J259" i="22" s="1"/>
  <c r="J260" i="22" s="1"/>
  <c r="E256" i="22"/>
  <c r="F255" i="22"/>
  <c r="E251" i="22"/>
  <c r="F250" i="22"/>
  <c r="H250" i="22" s="1"/>
  <c r="J250" i="22" s="1"/>
  <c r="J251" i="22" s="1"/>
  <c r="E248" i="22"/>
  <c r="F247" i="22"/>
  <c r="H247" i="22" s="1"/>
  <c r="J247" i="22" s="1"/>
  <c r="F246" i="22"/>
  <c r="H246" i="22" s="1"/>
  <c r="J246" i="22" s="1"/>
  <c r="F245" i="22"/>
  <c r="H245" i="22" s="1"/>
  <c r="J245" i="22" s="1"/>
  <c r="F244" i="22"/>
  <c r="H244" i="22" s="1"/>
  <c r="J244" i="22" s="1"/>
  <c r="F243" i="22"/>
  <c r="H243" i="22" s="1"/>
  <c r="J243" i="22" s="1"/>
  <c r="F242" i="22"/>
  <c r="H242" i="22" s="1"/>
  <c r="J242" i="22" s="1"/>
  <c r="E240" i="22"/>
  <c r="F239" i="22"/>
  <c r="H239" i="22" s="1"/>
  <c r="J239" i="22" s="1"/>
  <c r="F238" i="22"/>
  <c r="H238" i="22" s="1"/>
  <c r="J238" i="22" s="1"/>
  <c r="F237" i="22"/>
  <c r="H237" i="22" s="1"/>
  <c r="J237" i="22" s="1"/>
  <c r="F236" i="22"/>
  <c r="H236" i="22" s="1"/>
  <c r="J236" i="22" s="1"/>
  <c r="F235" i="22"/>
  <c r="H235" i="22" s="1"/>
  <c r="J235" i="22" s="1"/>
  <c r="F234" i="22"/>
  <c r="H234" i="22" s="1"/>
  <c r="J234" i="22" s="1"/>
  <c r="F233" i="22"/>
  <c r="H233" i="22" s="1"/>
  <c r="J233" i="22" s="1"/>
  <c r="F232" i="22"/>
  <c r="H232" i="22" s="1"/>
  <c r="J232" i="22" s="1"/>
  <c r="F231" i="22"/>
  <c r="H231" i="22" s="1"/>
  <c r="J231" i="22" s="1"/>
  <c r="F230" i="22"/>
  <c r="H230" i="22" s="1"/>
  <c r="J230" i="22" s="1"/>
  <c r="F229" i="22"/>
  <c r="H229" i="22" s="1"/>
  <c r="J229" i="22" s="1"/>
  <c r="F228" i="22"/>
  <c r="H228" i="22" s="1"/>
  <c r="J228" i="22" s="1"/>
  <c r="F227" i="22"/>
  <c r="H227" i="22" s="1"/>
  <c r="E225" i="22"/>
  <c r="F224" i="22"/>
  <c r="H224" i="22" s="1"/>
  <c r="J224" i="22" s="1"/>
  <c r="F223" i="22"/>
  <c r="H223" i="22" s="1"/>
  <c r="J223" i="22" s="1"/>
  <c r="J225" i="22" s="1"/>
  <c r="E221" i="22"/>
  <c r="F220" i="22"/>
  <c r="H220" i="22" s="1"/>
  <c r="J220" i="22" s="1"/>
  <c r="F219" i="22"/>
  <c r="H219" i="22" s="1"/>
  <c r="J219" i="22" s="1"/>
  <c r="F218" i="22"/>
  <c r="H218" i="22" s="1"/>
  <c r="J218" i="22" s="1"/>
  <c r="E216" i="22"/>
  <c r="F215" i="22"/>
  <c r="H215" i="22" s="1"/>
  <c r="J215" i="22" s="1"/>
  <c r="F214" i="22"/>
  <c r="E212" i="22"/>
  <c r="F211" i="22"/>
  <c r="F210" i="22"/>
  <c r="F209" i="22"/>
  <c r="F208" i="22"/>
  <c r="E206" i="22"/>
  <c r="F204" i="22"/>
  <c r="F203" i="22"/>
  <c r="F202" i="22"/>
  <c r="F201" i="22"/>
  <c r="F200" i="22"/>
  <c r="H200" i="22" s="1"/>
  <c r="I200" i="22" s="1"/>
  <c r="J200" i="22" s="1"/>
  <c r="K200" i="22" s="1"/>
  <c r="F199" i="22"/>
  <c r="H199" i="22" s="1"/>
  <c r="I199" i="22" s="1"/>
  <c r="J199" i="22" s="1"/>
  <c r="K199" i="22" s="1"/>
  <c r="F198" i="22"/>
  <c r="H198" i="22" s="1"/>
  <c r="I198" i="22" s="1"/>
  <c r="J198" i="22" s="1"/>
  <c r="K198" i="22" s="1"/>
  <c r="F197" i="22"/>
  <c r="H197" i="22" s="1"/>
  <c r="I197" i="22" s="1"/>
  <c r="J197" i="22" s="1"/>
  <c r="K197" i="22" s="1"/>
  <c r="F196" i="22"/>
  <c r="H196" i="22" s="1"/>
  <c r="I196" i="22" s="1"/>
  <c r="J196" i="22" s="1"/>
  <c r="K196" i="22" s="1"/>
  <c r="F195" i="22"/>
  <c r="H195" i="22" s="1"/>
  <c r="I195" i="22" s="1"/>
  <c r="J195" i="22" s="1"/>
  <c r="K195" i="22" s="1"/>
  <c r="F194" i="22"/>
  <c r="H194" i="22" s="1"/>
  <c r="I194" i="22" s="1"/>
  <c r="J194" i="22" s="1"/>
  <c r="K194" i="22" s="1"/>
  <c r="F193" i="22"/>
  <c r="H193" i="22" s="1"/>
  <c r="I193" i="22" s="1"/>
  <c r="J193" i="22" s="1"/>
  <c r="K193" i="22" s="1"/>
  <c r="F192" i="22"/>
  <c r="H192" i="22" s="1"/>
  <c r="I192" i="22" s="1"/>
  <c r="J192" i="22" s="1"/>
  <c r="K192" i="22" s="1"/>
  <c r="F191" i="22"/>
  <c r="H191" i="22" s="1"/>
  <c r="I191" i="22" s="1"/>
  <c r="J191" i="22" s="1"/>
  <c r="K191" i="22" s="1"/>
  <c r="F190" i="22"/>
  <c r="H190" i="22" s="1"/>
  <c r="I190" i="22" s="1"/>
  <c r="J190" i="22" s="1"/>
  <c r="K190" i="22" s="1"/>
  <c r="F189" i="22"/>
  <c r="H189" i="22" s="1"/>
  <c r="I189" i="22" s="1"/>
  <c r="J189" i="22" s="1"/>
  <c r="K189" i="22" s="1"/>
  <c r="F188" i="22"/>
  <c r="H188" i="22" s="1"/>
  <c r="I188" i="22" s="1"/>
  <c r="J188" i="22" s="1"/>
  <c r="K188" i="22" s="1"/>
  <c r="F187" i="22"/>
  <c r="H187" i="22" s="1"/>
  <c r="I187" i="22" s="1"/>
  <c r="J187" i="22" s="1"/>
  <c r="K187" i="22" s="1"/>
  <c r="F186" i="22"/>
  <c r="H186" i="22" s="1"/>
  <c r="I186" i="22" s="1"/>
  <c r="J186" i="22" s="1"/>
  <c r="K186" i="22" s="1"/>
  <c r="F185" i="22"/>
  <c r="H185" i="22" s="1"/>
  <c r="I185" i="22" s="1"/>
  <c r="J185" i="22" s="1"/>
  <c r="K185" i="22" s="1"/>
  <c r="F184" i="22"/>
  <c r="H184" i="22" s="1"/>
  <c r="I184" i="22" s="1"/>
  <c r="F183" i="22"/>
  <c r="H183" i="22" s="1"/>
  <c r="I183" i="22" s="1"/>
  <c r="J183" i="22" s="1"/>
  <c r="K183" i="22" s="1"/>
  <c r="F182" i="22"/>
  <c r="H182" i="22" s="1"/>
  <c r="F181" i="22"/>
  <c r="F180" i="22"/>
  <c r="K180" i="22" s="1"/>
  <c r="F179" i="22"/>
  <c r="K179" i="22" s="1"/>
  <c r="F178" i="22"/>
  <c r="K178" i="22" s="1"/>
  <c r="F177" i="22"/>
  <c r="K177" i="22" s="1"/>
  <c r="F176" i="22"/>
  <c r="E174" i="22"/>
  <c r="K173" i="22"/>
  <c r="F172" i="22"/>
  <c r="F174" i="22" s="1"/>
  <c r="E164" i="22"/>
  <c r="F163" i="22"/>
  <c r="H160" i="22"/>
  <c r="E160" i="22"/>
  <c r="F159" i="22"/>
  <c r="F158" i="22"/>
  <c r="H156" i="22"/>
  <c r="E156" i="22"/>
  <c r="F155" i="22"/>
  <c r="F154" i="22"/>
  <c r="F153" i="22"/>
  <c r="H151" i="22"/>
  <c r="E151" i="22"/>
  <c r="F150" i="22"/>
  <c r="F151" i="22" s="1"/>
  <c r="H148" i="22"/>
  <c r="F136" i="22"/>
  <c r="F135" i="22"/>
  <c r="E115" i="22"/>
  <c r="E115" i="42" s="1"/>
  <c r="F109" i="22"/>
  <c r="F108" i="22"/>
  <c r="F107" i="22"/>
  <c r="F106" i="22"/>
  <c r="F105" i="22"/>
  <c r="F104" i="22"/>
  <c r="F103" i="22"/>
  <c r="F102" i="22"/>
  <c r="F101" i="22"/>
  <c r="F100" i="22"/>
  <c r="F99" i="22"/>
  <c r="F98" i="22"/>
  <c r="F97" i="22"/>
  <c r="F96" i="22"/>
  <c r="F95" i="22"/>
  <c r="F94" i="22"/>
  <c r="F93" i="22"/>
  <c r="F92" i="22"/>
  <c r="F91" i="22"/>
  <c r="E89" i="22"/>
  <c r="E70" i="22"/>
  <c r="F69" i="22"/>
  <c r="F68" i="22"/>
  <c r="F70" i="22" s="1"/>
  <c r="H66" i="22"/>
  <c r="F66" i="22"/>
  <c r="E66" i="22"/>
  <c r="E63" i="22"/>
  <c r="F62" i="22"/>
  <c r="F61" i="22"/>
  <c r="H59" i="22"/>
  <c r="E59" i="22"/>
  <c r="F58" i="22"/>
  <c r="F57" i="22"/>
  <c r="F56" i="22"/>
  <c r="F55" i="22"/>
  <c r="F54" i="22"/>
  <c r="F53" i="22"/>
  <c r="F52" i="22"/>
  <c r="F51" i="22"/>
  <c r="F50" i="22"/>
  <c r="F49" i="22"/>
  <c r="F41" i="22"/>
  <c r="F40" i="22"/>
  <c r="E38" i="22"/>
  <c r="F37" i="22"/>
  <c r="F38" i="22" s="1"/>
  <c r="E35" i="22"/>
  <c r="F34" i="22"/>
  <c r="F35" i="22" s="1"/>
  <c r="E29" i="22"/>
  <c r="F28" i="22"/>
  <c r="F29" i="22" s="1"/>
  <c r="F25" i="22"/>
  <c r="E25" i="22"/>
  <c r="H24" i="22"/>
  <c r="I24" i="22" s="1"/>
  <c r="J24" i="22" s="1"/>
  <c r="K24" i="22" s="1"/>
  <c r="H23" i="22"/>
  <c r="I23" i="22" s="1"/>
  <c r="J23" i="22" s="1"/>
  <c r="K23" i="22" s="1"/>
  <c r="H22" i="22"/>
  <c r="I22" i="22" s="1"/>
  <c r="J22" i="22" s="1"/>
  <c r="K22" i="22" s="1"/>
  <c r="H21" i="22"/>
  <c r="I21" i="22" s="1"/>
  <c r="J21" i="22" s="1"/>
  <c r="K21" i="22" s="1"/>
  <c r="H20" i="22"/>
  <c r="I20" i="22" s="1"/>
  <c r="F18" i="22"/>
  <c r="E18" i="22"/>
  <c r="H17" i="22"/>
  <c r="I17" i="22" s="1"/>
  <c r="J17" i="22" s="1"/>
  <c r="K17" i="22" s="1"/>
  <c r="H16" i="22"/>
  <c r="I16" i="22" s="1"/>
  <c r="J16" i="22" s="1"/>
  <c r="K16" i="22" s="1"/>
  <c r="H15" i="22"/>
  <c r="I15" i="22" s="1"/>
  <c r="J15" i="22" s="1"/>
  <c r="K15" i="22" s="1"/>
  <c r="H14" i="22"/>
  <c r="I14" i="22" s="1"/>
  <c r="J14" i="22" s="1"/>
  <c r="K14" i="22" s="1"/>
  <c r="H13" i="22"/>
  <c r="I13" i="22" s="1"/>
  <c r="J13" i="22" s="1"/>
  <c r="K13" i="22" s="1"/>
  <c r="H12" i="22"/>
  <c r="I12" i="22" s="1"/>
  <c r="J12" i="22" s="1"/>
  <c r="K12" i="22" s="1"/>
  <c r="H11" i="22"/>
  <c r="I11" i="22" s="1"/>
  <c r="J11" i="22" s="1"/>
  <c r="K11" i="22" s="1"/>
  <c r="H10" i="22"/>
  <c r="I10" i="22" s="1"/>
  <c r="J10" i="22" s="1"/>
  <c r="K10" i="22" s="1"/>
  <c r="H9" i="22"/>
  <c r="I9" i="22" s="1"/>
  <c r="J9" i="22" s="1"/>
  <c r="K9" i="22" s="1"/>
  <c r="H8" i="22"/>
  <c r="I8" i="22" s="1"/>
  <c r="J8" i="22" s="1"/>
  <c r="K8" i="22" s="1"/>
  <c r="H7" i="22"/>
  <c r="I7" i="22" s="1"/>
  <c r="M260" i="23"/>
  <c r="M261" i="23" s="1"/>
  <c r="M262" i="23" s="1"/>
  <c r="L260" i="23"/>
  <c r="H260" i="23"/>
  <c r="E260" i="23"/>
  <c r="L256" i="23"/>
  <c r="E256" i="23"/>
  <c r="L251" i="23"/>
  <c r="E251" i="23"/>
  <c r="L248" i="23"/>
  <c r="H248" i="23"/>
  <c r="E248" i="23"/>
  <c r="L240" i="23"/>
  <c r="H240" i="23"/>
  <c r="L225" i="23"/>
  <c r="H225" i="23"/>
  <c r="E225" i="23"/>
  <c r="M221" i="23"/>
  <c r="L221" i="23"/>
  <c r="H221" i="23"/>
  <c r="E221" i="23"/>
  <c r="L216" i="23"/>
  <c r="H216" i="23"/>
  <c r="E216" i="23"/>
  <c r="M212" i="23"/>
  <c r="H212" i="23"/>
  <c r="E212" i="23"/>
  <c r="L211" i="23"/>
  <c r="L210" i="23"/>
  <c r="L209" i="23"/>
  <c r="E206" i="23"/>
  <c r="L204" i="23"/>
  <c r="L203" i="23"/>
  <c r="L202" i="23"/>
  <c r="L201" i="23"/>
  <c r="H200" i="23"/>
  <c r="I200" i="23" s="1"/>
  <c r="J200" i="23" s="1"/>
  <c r="K200" i="23" s="1"/>
  <c r="H181" i="23"/>
  <c r="I181" i="23" s="1"/>
  <c r="L180" i="23"/>
  <c r="L179" i="23"/>
  <c r="L178" i="23"/>
  <c r="L177" i="23"/>
  <c r="E174" i="23"/>
  <c r="L173" i="23"/>
  <c r="F172" i="23"/>
  <c r="L164" i="23"/>
  <c r="H164" i="23"/>
  <c r="E164" i="23"/>
  <c r="F163" i="23"/>
  <c r="F164" i="23" s="1"/>
  <c r="E160" i="23"/>
  <c r="E163" i="42" s="1"/>
  <c r="F159" i="23"/>
  <c r="L159" i="23" s="1"/>
  <c r="L158" i="23"/>
  <c r="L156" i="23"/>
  <c r="E156" i="23"/>
  <c r="F154" i="23"/>
  <c r="F156" i="23" s="1"/>
  <c r="L151" i="23"/>
  <c r="H151" i="23"/>
  <c r="E151" i="23"/>
  <c r="F150" i="23"/>
  <c r="F151" i="23" s="1"/>
  <c r="L148" i="23"/>
  <c r="H70" i="23"/>
  <c r="E70" i="23"/>
  <c r="F69" i="23"/>
  <c r="L69" i="23" s="1"/>
  <c r="F68" i="23"/>
  <c r="L68" i="23" s="1"/>
  <c r="L66" i="23"/>
  <c r="H66" i="23"/>
  <c r="E66" i="23"/>
  <c r="F65" i="23"/>
  <c r="F66" i="23" s="1"/>
  <c r="L63" i="23"/>
  <c r="E63" i="23"/>
  <c r="F62" i="23"/>
  <c r="F61" i="23"/>
  <c r="H59" i="23"/>
  <c r="E59" i="23"/>
  <c r="F58" i="23"/>
  <c r="L58" i="23" s="1"/>
  <c r="F57" i="23"/>
  <c r="L57" i="23" s="1"/>
  <c r="F56" i="23"/>
  <c r="L56" i="23" s="1"/>
  <c r="F55" i="23"/>
  <c r="L55" i="23" s="1"/>
  <c r="F54" i="23"/>
  <c r="L54" i="23" s="1"/>
  <c r="F53" i="23"/>
  <c r="L53" i="23" s="1"/>
  <c r="F52" i="23"/>
  <c r="L52" i="23" s="1"/>
  <c r="F51" i="23"/>
  <c r="L51" i="23" s="1"/>
  <c r="F50" i="23"/>
  <c r="L50" i="23" s="1"/>
  <c r="F49" i="23"/>
  <c r="L49" i="23" s="1"/>
  <c r="F48" i="42"/>
  <c r="F47" i="23"/>
  <c r="L47" i="23" s="1"/>
  <c r="F46" i="23"/>
  <c r="L46" i="23" s="1"/>
  <c r="F45" i="23"/>
  <c r="L45" i="23" s="1"/>
  <c r="F44" i="23"/>
  <c r="L44" i="23" s="1"/>
  <c r="F43" i="23"/>
  <c r="L43" i="23" s="1"/>
  <c r="F42" i="23"/>
  <c r="L42" i="23" s="1"/>
  <c r="F41" i="23"/>
  <c r="L41" i="23" s="1"/>
  <c r="F40" i="23"/>
  <c r="L40" i="23" s="1"/>
  <c r="L38" i="23"/>
  <c r="H38" i="23"/>
  <c r="E38" i="23"/>
  <c r="F37" i="23"/>
  <c r="F38" i="23" s="1"/>
  <c r="L35" i="23"/>
  <c r="H35" i="23"/>
  <c r="E35" i="23"/>
  <c r="F34" i="23"/>
  <c r="F35" i="23" s="1"/>
  <c r="L32" i="23"/>
  <c r="L29" i="23"/>
  <c r="E29" i="23"/>
  <c r="L25" i="23"/>
  <c r="F25" i="23"/>
  <c r="E25" i="23"/>
  <c r="H24" i="23"/>
  <c r="I24" i="23" s="1"/>
  <c r="J24" i="23" s="1"/>
  <c r="K24" i="23" s="1"/>
  <c r="H23" i="23"/>
  <c r="I23" i="23" s="1"/>
  <c r="J23" i="23" s="1"/>
  <c r="K23" i="23" s="1"/>
  <c r="H22" i="23"/>
  <c r="I22" i="23" s="1"/>
  <c r="J22" i="23" s="1"/>
  <c r="K22" i="23" s="1"/>
  <c r="H21" i="23"/>
  <c r="I21" i="23" s="1"/>
  <c r="J21" i="23" s="1"/>
  <c r="K21" i="23" s="1"/>
  <c r="H20" i="23"/>
  <c r="I20" i="23" s="1"/>
  <c r="M18" i="23"/>
  <c r="L18" i="23"/>
  <c r="F18" i="23"/>
  <c r="E18" i="23"/>
  <c r="H17" i="23"/>
  <c r="I17" i="23" s="1"/>
  <c r="J17" i="23" s="1"/>
  <c r="K17" i="23" s="1"/>
  <c r="H16" i="23"/>
  <c r="I16" i="23" s="1"/>
  <c r="J16" i="23" s="1"/>
  <c r="K16" i="23" s="1"/>
  <c r="H15" i="23"/>
  <c r="I15" i="23" s="1"/>
  <c r="J15" i="23" s="1"/>
  <c r="K15" i="23" s="1"/>
  <c r="H14" i="23"/>
  <c r="I14" i="23" s="1"/>
  <c r="J14" i="23" s="1"/>
  <c r="K14" i="23" s="1"/>
  <c r="H13" i="23"/>
  <c r="I13" i="23" s="1"/>
  <c r="J13" i="23" s="1"/>
  <c r="K13" i="23" s="1"/>
  <c r="H12" i="23"/>
  <c r="I12" i="23" s="1"/>
  <c r="J12" i="23" s="1"/>
  <c r="K12" i="23" s="1"/>
  <c r="H11" i="23"/>
  <c r="I11" i="23" s="1"/>
  <c r="J11" i="23" s="1"/>
  <c r="K11" i="23" s="1"/>
  <c r="H10" i="23"/>
  <c r="I10" i="23" s="1"/>
  <c r="J10" i="23" s="1"/>
  <c r="K10" i="23" s="1"/>
  <c r="H9" i="23"/>
  <c r="I9" i="23" s="1"/>
  <c r="J9" i="23" s="1"/>
  <c r="K9" i="23" s="1"/>
  <c r="H8" i="23"/>
  <c r="I8" i="23" s="1"/>
  <c r="J8" i="23" s="1"/>
  <c r="K8" i="23" s="1"/>
  <c r="H7" i="23"/>
  <c r="I7" i="23" s="1"/>
  <c r="K6" i="23"/>
  <c r="E260" i="24"/>
  <c r="F259" i="24"/>
  <c r="F260" i="24" s="1"/>
  <c r="F256" i="24"/>
  <c r="E256" i="24"/>
  <c r="E251" i="24"/>
  <c r="F250" i="24"/>
  <c r="E248" i="24"/>
  <c r="F247" i="24"/>
  <c r="F246" i="24"/>
  <c r="F245" i="24"/>
  <c r="F244" i="24"/>
  <c r="F243" i="24"/>
  <c r="F242" i="24"/>
  <c r="E240" i="24"/>
  <c r="F239" i="24"/>
  <c r="F238" i="24"/>
  <c r="F237" i="24"/>
  <c r="F236" i="24"/>
  <c r="F235" i="24"/>
  <c r="F234" i="24"/>
  <c r="F233" i="24"/>
  <c r="F232" i="24"/>
  <c r="H232" i="24" s="1"/>
  <c r="J232" i="24" s="1"/>
  <c r="F231" i="24"/>
  <c r="H231" i="24" s="1"/>
  <c r="J231" i="24" s="1"/>
  <c r="J231" i="42" s="1"/>
  <c r="F230" i="24"/>
  <c r="H230" i="24" s="1"/>
  <c r="J230" i="24" s="1"/>
  <c r="J230" i="42" s="1"/>
  <c r="F229" i="24"/>
  <c r="H229" i="24" s="1"/>
  <c r="J229" i="24" s="1"/>
  <c r="J229" i="42" s="1"/>
  <c r="F228" i="24"/>
  <c r="H228" i="24" s="1"/>
  <c r="J228" i="24" s="1"/>
  <c r="F227" i="24"/>
  <c r="E225" i="24"/>
  <c r="F224" i="24"/>
  <c r="F223" i="24"/>
  <c r="E221" i="24"/>
  <c r="F220" i="24"/>
  <c r="F219" i="24"/>
  <c r="F218" i="24"/>
  <c r="E216" i="24"/>
  <c r="F215" i="24"/>
  <c r="F214" i="24"/>
  <c r="E212" i="24"/>
  <c r="F211" i="24"/>
  <c r="F210" i="24"/>
  <c r="F209" i="24"/>
  <c r="F208" i="24"/>
  <c r="E206" i="24"/>
  <c r="H205" i="24"/>
  <c r="F204" i="24"/>
  <c r="F204" i="42" s="1"/>
  <c r="F203" i="24"/>
  <c r="F202" i="24"/>
  <c r="F201" i="24"/>
  <c r="H200" i="24"/>
  <c r="I200" i="24" s="1"/>
  <c r="J200" i="24" s="1"/>
  <c r="K200" i="24" s="1"/>
  <c r="F199" i="24"/>
  <c r="F198" i="24"/>
  <c r="F197" i="24"/>
  <c r="H196" i="24"/>
  <c r="F196" i="24"/>
  <c r="F195" i="24"/>
  <c r="F194" i="24"/>
  <c r="F193" i="24"/>
  <c r="F192" i="24"/>
  <c r="F191" i="24"/>
  <c r="F190" i="24"/>
  <c r="F189" i="24"/>
  <c r="F188" i="24"/>
  <c r="H188" i="24" s="1"/>
  <c r="F187" i="24"/>
  <c r="F186" i="24"/>
  <c r="F185" i="24"/>
  <c r="F184" i="24"/>
  <c r="F183" i="24"/>
  <c r="F182" i="24"/>
  <c r="F181" i="24"/>
  <c r="F180" i="24"/>
  <c r="F179" i="24"/>
  <c r="F178" i="24"/>
  <c r="F177" i="24"/>
  <c r="F176" i="24"/>
  <c r="E174" i="24"/>
  <c r="H173" i="24"/>
  <c r="H173" i="42" s="1"/>
  <c r="F172" i="24"/>
  <c r="E164" i="24"/>
  <c r="H163" i="24"/>
  <c r="F163" i="24"/>
  <c r="H160" i="24"/>
  <c r="E160" i="24"/>
  <c r="J159" i="42"/>
  <c r="F159" i="24"/>
  <c r="F159" i="42" s="1"/>
  <c r="J158" i="42"/>
  <c r="F158" i="24"/>
  <c r="H156" i="24"/>
  <c r="E156" i="24"/>
  <c r="F155" i="24"/>
  <c r="F154" i="24"/>
  <c r="F153" i="24"/>
  <c r="F153" i="42" s="1"/>
  <c r="H151" i="24"/>
  <c r="E151" i="24"/>
  <c r="F150" i="24"/>
  <c r="F151" i="24" s="1"/>
  <c r="E148" i="24"/>
  <c r="F147" i="24"/>
  <c r="F147" i="42" s="1"/>
  <c r="H146" i="24"/>
  <c r="H145" i="24"/>
  <c r="H145" i="42" s="1"/>
  <c r="H144" i="24"/>
  <c r="F143" i="24"/>
  <c r="F143" i="42" s="1"/>
  <c r="F142" i="24"/>
  <c r="F141" i="24"/>
  <c r="F140" i="24"/>
  <c r="F140" i="42" s="1"/>
  <c r="F139" i="24"/>
  <c r="F139" i="42" s="1"/>
  <c r="F138" i="24"/>
  <c r="F137" i="24"/>
  <c r="F136" i="24"/>
  <c r="F136" i="42" s="1"/>
  <c r="F135" i="24"/>
  <c r="F135" i="42" s="1"/>
  <c r="F133" i="24"/>
  <c r="F132" i="24"/>
  <c r="F131" i="24"/>
  <c r="F131" i="42" s="1"/>
  <c r="F130" i="24"/>
  <c r="F130" i="42" s="1"/>
  <c r="F129" i="24"/>
  <c r="F128" i="24"/>
  <c r="F128" i="42" s="1"/>
  <c r="F127" i="24"/>
  <c r="F127" i="42" s="1"/>
  <c r="F126" i="24"/>
  <c r="F125" i="24"/>
  <c r="F125" i="42" s="1"/>
  <c r="F124" i="24"/>
  <c r="F124" i="42" s="1"/>
  <c r="F123" i="24"/>
  <c r="F123" i="42" s="1"/>
  <c r="F122" i="24"/>
  <c r="F122" i="42" s="1"/>
  <c r="F121" i="24"/>
  <c r="F120" i="24"/>
  <c r="F120" i="42" s="1"/>
  <c r="H119" i="24"/>
  <c r="H118" i="24"/>
  <c r="F117" i="24"/>
  <c r="F117" i="42" s="1"/>
  <c r="F116" i="24"/>
  <c r="F116" i="42" s="1"/>
  <c r="F115" i="24"/>
  <c r="F115" i="42" s="1"/>
  <c r="F114" i="24"/>
  <c r="F114" i="42" s="1"/>
  <c r="F113" i="24"/>
  <c r="F112" i="24"/>
  <c r="F112" i="42" s="1"/>
  <c r="F111" i="24"/>
  <c r="F111" i="42" s="1"/>
  <c r="F110" i="24"/>
  <c r="F109" i="24"/>
  <c r="F108" i="24"/>
  <c r="F107" i="24"/>
  <c r="F106" i="24"/>
  <c r="F105" i="24"/>
  <c r="F104" i="24"/>
  <c r="F103" i="24"/>
  <c r="F102" i="24"/>
  <c r="H101" i="24"/>
  <c r="H100" i="24"/>
  <c r="H99" i="24"/>
  <c r="H98" i="24"/>
  <c r="H97" i="24"/>
  <c r="H96" i="24"/>
  <c r="H96" i="42" s="1"/>
  <c r="H95" i="24"/>
  <c r="H95" i="42" s="1"/>
  <c r="H94" i="24"/>
  <c r="H93" i="24"/>
  <c r="H93" i="42" s="1"/>
  <c r="H92" i="24"/>
  <c r="H91" i="24"/>
  <c r="H91" i="42" s="1"/>
  <c r="H90" i="24"/>
  <c r="H89" i="24"/>
  <c r="H88" i="24"/>
  <c r="H88" i="42" s="1"/>
  <c r="H87" i="24"/>
  <c r="H87" i="42" s="1"/>
  <c r="H86" i="24"/>
  <c r="H86" i="42" s="1"/>
  <c r="H85" i="24"/>
  <c r="H85" i="42" s="1"/>
  <c r="H84" i="24"/>
  <c r="H84" i="42" s="1"/>
  <c r="H83" i="24"/>
  <c r="H82" i="24"/>
  <c r="H81" i="24"/>
  <c r="H80" i="24"/>
  <c r="H79" i="24"/>
  <c r="H78" i="24"/>
  <c r="H78" i="42" s="1"/>
  <c r="H77" i="24"/>
  <c r="H76" i="24"/>
  <c r="H75" i="24"/>
  <c r="H74" i="24"/>
  <c r="H73" i="24"/>
  <c r="H73" i="42" s="1"/>
  <c r="E70" i="24"/>
  <c r="F69" i="24"/>
  <c r="F68" i="24"/>
  <c r="K66" i="24"/>
  <c r="E66" i="24"/>
  <c r="F65" i="24"/>
  <c r="F65" i="42" s="1"/>
  <c r="K63" i="24"/>
  <c r="E63" i="24"/>
  <c r="F62" i="24"/>
  <c r="F61" i="24"/>
  <c r="F61" i="42" s="1"/>
  <c r="E59" i="24"/>
  <c r="F58" i="24"/>
  <c r="F57" i="24"/>
  <c r="F57" i="42" s="1"/>
  <c r="F56" i="24"/>
  <c r="F56" i="42" s="1"/>
  <c r="F55" i="24"/>
  <c r="F55" i="42" s="1"/>
  <c r="F54" i="24"/>
  <c r="F53" i="24"/>
  <c r="F53" i="42" s="1"/>
  <c r="F52" i="24"/>
  <c r="F52" i="42" s="1"/>
  <c r="F51" i="24"/>
  <c r="F51" i="42" s="1"/>
  <c r="F50" i="24"/>
  <c r="F49" i="24"/>
  <c r="F49" i="42" s="1"/>
  <c r="F47" i="24"/>
  <c r="F46" i="24"/>
  <c r="F45" i="24"/>
  <c r="F44" i="24"/>
  <c r="F43" i="24"/>
  <c r="F42" i="24"/>
  <c r="F41" i="24"/>
  <c r="F40" i="24"/>
  <c r="K38" i="24"/>
  <c r="E38" i="24"/>
  <c r="F37" i="24"/>
  <c r="K35" i="24"/>
  <c r="E35" i="24"/>
  <c r="F34" i="24"/>
  <c r="E29" i="24"/>
  <c r="F29" i="24"/>
  <c r="F25" i="24"/>
  <c r="E25" i="24"/>
  <c r="H24" i="24"/>
  <c r="H23" i="24"/>
  <c r="H22" i="24"/>
  <c r="H21" i="24"/>
  <c r="H20" i="24"/>
  <c r="I20" i="24" s="1"/>
  <c r="F18" i="24"/>
  <c r="E18" i="24"/>
  <c r="H17" i="24"/>
  <c r="I17" i="24" s="1"/>
  <c r="J17" i="24" s="1"/>
  <c r="K17" i="24" s="1"/>
  <c r="H16" i="24"/>
  <c r="I16" i="24" s="1"/>
  <c r="J16" i="24" s="1"/>
  <c r="K16" i="24" s="1"/>
  <c r="H15" i="24"/>
  <c r="I15" i="24" s="1"/>
  <c r="J15" i="24" s="1"/>
  <c r="K15" i="24" s="1"/>
  <c r="H14" i="24"/>
  <c r="I14" i="24" s="1"/>
  <c r="J14" i="24" s="1"/>
  <c r="K14" i="24" s="1"/>
  <c r="H13" i="24"/>
  <c r="I13" i="24" s="1"/>
  <c r="J13" i="24" s="1"/>
  <c r="K13" i="24" s="1"/>
  <c r="H12" i="24"/>
  <c r="I12" i="24" s="1"/>
  <c r="J12" i="24" s="1"/>
  <c r="K12" i="24" s="1"/>
  <c r="H11" i="24"/>
  <c r="I11" i="24" s="1"/>
  <c r="J11" i="24" s="1"/>
  <c r="K11" i="24" s="1"/>
  <c r="H10" i="24"/>
  <c r="I10" i="24" s="1"/>
  <c r="J10" i="24" s="1"/>
  <c r="K10" i="24" s="1"/>
  <c r="H9" i="24"/>
  <c r="I9" i="24" s="1"/>
  <c r="J9" i="24" s="1"/>
  <c r="K9" i="24" s="1"/>
  <c r="H8" i="24"/>
  <c r="I8" i="24" s="1"/>
  <c r="J8" i="24" s="1"/>
  <c r="K8" i="24" s="1"/>
  <c r="H7" i="24"/>
  <c r="I7" i="24" s="1"/>
  <c r="K260" i="4"/>
  <c r="J260" i="4"/>
  <c r="F260" i="4"/>
  <c r="E260" i="4"/>
  <c r="K256" i="4"/>
  <c r="J256" i="4"/>
  <c r="F256" i="4"/>
  <c r="E256" i="4"/>
  <c r="K251" i="4"/>
  <c r="J251" i="4"/>
  <c r="F251" i="4"/>
  <c r="E251" i="4"/>
  <c r="K248" i="4"/>
  <c r="J248" i="4"/>
  <c r="F248" i="4"/>
  <c r="E248" i="4"/>
  <c r="E240" i="4"/>
  <c r="F232" i="4"/>
  <c r="F231" i="4"/>
  <c r="F230" i="4"/>
  <c r="F229" i="4"/>
  <c r="F228" i="4"/>
  <c r="K225" i="4"/>
  <c r="K221" i="4"/>
  <c r="K216" i="4"/>
  <c r="K210" i="4"/>
  <c r="K209" i="4"/>
  <c r="K208" i="4"/>
  <c r="K208" i="42" s="1"/>
  <c r="E206" i="4"/>
  <c r="F200" i="4"/>
  <c r="H200" i="4" s="1"/>
  <c r="I200" i="4" s="1"/>
  <c r="J200" i="4" s="1"/>
  <c r="K200" i="4" s="1"/>
  <c r="F199" i="4"/>
  <c r="F198" i="4"/>
  <c r="F197" i="4"/>
  <c r="F196" i="4"/>
  <c r="F195" i="4"/>
  <c r="F194" i="4"/>
  <c r="F193" i="4"/>
  <c r="F192" i="4"/>
  <c r="F191" i="4"/>
  <c r="F190" i="4"/>
  <c r="F189" i="4"/>
  <c r="F188" i="4"/>
  <c r="F187" i="4"/>
  <c r="F186" i="4"/>
  <c r="F185" i="4"/>
  <c r="F184" i="4"/>
  <c r="F183" i="4"/>
  <c r="F182" i="4"/>
  <c r="F181" i="4"/>
  <c r="H181" i="4" s="1"/>
  <c r="I181" i="4" s="1"/>
  <c r="K180" i="4"/>
  <c r="K179" i="4"/>
  <c r="K178" i="4"/>
  <c r="K177" i="4"/>
  <c r="K176" i="4"/>
  <c r="K173" i="4"/>
  <c r="F173" i="4"/>
  <c r="F173" i="42" s="1"/>
  <c r="K172" i="4"/>
  <c r="K174" i="4" s="1"/>
  <c r="F172" i="4"/>
  <c r="K164" i="4"/>
  <c r="J164" i="4"/>
  <c r="F164" i="4"/>
  <c r="E164" i="4"/>
  <c r="K160" i="4"/>
  <c r="J160" i="4"/>
  <c r="F160" i="4"/>
  <c r="E160" i="4"/>
  <c r="K156" i="4"/>
  <c r="J156" i="4"/>
  <c r="F156" i="4"/>
  <c r="E156" i="4"/>
  <c r="K151" i="4"/>
  <c r="J151" i="4"/>
  <c r="F151" i="4"/>
  <c r="E151" i="4"/>
  <c r="E148" i="4"/>
  <c r="J147" i="4"/>
  <c r="J147" i="42" s="1"/>
  <c r="J146" i="4"/>
  <c r="J145" i="4"/>
  <c r="J144" i="4"/>
  <c r="J143" i="4"/>
  <c r="J143" i="42" s="1"/>
  <c r="J142" i="4"/>
  <c r="J141" i="4"/>
  <c r="J140" i="4"/>
  <c r="J139" i="4"/>
  <c r="J138" i="4"/>
  <c r="J70" i="4"/>
  <c r="F70" i="4"/>
  <c r="E70" i="4"/>
  <c r="K69" i="4"/>
  <c r="K68" i="4"/>
  <c r="K66" i="4"/>
  <c r="J66" i="4"/>
  <c r="F66" i="4"/>
  <c r="E66" i="4"/>
  <c r="K63" i="4"/>
  <c r="J63" i="4"/>
  <c r="F63" i="4"/>
  <c r="E63" i="4"/>
  <c r="J59" i="4"/>
  <c r="F59" i="4"/>
  <c r="E59" i="4"/>
  <c r="K58" i="4"/>
  <c r="K57" i="4"/>
  <c r="K56" i="4"/>
  <c r="K55" i="4"/>
  <c r="K54" i="4"/>
  <c r="K53" i="4"/>
  <c r="K52" i="4"/>
  <c r="K51" i="4"/>
  <c r="K50" i="4"/>
  <c r="K49" i="4"/>
  <c r="K48" i="4"/>
  <c r="K48" i="42" s="1"/>
  <c r="K47" i="4"/>
  <c r="K46" i="4"/>
  <c r="K45" i="4"/>
  <c r="K44" i="4"/>
  <c r="K43" i="4"/>
  <c r="K42" i="4"/>
  <c r="K41" i="4"/>
  <c r="K40" i="4"/>
  <c r="K38" i="4"/>
  <c r="J38" i="4"/>
  <c r="F38" i="4"/>
  <c r="E38" i="4"/>
  <c r="K35" i="4"/>
  <c r="J35" i="4"/>
  <c r="F35" i="4"/>
  <c r="E35" i="4"/>
  <c r="F29" i="4"/>
  <c r="E29" i="4"/>
  <c r="K24" i="4"/>
  <c r="K23" i="4"/>
  <c r="K22" i="4"/>
  <c r="K20" i="4"/>
  <c r="K17" i="4"/>
  <c r="K16" i="4"/>
  <c r="K15" i="4"/>
  <c r="K14" i="4"/>
  <c r="K13" i="4"/>
  <c r="K12" i="4"/>
  <c r="K11" i="4"/>
  <c r="K10" i="4"/>
  <c r="K9" i="4"/>
  <c r="K8" i="4"/>
  <c r="K7" i="4"/>
  <c r="H260" i="8" l="1"/>
  <c r="J259" i="8"/>
  <c r="J260" i="8" s="1"/>
  <c r="H98" i="42"/>
  <c r="I98" i="24"/>
  <c r="I22" i="24"/>
  <c r="I22" i="42" s="1"/>
  <c r="J22" i="24"/>
  <c r="I20" i="42"/>
  <c r="I24" i="24"/>
  <c r="J24" i="24"/>
  <c r="F50" i="42"/>
  <c r="F54" i="42"/>
  <c r="F58" i="42"/>
  <c r="H89" i="42"/>
  <c r="I89" i="24"/>
  <c r="F155" i="42"/>
  <c r="J228" i="42"/>
  <c r="J232" i="42"/>
  <c r="I206" i="23"/>
  <c r="I252" i="23" s="1"/>
  <c r="I257" i="23" s="1"/>
  <c r="J181" i="23"/>
  <c r="J7" i="22"/>
  <c r="I18" i="22"/>
  <c r="I161" i="22" s="1"/>
  <c r="K172" i="22"/>
  <c r="J20" i="21"/>
  <c r="I25" i="21"/>
  <c r="I24" i="42"/>
  <c r="J24" i="21"/>
  <c r="K24" i="21" s="1"/>
  <c r="J221" i="6"/>
  <c r="J225" i="6"/>
  <c r="H251" i="6"/>
  <c r="J250" i="6"/>
  <c r="J251" i="6" s="1"/>
  <c r="H16" i="9"/>
  <c r="J16" i="9" s="1"/>
  <c r="K16" i="9" s="1"/>
  <c r="F16" i="42"/>
  <c r="F73" i="42"/>
  <c r="F77" i="42"/>
  <c r="F145" i="42"/>
  <c r="F156" i="10"/>
  <c r="J181" i="8"/>
  <c r="K181" i="8" s="1"/>
  <c r="I206" i="8"/>
  <c r="I252" i="8"/>
  <c r="I257" i="8" s="1"/>
  <c r="I261" i="8" s="1"/>
  <c r="I262" i="8" s="1"/>
  <c r="F221" i="8"/>
  <c r="F225" i="8"/>
  <c r="F240" i="8"/>
  <c r="I18" i="11"/>
  <c r="J7" i="11"/>
  <c r="I25" i="11"/>
  <c r="I161" i="11" s="1"/>
  <c r="I165" i="11" s="1"/>
  <c r="J20" i="11"/>
  <c r="J225" i="12"/>
  <c r="H251" i="12"/>
  <c r="J250" i="12"/>
  <c r="J251" i="12" s="1"/>
  <c r="H260" i="12"/>
  <c r="J259" i="12"/>
  <c r="J260" i="12" s="1"/>
  <c r="F70" i="14"/>
  <c r="J138" i="42"/>
  <c r="J142" i="42"/>
  <c r="E252" i="16"/>
  <c r="J21" i="18"/>
  <c r="I25" i="18"/>
  <c r="I161" i="18" s="1"/>
  <c r="I165" i="18" s="1"/>
  <c r="H66" i="18"/>
  <c r="H148" i="18"/>
  <c r="E252" i="18"/>
  <c r="E257" i="18" s="1"/>
  <c r="E261" i="18" s="1"/>
  <c r="J202" i="19"/>
  <c r="I202" i="42"/>
  <c r="I25" i="15"/>
  <c r="J20" i="15"/>
  <c r="J181" i="15"/>
  <c r="I206" i="15"/>
  <c r="I252" i="15" s="1"/>
  <c r="I257" i="15" s="1"/>
  <c r="I261" i="15" s="1"/>
  <c r="H42" i="42"/>
  <c r="H46" i="42"/>
  <c r="H55" i="42"/>
  <c r="F225" i="5"/>
  <c r="F212" i="26"/>
  <c r="F225" i="26"/>
  <c r="I21" i="24"/>
  <c r="I21" i="42" s="1"/>
  <c r="J21" i="24"/>
  <c r="I25" i="22"/>
  <c r="J20" i="22"/>
  <c r="E148" i="22"/>
  <c r="E89" i="42"/>
  <c r="F164" i="22"/>
  <c r="I163" i="22"/>
  <c r="I182" i="22"/>
  <c r="H206" i="22"/>
  <c r="E148" i="21"/>
  <c r="E134" i="42"/>
  <c r="H14" i="9"/>
  <c r="J14" i="9" s="1"/>
  <c r="K14" i="9" s="1"/>
  <c r="F14" i="42"/>
  <c r="I18" i="10"/>
  <c r="J14" i="10"/>
  <c r="K14" i="10" s="1"/>
  <c r="K247" i="8"/>
  <c r="J248" i="8"/>
  <c r="H251" i="8"/>
  <c r="J250" i="8"/>
  <c r="J251" i="8" s="1"/>
  <c r="J14" i="12"/>
  <c r="I18" i="12"/>
  <c r="H216" i="12"/>
  <c r="J214" i="12"/>
  <c r="H248" i="12"/>
  <c r="J242" i="12"/>
  <c r="J139" i="42"/>
  <c r="J146" i="42"/>
  <c r="I18" i="18"/>
  <c r="J7" i="18"/>
  <c r="H59" i="18"/>
  <c r="H58" i="42"/>
  <c r="H70" i="18"/>
  <c r="H68" i="42"/>
  <c r="H225" i="18"/>
  <c r="H252" i="18"/>
  <c r="H257" i="18" s="1"/>
  <c r="H261" i="18" s="1"/>
  <c r="I224" i="18"/>
  <c r="J7" i="5"/>
  <c r="I18" i="5"/>
  <c r="I161" i="5" s="1"/>
  <c r="I165" i="5" s="1"/>
  <c r="I262" i="5" s="1"/>
  <c r="F200" i="42"/>
  <c r="H260" i="5"/>
  <c r="J259" i="5"/>
  <c r="J260" i="5" s="1"/>
  <c r="J9" i="26"/>
  <c r="I18" i="26"/>
  <c r="I161" i="26" s="1"/>
  <c r="I165" i="26" s="1"/>
  <c r="J181" i="4"/>
  <c r="I206" i="4"/>
  <c r="I252" i="4"/>
  <c r="I257" i="4" s="1"/>
  <c r="I261" i="4" s="1"/>
  <c r="I262" i="4" s="1"/>
  <c r="I25" i="23"/>
  <c r="J20" i="23"/>
  <c r="F206" i="21"/>
  <c r="F202" i="42" s="1"/>
  <c r="I200" i="42"/>
  <c r="F83" i="42"/>
  <c r="J248" i="6"/>
  <c r="H256" i="6"/>
  <c r="J255" i="6"/>
  <c r="J256" i="6" s="1"/>
  <c r="H17" i="9"/>
  <c r="J17" i="9" s="1"/>
  <c r="K17" i="9" s="1"/>
  <c r="H21" i="9"/>
  <c r="J21" i="9" s="1"/>
  <c r="K21" i="9" s="1"/>
  <c r="H24" i="9"/>
  <c r="J24" i="9" s="1"/>
  <c r="K24" i="9" s="1"/>
  <c r="F24" i="42"/>
  <c r="F75" i="42"/>
  <c r="F7" i="42"/>
  <c r="J20" i="10"/>
  <c r="I25" i="10"/>
  <c r="E252" i="10"/>
  <c r="E257" i="10" s="1"/>
  <c r="E261" i="10" s="1"/>
  <c r="J215" i="8"/>
  <c r="I215" i="42"/>
  <c r="I216" i="42" s="1"/>
  <c r="C36" i="48" s="1"/>
  <c r="I216" i="8"/>
  <c r="J201" i="11"/>
  <c r="I201" i="42"/>
  <c r="J20" i="12"/>
  <c r="I25" i="12"/>
  <c r="J216" i="12"/>
  <c r="J221" i="12"/>
  <c r="J248" i="12"/>
  <c r="H256" i="12"/>
  <c r="J255" i="12"/>
  <c r="J256" i="12" s="1"/>
  <c r="J140" i="42"/>
  <c r="F257" i="16"/>
  <c r="F261" i="16" s="1"/>
  <c r="F253" i="16"/>
  <c r="H69" i="42"/>
  <c r="J204" i="19"/>
  <c r="I204" i="42"/>
  <c r="F221" i="19"/>
  <c r="F248" i="19"/>
  <c r="I18" i="15"/>
  <c r="J12" i="15"/>
  <c r="K12" i="15" s="1"/>
  <c r="E252" i="5"/>
  <c r="F205" i="42"/>
  <c r="J181" i="26"/>
  <c r="I206" i="26"/>
  <c r="I252" i="26"/>
  <c r="I257" i="26" s="1"/>
  <c r="I261" i="26" s="1"/>
  <c r="I262" i="26" s="1"/>
  <c r="I18" i="24"/>
  <c r="J7" i="24"/>
  <c r="J23" i="24"/>
  <c r="I23" i="24"/>
  <c r="I23" i="42" s="1"/>
  <c r="F40" i="42"/>
  <c r="F62" i="42"/>
  <c r="F154" i="42"/>
  <c r="F158" i="42"/>
  <c r="I18" i="23"/>
  <c r="J7" i="23"/>
  <c r="I206" i="22"/>
  <c r="J184" i="22"/>
  <c r="K184" i="22" s="1"/>
  <c r="H255" i="22"/>
  <c r="F255" i="42"/>
  <c r="F256" i="42" s="1"/>
  <c r="J23" i="21"/>
  <c r="K23" i="21" s="1"/>
  <c r="K172" i="21"/>
  <c r="H206" i="21"/>
  <c r="H252" i="21" s="1"/>
  <c r="H257" i="21" s="1"/>
  <c r="H261" i="21" s="1"/>
  <c r="J227" i="42"/>
  <c r="J240" i="6"/>
  <c r="H15" i="9"/>
  <c r="J15" i="9" s="1"/>
  <c r="K15" i="9" s="1"/>
  <c r="E32" i="9"/>
  <c r="H22" i="9"/>
  <c r="J22" i="9" s="1"/>
  <c r="K22" i="9" s="1"/>
  <c r="F22" i="42"/>
  <c r="F25" i="42" s="1"/>
  <c r="F72" i="42"/>
  <c r="J176" i="11"/>
  <c r="H206" i="11"/>
  <c r="H252" i="11" s="1"/>
  <c r="H257" i="11" s="1"/>
  <c r="H261" i="11" s="1"/>
  <c r="J181" i="11"/>
  <c r="K181" i="11" s="1"/>
  <c r="I206" i="11"/>
  <c r="I252" i="11" s="1"/>
  <c r="I257" i="11" s="1"/>
  <c r="I261" i="11" s="1"/>
  <c r="I262" i="11" s="1"/>
  <c r="I203" i="42"/>
  <c r="J203" i="11"/>
  <c r="J181" i="12"/>
  <c r="I206" i="12"/>
  <c r="I252" i="12"/>
  <c r="I257" i="12" s="1"/>
  <c r="I261" i="12" s="1"/>
  <c r="F206" i="12"/>
  <c r="J240" i="12"/>
  <c r="F59" i="14"/>
  <c r="J141" i="42"/>
  <c r="J145" i="42"/>
  <c r="I18" i="16"/>
  <c r="I161" i="16" s="1"/>
  <c r="I165" i="16" s="1"/>
  <c r="I262" i="16" s="1"/>
  <c r="H63" i="18"/>
  <c r="H61" i="42"/>
  <c r="J7" i="19"/>
  <c r="I18" i="19"/>
  <c r="J20" i="19"/>
  <c r="I25" i="19"/>
  <c r="I161" i="19" s="1"/>
  <c r="I165" i="19" s="1"/>
  <c r="I206" i="19"/>
  <c r="J181" i="19"/>
  <c r="I252" i="19"/>
  <c r="I257" i="19" s="1"/>
  <c r="I261" i="19" s="1"/>
  <c r="J205" i="19"/>
  <c r="I205" i="42"/>
  <c r="H32" i="15"/>
  <c r="H31" i="42"/>
  <c r="M24" i="44"/>
  <c r="K210" i="42"/>
  <c r="J179" i="42"/>
  <c r="K180" i="42"/>
  <c r="J172" i="42"/>
  <c r="K209" i="42"/>
  <c r="K212" i="42" s="1"/>
  <c r="K173" i="42"/>
  <c r="K178" i="42"/>
  <c r="J178" i="42"/>
  <c r="E255" i="42"/>
  <c r="E256" i="42" s="1"/>
  <c r="T167" i="44"/>
  <c r="U167" i="44"/>
  <c r="M57" i="44"/>
  <c r="I181" i="21"/>
  <c r="I197" i="42"/>
  <c r="J197" i="21"/>
  <c r="J8" i="21"/>
  <c r="I8" i="42"/>
  <c r="J12" i="21"/>
  <c r="I12" i="42"/>
  <c r="J16" i="21"/>
  <c r="I16" i="42"/>
  <c r="J182" i="21"/>
  <c r="I182" i="42"/>
  <c r="J186" i="21"/>
  <c r="I186" i="42"/>
  <c r="J190" i="21"/>
  <c r="I190" i="42"/>
  <c r="J194" i="21"/>
  <c r="I194" i="42"/>
  <c r="J198" i="21"/>
  <c r="I198" i="42"/>
  <c r="I189" i="42"/>
  <c r="J189" i="21"/>
  <c r="I193" i="42"/>
  <c r="J193" i="21"/>
  <c r="J9" i="21"/>
  <c r="I9" i="42"/>
  <c r="J13" i="21"/>
  <c r="I13" i="42"/>
  <c r="J17" i="21"/>
  <c r="I17" i="42"/>
  <c r="K179" i="21"/>
  <c r="K179" i="42" s="1"/>
  <c r="I183" i="42"/>
  <c r="J183" i="21"/>
  <c r="I187" i="42"/>
  <c r="J187" i="21"/>
  <c r="I191" i="42"/>
  <c r="J191" i="21"/>
  <c r="I195" i="42"/>
  <c r="J195" i="21"/>
  <c r="I199" i="42"/>
  <c r="J199" i="21"/>
  <c r="I18" i="21"/>
  <c r="I161" i="21" s="1"/>
  <c r="I165" i="21" s="1"/>
  <c r="J7" i="21"/>
  <c r="I11" i="42"/>
  <c r="J11" i="21"/>
  <c r="I15" i="42"/>
  <c r="J15" i="21"/>
  <c r="I185" i="42"/>
  <c r="J185" i="21"/>
  <c r="I10" i="42"/>
  <c r="J10" i="21"/>
  <c r="I14" i="42"/>
  <c r="J14" i="21"/>
  <c r="J184" i="21"/>
  <c r="I184" i="42"/>
  <c r="J188" i="21"/>
  <c r="I188" i="42"/>
  <c r="J192" i="21"/>
  <c r="I192" i="42"/>
  <c r="J196" i="21"/>
  <c r="I196" i="42"/>
  <c r="J58" i="42"/>
  <c r="J57" i="42"/>
  <c r="K29" i="9"/>
  <c r="F176" i="42"/>
  <c r="F188" i="42"/>
  <c r="G262" i="9"/>
  <c r="F196" i="42"/>
  <c r="J200" i="21"/>
  <c r="J200" i="42" s="1"/>
  <c r="F211" i="42"/>
  <c r="F227" i="42"/>
  <c r="F231" i="42"/>
  <c r="J221" i="22"/>
  <c r="J240" i="22"/>
  <c r="J248" i="22"/>
  <c r="F208" i="42"/>
  <c r="F245" i="42"/>
  <c r="K145" i="8"/>
  <c r="J148" i="8"/>
  <c r="J161" i="8" s="1"/>
  <c r="J165" i="8" s="1"/>
  <c r="H140" i="8"/>
  <c r="G140" i="42"/>
  <c r="F141" i="42"/>
  <c r="H142" i="8"/>
  <c r="H142" i="42" s="1"/>
  <c r="G142" i="42"/>
  <c r="H137" i="8"/>
  <c r="G137" i="42"/>
  <c r="H141" i="8"/>
  <c r="H141" i="42" s="1"/>
  <c r="G141" i="42"/>
  <c r="H138" i="8"/>
  <c r="G138" i="42"/>
  <c r="F138" i="42"/>
  <c r="H139" i="8"/>
  <c r="G139" i="42"/>
  <c r="H143" i="8"/>
  <c r="G143" i="42"/>
  <c r="F132" i="42"/>
  <c r="F104" i="42"/>
  <c r="F108" i="42"/>
  <c r="F98" i="42"/>
  <c r="F106" i="42"/>
  <c r="F96" i="42"/>
  <c r="K174" i="21"/>
  <c r="F228" i="42"/>
  <c r="F230" i="42"/>
  <c r="J29" i="14"/>
  <c r="K29" i="6"/>
  <c r="K59" i="6"/>
  <c r="F100" i="42"/>
  <c r="H153" i="42"/>
  <c r="D262" i="8"/>
  <c r="F113" i="42"/>
  <c r="F76" i="42"/>
  <c r="F78" i="42"/>
  <c r="F121" i="42"/>
  <c r="F137" i="42"/>
  <c r="F102" i="42"/>
  <c r="F110" i="42"/>
  <c r="F126" i="42"/>
  <c r="F134" i="42"/>
  <c r="F142" i="42"/>
  <c r="F81" i="42"/>
  <c r="F74" i="42"/>
  <c r="F86" i="42"/>
  <c r="F94" i="42"/>
  <c r="F118" i="42"/>
  <c r="F144" i="42"/>
  <c r="H225" i="6"/>
  <c r="H240" i="6"/>
  <c r="F229" i="42"/>
  <c r="F242" i="42"/>
  <c r="D262" i="22"/>
  <c r="E252" i="22"/>
  <c r="E257" i="22" s="1"/>
  <c r="E261" i="22" s="1"/>
  <c r="K18" i="4"/>
  <c r="F129" i="42"/>
  <c r="F133" i="42"/>
  <c r="H94" i="42"/>
  <c r="H90" i="42"/>
  <c r="H146" i="42"/>
  <c r="H140" i="42"/>
  <c r="H144" i="42"/>
  <c r="H138" i="42"/>
  <c r="H139" i="42"/>
  <c r="H92" i="42"/>
  <c r="H97" i="42"/>
  <c r="E161" i="13"/>
  <c r="E165" i="13" s="1"/>
  <c r="H51" i="42"/>
  <c r="H52" i="42"/>
  <c r="H53" i="42"/>
  <c r="H54" i="42"/>
  <c r="H48" i="42"/>
  <c r="H49" i="42"/>
  <c r="H43" i="42"/>
  <c r="H44" i="42"/>
  <c r="H45" i="42"/>
  <c r="F103" i="42"/>
  <c r="F87" i="42"/>
  <c r="F91" i="42"/>
  <c r="F109" i="42"/>
  <c r="F89" i="42"/>
  <c r="F93" i="42"/>
  <c r="F101" i="42"/>
  <c r="F92" i="42"/>
  <c r="F95" i="42"/>
  <c r="F97" i="42"/>
  <c r="F105" i="42"/>
  <c r="F107" i="42"/>
  <c r="F99" i="42"/>
  <c r="H11" i="10"/>
  <c r="J11" i="10" s="1"/>
  <c r="K11" i="10" s="1"/>
  <c r="F11" i="42"/>
  <c r="H8" i="10"/>
  <c r="J8" i="10" s="1"/>
  <c r="K8" i="10" s="1"/>
  <c r="H12" i="10"/>
  <c r="J12" i="10" s="1"/>
  <c r="K12" i="10" s="1"/>
  <c r="F12" i="42"/>
  <c r="H9" i="10"/>
  <c r="J9" i="10" s="1"/>
  <c r="K9" i="10" s="1"/>
  <c r="F9" i="42"/>
  <c r="H13" i="10"/>
  <c r="J13" i="10" s="1"/>
  <c r="K13" i="10" s="1"/>
  <c r="F13" i="42"/>
  <c r="H10" i="10"/>
  <c r="J10" i="10" s="1"/>
  <c r="K10" i="10" s="1"/>
  <c r="F10" i="42"/>
  <c r="F79" i="42"/>
  <c r="F148" i="6"/>
  <c r="D262" i="23"/>
  <c r="H130" i="24"/>
  <c r="H130" i="42" s="1"/>
  <c r="H126" i="24"/>
  <c r="H126" i="42" s="1"/>
  <c r="H211" i="24"/>
  <c r="F232" i="42"/>
  <c r="D262" i="24"/>
  <c r="H230" i="42"/>
  <c r="H243" i="24"/>
  <c r="J243" i="24" s="1"/>
  <c r="J243" i="42" s="1"/>
  <c r="F243" i="42"/>
  <c r="H203" i="24"/>
  <c r="H203" i="42" s="1"/>
  <c r="F203" i="42"/>
  <c r="H215" i="24"/>
  <c r="J215" i="24" s="1"/>
  <c r="J215" i="42" s="1"/>
  <c r="F215" i="42"/>
  <c r="H220" i="24"/>
  <c r="J220" i="24" s="1"/>
  <c r="J220" i="42" s="1"/>
  <c r="F220" i="42"/>
  <c r="H233" i="24"/>
  <c r="J233" i="24" s="1"/>
  <c r="J233" i="42" s="1"/>
  <c r="F233" i="42"/>
  <c r="H237" i="24"/>
  <c r="J237" i="24" s="1"/>
  <c r="J237" i="42" s="1"/>
  <c r="F237" i="42"/>
  <c r="H245" i="24"/>
  <c r="J245" i="24" s="1"/>
  <c r="J245" i="42" s="1"/>
  <c r="F251" i="24"/>
  <c r="F250" i="42"/>
  <c r="H238" i="24"/>
  <c r="J238" i="24" s="1"/>
  <c r="J238" i="42" s="1"/>
  <c r="F238" i="42"/>
  <c r="H107" i="24"/>
  <c r="H134" i="24"/>
  <c r="H134" i="42" s="1"/>
  <c r="H201" i="24"/>
  <c r="F201" i="42"/>
  <c r="H204" i="24"/>
  <c r="H209" i="24"/>
  <c r="J209" i="24" s="1"/>
  <c r="F209" i="42"/>
  <c r="H218" i="24"/>
  <c r="J218" i="24" s="1"/>
  <c r="J218" i="42" s="1"/>
  <c r="F218" i="42"/>
  <c r="H223" i="24"/>
  <c r="J223" i="24" s="1"/>
  <c r="J223" i="42" s="1"/>
  <c r="F223" i="42"/>
  <c r="H228" i="42"/>
  <c r="H231" i="42"/>
  <c r="H235" i="24"/>
  <c r="J235" i="24" s="1"/>
  <c r="J235" i="42" s="1"/>
  <c r="F235" i="42"/>
  <c r="H239" i="24"/>
  <c r="J239" i="24" s="1"/>
  <c r="J239" i="42" s="1"/>
  <c r="F239" i="42"/>
  <c r="H244" i="24"/>
  <c r="J244" i="24" s="1"/>
  <c r="J244" i="42" s="1"/>
  <c r="F244" i="42"/>
  <c r="H247" i="24"/>
  <c r="J247" i="24" s="1"/>
  <c r="J247" i="42" s="1"/>
  <c r="F247" i="42"/>
  <c r="H234" i="24"/>
  <c r="J234" i="24" s="1"/>
  <c r="J234" i="42" s="1"/>
  <c r="F234" i="42"/>
  <c r="H246" i="24"/>
  <c r="J246" i="24" s="1"/>
  <c r="J246" i="42" s="1"/>
  <c r="F246" i="42"/>
  <c r="F66" i="24"/>
  <c r="H115" i="24"/>
  <c r="H122" i="24"/>
  <c r="H122" i="42" s="1"/>
  <c r="H202" i="24"/>
  <c r="H210" i="24"/>
  <c r="J210" i="24" s="1"/>
  <c r="F210" i="42"/>
  <c r="H214" i="24"/>
  <c r="J214" i="24" s="1"/>
  <c r="J214" i="42" s="1"/>
  <c r="F214" i="42"/>
  <c r="H219" i="24"/>
  <c r="J219" i="24" s="1"/>
  <c r="J219" i="42" s="1"/>
  <c r="F219" i="42"/>
  <c r="H224" i="24"/>
  <c r="J224" i="24" s="1"/>
  <c r="F224" i="42"/>
  <c r="H229" i="42"/>
  <c r="H232" i="42"/>
  <c r="H236" i="24"/>
  <c r="J236" i="24" s="1"/>
  <c r="J236" i="42" s="1"/>
  <c r="F236" i="42"/>
  <c r="H201" i="42"/>
  <c r="H204" i="42"/>
  <c r="H200" i="42"/>
  <c r="H205" i="42"/>
  <c r="H181" i="24"/>
  <c r="I181" i="24" s="1"/>
  <c r="F181" i="42"/>
  <c r="H199" i="24"/>
  <c r="F199" i="42"/>
  <c r="H182" i="24"/>
  <c r="F182" i="42"/>
  <c r="H193" i="24"/>
  <c r="F193" i="42"/>
  <c r="H183" i="24"/>
  <c r="F183" i="42"/>
  <c r="H187" i="24"/>
  <c r="F187" i="42"/>
  <c r="H190" i="24"/>
  <c r="F190" i="42"/>
  <c r="H194" i="24"/>
  <c r="F194" i="42"/>
  <c r="H197" i="24"/>
  <c r="F197" i="42"/>
  <c r="H189" i="24"/>
  <c r="F189" i="42"/>
  <c r="H184" i="24"/>
  <c r="F184" i="42"/>
  <c r="H191" i="24"/>
  <c r="F191" i="42"/>
  <c r="H195" i="24"/>
  <c r="F195" i="42"/>
  <c r="H198" i="24"/>
  <c r="F198" i="42"/>
  <c r="H186" i="24"/>
  <c r="F186" i="42"/>
  <c r="H196" i="42"/>
  <c r="H185" i="24"/>
  <c r="F185" i="42"/>
  <c r="H188" i="42"/>
  <c r="H192" i="24"/>
  <c r="F192" i="42"/>
  <c r="H179" i="24"/>
  <c r="F179" i="42"/>
  <c r="H180" i="24"/>
  <c r="F180" i="42"/>
  <c r="H178" i="24"/>
  <c r="F178" i="42"/>
  <c r="H177" i="24"/>
  <c r="F177" i="42"/>
  <c r="G262" i="24"/>
  <c r="K146" i="4"/>
  <c r="K146" i="42" s="1"/>
  <c r="K140" i="4"/>
  <c r="K140" i="42" s="1"/>
  <c r="K144" i="4"/>
  <c r="K144" i="42" s="1"/>
  <c r="K142" i="4"/>
  <c r="K142" i="42" s="1"/>
  <c r="K141" i="4"/>
  <c r="K141" i="42" s="1"/>
  <c r="K145" i="4"/>
  <c r="K145" i="42" s="1"/>
  <c r="K138" i="4"/>
  <c r="K138" i="42" s="1"/>
  <c r="K139" i="4"/>
  <c r="K139" i="42" s="1"/>
  <c r="K143" i="4"/>
  <c r="K143" i="42" s="1"/>
  <c r="K147" i="4"/>
  <c r="K147" i="42" s="1"/>
  <c r="K70" i="4"/>
  <c r="K25" i="4"/>
  <c r="F172" i="42"/>
  <c r="G261" i="42"/>
  <c r="G262" i="42" s="1"/>
  <c r="G265" i="42"/>
  <c r="G266" i="42" s="1"/>
  <c r="D261" i="42"/>
  <c r="D262" i="42" s="1"/>
  <c r="D265" i="42"/>
  <c r="D266" i="42" s="1"/>
  <c r="F29" i="23"/>
  <c r="F28" i="42"/>
  <c r="H9" i="42"/>
  <c r="H17" i="42"/>
  <c r="H10" i="42"/>
  <c r="H14" i="42"/>
  <c r="H22" i="42"/>
  <c r="K43" i="24"/>
  <c r="K43" i="42" s="1"/>
  <c r="F43" i="42"/>
  <c r="K47" i="24"/>
  <c r="K47" i="42" s="1"/>
  <c r="F47" i="42"/>
  <c r="K50" i="24"/>
  <c r="K50" i="42" s="1"/>
  <c r="K52" i="24"/>
  <c r="K52" i="42" s="1"/>
  <c r="K54" i="24"/>
  <c r="K54" i="42" s="1"/>
  <c r="K56" i="24"/>
  <c r="K56" i="42" s="1"/>
  <c r="K58" i="24"/>
  <c r="K58" i="42" s="1"/>
  <c r="H104" i="24"/>
  <c r="H110" i="24"/>
  <c r="H113" i="24"/>
  <c r="H116" i="24"/>
  <c r="H124" i="24"/>
  <c r="H124" i="42" s="1"/>
  <c r="H127" i="24"/>
  <c r="H127" i="42" s="1"/>
  <c r="H132" i="24"/>
  <c r="H132" i="42" s="1"/>
  <c r="H135" i="24"/>
  <c r="H135" i="42" s="1"/>
  <c r="H147" i="24"/>
  <c r="H147" i="42" s="1"/>
  <c r="H172" i="24"/>
  <c r="F174" i="24"/>
  <c r="F212" i="24"/>
  <c r="K44" i="24"/>
  <c r="K44" i="42" s="1"/>
  <c r="F44" i="42"/>
  <c r="H111" i="24"/>
  <c r="H114" i="24"/>
  <c r="H125" i="24"/>
  <c r="H125" i="42" s="1"/>
  <c r="H133" i="24"/>
  <c r="H133" i="42" s="1"/>
  <c r="H11" i="42"/>
  <c r="H23" i="42"/>
  <c r="H12" i="42"/>
  <c r="H16" i="42"/>
  <c r="J20" i="24"/>
  <c r="H24" i="42"/>
  <c r="F38" i="24"/>
  <c r="F37" i="42"/>
  <c r="K41" i="24"/>
  <c r="K41" i="42" s="1"/>
  <c r="F41" i="42"/>
  <c r="K45" i="24"/>
  <c r="K45" i="42" s="1"/>
  <c r="K49" i="24"/>
  <c r="K49" i="42" s="1"/>
  <c r="K51" i="24"/>
  <c r="K51" i="42" s="1"/>
  <c r="K53" i="24"/>
  <c r="K53" i="42" s="1"/>
  <c r="K55" i="24"/>
  <c r="K55" i="42" s="1"/>
  <c r="K57" i="24"/>
  <c r="K57" i="42" s="1"/>
  <c r="K68" i="24"/>
  <c r="K68" i="42" s="1"/>
  <c r="F68" i="42"/>
  <c r="H105" i="24"/>
  <c r="H108" i="24"/>
  <c r="H112" i="24"/>
  <c r="H117" i="24"/>
  <c r="H120" i="24"/>
  <c r="H120" i="42" s="1"/>
  <c r="H123" i="24"/>
  <c r="H123" i="42" s="1"/>
  <c r="H128" i="24"/>
  <c r="H128" i="42" s="1"/>
  <c r="H131" i="24"/>
  <c r="H131" i="42" s="1"/>
  <c r="H136" i="24"/>
  <c r="H143" i="24"/>
  <c r="H143" i="42" s="1"/>
  <c r="K159" i="42"/>
  <c r="F164" i="24"/>
  <c r="F240" i="24"/>
  <c r="F248" i="24"/>
  <c r="H259" i="24"/>
  <c r="H260" i="24" s="1"/>
  <c r="H15" i="42"/>
  <c r="H13" i="42"/>
  <c r="H21" i="42"/>
  <c r="F35" i="24"/>
  <c r="F34" i="42"/>
  <c r="K42" i="24"/>
  <c r="K42" i="42" s="1"/>
  <c r="F42" i="42"/>
  <c r="K46" i="24"/>
  <c r="K46" i="42" s="1"/>
  <c r="F46" i="42"/>
  <c r="K69" i="24"/>
  <c r="K69" i="42" s="1"/>
  <c r="F69" i="42"/>
  <c r="H103" i="24"/>
  <c r="H106" i="24"/>
  <c r="H109" i="24"/>
  <c r="H121" i="24"/>
  <c r="H121" i="42" s="1"/>
  <c r="H129" i="24"/>
  <c r="H129" i="42" s="1"/>
  <c r="H137" i="24"/>
  <c r="H137" i="42" s="1"/>
  <c r="H164" i="24"/>
  <c r="H163" i="42"/>
  <c r="H164" i="42" s="1"/>
  <c r="K172" i="26"/>
  <c r="K174" i="26" s="1"/>
  <c r="E252" i="11"/>
  <c r="E257" i="11" s="1"/>
  <c r="E261" i="11" s="1"/>
  <c r="D262" i="11"/>
  <c r="H136" i="8"/>
  <c r="G148" i="8"/>
  <c r="G161" i="8" s="1"/>
  <c r="G165" i="8" s="1"/>
  <c r="G262" i="8" s="1"/>
  <c r="H206" i="4"/>
  <c r="H252" i="4" s="1"/>
  <c r="H257" i="4" s="1"/>
  <c r="H261" i="4" s="1"/>
  <c r="E252" i="4"/>
  <c r="E257" i="4" s="1"/>
  <c r="E261" i="4" s="1"/>
  <c r="F148" i="24"/>
  <c r="F206" i="24"/>
  <c r="E252" i="6"/>
  <c r="E257" i="6" s="1"/>
  <c r="E261" i="6" s="1"/>
  <c r="F216" i="6"/>
  <c r="H221" i="6"/>
  <c r="F251" i="14"/>
  <c r="F156" i="24"/>
  <c r="H208" i="24"/>
  <c r="J208" i="24" s="1"/>
  <c r="J208" i="42" s="1"/>
  <c r="F221" i="24"/>
  <c r="H227" i="24"/>
  <c r="H242" i="24"/>
  <c r="J242" i="24" s="1"/>
  <c r="H250" i="24"/>
  <c r="J250" i="24" s="1"/>
  <c r="H25" i="22"/>
  <c r="F160" i="22"/>
  <c r="H18" i="21"/>
  <c r="K176" i="21"/>
  <c r="F18" i="6"/>
  <c r="F212" i="6"/>
  <c r="F25" i="9"/>
  <c r="F148" i="9"/>
  <c r="F240" i="9"/>
  <c r="F148" i="12"/>
  <c r="H18" i="22"/>
  <c r="K59" i="4"/>
  <c r="F240" i="4"/>
  <c r="F160" i="24"/>
  <c r="E252" i="23"/>
  <c r="E257" i="23" s="1"/>
  <c r="E261" i="23" s="1"/>
  <c r="F59" i="22"/>
  <c r="F63" i="22"/>
  <c r="F206" i="22"/>
  <c r="H7" i="6"/>
  <c r="J7" i="6" s="1"/>
  <c r="K7" i="6" s="1"/>
  <c r="K18" i="6" s="1"/>
  <c r="F70" i="6"/>
  <c r="F156" i="6"/>
  <c r="F206" i="6"/>
  <c r="H248" i="6"/>
  <c r="F18" i="9"/>
  <c r="F32" i="9" s="1"/>
  <c r="H20" i="9"/>
  <c r="J20" i="9" s="1"/>
  <c r="K20" i="9" s="1"/>
  <c r="H174" i="9"/>
  <c r="H252" i="9" s="1"/>
  <c r="H257" i="9" s="1"/>
  <c r="H261" i="9" s="1"/>
  <c r="F221" i="9"/>
  <c r="F240" i="14"/>
  <c r="E252" i="9"/>
  <c r="E257" i="9" s="1"/>
  <c r="E261" i="9" s="1"/>
  <c r="H25" i="10"/>
  <c r="F206" i="10"/>
  <c r="E252" i="14"/>
  <c r="E257" i="14" s="1"/>
  <c r="E261" i="14" s="1"/>
  <c r="F212" i="14"/>
  <c r="F221" i="14"/>
  <c r="F248" i="14"/>
  <c r="H18" i="18"/>
  <c r="H70" i="19"/>
  <c r="H206" i="15"/>
  <c r="F212" i="9"/>
  <c r="F59" i="10"/>
  <c r="F160" i="8"/>
  <c r="E252" i="8"/>
  <c r="E257" i="8" s="1"/>
  <c r="E261" i="8" s="1"/>
  <c r="F212" i="8"/>
  <c r="F251" i="8"/>
  <c r="F260" i="8"/>
  <c r="F160" i="12"/>
  <c r="F212" i="12"/>
  <c r="H240" i="12"/>
  <c r="F156" i="14"/>
  <c r="F160" i="14"/>
  <c r="H148" i="5"/>
  <c r="F248" i="5"/>
  <c r="H242" i="5"/>
  <c r="J242" i="5" s="1"/>
  <c r="F256" i="5"/>
  <c r="H255" i="5"/>
  <c r="H25" i="26"/>
  <c r="H63" i="26"/>
  <c r="F156" i="8"/>
  <c r="K212" i="8"/>
  <c r="F216" i="8"/>
  <c r="H70" i="5"/>
  <c r="E252" i="19"/>
  <c r="E257" i="19" s="1"/>
  <c r="E261" i="19" s="1"/>
  <c r="F212" i="19"/>
  <c r="F225" i="19"/>
  <c r="H59" i="15"/>
  <c r="E252" i="15"/>
  <c r="E257" i="15" s="1"/>
  <c r="E261" i="15" s="1"/>
  <c r="H25" i="13"/>
  <c r="H148" i="13"/>
  <c r="H206" i="7"/>
  <c r="H252" i="7" s="1"/>
  <c r="H257" i="7" s="1"/>
  <c r="H261" i="7" s="1"/>
  <c r="H18" i="5"/>
  <c r="H59" i="5"/>
  <c r="F59" i="26"/>
  <c r="F156" i="26"/>
  <c r="F206" i="26"/>
  <c r="H206" i="26"/>
  <c r="H252" i="26" s="1"/>
  <c r="H257" i="26" s="1"/>
  <c r="H261" i="26" s="1"/>
  <c r="M74" i="44"/>
  <c r="H156" i="18"/>
  <c r="H160" i="18"/>
  <c r="F252" i="15"/>
  <c r="F257" i="15" s="1"/>
  <c r="F261" i="15" s="1"/>
  <c r="F262" i="15" s="1"/>
  <c r="H18" i="13"/>
  <c r="F252" i="13"/>
  <c r="F257" i="13" s="1"/>
  <c r="F261" i="13" s="1"/>
  <c r="F262" i="13" s="1"/>
  <c r="H18" i="7"/>
  <c r="F161" i="5"/>
  <c r="F165" i="5" s="1"/>
  <c r="F206" i="5"/>
  <c r="F221" i="5"/>
  <c r="H148" i="26"/>
  <c r="F221" i="26"/>
  <c r="R167" i="44"/>
  <c r="M138" i="44"/>
  <c r="H149" i="44"/>
  <c r="H151" i="18"/>
  <c r="F240" i="19"/>
  <c r="H259" i="19"/>
  <c r="H25" i="15"/>
  <c r="H156" i="15"/>
  <c r="H59" i="13"/>
  <c r="F59" i="7"/>
  <c r="F70" i="7"/>
  <c r="H25" i="5"/>
  <c r="H206" i="5"/>
  <c r="H250" i="5"/>
  <c r="H18" i="26"/>
  <c r="F148" i="26"/>
  <c r="E252" i="26"/>
  <c r="E257" i="26" s="1"/>
  <c r="E261" i="26" s="1"/>
  <c r="H15" i="44"/>
  <c r="S167" i="44"/>
  <c r="K164" i="44"/>
  <c r="M109" i="44"/>
  <c r="L59" i="23"/>
  <c r="F63" i="23"/>
  <c r="F160" i="23"/>
  <c r="F163" i="42" s="1"/>
  <c r="J13" i="9"/>
  <c r="J32" i="9" s="1"/>
  <c r="J161" i="9" s="1"/>
  <c r="J165" i="9" s="1"/>
  <c r="J262" i="9" s="1"/>
  <c r="F18" i="10"/>
  <c r="H25" i="11"/>
  <c r="H18" i="11"/>
  <c r="F148" i="10"/>
  <c r="E257" i="5"/>
  <c r="E261" i="5" s="1"/>
  <c r="H25" i="7"/>
  <c r="E252" i="7"/>
  <c r="E257" i="7" s="1"/>
  <c r="E261" i="7" s="1"/>
  <c r="E161" i="7"/>
  <c r="E165" i="7" s="1"/>
  <c r="E262" i="7" s="1"/>
  <c r="E252" i="13"/>
  <c r="E257" i="13" s="1"/>
  <c r="E261" i="13" s="1"/>
  <c r="H18" i="15"/>
  <c r="H18" i="19"/>
  <c r="E161" i="19"/>
  <c r="E165" i="19" s="1"/>
  <c r="H25" i="19"/>
  <c r="F206" i="19"/>
  <c r="E161" i="18"/>
  <c r="E165" i="18" s="1"/>
  <c r="H25" i="18"/>
  <c r="J7" i="16"/>
  <c r="J18" i="16" s="1"/>
  <c r="J161" i="16" s="1"/>
  <c r="J165" i="16" s="1"/>
  <c r="J262" i="16" s="1"/>
  <c r="F161" i="16"/>
  <c r="F165" i="16" s="1"/>
  <c r="E161" i="16"/>
  <c r="E165" i="16" s="1"/>
  <c r="F206" i="14"/>
  <c r="F252" i="14" s="1"/>
  <c r="F257" i="14" s="1"/>
  <c r="F261" i="14" s="1"/>
  <c r="F216" i="14"/>
  <c r="F18" i="14"/>
  <c r="F256" i="14"/>
  <c r="E161" i="14"/>
  <c r="E165" i="14" s="1"/>
  <c r="E262" i="14" s="1"/>
  <c r="F148" i="14"/>
  <c r="H208" i="12"/>
  <c r="J208" i="12" s="1"/>
  <c r="J212" i="12" s="1"/>
  <c r="H221" i="12"/>
  <c r="H225" i="12"/>
  <c r="H252" i="12" s="1"/>
  <c r="H257" i="12" s="1"/>
  <c r="H261" i="12" s="1"/>
  <c r="E161" i="11"/>
  <c r="E165" i="11" s="1"/>
  <c r="F161" i="11"/>
  <c r="F165" i="11" s="1"/>
  <c r="F262" i="11" s="1"/>
  <c r="H18" i="8"/>
  <c r="H252" i="10"/>
  <c r="H257" i="10" s="1"/>
  <c r="H261" i="10" s="1"/>
  <c r="E161" i="10"/>
  <c r="E165" i="10" s="1"/>
  <c r="E262" i="10" s="1"/>
  <c r="H7" i="10"/>
  <c r="F156" i="9"/>
  <c r="H161" i="6"/>
  <c r="H165" i="6" s="1"/>
  <c r="F156" i="21"/>
  <c r="H25" i="21"/>
  <c r="H161" i="21" s="1"/>
  <c r="H165" i="21" s="1"/>
  <c r="H163" i="22"/>
  <c r="J163" i="22" s="1"/>
  <c r="J164" i="22" s="1"/>
  <c r="F212" i="22"/>
  <c r="F148" i="22"/>
  <c r="F156" i="22"/>
  <c r="H25" i="23"/>
  <c r="L160" i="23"/>
  <c r="L70" i="23"/>
  <c r="H28" i="24"/>
  <c r="H102" i="24"/>
  <c r="H18" i="24"/>
  <c r="K212" i="4"/>
  <c r="F206" i="4"/>
  <c r="M81" i="44"/>
  <c r="M94" i="44" s="1"/>
  <c r="E161" i="26"/>
  <c r="E165" i="26" s="1"/>
  <c r="F216" i="26"/>
  <c r="F160" i="26"/>
  <c r="E161" i="5"/>
  <c r="E165" i="5" s="1"/>
  <c r="F174" i="5"/>
  <c r="F252" i="5" s="1"/>
  <c r="F212" i="5"/>
  <c r="H248" i="5"/>
  <c r="F161" i="7"/>
  <c r="F165" i="7" s="1"/>
  <c r="F262" i="7" s="1"/>
  <c r="K174" i="7"/>
  <c r="K252" i="7" s="1"/>
  <c r="K257" i="7" s="1"/>
  <c r="K261" i="7" s="1"/>
  <c r="K262" i="7" s="1"/>
  <c r="H206" i="13"/>
  <c r="J7" i="15"/>
  <c r="J18" i="15" s="1"/>
  <c r="H148" i="15"/>
  <c r="H70" i="15"/>
  <c r="E161" i="15"/>
  <c r="E165" i="15" s="1"/>
  <c r="E262" i="15" s="1"/>
  <c r="H148" i="19"/>
  <c r="F161" i="19"/>
  <c r="F165" i="19" s="1"/>
  <c r="F174" i="19"/>
  <c r="H206" i="19"/>
  <c r="H252" i="19" s="1"/>
  <c r="H257" i="19" s="1"/>
  <c r="F262" i="18"/>
  <c r="K174" i="16"/>
  <c r="J40" i="14"/>
  <c r="J68" i="14"/>
  <c r="J72" i="14"/>
  <c r="J172" i="14"/>
  <c r="J176" i="14"/>
  <c r="F18" i="12"/>
  <c r="H7" i="12"/>
  <c r="E161" i="12"/>
  <c r="E165" i="12" s="1"/>
  <c r="H25" i="12"/>
  <c r="F174" i="12"/>
  <c r="H206" i="12"/>
  <c r="H212" i="12"/>
  <c r="F216" i="12"/>
  <c r="F221" i="12"/>
  <c r="F225" i="12"/>
  <c r="F240" i="12"/>
  <c r="F248" i="12"/>
  <c r="F251" i="12"/>
  <c r="F260" i="12"/>
  <c r="K172" i="12"/>
  <c r="E252" i="12"/>
  <c r="E257" i="12" s="1"/>
  <c r="E261" i="12" s="1"/>
  <c r="F256" i="12"/>
  <c r="K176" i="11"/>
  <c r="J177" i="11"/>
  <c r="K177" i="11" s="1"/>
  <c r="K177" i="42" s="1"/>
  <c r="K70" i="8"/>
  <c r="F70" i="8"/>
  <c r="H25" i="8"/>
  <c r="F148" i="8"/>
  <c r="E161" i="8"/>
  <c r="E165" i="8" s="1"/>
  <c r="K172" i="8"/>
  <c r="F174" i="8"/>
  <c r="F206" i="8"/>
  <c r="H176" i="8"/>
  <c r="H216" i="8"/>
  <c r="H248" i="8"/>
  <c r="K158" i="8"/>
  <c r="H255" i="8"/>
  <c r="F252" i="10"/>
  <c r="F257" i="10" s="1"/>
  <c r="F261" i="10" s="1"/>
  <c r="F174" i="10"/>
  <c r="F216" i="9"/>
  <c r="F225" i="9"/>
  <c r="F248" i="9"/>
  <c r="E161" i="9"/>
  <c r="E165" i="9" s="1"/>
  <c r="E262" i="9" s="1"/>
  <c r="F206" i="9"/>
  <c r="K25" i="6"/>
  <c r="F160" i="6"/>
  <c r="F59" i="6"/>
  <c r="E161" i="6"/>
  <c r="E165" i="6" s="1"/>
  <c r="E262" i="6" s="1"/>
  <c r="F174" i="6"/>
  <c r="H206" i="6"/>
  <c r="H214" i="6"/>
  <c r="J214" i="6" s="1"/>
  <c r="J216" i="6" s="1"/>
  <c r="F221" i="6"/>
  <c r="F225" i="6"/>
  <c r="F240" i="6"/>
  <c r="F248" i="6"/>
  <c r="F251" i="6"/>
  <c r="H259" i="6"/>
  <c r="J259" i="6" s="1"/>
  <c r="J260" i="6" s="1"/>
  <c r="F260" i="6"/>
  <c r="F256" i="6"/>
  <c r="F148" i="21"/>
  <c r="F160" i="21"/>
  <c r="E161" i="21"/>
  <c r="E165" i="21" s="1"/>
  <c r="E262" i="21" s="1"/>
  <c r="F174" i="21"/>
  <c r="F252" i="21" s="1"/>
  <c r="F257" i="21" s="1"/>
  <c r="F261" i="21" s="1"/>
  <c r="E161" i="22"/>
  <c r="E165" i="22" s="1"/>
  <c r="H164" i="22"/>
  <c r="K174" i="22"/>
  <c r="K176" i="22"/>
  <c r="H208" i="22"/>
  <c r="J208" i="22" s="1"/>
  <c r="H209" i="22"/>
  <c r="J209" i="22" s="1"/>
  <c r="H210" i="22"/>
  <c r="J210" i="22" s="1"/>
  <c r="H211" i="22"/>
  <c r="J211" i="22" s="1"/>
  <c r="H214" i="22"/>
  <c r="J214" i="22" s="1"/>
  <c r="J216" i="22" s="1"/>
  <c r="F216" i="22"/>
  <c r="H221" i="22"/>
  <c r="F221" i="22"/>
  <c r="H225" i="22"/>
  <c r="F225" i="22"/>
  <c r="H240" i="22"/>
  <c r="F240" i="22"/>
  <c r="H248" i="22"/>
  <c r="F248" i="22"/>
  <c r="H251" i="22"/>
  <c r="F251" i="22"/>
  <c r="H260" i="22"/>
  <c r="F260" i="22"/>
  <c r="H256" i="22"/>
  <c r="F256" i="22"/>
  <c r="H18" i="23"/>
  <c r="H28" i="23"/>
  <c r="I28" i="23" s="1"/>
  <c r="F59" i="23"/>
  <c r="E161" i="23"/>
  <c r="E165" i="23" s="1"/>
  <c r="H206" i="23"/>
  <c r="H252" i="23" s="1"/>
  <c r="H257" i="23" s="1"/>
  <c r="H261" i="23" s="1"/>
  <c r="F70" i="23"/>
  <c r="L176" i="23"/>
  <c r="L206" i="23" s="1"/>
  <c r="L208" i="23"/>
  <c r="L212" i="23" s="1"/>
  <c r="L172" i="23"/>
  <c r="F174" i="23"/>
  <c r="F252" i="23" s="1"/>
  <c r="F257" i="23" s="1"/>
  <c r="F261" i="23" s="1"/>
  <c r="H25" i="24"/>
  <c r="F59" i="24"/>
  <c r="K40" i="24"/>
  <c r="K40" i="42" s="1"/>
  <c r="F63" i="24"/>
  <c r="F70" i="24"/>
  <c r="E161" i="24"/>
  <c r="E165" i="24" s="1"/>
  <c r="E252" i="24"/>
  <c r="E257" i="24" s="1"/>
  <c r="E261" i="24" s="1"/>
  <c r="H176" i="24"/>
  <c r="H176" i="42" s="1"/>
  <c r="F216" i="24"/>
  <c r="F225" i="24"/>
  <c r="K29" i="4"/>
  <c r="J72" i="4"/>
  <c r="J148" i="4" s="1"/>
  <c r="F148" i="4"/>
  <c r="F161" i="4" s="1"/>
  <c r="F165" i="4" s="1"/>
  <c r="E161" i="4"/>
  <c r="E165" i="4" s="1"/>
  <c r="I261" i="23" l="1"/>
  <c r="K205" i="19"/>
  <c r="K205" i="42" s="1"/>
  <c r="J205" i="42"/>
  <c r="K215" i="8"/>
  <c r="J216" i="8"/>
  <c r="K20" i="22"/>
  <c r="K25" i="22" s="1"/>
  <c r="J25" i="22"/>
  <c r="J161" i="22" s="1"/>
  <c r="J165" i="22" s="1"/>
  <c r="K172" i="42"/>
  <c r="F252" i="26"/>
  <c r="F257" i="26" s="1"/>
  <c r="F261" i="26" s="1"/>
  <c r="H251" i="5"/>
  <c r="J250" i="5"/>
  <c r="J251" i="5" s="1"/>
  <c r="H260" i="19"/>
  <c r="H261" i="19" s="1"/>
  <c r="J259" i="19"/>
  <c r="J260" i="19" s="1"/>
  <c r="K25" i="9"/>
  <c r="H20" i="42"/>
  <c r="J163" i="42"/>
  <c r="J164" i="42" s="1"/>
  <c r="E262" i="13"/>
  <c r="J177" i="42"/>
  <c r="K7" i="19"/>
  <c r="K18" i="19" s="1"/>
  <c r="J18" i="19"/>
  <c r="K203" i="11"/>
  <c r="K203" i="42" s="1"/>
  <c r="J203" i="42"/>
  <c r="K23" i="24"/>
  <c r="K23" i="42" s="1"/>
  <c r="J23" i="42"/>
  <c r="K181" i="26"/>
  <c r="J206" i="26"/>
  <c r="J252" i="26" s="1"/>
  <c r="J257" i="26" s="1"/>
  <c r="J261" i="26" s="1"/>
  <c r="K204" i="19"/>
  <c r="K204" i="42" s="1"/>
  <c r="J204" i="42"/>
  <c r="K20" i="12"/>
  <c r="K25" i="12" s="1"/>
  <c r="K161" i="12" s="1"/>
  <c r="K165" i="12" s="1"/>
  <c r="J25" i="12"/>
  <c r="J25" i="10"/>
  <c r="K20" i="10"/>
  <c r="K25" i="10" s="1"/>
  <c r="J248" i="5"/>
  <c r="J252" i="5" s="1"/>
  <c r="J257" i="5" s="1"/>
  <c r="J261" i="5" s="1"/>
  <c r="I225" i="18"/>
  <c r="I252" i="18" s="1"/>
  <c r="I257" i="18" s="1"/>
  <c r="I261" i="18" s="1"/>
  <c r="I262" i="18" s="1"/>
  <c r="J224" i="18"/>
  <c r="I224" i="42"/>
  <c r="I225" i="42" s="1"/>
  <c r="D36" i="48" s="1"/>
  <c r="J182" i="22"/>
  <c r="I252" i="22"/>
  <c r="I257" i="22" s="1"/>
  <c r="I261" i="22" s="1"/>
  <c r="I161" i="15"/>
  <c r="I165" i="15" s="1"/>
  <c r="I262" i="15" s="1"/>
  <c r="E253" i="16"/>
  <c r="E257" i="16"/>
  <c r="E261" i="16" s="1"/>
  <c r="J252" i="23"/>
  <c r="J257" i="23" s="1"/>
  <c r="J261" i="23" s="1"/>
  <c r="J206" i="23"/>
  <c r="K181" i="23"/>
  <c r="I25" i="24"/>
  <c r="K22" i="24"/>
  <c r="K22" i="42" s="1"/>
  <c r="J22" i="42"/>
  <c r="I29" i="23"/>
  <c r="I161" i="23" s="1"/>
  <c r="I165" i="23" s="1"/>
  <c r="J28" i="23"/>
  <c r="H256" i="8"/>
  <c r="J255" i="8"/>
  <c r="J256" i="8" s="1"/>
  <c r="J20" i="42"/>
  <c r="J25" i="24"/>
  <c r="I164" i="22"/>
  <c r="I165" i="22" s="1"/>
  <c r="K163" i="22"/>
  <c r="J25" i="11"/>
  <c r="K20" i="11"/>
  <c r="K25" i="11" s="1"/>
  <c r="H161" i="15"/>
  <c r="H165" i="15" s="1"/>
  <c r="H256" i="5"/>
  <c r="J255" i="5"/>
  <c r="J256" i="5" s="1"/>
  <c r="J248" i="24"/>
  <c r="J242" i="42"/>
  <c r="J248" i="42" s="1"/>
  <c r="H136" i="42"/>
  <c r="I262" i="19"/>
  <c r="J25" i="19"/>
  <c r="J161" i="19" s="1"/>
  <c r="J165" i="19" s="1"/>
  <c r="K20" i="19"/>
  <c r="K25" i="19" s="1"/>
  <c r="K161" i="19" s="1"/>
  <c r="K165" i="19" s="1"/>
  <c r="J206" i="11"/>
  <c r="J252" i="11"/>
  <c r="J257" i="11" s="1"/>
  <c r="J261" i="11" s="1"/>
  <c r="J255" i="22"/>
  <c r="J256" i="22" s="1"/>
  <c r="H255" i="42"/>
  <c r="K201" i="11"/>
  <c r="K201" i="42" s="1"/>
  <c r="J201" i="42"/>
  <c r="J18" i="12"/>
  <c r="K14" i="12"/>
  <c r="K18" i="12" s="1"/>
  <c r="K247" i="42"/>
  <c r="K248" i="42" s="1"/>
  <c r="K248" i="8"/>
  <c r="J206" i="15"/>
  <c r="J252" i="15" s="1"/>
  <c r="J257" i="15" s="1"/>
  <c r="J261" i="15" s="1"/>
  <c r="J262" i="15" s="1"/>
  <c r="K181" i="15"/>
  <c r="K202" i="19"/>
  <c r="K202" i="42" s="1"/>
  <c r="J202" i="42"/>
  <c r="K7" i="22"/>
  <c r="K18" i="22" s="1"/>
  <c r="J18" i="22"/>
  <c r="K24" i="24"/>
  <c r="K24" i="42" s="1"/>
  <c r="J24" i="42"/>
  <c r="I98" i="42"/>
  <c r="J98" i="24"/>
  <c r="H252" i="5"/>
  <c r="K7" i="23"/>
  <c r="K18" i="23" s="1"/>
  <c r="J18" i="23"/>
  <c r="K7" i="24"/>
  <c r="K18" i="24" s="1"/>
  <c r="J18" i="24"/>
  <c r="K9" i="26"/>
  <c r="K18" i="26" s="1"/>
  <c r="K161" i="26" s="1"/>
  <c r="K165" i="26" s="1"/>
  <c r="J18" i="26"/>
  <c r="J161" i="26" s="1"/>
  <c r="J165" i="26" s="1"/>
  <c r="I89" i="42"/>
  <c r="I148" i="42" s="1"/>
  <c r="G2" i="48" s="1"/>
  <c r="J89" i="24"/>
  <c r="I148" i="24"/>
  <c r="I25" i="42"/>
  <c r="J252" i="6"/>
  <c r="J257" i="6" s="1"/>
  <c r="J261" i="6" s="1"/>
  <c r="J262" i="6" s="1"/>
  <c r="H29" i="24"/>
  <c r="I28" i="24"/>
  <c r="H262" i="21"/>
  <c r="H161" i="7"/>
  <c r="H165" i="7" s="1"/>
  <c r="H262" i="7" s="1"/>
  <c r="J181" i="24"/>
  <c r="I206" i="24"/>
  <c r="I252" i="24" s="1"/>
  <c r="I257" i="24" s="1"/>
  <c r="I261" i="24" s="1"/>
  <c r="J210" i="42"/>
  <c r="J209" i="42"/>
  <c r="I7" i="42"/>
  <c r="I18" i="42" s="1"/>
  <c r="I206" i="21"/>
  <c r="I252" i="21"/>
  <c r="I257" i="21" s="1"/>
  <c r="I261" i="21" s="1"/>
  <c r="I262" i="21" s="1"/>
  <c r="K181" i="19"/>
  <c r="J206" i="19"/>
  <c r="J252" i="19" s="1"/>
  <c r="J257" i="19" s="1"/>
  <c r="J261" i="19" s="1"/>
  <c r="K181" i="12"/>
  <c r="K206" i="12" s="1"/>
  <c r="J252" i="12"/>
  <c r="J257" i="12" s="1"/>
  <c r="J261" i="12" s="1"/>
  <c r="J206" i="12"/>
  <c r="I161" i="12"/>
  <c r="I165" i="12" s="1"/>
  <c r="I262" i="12" s="1"/>
  <c r="I161" i="10"/>
  <c r="I165" i="10" s="1"/>
  <c r="I262" i="10" s="1"/>
  <c r="J25" i="23"/>
  <c r="K20" i="23"/>
  <c r="K25" i="23" s="1"/>
  <c r="K181" i="4"/>
  <c r="K206" i="4" s="1"/>
  <c r="J206" i="4"/>
  <c r="J252" i="4" s="1"/>
  <c r="J257" i="4" s="1"/>
  <c r="J18" i="5"/>
  <c r="J161" i="5" s="1"/>
  <c r="J165" i="5" s="1"/>
  <c r="K7" i="5"/>
  <c r="K18" i="5" s="1"/>
  <c r="K161" i="5" s="1"/>
  <c r="K165" i="5" s="1"/>
  <c r="K262" i="5" s="1"/>
  <c r="J18" i="18"/>
  <c r="K7" i="18"/>
  <c r="K18" i="18" s="1"/>
  <c r="J72" i="42"/>
  <c r="K21" i="24"/>
  <c r="J21" i="42"/>
  <c r="J25" i="15"/>
  <c r="J161" i="15" s="1"/>
  <c r="J165" i="15" s="1"/>
  <c r="K20" i="15"/>
  <c r="K25" i="15" s="1"/>
  <c r="K21" i="18"/>
  <c r="K25" i="18" s="1"/>
  <c r="K161" i="18" s="1"/>
  <c r="K165" i="18" s="1"/>
  <c r="J25" i="18"/>
  <c r="J161" i="18" s="1"/>
  <c r="J165" i="18" s="1"/>
  <c r="K7" i="11"/>
  <c r="K18" i="11" s="1"/>
  <c r="J18" i="11"/>
  <c r="H32" i="9"/>
  <c r="K20" i="21"/>
  <c r="K25" i="21" s="1"/>
  <c r="J25" i="21"/>
  <c r="K198" i="21"/>
  <c r="K198" i="42" s="1"/>
  <c r="J198" i="42"/>
  <c r="K190" i="21"/>
  <c r="K190" i="42" s="1"/>
  <c r="J190" i="42"/>
  <c r="K12" i="21"/>
  <c r="K12" i="42" s="1"/>
  <c r="J12" i="42"/>
  <c r="K192" i="21"/>
  <c r="K192" i="42" s="1"/>
  <c r="J192" i="42"/>
  <c r="K184" i="21"/>
  <c r="K184" i="42" s="1"/>
  <c r="J184" i="42"/>
  <c r="K195" i="21"/>
  <c r="K195" i="42" s="1"/>
  <c r="J195" i="42"/>
  <c r="K187" i="21"/>
  <c r="K187" i="42" s="1"/>
  <c r="J187" i="42"/>
  <c r="K193" i="21"/>
  <c r="K193" i="42" s="1"/>
  <c r="J193" i="42"/>
  <c r="K197" i="21"/>
  <c r="K197" i="42" s="1"/>
  <c r="J197" i="42"/>
  <c r="K182" i="21"/>
  <c r="J182" i="42"/>
  <c r="K196" i="21"/>
  <c r="K196" i="42" s="1"/>
  <c r="J196" i="42"/>
  <c r="K188" i="21"/>
  <c r="K188" i="42" s="1"/>
  <c r="J188" i="42"/>
  <c r="K199" i="21"/>
  <c r="K199" i="42" s="1"/>
  <c r="J199" i="42"/>
  <c r="K191" i="21"/>
  <c r="K191" i="42" s="1"/>
  <c r="J191" i="42"/>
  <c r="K183" i="21"/>
  <c r="K183" i="42" s="1"/>
  <c r="J183" i="42"/>
  <c r="K189" i="21"/>
  <c r="K189" i="42" s="1"/>
  <c r="J189" i="42"/>
  <c r="I181" i="42"/>
  <c r="I206" i="42" s="1"/>
  <c r="J181" i="21"/>
  <c r="K14" i="21"/>
  <c r="K14" i="42" s="1"/>
  <c r="J14" i="42"/>
  <c r="K185" i="21"/>
  <c r="K185" i="42" s="1"/>
  <c r="J185" i="42"/>
  <c r="J11" i="42"/>
  <c r="K11" i="21"/>
  <c r="K11" i="42" s="1"/>
  <c r="K13" i="21"/>
  <c r="J13" i="42"/>
  <c r="K10" i="21"/>
  <c r="K10" i="42" s="1"/>
  <c r="J10" i="42"/>
  <c r="J15" i="42"/>
  <c r="K15" i="21"/>
  <c r="K15" i="42" s="1"/>
  <c r="K7" i="21"/>
  <c r="J18" i="21"/>
  <c r="K17" i="21"/>
  <c r="K17" i="42" s="1"/>
  <c r="J17" i="42"/>
  <c r="K9" i="21"/>
  <c r="J9" i="42"/>
  <c r="K194" i="21"/>
  <c r="K194" i="42" s="1"/>
  <c r="J194" i="42"/>
  <c r="K186" i="21"/>
  <c r="K186" i="42" s="1"/>
  <c r="J186" i="42"/>
  <c r="K16" i="21"/>
  <c r="K16" i="42" s="1"/>
  <c r="J16" i="42"/>
  <c r="K8" i="21"/>
  <c r="K8" i="42" s="1"/>
  <c r="J8" i="42"/>
  <c r="K161" i="6"/>
  <c r="K165" i="6" s="1"/>
  <c r="K262" i="6" s="1"/>
  <c r="K200" i="21"/>
  <c r="K200" i="42" s="1"/>
  <c r="J212" i="22"/>
  <c r="J216" i="42"/>
  <c r="J221" i="42"/>
  <c r="H211" i="42"/>
  <c r="J211" i="24"/>
  <c r="J211" i="42" s="1"/>
  <c r="H227" i="42"/>
  <c r="K148" i="8"/>
  <c r="K161" i="8" s="1"/>
  <c r="K165" i="8" s="1"/>
  <c r="F161" i="22"/>
  <c r="F165" i="22" s="1"/>
  <c r="K20" i="24"/>
  <c r="J25" i="42"/>
  <c r="K59" i="42"/>
  <c r="K70" i="42"/>
  <c r="K70" i="24"/>
  <c r="K174" i="42"/>
  <c r="J70" i="14"/>
  <c r="J69" i="42" s="1"/>
  <c r="J70" i="42" s="1"/>
  <c r="J59" i="14"/>
  <c r="J59" i="42"/>
  <c r="E262" i="5"/>
  <c r="F257" i="5"/>
  <c r="F261" i="5" s="1"/>
  <c r="F262" i="5" s="1"/>
  <c r="H257" i="5"/>
  <c r="H261" i="5" s="1"/>
  <c r="E262" i="19"/>
  <c r="E262" i="18"/>
  <c r="F252" i="9"/>
  <c r="F257" i="9" s="1"/>
  <c r="F261" i="9" s="1"/>
  <c r="E262" i="22"/>
  <c r="H161" i="13"/>
  <c r="H161" i="19"/>
  <c r="H165" i="19" s="1"/>
  <c r="F262" i="16"/>
  <c r="F161" i="14"/>
  <c r="F165" i="14" s="1"/>
  <c r="F262" i="14" s="1"/>
  <c r="H7" i="42"/>
  <c r="F161" i="12"/>
  <c r="F165" i="12" s="1"/>
  <c r="H18" i="10"/>
  <c r="H161" i="10" s="1"/>
  <c r="H165" i="10" s="1"/>
  <c r="H262" i="10" s="1"/>
  <c r="K158" i="42"/>
  <c r="F161" i="9"/>
  <c r="F165" i="9" s="1"/>
  <c r="H202" i="42"/>
  <c r="H161" i="22"/>
  <c r="H165" i="22" s="1"/>
  <c r="H148" i="24"/>
  <c r="H161" i="24" s="1"/>
  <c r="H165" i="24" s="1"/>
  <c r="H240" i="24"/>
  <c r="H250" i="42"/>
  <c r="H208" i="42"/>
  <c r="H224" i="42"/>
  <c r="H214" i="42"/>
  <c r="H234" i="42"/>
  <c r="H237" i="42"/>
  <c r="H220" i="42"/>
  <c r="H244" i="42"/>
  <c r="H235" i="42"/>
  <c r="H218" i="42"/>
  <c r="H236" i="42"/>
  <c r="H219" i="42"/>
  <c r="H210" i="42"/>
  <c r="H246" i="42"/>
  <c r="H245" i="42"/>
  <c r="H233" i="42"/>
  <c r="H215" i="42"/>
  <c r="H248" i="24"/>
  <c r="H242" i="42"/>
  <c r="H247" i="42"/>
  <c r="H239" i="42"/>
  <c r="H223" i="42"/>
  <c r="H209" i="42"/>
  <c r="H238" i="42"/>
  <c r="H243" i="42"/>
  <c r="H199" i="42"/>
  <c r="H181" i="42"/>
  <c r="H192" i="42"/>
  <c r="H185" i="42"/>
  <c r="H198" i="42"/>
  <c r="H189" i="42"/>
  <c r="H187" i="42"/>
  <c r="H191" i="42"/>
  <c r="H194" i="42"/>
  <c r="H193" i="42"/>
  <c r="H186" i="42"/>
  <c r="H195" i="42"/>
  <c r="H184" i="42"/>
  <c r="H197" i="42"/>
  <c r="H190" i="42"/>
  <c r="H183" i="42"/>
  <c r="H182" i="42"/>
  <c r="H177" i="42"/>
  <c r="H179" i="42"/>
  <c r="H178" i="42"/>
  <c r="H180" i="42"/>
  <c r="H106" i="42"/>
  <c r="H113" i="42"/>
  <c r="H104" i="42"/>
  <c r="H105" i="42"/>
  <c r="H112" i="42"/>
  <c r="H111" i="42"/>
  <c r="H107" i="42"/>
  <c r="H114" i="42"/>
  <c r="H102" i="42"/>
  <c r="H103" i="42"/>
  <c r="H117" i="42"/>
  <c r="H118" i="42"/>
  <c r="H119" i="42"/>
  <c r="H99" i="42"/>
  <c r="H108" i="42"/>
  <c r="H100" i="42"/>
  <c r="H109" i="42"/>
  <c r="H101" i="42"/>
  <c r="H116" i="42"/>
  <c r="H115" i="42"/>
  <c r="H110" i="42"/>
  <c r="H81" i="42"/>
  <c r="H83" i="42"/>
  <c r="H82" i="42"/>
  <c r="H79" i="42"/>
  <c r="H80" i="42"/>
  <c r="H75" i="42"/>
  <c r="H76" i="42"/>
  <c r="H74" i="42"/>
  <c r="H77" i="42"/>
  <c r="F252" i="4"/>
  <c r="F257" i="4" s="1"/>
  <c r="F261" i="4" s="1"/>
  <c r="F262" i="4" s="1"/>
  <c r="F148" i="42"/>
  <c r="H172" i="42"/>
  <c r="K59" i="24"/>
  <c r="H28" i="42"/>
  <c r="E262" i="26"/>
  <c r="H161" i="5"/>
  <c r="H165" i="5" s="1"/>
  <c r="H161" i="18"/>
  <c r="H165" i="18" s="1"/>
  <c r="H262" i="18" s="1"/>
  <c r="E262" i="11"/>
  <c r="H148" i="8"/>
  <c r="H161" i="8" s="1"/>
  <c r="H165" i="8" s="1"/>
  <c r="H206" i="24"/>
  <c r="H252" i="24" s="1"/>
  <c r="H257" i="24" s="1"/>
  <c r="H261" i="24" s="1"/>
  <c r="E262" i="23"/>
  <c r="F161" i="8"/>
  <c r="F165" i="8" s="1"/>
  <c r="H161" i="9"/>
  <c r="H165" i="9" s="1"/>
  <c r="H262" i="9" s="1"/>
  <c r="H161" i="26"/>
  <c r="H165" i="26" s="1"/>
  <c r="H262" i="26" s="1"/>
  <c r="H165" i="13"/>
  <c r="F252" i="19"/>
  <c r="F257" i="19" s="1"/>
  <c r="F261" i="19" s="1"/>
  <c r="F262" i="19" s="1"/>
  <c r="E262" i="4"/>
  <c r="E262" i="8"/>
  <c r="K7" i="16"/>
  <c r="K18" i="16" s="1"/>
  <c r="K161" i="16" s="1"/>
  <c r="K165" i="16" s="1"/>
  <c r="K262" i="16" s="1"/>
  <c r="K7" i="15"/>
  <c r="K18" i="15" s="1"/>
  <c r="F161" i="26"/>
  <c r="F165" i="26" s="1"/>
  <c r="F262" i="26" s="1"/>
  <c r="F161" i="10"/>
  <c r="F165" i="10" s="1"/>
  <c r="F262" i="10" s="1"/>
  <c r="L161" i="23"/>
  <c r="L165" i="23" s="1"/>
  <c r="F161" i="23"/>
  <c r="F165" i="23" s="1"/>
  <c r="F262" i="23" s="1"/>
  <c r="H161" i="11"/>
  <c r="K13" i="9"/>
  <c r="E262" i="24"/>
  <c r="H148" i="4"/>
  <c r="H161" i="4" s="1"/>
  <c r="H165" i="4" s="1"/>
  <c r="H262" i="4" s="1"/>
  <c r="E262" i="12"/>
  <c r="F252" i="12"/>
  <c r="F257" i="12" s="1"/>
  <c r="F261" i="12" s="1"/>
  <c r="F252" i="8"/>
  <c r="F257" i="8" s="1"/>
  <c r="F261" i="8" s="1"/>
  <c r="J7" i="10"/>
  <c r="J18" i="10" s="1"/>
  <c r="F252" i="6"/>
  <c r="F257" i="6" s="1"/>
  <c r="F261" i="6" s="1"/>
  <c r="F252" i="22"/>
  <c r="F257" i="22" s="1"/>
  <c r="F261" i="22" s="1"/>
  <c r="F262" i="22" s="1"/>
  <c r="F161" i="24"/>
  <c r="F165" i="24" s="1"/>
  <c r="F252" i="24"/>
  <c r="F257" i="24" s="1"/>
  <c r="F261" i="24" s="1"/>
  <c r="H252" i="13"/>
  <c r="H257" i="13" s="1"/>
  <c r="H261" i="13" s="1"/>
  <c r="H252" i="15"/>
  <c r="H257" i="15" s="1"/>
  <c r="H261" i="15" s="1"/>
  <c r="H262" i="15" s="1"/>
  <c r="J174" i="14"/>
  <c r="J173" i="42" s="1"/>
  <c r="J174" i="42" s="1"/>
  <c r="K174" i="12"/>
  <c r="K252" i="12" s="1"/>
  <c r="K257" i="12" s="1"/>
  <c r="K261" i="12" s="1"/>
  <c r="K262" i="12" s="1"/>
  <c r="H18" i="12"/>
  <c r="H161" i="12" s="1"/>
  <c r="H165" i="12" s="1"/>
  <c r="H262" i="12" s="1"/>
  <c r="K174" i="8"/>
  <c r="H206" i="8"/>
  <c r="H252" i="8" s="1"/>
  <c r="H257" i="8" s="1"/>
  <c r="H261" i="8" s="1"/>
  <c r="J176" i="8"/>
  <c r="K7" i="10"/>
  <c r="K18" i="10" s="1"/>
  <c r="H260" i="6"/>
  <c r="H216" i="6"/>
  <c r="H252" i="6" s="1"/>
  <c r="H257" i="6" s="1"/>
  <c r="F161" i="6"/>
  <c r="F165" i="6" s="1"/>
  <c r="F161" i="21"/>
  <c r="F165" i="21" s="1"/>
  <c r="F262" i="21" s="1"/>
  <c r="H216" i="22"/>
  <c r="H212" i="22"/>
  <c r="L174" i="23"/>
  <c r="L252" i="23" s="1"/>
  <c r="L257" i="23" s="1"/>
  <c r="L261" i="23" s="1"/>
  <c r="H29" i="23"/>
  <c r="H161" i="23" s="1"/>
  <c r="H165" i="23" s="1"/>
  <c r="H262" i="23" s="1"/>
  <c r="K72" i="4"/>
  <c r="M170" i="4" l="1"/>
  <c r="J206" i="8"/>
  <c r="J176" i="42"/>
  <c r="K72" i="42"/>
  <c r="K25" i="24"/>
  <c r="K20" i="42"/>
  <c r="J7" i="42"/>
  <c r="K161" i="15"/>
  <c r="K165" i="15" s="1"/>
  <c r="J252" i="8"/>
  <c r="J257" i="8" s="1"/>
  <c r="J261" i="8" s="1"/>
  <c r="J262" i="8" s="1"/>
  <c r="K252" i="19"/>
  <c r="K257" i="19" s="1"/>
  <c r="K261" i="19" s="1"/>
  <c r="K262" i="19" s="1"/>
  <c r="K206" i="19"/>
  <c r="K181" i="24"/>
  <c r="J206" i="24"/>
  <c r="K206" i="15"/>
  <c r="K252" i="15" s="1"/>
  <c r="K257" i="15" s="1"/>
  <c r="K261" i="15" s="1"/>
  <c r="K262" i="15" s="1"/>
  <c r="J161" i="11"/>
  <c r="J165" i="11" s="1"/>
  <c r="J29" i="23"/>
  <c r="J161" i="23" s="1"/>
  <c r="J165" i="23" s="1"/>
  <c r="K28" i="23"/>
  <c r="K29" i="23" s="1"/>
  <c r="K161" i="23" s="1"/>
  <c r="K165" i="23" s="1"/>
  <c r="K182" i="22"/>
  <c r="K206" i="22" s="1"/>
  <c r="K252" i="22" s="1"/>
  <c r="K257" i="22" s="1"/>
  <c r="K261" i="22" s="1"/>
  <c r="J206" i="22"/>
  <c r="J161" i="12"/>
  <c r="J165" i="12" s="1"/>
  <c r="J262" i="26"/>
  <c r="K252" i="4"/>
  <c r="K257" i="4" s="1"/>
  <c r="K215" i="42"/>
  <c r="K216" i="42" s="1"/>
  <c r="K216" i="8"/>
  <c r="J252" i="22"/>
  <c r="J257" i="22" s="1"/>
  <c r="J261" i="22" s="1"/>
  <c r="J262" i="22" s="1"/>
  <c r="J206" i="21"/>
  <c r="J252" i="21"/>
  <c r="J257" i="21" s="1"/>
  <c r="J261" i="21" s="1"/>
  <c r="J262" i="5"/>
  <c r="J262" i="12"/>
  <c r="K164" i="22"/>
  <c r="K163" i="42"/>
  <c r="K164" i="42" s="1"/>
  <c r="K206" i="23"/>
  <c r="K252" i="23" s="1"/>
  <c r="K257" i="23" s="1"/>
  <c r="K261" i="23" s="1"/>
  <c r="K262" i="23" s="1"/>
  <c r="K206" i="26"/>
  <c r="K252" i="26" s="1"/>
  <c r="K257" i="26" s="1"/>
  <c r="K261" i="26" s="1"/>
  <c r="K262" i="26" s="1"/>
  <c r="I262" i="23"/>
  <c r="J161" i="21"/>
  <c r="J165" i="21" s="1"/>
  <c r="K13" i="42"/>
  <c r="J261" i="4"/>
  <c r="K206" i="11"/>
  <c r="K252" i="11" s="1"/>
  <c r="K257" i="11" s="1"/>
  <c r="K261" i="11" s="1"/>
  <c r="K89" i="24"/>
  <c r="J89" i="42"/>
  <c r="J148" i="24"/>
  <c r="J262" i="11"/>
  <c r="J225" i="18"/>
  <c r="J252" i="18" s="1"/>
  <c r="J257" i="18" s="1"/>
  <c r="J261" i="18" s="1"/>
  <c r="J262" i="18" s="1"/>
  <c r="K224" i="18"/>
  <c r="K161" i="10"/>
  <c r="K165" i="10" s="1"/>
  <c r="K262" i="10" s="1"/>
  <c r="K161" i="22"/>
  <c r="H262" i="19"/>
  <c r="K9" i="42"/>
  <c r="K21" i="42"/>
  <c r="J262" i="19"/>
  <c r="I29" i="24"/>
  <c r="I161" i="24" s="1"/>
  <c r="I165" i="24" s="1"/>
  <c r="J28" i="24"/>
  <c r="I28" i="42"/>
  <c r="K98" i="24"/>
  <c r="K98" i="42" s="1"/>
  <c r="J98" i="42"/>
  <c r="K161" i="11"/>
  <c r="K165" i="11" s="1"/>
  <c r="J262" i="23"/>
  <c r="I262" i="22"/>
  <c r="J161" i="10"/>
  <c r="J165" i="10" s="1"/>
  <c r="J262" i="10" s="1"/>
  <c r="J224" i="42"/>
  <c r="J225" i="42" s="1"/>
  <c r="A2" i="48"/>
  <c r="I252" i="42"/>
  <c r="I257" i="42" s="1"/>
  <c r="I260" i="42" s="1"/>
  <c r="I264" i="42" s="1"/>
  <c r="B36" i="48"/>
  <c r="J181" i="42"/>
  <c r="J206" i="42" s="1"/>
  <c r="K181" i="21"/>
  <c r="K206" i="21" s="1"/>
  <c r="K252" i="21" s="1"/>
  <c r="K257" i="21" s="1"/>
  <c r="K261" i="21" s="1"/>
  <c r="K7" i="42"/>
  <c r="K18" i="42" s="1"/>
  <c r="K18" i="21"/>
  <c r="K161" i="21" s="1"/>
  <c r="K165" i="21" s="1"/>
  <c r="K262" i="21" s="1"/>
  <c r="J18" i="42"/>
  <c r="F262" i="9"/>
  <c r="H252" i="22"/>
  <c r="H257" i="22" s="1"/>
  <c r="H261" i="22" s="1"/>
  <c r="H262" i="22" s="1"/>
  <c r="J252" i="24"/>
  <c r="J257" i="24" s="1"/>
  <c r="J261" i="24" s="1"/>
  <c r="J240" i="24"/>
  <c r="J240" i="42"/>
  <c r="J212" i="42"/>
  <c r="K25" i="42"/>
  <c r="H262" i="5"/>
  <c r="H165" i="11"/>
  <c r="H262" i="11" s="1"/>
  <c r="F262" i="6"/>
  <c r="H262" i="13"/>
  <c r="F262" i="12"/>
  <c r="J161" i="4"/>
  <c r="F262" i="8"/>
  <c r="H262" i="24"/>
  <c r="H261" i="6"/>
  <c r="H262" i="6" s="1"/>
  <c r="L262" i="23"/>
  <c r="H262" i="8"/>
  <c r="K18" i="9"/>
  <c r="K32" i="9" s="1"/>
  <c r="K161" i="9" s="1"/>
  <c r="K165" i="9" s="1"/>
  <c r="K262" i="9" s="1"/>
  <c r="F262" i="24"/>
  <c r="K176" i="8"/>
  <c r="M167" i="4" l="1"/>
  <c r="I262" i="24"/>
  <c r="J148" i="42"/>
  <c r="K206" i="8"/>
  <c r="K176" i="42"/>
  <c r="B2" i="48"/>
  <c r="I29" i="42"/>
  <c r="K165" i="22"/>
  <c r="K89" i="42"/>
  <c r="K148" i="42" s="1"/>
  <c r="K148" i="24"/>
  <c r="K28" i="24"/>
  <c r="J29" i="24"/>
  <c r="J28" i="42"/>
  <c r="J29" i="42" s="1"/>
  <c r="K262" i="11"/>
  <c r="K206" i="24"/>
  <c r="K252" i="24" s="1"/>
  <c r="K257" i="24" s="1"/>
  <c r="K261" i="24" s="1"/>
  <c r="K225" i="18"/>
  <c r="K252" i="18" s="1"/>
  <c r="K257" i="18" s="1"/>
  <c r="K261" i="18" s="1"/>
  <c r="K262" i="18" s="1"/>
  <c r="K224" i="42"/>
  <c r="K225" i="42" s="1"/>
  <c r="J161" i="24"/>
  <c r="J165" i="24" s="1"/>
  <c r="J262" i="24" s="1"/>
  <c r="N170" i="4"/>
  <c r="J262" i="21"/>
  <c r="K261" i="4"/>
  <c r="K262" i="22"/>
  <c r="K182" i="42"/>
  <c r="K252" i="8"/>
  <c r="K257" i="8" s="1"/>
  <c r="K261" i="8" s="1"/>
  <c r="K262" i="8" s="1"/>
  <c r="K181" i="42"/>
  <c r="J252" i="42"/>
  <c r="J257" i="42" s="1"/>
  <c r="J260" i="42" s="1"/>
  <c r="J264" i="42" s="1"/>
  <c r="J165" i="4"/>
  <c r="K148" i="4"/>
  <c r="K161" i="4" s="1"/>
  <c r="K165" i="4" s="1"/>
  <c r="O170" i="4" l="1"/>
  <c r="K206" i="42"/>
  <c r="K252" i="42" s="1"/>
  <c r="K257" i="42" s="1"/>
  <c r="K260" i="42" s="1"/>
  <c r="K264" i="42" s="1"/>
  <c r="K262" i="4"/>
  <c r="J262" i="4"/>
  <c r="N167" i="4"/>
  <c r="K29" i="24"/>
  <c r="K161" i="24" s="1"/>
  <c r="K165" i="24" s="1"/>
  <c r="K28" i="42"/>
  <c r="K29" i="42" s="1"/>
  <c r="I161" i="42"/>
  <c r="I165" i="42"/>
  <c r="E262" i="16"/>
  <c r="F32" i="42"/>
  <c r="F38" i="42"/>
  <c r="F63" i="42"/>
  <c r="F164" i="42"/>
  <c r="H32" i="42"/>
  <c r="O167" i="4" l="1"/>
  <c r="K262" i="24"/>
  <c r="I265" i="42"/>
  <c r="I266" i="42" s="1"/>
  <c r="I261" i="42"/>
  <c r="I262" i="42" s="1"/>
  <c r="E18" i="42"/>
  <c r="H35" i="42" l="1"/>
  <c r="H63" i="42"/>
  <c r="H156" i="42"/>
  <c r="H150" i="42" l="1"/>
  <c r="H151" i="42" s="1"/>
  <c r="H66" i="42"/>
  <c r="H70" i="42" l="1"/>
  <c r="H59" i="42"/>
  <c r="E59" i="42"/>
  <c r="E206" i="42"/>
  <c r="E216" i="42"/>
  <c r="E174" i="42"/>
  <c r="E225" i="42"/>
  <c r="E251" i="42"/>
  <c r="H29" i="42" l="1"/>
  <c r="H38" i="42"/>
  <c r="E98" i="2" l="1"/>
  <c r="H70" i="2"/>
  <c r="G70" i="2"/>
  <c r="F70" i="2"/>
  <c r="D70" i="2"/>
  <c r="H66" i="2"/>
  <c r="G66" i="2"/>
  <c r="F66" i="2"/>
  <c r="D66" i="2"/>
  <c r="H63" i="2"/>
  <c r="G63" i="2"/>
  <c r="F63" i="2"/>
  <c r="D63" i="2"/>
  <c r="H59" i="2"/>
  <c r="G59" i="2"/>
  <c r="F59" i="2"/>
  <c r="D59" i="2"/>
  <c r="H38" i="2"/>
  <c r="G38" i="2"/>
  <c r="F38" i="2"/>
  <c r="D38" i="2"/>
  <c r="H32" i="2"/>
  <c r="G32" i="2"/>
  <c r="F32" i="2"/>
  <c r="D32" i="2"/>
  <c r="H29" i="2"/>
  <c r="G29" i="2"/>
  <c r="F29" i="2"/>
  <c r="D29" i="2"/>
  <c r="H25" i="2"/>
  <c r="G25" i="2"/>
  <c r="F25" i="2"/>
  <c r="D25" i="2"/>
  <c r="H18" i="2"/>
  <c r="G18" i="2"/>
  <c r="F18" i="2"/>
  <c r="D18" i="2"/>
  <c r="D254" i="2"/>
  <c r="D255" i="2" s="1"/>
  <c r="D250" i="2"/>
  <c r="D251" i="2" s="1"/>
  <c r="D245" i="2"/>
  <c r="D246" i="2" s="1"/>
  <c r="D243" i="2"/>
  <c r="D247" i="2" s="1"/>
  <c r="E254" i="2"/>
  <c r="E255" i="2" s="1"/>
  <c r="E250" i="2"/>
  <c r="E251" i="2" s="1"/>
  <c r="E245" i="2"/>
  <c r="E246" i="2" s="1"/>
  <c r="E242" i="2"/>
  <c r="E241" i="2"/>
  <c r="E240" i="2"/>
  <c r="E239" i="2"/>
  <c r="E238" i="2"/>
  <c r="E237" i="2"/>
  <c r="E234" i="2"/>
  <c r="E233" i="2"/>
  <c r="E232" i="2"/>
  <c r="E231" i="2"/>
  <c r="E230" i="2"/>
  <c r="E229" i="2"/>
  <c r="E228" i="2"/>
  <c r="E227" i="2"/>
  <c r="E226" i="2"/>
  <c r="E225" i="2"/>
  <c r="E224" i="2"/>
  <c r="E223" i="2"/>
  <c r="E222" i="2"/>
  <c r="E219" i="2"/>
  <c r="E218" i="2"/>
  <c r="E215" i="2"/>
  <c r="E214" i="2"/>
  <c r="E213" i="2"/>
  <c r="E210" i="2"/>
  <c r="E209" i="2"/>
  <c r="E206" i="2"/>
  <c r="E205" i="2"/>
  <c r="E204" i="2"/>
  <c r="E203" i="2"/>
  <c r="E200" i="2"/>
  <c r="E199" i="2"/>
  <c r="E198" i="2"/>
  <c r="E197" i="2"/>
  <c r="E196" i="2"/>
  <c r="E195" i="2"/>
  <c r="E194" i="2"/>
  <c r="E193" i="2"/>
  <c r="E192" i="2"/>
  <c r="E191" i="2"/>
  <c r="E190" i="2"/>
  <c r="E189" i="2"/>
  <c r="E188" i="2"/>
  <c r="E187" i="2"/>
  <c r="E186" i="2"/>
  <c r="E185" i="2"/>
  <c r="E184" i="2"/>
  <c r="E182" i="2"/>
  <c r="E181" i="2"/>
  <c r="E180" i="2"/>
  <c r="E179" i="2"/>
  <c r="E178" i="2"/>
  <c r="E177" i="2"/>
  <c r="E175" i="2"/>
  <c r="E174" i="2"/>
  <c r="E173" i="2"/>
  <c r="E172" i="2"/>
  <c r="E171" i="2"/>
  <c r="E168" i="2"/>
  <c r="E167" i="2"/>
  <c r="E158" i="2"/>
  <c r="E154" i="2"/>
  <c r="E153" i="2"/>
  <c r="E150" i="2"/>
  <c r="E149" i="2"/>
  <c r="E148" i="2"/>
  <c r="E145" i="2"/>
  <c r="E146" i="2" s="1"/>
  <c r="E142" i="2"/>
  <c r="E140" i="2"/>
  <c r="E139" i="2"/>
  <c r="E138" i="2"/>
  <c r="E137" i="2"/>
  <c r="E136" i="2"/>
  <c r="E135" i="2"/>
  <c r="E134" i="2"/>
  <c r="E133" i="2"/>
  <c r="E132" i="2"/>
  <c r="E131" i="2"/>
  <c r="E130" i="2"/>
  <c r="E129" i="2"/>
  <c r="E128" i="2"/>
  <c r="E127" i="2"/>
  <c r="E126" i="2"/>
  <c r="E125" i="2"/>
  <c r="E124" i="2"/>
  <c r="E123" i="2"/>
  <c r="E122" i="2"/>
  <c r="E120" i="2"/>
  <c r="E119" i="2"/>
  <c r="E118" i="2"/>
  <c r="E117" i="2"/>
  <c r="E116" i="2"/>
  <c r="E114" i="2"/>
  <c r="E113" i="2"/>
  <c r="E112" i="2"/>
  <c r="E111" i="2"/>
  <c r="E106" i="2"/>
  <c r="E105" i="2"/>
  <c r="E104" i="2"/>
  <c r="E102" i="2"/>
  <c r="E101" i="2"/>
  <c r="E100" i="2"/>
  <c r="E94" i="2"/>
  <c r="E92" i="2"/>
  <c r="E91" i="2"/>
  <c r="E90" i="2"/>
  <c r="E89" i="2"/>
  <c r="E88" i="2"/>
  <c r="E87" i="2"/>
  <c r="E86" i="2"/>
  <c r="E85" i="2"/>
  <c r="E84" i="2"/>
  <c r="E83" i="2"/>
  <c r="E82" i="2"/>
  <c r="E81" i="2"/>
  <c r="E80" i="2"/>
  <c r="E79" i="2"/>
  <c r="E78" i="2"/>
  <c r="E77" i="2"/>
  <c r="E76" i="2"/>
  <c r="E74" i="2"/>
  <c r="E73" i="2"/>
  <c r="E72" i="2"/>
  <c r="E69" i="2"/>
  <c r="E68" i="2"/>
  <c r="E65" i="2"/>
  <c r="E66" i="2" s="1"/>
  <c r="E62" i="2"/>
  <c r="E61" i="2"/>
  <c r="E58" i="2"/>
  <c r="E57" i="2"/>
  <c r="E55" i="2"/>
  <c r="E54" i="2"/>
  <c r="E53" i="2"/>
  <c r="E52" i="2"/>
  <c r="E51" i="2"/>
  <c r="E50" i="2"/>
  <c r="E49" i="2"/>
  <c r="E48" i="2"/>
  <c r="E47" i="2"/>
  <c r="E46" i="2"/>
  <c r="E45" i="2"/>
  <c r="E44" i="2"/>
  <c r="E43" i="2"/>
  <c r="E42" i="2"/>
  <c r="E41" i="2"/>
  <c r="E40" i="2"/>
  <c r="E37" i="2"/>
  <c r="E38" i="2" s="1"/>
  <c r="E34" i="2"/>
  <c r="E35" i="2" s="1"/>
  <c r="E31" i="2"/>
  <c r="E32" i="2" s="1"/>
  <c r="E28" i="2"/>
  <c r="E29" i="2" s="1"/>
  <c r="E17" i="2"/>
  <c r="E16" i="2"/>
  <c r="E15" i="2"/>
  <c r="E14" i="2"/>
  <c r="E13" i="2"/>
  <c r="E12" i="2"/>
  <c r="E11" i="2"/>
  <c r="E10" i="2"/>
  <c r="E9" i="2"/>
  <c r="E8" i="2"/>
  <c r="E7" i="2"/>
  <c r="E148" i="42" l="1"/>
  <c r="E143" i="2"/>
  <c r="D252" i="2"/>
  <c r="D256" i="2" s="1"/>
  <c r="D257" i="2" s="1"/>
  <c r="D258" i="2" s="1"/>
  <c r="E220" i="2"/>
  <c r="E151" i="2"/>
  <c r="E169" i="2"/>
  <c r="E211" i="2"/>
  <c r="E207" i="2"/>
  <c r="E235" i="2"/>
  <c r="E243" i="2"/>
  <c r="E216" i="2"/>
  <c r="E70" i="2"/>
  <c r="E155" i="2"/>
  <c r="E63" i="2"/>
  <c r="E18" i="2"/>
  <c r="E25" i="2"/>
  <c r="J66" i="40" l="1"/>
  <c r="K66" i="40" s="1"/>
  <c r="L66" i="40" s="1"/>
  <c r="M66" i="40" s="1"/>
  <c r="N66" i="40" s="1"/>
  <c r="O66" i="40" s="1"/>
  <c r="J65" i="40"/>
  <c r="K65" i="40" s="1"/>
  <c r="L65" i="40" s="1"/>
  <c r="M65" i="40" s="1"/>
  <c r="N65" i="40" s="1"/>
  <c r="O65" i="40" s="1"/>
  <c r="J64" i="40"/>
  <c r="K64" i="40" s="1"/>
  <c r="L64" i="40" s="1"/>
  <c r="M64" i="40" s="1"/>
  <c r="N64" i="40" s="1"/>
  <c r="O64" i="40" s="1"/>
  <c r="M53" i="40"/>
  <c r="N53" i="40" s="1"/>
  <c r="O53" i="40" s="1"/>
  <c r="J53" i="40"/>
  <c r="K53" i="40" s="1"/>
  <c r="M52" i="40"/>
  <c r="N52" i="40" s="1"/>
  <c r="O52" i="40" s="1"/>
  <c r="J52" i="40"/>
  <c r="K52" i="40" s="1"/>
  <c r="M51" i="40"/>
  <c r="N51" i="40" s="1"/>
  <c r="O51" i="40" s="1"/>
  <c r="J49" i="40"/>
  <c r="K49" i="40" s="1"/>
  <c r="L49" i="40" s="1"/>
  <c r="M49" i="40" s="1"/>
  <c r="N49" i="40" s="1"/>
  <c r="O49" i="40" s="1"/>
  <c r="M40" i="40"/>
  <c r="N40" i="40" s="1"/>
  <c r="O40" i="40" s="1"/>
  <c r="L39" i="40"/>
  <c r="M39" i="40" s="1"/>
  <c r="N39" i="40" s="1"/>
  <c r="O39" i="40" s="1"/>
  <c r="J38" i="40"/>
  <c r="K38" i="40" s="1"/>
  <c r="L38" i="40" s="1"/>
  <c r="M38" i="40" s="1"/>
  <c r="N38" i="40" s="1"/>
  <c r="O38" i="40" s="1"/>
  <c r="J37" i="40"/>
  <c r="K37" i="40" s="1"/>
  <c r="L37" i="40" s="1"/>
  <c r="M37" i="40" s="1"/>
  <c r="N37" i="40" s="1"/>
  <c r="O37" i="40" s="1"/>
  <c r="L29" i="40"/>
  <c r="M29" i="40" s="1"/>
  <c r="N29" i="40" s="1"/>
  <c r="O29" i="40" s="1"/>
  <c r="J29" i="40"/>
  <c r="L27" i="40"/>
  <c r="M27" i="40" s="1"/>
  <c r="N27" i="40" s="1"/>
  <c r="O27" i="40" s="1"/>
  <c r="J27" i="40"/>
  <c r="O13" i="40"/>
  <c r="N13" i="40"/>
  <c r="M13" i="40"/>
  <c r="L13" i="40"/>
  <c r="J150" i="42" l="1"/>
  <c r="J151" i="42" l="1"/>
  <c r="H159" i="2"/>
  <c r="H158" i="2"/>
  <c r="H156" i="2" l="1"/>
  <c r="H160" i="2" s="1"/>
  <c r="H261" i="2" s="1"/>
  <c r="J25" i="1" l="1"/>
  <c r="J24" i="1"/>
  <c r="J23" i="1"/>
  <c r="J22" i="1"/>
  <c r="J21" i="1"/>
  <c r="J20" i="1"/>
  <c r="J19" i="1"/>
  <c r="J15" i="1"/>
  <c r="J14" i="1"/>
  <c r="J13" i="1"/>
  <c r="J12" i="1"/>
  <c r="J11" i="1"/>
  <c r="J10" i="1"/>
  <c r="J9" i="1"/>
  <c r="J6" i="1"/>
  <c r="E176" i="2" l="1"/>
  <c r="E183" i="2"/>
  <c r="F240" i="42"/>
  <c r="E212" i="42"/>
  <c r="E221" i="42"/>
  <c r="E240" i="42"/>
  <c r="E248" i="42"/>
  <c r="E25" i="42"/>
  <c r="F29" i="42"/>
  <c r="E32" i="42"/>
  <c r="E35" i="42"/>
  <c r="E38" i="42"/>
  <c r="E63" i="42"/>
  <c r="E66" i="42"/>
  <c r="E70" i="42"/>
  <c r="E150" i="42"/>
  <c r="E151" i="42" s="1"/>
  <c r="B25" i="1"/>
  <c r="B26" i="27"/>
  <c r="A27" i="27"/>
  <c r="D14" i="32"/>
  <c r="G14" i="32"/>
  <c r="D19" i="32"/>
  <c r="G19" i="32"/>
  <c r="B25" i="32"/>
  <c r="F25" i="32"/>
  <c r="E252" i="42" l="1"/>
  <c r="E257" i="42" s="1"/>
  <c r="E260" i="42" s="1"/>
  <c r="E264" i="42" s="1"/>
  <c r="E156" i="42"/>
  <c r="F251" i="42"/>
  <c r="F59" i="42"/>
  <c r="F156" i="42"/>
  <c r="E29" i="42"/>
  <c r="F35" i="42"/>
  <c r="F66" i="42"/>
  <c r="H10" i="1"/>
  <c r="D11" i="27" s="1"/>
  <c r="E201" i="2"/>
  <c r="E247" i="2" s="1"/>
  <c r="E252" i="2" s="1"/>
  <c r="E256" i="2" s="1"/>
  <c r="E260" i="2" s="1"/>
  <c r="E159" i="2"/>
  <c r="B2" i="29"/>
  <c r="G12" i="1"/>
  <c r="H18" i="1"/>
  <c r="D19" i="27" s="1"/>
  <c r="H15" i="1"/>
  <c r="D16" i="27" s="1"/>
  <c r="F70" i="42"/>
  <c r="H19" i="1"/>
  <c r="D20" i="27" s="1"/>
  <c r="I16" i="27"/>
  <c r="H16" i="1"/>
  <c r="D17" i="27" s="1"/>
  <c r="G9" i="1"/>
  <c r="H12" i="1"/>
  <c r="D13" i="27" s="1"/>
  <c r="E36" i="29"/>
  <c r="H24" i="1"/>
  <c r="D25" i="27" s="1"/>
  <c r="G22" i="1"/>
  <c r="H21" i="1"/>
  <c r="D22" i="27" s="1"/>
  <c r="I19" i="27"/>
  <c r="G18" i="1"/>
  <c r="I9" i="27"/>
  <c r="G8" i="1"/>
  <c r="H14" i="32"/>
  <c r="I7" i="27"/>
  <c r="H6" i="1"/>
  <c r="D7" i="27" s="1"/>
  <c r="I8" i="27"/>
  <c r="H8" i="1"/>
  <c r="D9" i="27" s="1"/>
  <c r="H9" i="1"/>
  <c r="D10" i="27" s="1"/>
  <c r="H7" i="1"/>
  <c r="D8" i="27" s="1"/>
  <c r="I10" i="27"/>
  <c r="G14" i="1"/>
  <c r="H17" i="1"/>
  <c r="D18" i="27" s="1"/>
  <c r="G17" i="1"/>
  <c r="G19" i="1"/>
  <c r="D36" i="29"/>
  <c r="G15" i="1"/>
  <c r="H14" i="1"/>
  <c r="D15" i="27" s="1"/>
  <c r="H20" i="1"/>
  <c r="D21" i="27" s="1"/>
  <c r="G20" i="1"/>
  <c r="G21" i="1"/>
  <c r="H22" i="1"/>
  <c r="D23" i="27" s="1"/>
  <c r="I24" i="27"/>
  <c r="H23" i="1"/>
  <c r="D24" i="27" s="1"/>
  <c r="G23" i="1"/>
  <c r="H25" i="1"/>
  <c r="D26" i="27" s="1"/>
  <c r="G25" i="1"/>
  <c r="G11" i="1"/>
  <c r="G16" i="1"/>
  <c r="G10" i="1"/>
  <c r="H19" i="32"/>
  <c r="F150" i="42"/>
  <c r="F151" i="42" s="1"/>
  <c r="H11" i="1"/>
  <c r="D12" i="27" s="1"/>
  <c r="F221" i="42" l="1"/>
  <c r="F216" i="42"/>
  <c r="E165" i="42"/>
  <c r="H148" i="42"/>
  <c r="H25" i="42"/>
  <c r="F174" i="42"/>
  <c r="F225" i="42"/>
  <c r="J161" i="42"/>
  <c r="J7" i="1"/>
  <c r="H206" i="42"/>
  <c r="F248" i="42"/>
  <c r="J17" i="1"/>
  <c r="H212" i="42"/>
  <c r="E161" i="42"/>
  <c r="K150" i="42"/>
  <c r="K151" i="42" s="1"/>
  <c r="J16" i="1"/>
  <c r="F18" i="42"/>
  <c r="F161" i="42" s="1"/>
  <c r="F165" i="42" s="1"/>
  <c r="H174" i="42"/>
  <c r="F212" i="42"/>
  <c r="F206" i="42"/>
  <c r="G13" i="1"/>
  <c r="H13" i="1"/>
  <c r="D14" i="27" s="1"/>
  <c r="D27" i="27" s="1"/>
  <c r="E164" i="42"/>
  <c r="I17" i="1"/>
  <c r="E18" i="27" s="1"/>
  <c r="K16" i="1"/>
  <c r="G6" i="1"/>
  <c r="H243" i="2"/>
  <c r="C36" i="29"/>
  <c r="K16" i="27"/>
  <c r="H245" i="2"/>
  <c r="H246" i="2" s="1"/>
  <c r="K11" i="27"/>
  <c r="H250" i="2"/>
  <c r="H251" i="2" s="1"/>
  <c r="H254" i="2"/>
  <c r="H255" i="2" s="1"/>
  <c r="L12" i="27"/>
  <c r="J21" i="27"/>
  <c r="J7" i="27"/>
  <c r="I18" i="1"/>
  <c r="E19" i="27" s="1"/>
  <c r="J23" i="27"/>
  <c r="K26" i="27"/>
  <c r="E24" i="32" s="1"/>
  <c r="G24" i="32" s="1"/>
  <c r="E2" i="29"/>
  <c r="K20" i="27"/>
  <c r="E17" i="32" s="1"/>
  <c r="G17" i="32" s="1"/>
  <c r="I10" i="1"/>
  <c r="E11" i="27" s="1"/>
  <c r="I25" i="1"/>
  <c r="E26" i="27" s="1"/>
  <c r="I15" i="1"/>
  <c r="E16" i="27" s="1"/>
  <c r="K20" i="1"/>
  <c r="I8" i="1"/>
  <c r="E9" i="27" s="1"/>
  <c r="J8" i="27"/>
  <c r="J16" i="27"/>
  <c r="I11" i="1"/>
  <c r="E12" i="27" s="1"/>
  <c r="G7" i="1"/>
  <c r="I22" i="1"/>
  <c r="E23" i="27" s="1"/>
  <c r="I23" i="1"/>
  <c r="E24" i="27" s="1"/>
  <c r="M17" i="27"/>
  <c r="J13" i="27"/>
  <c r="I21" i="27"/>
  <c r="K24" i="27"/>
  <c r="E22" i="32" s="1"/>
  <c r="G22" i="32" s="1"/>
  <c r="J24" i="27"/>
  <c r="I26" i="27"/>
  <c r="I23" i="27"/>
  <c r="K22" i="27"/>
  <c r="E20" i="32" s="1"/>
  <c r="G20" i="32" s="1"/>
  <c r="I19" i="1"/>
  <c r="E20" i="27" s="1"/>
  <c r="I16" i="1"/>
  <c r="E17" i="27" s="1"/>
  <c r="K9" i="1"/>
  <c r="J14" i="27"/>
  <c r="I22" i="27"/>
  <c r="I18" i="27"/>
  <c r="I20" i="27"/>
  <c r="K15" i="1"/>
  <c r="J22" i="27"/>
  <c r="J15" i="27"/>
  <c r="I15" i="27"/>
  <c r="I25" i="27"/>
  <c r="I6" i="1"/>
  <c r="I17" i="27"/>
  <c r="I13" i="27"/>
  <c r="I11" i="27"/>
  <c r="I9" i="1"/>
  <c r="E10" i="27" s="1"/>
  <c r="I14" i="27"/>
  <c r="I12" i="27"/>
  <c r="L16" i="27"/>
  <c r="I7" i="1"/>
  <c r="E8" i="27" s="1"/>
  <c r="E261" i="42" l="1"/>
  <c r="E262" i="42" s="1"/>
  <c r="E265" i="42"/>
  <c r="E266" i="42" s="1"/>
  <c r="F265" i="42"/>
  <c r="H18" i="42"/>
  <c r="H165" i="42" s="1"/>
  <c r="H216" i="42"/>
  <c r="F252" i="42"/>
  <c r="F257" i="42" s="1"/>
  <c r="H240" i="42"/>
  <c r="H248" i="42"/>
  <c r="H221" i="42"/>
  <c r="K9" i="27"/>
  <c r="K10" i="27"/>
  <c r="H225" i="42"/>
  <c r="K8" i="1"/>
  <c r="J8" i="1"/>
  <c r="F9" i="27" s="1"/>
  <c r="H26" i="1"/>
  <c r="I13" i="1"/>
  <c r="E14" i="27" s="1"/>
  <c r="K18" i="27"/>
  <c r="J18" i="27"/>
  <c r="J20" i="27"/>
  <c r="J17" i="27"/>
  <c r="J11" i="27"/>
  <c r="K23" i="1"/>
  <c r="K24" i="1"/>
  <c r="A2" i="29"/>
  <c r="K21" i="27"/>
  <c r="E18" i="32" s="1"/>
  <c r="G18" i="32" s="1"/>
  <c r="M21" i="1"/>
  <c r="H22" i="27" s="1"/>
  <c r="K13" i="27"/>
  <c r="K6" i="1"/>
  <c r="L7" i="27"/>
  <c r="L18" i="27"/>
  <c r="M9" i="27"/>
  <c r="B36" i="29"/>
  <c r="M10" i="1"/>
  <c r="H11" i="27" s="1"/>
  <c r="F36" i="29"/>
  <c r="L10" i="1"/>
  <c r="G11" i="27" s="1"/>
  <c r="M8" i="1"/>
  <c r="K22" i="1"/>
  <c r="M23" i="27"/>
  <c r="M24" i="1"/>
  <c r="H25" i="27" s="1"/>
  <c r="L24" i="1"/>
  <c r="G25" i="27" s="1"/>
  <c r="E7" i="27"/>
  <c r="K23" i="27"/>
  <c r="E21" i="32" s="1"/>
  <c r="G21" i="32" s="1"/>
  <c r="J19" i="27"/>
  <c r="M12" i="27"/>
  <c r="L25" i="27"/>
  <c r="M11" i="27"/>
  <c r="L22" i="27"/>
  <c r="J26" i="27"/>
  <c r="L25" i="1"/>
  <c r="G26" i="27" s="1"/>
  <c r="L20" i="1"/>
  <c r="G21" i="27" s="1"/>
  <c r="M19" i="27"/>
  <c r="J10" i="27"/>
  <c r="K14" i="27"/>
  <c r="I2" i="29"/>
  <c r="L19" i="27"/>
  <c r="L8" i="1"/>
  <c r="M25" i="1"/>
  <c r="H26" i="27" s="1"/>
  <c r="L18" i="1"/>
  <c r="G19" i="27" s="1"/>
  <c r="J25" i="27"/>
  <c r="L24" i="27"/>
  <c r="J9" i="27"/>
  <c r="L9" i="1"/>
  <c r="G10" i="27" s="1"/>
  <c r="K15" i="27"/>
  <c r="L11" i="27"/>
  <c r="L26" i="27"/>
  <c r="M23" i="1"/>
  <c r="H24" i="27" s="1"/>
  <c r="I27" i="27"/>
  <c r="J12" i="27"/>
  <c r="M16" i="27"/>
  <c r="L23" i="1"/>
  <c r="G24" i="27" s="1"/>
  <c r="L21" i="1"/>
  <c r="G22" i="27" s="1"/>
  <c r="M25" i="27"/>
  <c r="M20" i="1"/>
  <c r="H21" i="27" s="1"/>
  <c r="M14" i="1"/>
  <c r="H15" i="27" s="1"/>
  <c r="M18" i="1"/>
  <c r="H19" i="27" s="1"/>
  <c r="M26" i="27"/>
  <c r="L14" i="1"/>
  <c r="G15" i="27" s="1"/>
  <c r="F7" i="27"/>
  <c r="I21" i="1"/>
  <c r="E22" i="27" s="1"/>
  <c r="L17" i="27"/>
  <c r="F17" i="27"/>
  <c r="I20" i="1"/>
  <c r="E21" i="27" s="1"/>
  <c r="M24" i="27"/>
  <c r="C24" i="32"/>
  <c r="D24" i="32" s="1"/>
  <c r="H24" i="32" s="1"/>
  <c r="M18" i="27"/>
  <c r="L15" i="1"/>
  <c r="G16" i="27" s="1"/>
  <c r="M19" i="1"/>
  <c r="H20" i="27" s="1"/>
  <c r="L14" i="27"/>
  <c r="L17" i="1"/>
  <c r="G18" i="27" s="1"/>
  <c r="L9" i="27"/>
  <c r="I14" i="1"/>
  <c r="L12" i="1"/>
  <c r="G13" i="27" s="1"/>
  <c r="L21" i="27"/>
  <c r="C21" i="32"/>
  <c r="D21" i="32" s="1"/>
  <c r="F23" i="27"/>
  <c r="M11" i="1"/>
  <c r="H12" i="27" s="1"/>
  <c r="C22" i="32"/>
  <c r="D22" i="32" s="1"/>
  <c r="H22" i="32" s="1"/>
  <c r="F24" i="27"/>
  <c r="F10" i="27"/>
  <c r="F25" i="27"/>
  <c r="C23" i="32"/>
  <c r="D23" i="32" s="1"/>
  <c r="H265" i="42" l="1"/>
  <c r="F260" i="42"/>
  <c r="H161" i="42"/>
  <c r="K25" i="27"/>
  <c r="E23" i="32" s="1"/>
  <c r="G23" i="32" s="1"/>
  <c r="H23" i="32" s="1"/>
  <c r="H252" i="42"/>
  <c r="H257" i="42" s="1"/>
  <c r="H260" i="42" s="1"/>
  <c r="H264" i="42" s="1"/>
  <c r="K161" i="42"/>
  <c r="K12" i="27"/>
  <c r="K17" i="27"/>
  <c r="E15" i="32" s="1"/>
  <c r="G15" i="32" s="1"/>
  <c r="M8" i="27"/>
  <c r="L8" i="27"/>
  <c r="K19" i="27"/>
  <c r="E16" i="32" s="1"/>
  <c r="G16" i="32" s="1"/>
  <c r="H247" i="2"/>
  <c r="H252" i="2" s="1"/>
  <c r="H256" i="2" s="1"/>
  <c r="K7" i="27"/>
  <c r="A36" i="29"/>
  <c r="M7" i="27"/>
  <c r="M20" i="27"/>
  <c r="L22" i="1"/>
  <c r="G23" i="27" s="1"/>
  <c r="L23" i="27"/>
  <c r="L19" i="1"/>
  <c r="G20" i="27" s="1"/>
  <c r="C20" i="32"/>
  <c r="D20" i="32" s="1"/>
  <c r="H20" i="32" s="1"/>
  <c r="K21" i="1"/>
  <c r="K10" i="1"/>
  <c r="L11" i="1"/>
  <c r="G12" i="27" s="1"/>
  <c r="F15" i="27"/>
  <c r="K14" i="1"/>
  <c r="F8" i="27"/>
  <c r="K7" i="1"/>
  <c r="F14" i="27"/>
  <c r="F13" i="27"/>
  <c r="K12" i="1"/>
  <c r="K11" i="1"/>
  <c r="F18" i="27"/>
  <c r="K17" i="1"/>
  <c r="F26" i="27"/>
  <c r="K25" i="1"/>
  <c r="H9" i="27"/>
  <c r="G9" i="27"/>
  <c r="H21" i="32"/>
  <c r="F22" i="27"/>
  <c r="C17" i="32"/>
  <c r="D17" i="32" s="1"/>
  <c r="H17" i="32" s="1"/>
  <c r="F11" i="27"/>
  <c r="M22" i="27"/>
  <c r="J27" i="27"/>
  <c r="F12" i="27"/>
  <c r="G2" i="29"/>
  <c r="H2" i="29"/>
  <c r="C2" i="29"/>
  <c r="F2" i="29"/>
  <c r="D2" i="29"/>
  <c r="M22" i="1"/>
  <c r="H23" i="27" s="1"/>
  <c r="L6" i="1"/>
  <c r="G7" i="27" s="1"/>
  <c r="E13" i="32"/>
  <c r="G13" i="32" s="1"/>
  <c r="L10" i="27"/>
  <c r="L7" i="1"/>
  <c r="G8" i="27" s="1"/>
  <c r="L20" i="27"/>
  <c r="M17" i="1"/>
  <c r="H18" i="27" s="1"/>
  <c r="M7" i="1"/>
  <c r="H8" i="27" s="1"/>
  <c r="L13" i="1"/>
  <c r="G14" i="27" s="1"/>
  <c r="F16" i="27"/>
  <c r="C15" i="32"/>
  <c r="D15" i="32" s="1"/>
  <c r="M9" i="1"/>
  <c r="H10" i="27" s="1"/>
  <c r="E15" i="27"/>
  <c r="C18" i="32"/>
  <c r="D18" i="32" s="1"/>
  <c r="H18" i="32" s="1"/>
  <c r="F21" i="27"/>
  <c r="M10" i="27"/>
  <c r="C12" i="32"/>
  <c r="F264" i="42" l="1"/>
  <c r="F266" i="42" s="1"/>
  <c r="F261" i="42"/>
  <c r="F262" i="42" s="1"/>
  <c r="H266" i="42"/>
  <c r="H261" i="42"/>
  <c r="H262" i="42" s="1"/>
  <c r="H15" i="32"/>
  <c r="J165" i="42"/>
  <c r="K8" i="27"/>
  <c r="E12" i="32" s="1"/>
  <c r="K13" i="1"/>
  <c r="I12" i="1"/>
  <c r="E13" i="27" s="1"/>
  <c r="H257" i="2"/>
  <c r="H258" i="2" s="1"/>
  <c r="H260" i="2"/>
  <c r="H262" i="2" s="1"/>
  <c r="K19" i="1"/>
  <c r="L13" i="27"/>
  <c r="F20" i="27"/>
  <c r="M12" i="1"/>
  <c r="H13" i="27" s="1"/>
  <c r="C13" i="32"/>
  <c r="D13" i="32" s="1"/>
  <c r="H13" i="32" s="1"/>
  <c r="M6" i="1"/>
  <c r="H7" i="27" s="1"/>
  <c r="M16" i="1"/>
  <c r="H17" i="27" s="1"/>
  <c r="M14" i="27"/>
  <c r="M13" i="1"/>
  <c r="H14" i="27" s="1"/>
  <c r="M15" i="1"/>
  <c r="H16" i="27" s="1"/>
  <c r="L16" i="1"/>
  <c r="L26" i="1" s="1"/>
  <c r="M21" i="27"/>
  <c r="D12" i="32"/>
  <c r="J265" i="42" l="1"/>
  <c r="J266" i="42" s="1"/>
  <c r="J261" i="42"/>
  <c r="J262" i="42" s="1"/>
  <c r="K27" i="27"/>
  <c r="E25" i="32"/>
  <c r="G12" i="32"/>
  <c r="G25" i="32" s="1"/>
  <c r="M13" i="27"/>
  <c r="M26" i="1"/>
  <c r="L15" i="27"/>
  <c r="L27" i="27" s="1"/>
  <c r="M15" i="27"/>
  <c r="H27" i="27"/>
  <c r="G17" i="27"/>
  <c r="G27" i="27" s="1"/>
  <c r="H12" i="32" l="1"/>
  <c r="M27" i="27"/>
  <c r="E56" i="2"/>
  <c r="E59" i="2" s="1"/>
  <c r="E156" i="2" s="1"/>
  <c r="E160" i="2" s="1"/>
  <c r="E261" i="2" s="1"/>
  <c r="E262" i="2" s="1"/>
  <c r="I24" i="1" l="1"/>
  <c r="E257" i="2"/>
  <c r="E258" i="2"/>
  <c r="I26" i="1" l="1"/>
  <c r="E25" i="27"/>
  <c r="E27" i="27" s="1"/>
  <c r="G24" i="1"/>
  <c r="G26" i="1" s="1"/>
  <c r="K165" i="42" l="1"/>
  <c r="K265" i="42" l="1"/>
  <c r="K266" i="42" s="1"/>
  <c r="K261" i="42"/>
  <c r="K262" i="42" s="1"/>
  <c r="J18" i="1"/>
  <c r="C16" i="32" s="1"/>
  <c r="K18" i="1"/>
  <c r="K26" i="1" s="1"/>
  <c r="J26" i="1" l="1"/>
  <c r="F19" i="27"/>
  <c r="F27" i="27" s="1"/>
  <c r="C25" i="32"/>
  <c r="D16" i="32"/>
  <c r="D25" i="32" l="1"/>
  <c r="H16" i="32"/>
  <c r="H25" i="32" s="1"/>
  <c r="N167" i="44"/>
  <c r="N151" i="44"/>
  <c r="P151" i="44"/>
  <c r="P167" i="44"/>
  <c r="S151" i="44"/>
  <c r="M167" i="44"/>
  <c r="M151" i="44"/>
  <c r="R151" i="44"/>
  <c r="U151" i="44"/>
  <c r="T151" i="44"/>
  <c r="O151" i="44"/>
  <c r="O167" i="44"/>
</calcChain>
</file>

<file path=xl/sharedStrings.xml><?xml version="1.0" encoding="utf-8"?>
<sst xmlns="http://schemas.openxmlformats.org/spreadsheetml/2006/main" count="8270" uniqueCount="1077">
  <si>
    <t>RATES</t>
  </si>
  <si>
    <t>EXECUTIVE &amp; COUNCIL</t>
  </si>
  <si>
    <t>FINANCE &amp; ADMINSTRATION</t>
  </si>
  <si>
    <t>HEALTH</t>
  </si>
  <si>
    <t>COMMUNITY &amp; SOCIAL</t>
  </si>
  <si>
    <t>HOUSING</t>
  </si>
  <si>
    <t>SPORTS  &amp; RECREATION</t>
  </si>
  <si>
    <t>WASTE MANAGEMENT</t>
  </si>
  <si>
    <t>WASTE WATER MANAGEMENT</t>
  </si>
  <si>
    <t>ROADS TRANSPORT</t>
  </si>
  <si>
    <t>WATER</t>
  </si>
  <si>
    <t>ELECTRICTY</t>
  </si>
  <si>
    <t>COUNCIL GENERAL</t>
  </si>
  <si>
    <t>PROPERTIES</t>
  </si>
  <si>
    <t>PUBLIC WORKS</t>
  </si>
  <si>
    <t>TRAFFIC</t>
  </si>
  <si>
    <t>LIBRARIES</t>
  </si>
  <si>
    <t>TOWN HALL &amp; OFFICES</t>
  </si>
  <si>
    <t>SEWERAGE</t>
  </si>
  <si>
    <t>REFUSE</t>
  </si>
  <si>
    <t>SUMMARY</t>
  </si>
  <si>
    <t>VOTE</t>
  </si>
  <si>
    <t>DETAILS</t>
  </si>
  <si>
    <t>ACTUAL</t>
  </si>
  <si>
    <t>BUDGET</t>
  </si>
  <si>
    <t xml:space="preserve">YEAR TO DATE </t>
  </si>
  <si>
    <t>PROJECTED</t>
  </si>
  <si>
    <t>2003/2004</t>
  </si>
  <si>
    <t>2004/2005</t>
  </si>
  <si>
    <t>31/10/2004</t>
  </si>
  <si>
    <t>2005/2006</t>
  </si>
  <si>
    <t>2006/2007</t>
  </si>
  <si>
    <t>2007/2008</t>
  </si>
  <si>
    <t>EMPLOYEE: REMUNERATION</t>
  </si>
  <si>
    <t>Allowance: Entertainment</t>
  </si>
  <si>
    <t>Allowance: Housing</t>
  </si>
  <si>
    <t>Allowance: Private facilities</t>
  </si>
  <si>
    <t>Bonusses</t>
  </si>
  <si>
    <t>Executive Package</t>
  </si>
  <si>
    <t>Salaries</t>
  </si>
  <si>
    <t>EMPLOYEE: SOCIAL CONTRIBUTIONS</t>
  </si>
  <si>
    <t>Contributions: Medical Aid</t>
  </si>
  <si>
    <t>Contributions: Pension Fund</t>
  </si>
  <si>
    <t>Contributions: Provident Fund</t>
  </si>
  <si>
    <t>Group Life Insurance</t>
  </si>
  <si>
    <t>UIF</t>
  </si>
  <si>
    <t>GENERAL EXPENSES</t>
  </si>
  <si>
    <t>COUNCILLORS REMUNERATION</t>
  </si>
  <si>
    <t>Remuneration</t>
  </si>
  <si>
    <t>WORKING CAPITAL RESERVE</t>
  </si>
  <si>
    <t>COLLECTION- Debt Collection</t>
  </si>
  <si>
    <t>Collection costs</t>
  </si>
  <si>
    <t>DEPRECIATION</t>
  </si>
  <si>
    <t>Depreciation</t>
  </si>
  <si>
    <t>REPAIRS AND MAINTENANCE</t>
  </si>
  <si>
    <t>Air Conditioning</t>
  </si>
  <si>
    <t>Building</t>
  </si>
  <si>
    <t>Computer Equipment</t>
  </si>
  <si>
    <t>Grounds/ gardens</t>
  </si>
  <si>
    <t>Office Equipment</t>
  </si>
  <si>
    <t>Vehicles</t>
  </si>
  <si>
    <t>CONTRACTED SERVICES</t>
  </si>
  <si>
    <t>GENERAL EXPENDITURE OTHER</t>
  </si>
  <si>
    <t>Insurance</t>
  </si>
  <si>
    <t>CONTRIBUTIONS TO CAPITAL OUTLAY</t>
  </si>
  <si>
    <t>TRANFERS TO PROVISIONS</t>
  </si>
  <si>
    <t>RENT OF FACILITIES &amp; EQUIPMENT</t>
  </si>
  <si>
    <t>INTEREST EARNED</t>
  </si>
  <si>
    <t>Bank account</t>
  </si>
  <si>
    <t>External investments</t>
  </si>
  <si>
    <t>INTEREST EARNED- outstanding debtors</t>
  </si>
  <si>
    <t>Long term debtors</t>
  </si>
  <si>
    <t>Sundry debtors</t>
  </si>
  <si>
    <t>FINES</t>
  </si>
  <si>
    <t>OPERATING GRANTS &amp; SUBSIDIES</t>
  </si>
  <si>
    <t>Equitable share</t>
  </si>
  <si>
    <t>Financial management grant</t>
  </si>
  <si>
    <t>IWS</t>
  </si>
  <si>
    <t>MIG</t>
  </si>
  <si>
    <t>OTHER INCOME</t>
  </si>
  <si>
    <t>SURPLUS SALE OF ASSET</t>
  </si>
  <si>
    <t>Surplus</t>
  </si>
  <si>
    <t>GROSS TOTAL</t>
  </si>
  <si>
    <t>Overtime</t>
  </si>
  <si>
    <t>Allowance: Sundry</t>
  </si>
  <si>
    <t>Allowance: Standby</t>
  </si>
  <si>
    <t>Motors &amp; pumps</t>
  </si>
  <si>
    <t>Roads &amp; stormwater</t>
  </si>
  <si>
    <t>Plant &amp; equipment</t>
  </si>
  <si>
    <t>Speed control equipment</t>
  </si>
  <si>
    <t>Road signs &amp; paint</t>
  </si>
  <si>
    <t>Distribution</t>
  </si>
  <si>
    <t>Landfilling</t>
  </si>
  <si>
    <t>Street lights</t>
  </si>
  <si>
    <t>Transformers</t>
  </si>
  <si>
    <t>Electrical meters</t>
  </si>
  <si>
    <t>BULK PURCHASES</t>
  </si>
  <si>
    <t>Electricity</t>
  </si>
  <si>
    <t>PROPERTY RATES</t>
  </si>
  <si>
    <t>Property rates</t>
  </si>
  <si>
    <t>USER CHARGES</t>
  </si>
  <si>
    <t>Pound fees</t>
  </si>
  <si>
    <t>Building plans</t>
  </si>
  <si>
    <t>Redundant material</t>
  </si>
  <si>
    <t>Clearance certificates</t>
  </si>
  <si>
    <t>Valuation certificates</t>
  </si>
  <si>
    <t>Debtors</t>
  </si>
  <si>
    <t>Surplus cash</t>
  </si>
  <si>
    <t>Libraries</t>
  </si>
  <si>
    <t>Electricity consumption</t>
  </si>
  <si>
    <t>Sewage blockages</t>
  </si>
  <si>
    <t>Sewage connections</t>
  </si>
  <si>
    <t>Sewage service charges</t>
  </si>
  <si>
    <t>Electricity connections</t>
  </si>
  <si>
    <t>Refuse removal</t>
  </si>
  <si>
    <t>Commonage</t>
  </si>
  <si>
    <t>Lost books</t>
  </si>
  <si>
    <t>Tombstones</t>
  </si>
  <si>
    <t>Water consumption</t>
  </si>
  <si>
    <t>Wood sales</t>
  </si>
  <si>
    <t>Ground sales</t>
  </si>
  <si>
    <t>MUNICIPAL MANAGER</t>
  </si>
  <si>
    <t>ELECTRICITY</t>
  </si>
  <si>
    <t>Commission</t>
  </si>
  <si>
    <t>Network</t>
  </si>
  <si>
    <t>Radios</t>
  </si>
  <si>
    <t>FUNCTION</t>
  </si>
  <si>
    <t>SUB</t>
  </si>
  <si>
    <t xml:space="preserve">EXPENDITURE ALLOCATION PER VOTE </t>
  </si>
  <si>
    <t>EXPENDITURE</t>
  </si>
  <si>
    <t>INCOME</t>
  </si>
  <si>
    <t>Electrification programme</t>
  </si>
  <si>
    <t>Electricity free basic</t>
  </si>
  <si>
    <t>Water free basic</t>
  </si>
  <si>
    <t>Water</t>
  </si>
  <si>
    <t>EMPLOYEE REMUNERATION</t>
  </si>
  <si>
    <t>COUNCILLOR REMUNERATION</t>
  </si>
  <si>
    <t>WORKING CAPITAL</t>
  </si>
  <si>
    <t xml:space="preserve">BULK PURCHASES </t>
  </si>
  <si>
    <t>GENERAL EXPENDITURE</t>
  </si>
  <si>
    <t xml:space="preserve">CONTRIBUTIONS TO CAPITAL </t>
  </si>
  <si>
    <t>CONTRIBUTIONS TO PROVISIONS</t>
  </si>
  <si>
    <t>REPAIRS  &amp; MAINTENANCE</t>
  </si>
  <si>
    <t>INTEREST &amp; REDEMPTION</t>
  </si>
  <si>
    <t>CORPORATE SERVICES</t>
  </si>
  <si>
    <t>PARKS &amp; RECREATION</t>
  </si>
  <si>
    <t>DEBTORS</t>
  </si>
  <si>
    <t>BAD DEBT PROVISION</t>
  </si>
  <si>
    <t>CORPORATE SERVICE</t>
  </si>
  <si>
    <t xml:space="preserve">WATER </t>
  </si>
  <si>
    <t xml:space="preserve">SUMMARISED EXPENDITURE AND INCOME  PER VOTE </t>
  </si>
  <si>
    <t>MASILONYANA LOCAL MUNICIPALITY</t>
  </si>
  <si>
    <t>Function</t>
  </si>
  <si>
    <t>Appropriations</t>
  </si>
  <si>
    <t>Funding</t>
  </si>
  <si>
    <t>Surplus /</t>
  </si>
  <si>
    <t>Capital</t>
  </si>
  <si>
    <t>Operating</t>
  </si>
  <si>
    <t>Total</t>
  </si>
  <si>
    <t>Own Source</t>
  </si>
  <si>
    <t>External</t>
  </si>
  <si>
    <t>(Deficit)</t>
  </si>
  <si>
    <t xml:space="preserve">Executive &amp; Council </t>
  </si>
  <si>
    <t>Finance &amp; Admin</t>
  </si>
  <si>
    <t>Planning and Development</t>
  </si>
  <si>
    <t>Housing</t>
  </si>
  <si>
    <t>Public Safety</t>
  </si>
  <si>
    <t>Sport &amp; Recreation</t>
  </si>
  <si>
    <t>Environmental Protection</t>
  </si>
  <si>
    <t>Waste Management</t>
  </si>
  <si>
    <t>Road Transport</t>
  </si>
  <si>
    <t xml:space="preserve">TOTAL </t>
  </si>
  <si>
    <t>F2.1 - HIGH LEVEL BUDGET SUMMARY FOR COUNCIL ADOPTION</t>
  </si>
  <si>
    <t>HIGH LEVEL BUDGET SUMMARY</t>
  </si>
  <si>
    <t>Waste Water Management</t>
  </si>
  <si>
    <t xml:space="preserve">MASILONYANA </t>
  </si>
  <si>
    <t>LOCAL MUNICIPALITY</t>
  </si>
  <si>
    <t>FS181</t>
  </si>
  <si>
    <t>2008/2009</t>
  </si>
  <si>
    <t>2009/2010</t>
  </si>
  <si>
    <t>Finance support grant</t>
  </si>
  <si>
    <t>Tranformation &amp; Governance</t>
  </si>
  <si>
    <t>Primary health care</t>
  </si>
  <si>
    <t>Photocopies , fax &amp; telephone</t>
  </si>
  <si>
    <t>Integrated development support programme</t>
  </si>
  <si>
    <t>Town planning scheme</t>
  </si>
  <si>
    <t>Water meters</t>
  </si>
  <si>
    <t>DEFICIT ON SALE OF ASSETS</t>
  </si>
  <si>
    <t>Deficit on sale</t>
  </si>
  <si>
    <t>DIRECT OPERATING EXPENDITURE</t>
  </si>
  <si>
    <t>Adminstration costs</t>
  </si>
  <si>
    <t>TOTAL OPERATING EXPENDITURE</t>
  </si>
  <si>
    <t>OPERATING INCOME GENERATED</t>
  </si>
  <si>
    <t>INCOME FOREGONE</t>
  </si>
  <si>
    <t>Rebates</t>
  </si>
  <si>
    <t>INTERNAL RECOVERIES</t>
  </si>
  <si>
    <t>Administartion costs</t>
  </si>
  <si>
    <t>TOTAL OPERATING INCOME</t>
  </si>
  <si>
    <t>EXTERNAL INTEREST</t>
  </si>
  <si>
    <t>Tender fees- non refundable</t>
  </si>
  <si>
    <t>MSIG</t>
  </si>
  <si>
    <t>RAND</t>
  </si>
  <si>
    <t>SEWERAGE TARIFFS</t>
  </si>
  <si>
    <t>43.60</t>
  </si>
  <si>
    <t>46.43</t>
  </si>
  <si>
    <t>49.68</t>
  </si>
  <si>
    <t>Households</t>
  </si>
  <si>
    <t>Business</t>
  </si>
  <si>
    <t>152.60</t>
  </si>
  <si>
    <t>162.52</t>
  </si>
  <si>
    <t>173.90</t>
  </si>
  <si>
    <t>REFUSE REMOVAL</t>
  </si>
  <si>
    <t>30.00</t>
  </si>
  <si>
    <t>31.95</t>
  </si>
  <si>
    <t>34.19</t>
  </si>
  <si>
    <t>Businesses</t>
  </si>
  <si>
    <t>37.00</t>
  </si>
  <si>
    <t>39.41</t>
  </si>
  <si>
    <t>42.17</t>
  </si>
  <si>
    <t>WATER CONSUMPTION</t>
  </si>
  <si>
    <t>Minimum charge</t>
  </si>
  <si>
    <t>21.50</t>
  </si>
  <si>
    <t>22.90</t>
  </si>
  <si>
    <t>24.50</t>
  </si>
  <si>
    <t>Free Basic</t>
  </si>
  <si>
    <t>2.00</t>
  </si>
  <si>
    <t>2.13</t>
  </si>
  <si>
    <t>2.28</t>
  </si>
  <si>
    <t>12+ Kiloliter</t>
  </si>
  <si>
    <t>2.20</t>
  </si>
  <si>
    <t>2.34</t>
  </si>
  <si>
    <t>2.50</t>
  </si>
  <si>
    <t>DOMESTIC</t>
  </si>
  <si>
    <t>19.50</t>
  </si>
  <si>
    <t>20.77</t>
  </si>
  <si>
    <t>21.83</t>
  </si>
  <si>
    <t>Per kwh</t>
  </si>
  <si>
    <t>0.35164</t>
  </si>
  <si>
    <t>0.37</t>
  </si>
  <si>
    <t>0.39</t>
  </si>
  <si>
    <t>2010/2011</t>
  </si>
  <si>
    <t>Allowance: Cell phone</t>
  </si>
  <si>
    <t>Dividends</t>
  </si>
  <si>
    <t>Community Facilities</t>
  </si>
  <si>
    <t>Garden refuse removal</t>
  </si>
  <si>
    <t>2011/2012</t>
  </si>
  <si>
    <t>Internet Services</t>
  </si>
  <si>
    <t>Financial management reforms</t>
  </si>
  <si>
    <t>BUSINESS ( ALL TOWNS)</t>
  </si>
  <si>
    <t>PUBLIC SERVICE INFRASTRUCTURE</t>
  </si>
  <si>
    <t>VERKEERDEVLEI</t>
  </si>
  <si>
    <t>STATE ( ALL TOWNS)</t>
  </si>
  <si>
    <t>Free basic to indigents</t>
  </si>
  <si>
    <t>Indigents 50 Kwh free</t>
  </si>
  <si>
    <t>Building material removal 6 cubic metre</t>
  </si>
  <si>
    <t>Gogta ( Financial Relief Grant)</t>
  </si>
  <si>
    <t>Sundry ( Reminder Fees)</t>
  </si>
  <si>
    <t>2012/2013</t>
  </si>
  <si>
    <t xml:space="preserve">INTERNAL CHARGES </t>
  </si>
  <si>
    <t>Fuel</t>
  </si>
  <si>
    <t>Chemicals</t>
  </si>
  <si>
    <t>Computer Software</t>
  </si>
  <si>
    <t>Floral arrangements</t>
  </si>
  <si>
    <t>Refreshments</t>
  </si>
  <si>
    <t>Stationery costs</t>
  </si>
  <si>
    <t>Materials/Consumables</t>
  </si>
  <si>
    <t>Departmental Electricity</t>
  </si>
  <si>
    <t>Trade publications/ Periodicals</t>
  </si>
  <si>
    <t>Uniforms</t>
  </si>
  <si>
    <t>Cellular Phone Charges</t>
  </si>
  <si>
    <t>Postage</t>
  </si>
  <si>
    <t>Telephones</t>
  </si>
  <si>
    <t>Entertainment</t>
  </si>
  <si>
    <t>Seminars/ Training Courses/ Congresses</t>
  </si>
  <si>
    <t>Travelling &amp;subsistence</t>
  </si>
  <si>
    <t>Advertisements</t>
  </si>
  <si>
    <t>Audit  external</t>
  </si>
  <si>
    <t>Bank Charges</t>
  </si>
  <si>
    <t>Branding internal</t>
  </si>
  <si>
    <t>Books &amp; publications</t>
  </si>
  <si>
    <t>Donations</t>
  </si>
  <si>
    <t>Capacity Development Programmes</t>
  </si>
  <si>
    <t>Campaigns</t>
  </si>
  <si>
    <t>Cleaning services</t>
  </si>
  <si>
    <t>Community participation</t>
  </si>
  <si>
    <t>Consolidations &amp; rezoning</t>
  </si>
  <si>
    <t>Consultant fees</t>
  </si>
  <si>
    <t>Contingencies</t>
  </si>
  <si>
    <t>Disaster relief</t>
  </si>
  <si>
    <t>Discretionary fund</t>
  </si>
  <si>
    <t>District Aids Council</t>
  </si>
  <si>
    <t>Election costs</t>
  </si>
  <si>
    <t>Experential training/ employee assistance</t>
  </si>
  <si>
    <t>Fire service</t>
  </si>
  <si>
    <t>Financial system changes</t>
  </si>
  <si>
    <t>Furniture &amp; equipment</t>
  </si>
  <si>
    <t>Free basic electric</t>
  </si>
  <si>
    <t>Grant In Aid</t>
  </si>
  <si>
    <t>Grave numbers</t>
  </si>
  <si>
    <t>IDP review</t>
  </si>
  <si>
    <t>Interest paid</t>
  </si>
  <si>
    <t>Lease charges Fleet Management</t>
  </si>
  <si>
    <t>Legal Services</t>
  </si>
  <si>
    <t>Levies RSC</t>
  </si>
  <si>
    <t>Levy  Bargaining council</t>
  </si>
  <si>
    <t>Levy  skills development</t>
  </si>
  <si>
    <t>Local government trasformation</t>
  </si>
  <si>
    <t>Lisence fees- financial system</t>
  </si>
  <si>
    <t>Lisence and Registration Fees</t>
  </si>
  <si>
    <t>Membership Fees  Salga</t>
  </si>
  <si>
    <t>Membership Fees  Professional Staff</t>
  </si>
  <si>
    <t>Pauper burials</t>
  </si>
  <si>
    <t>Post retirement medical liability</t>
  </si>
  <si>
    <t>Powers &amp; functions</t>
  </si>
  <si>
    <t>Publicity</t>
  </si>
  <si>
    <t>Public participation &amp; education</t>
  </si>
  <si>
    <t>Public awareness</t>
  </si>
  <si>
    <t>Rent  plant &amp; equipment</t>
  </si>
  <si>
    <t>Rent  offices equipment</t>
  </si>
  <si>
    <t>Rent  offices</t>
  </si>
  <si>
    <t>Security services</t>
  </si>
  <si>
    <t>Special programmes  Disability</t>
  </si>
  <si>
    <t>Special programmes  Gender</t>
  </si>
  <si>
    <t>Special programmes  HIV/AIDS</t>
  </si>
  <si>
    <t>Special programmes  Moral regeneration</t>
  </si>
  <si>
    <t>Special programmes  Youth</t>
  </si>
  <si>
    <t>Study assistance</t>
  </si>
  <si>
    <t>Translations</t>
  </si>
  <si>
    <t>Valuation costs</t>
  </si>
  <si>
    <t>Water Free Basic</t>
  </si>
  <si>
    <t>Creditors Arrears</t>
  </si>
  <si>
    <t>Training</t>
  </si>
  <si>
    <t>Rent  water dispenser</t>
  </si>
  <si>
    <t>Departmental Water</t>
  </si>
  <si>
    <t>Internal borrowings</t>
  </si>
  <si>
    <t>External borrowings</t>
  </si>
  <si>
    <t>Furniture and Equipment</t>
  </si>
  <si>
    <t>Capital programmes</t>
  </si>
  <si>
    <t>Accrued leave &amp; Bonusses</t>
  </si>
  <si>
    <t>Capital development fund</t>
  </si>
  <si>
    <t xml:space="preserve">Water meter testing </t>
  </si>
  <si>
    <t>Working capital ( Provision Bad Debts)</t>
  </si>
  <si>
    <t>Communal hall rent</t>
  </si>
  <si>
    <t>Grave Fees</t>
  </si>
  <si>
    <t>House rent</t>
  </si>
  <si>
    <t>Plant &amp; equipment rent</t>
  </si>
  <si>
    <t>Office rent</t>
  </si>
  <si>
    <t xml:space="preserve">Site rent </t>
  </si>
  <si>
    <t>Traffic fines</t>
  </si>
  <si>
    <t>Overdue book fines</t>
  </si>
  <si>
    <t>Allowance: Locomotion Fixed</t>
  </si>
  <si>
    <t>Audit internal</t>
  </si>
  <si>
    <t>OFFICE OF THE MAYOR</t>
  </si>
  <si>
    <t>OFFICE OF THE SPEAKER</t>
  </si>
  <si>
    <t>OFFICE OF THE MUNICIPAL MANAGER</t>
  </si>
  <si>
    <t>ASSESMENT RATES</t>
  </si>
  <si>
    <t>FINANCIAL SERVICES</t>
  </si>
  <si>
    <t>SOCIAL &amp; COMMUNITY SERVICES</t>
  </si>
  <si>
    <t>CEMETARIES ( SOCIAL AND COMMUNITY SERVICES)</t>
  </si>
  <si>
    <t>LIBRARIES ( SOCIAL AND COMMUNITY SERVICES)</t>
  </si>
  <si>
    <t>HOUSING ( SOCIAL AND COMMUNITY SERVICES)</t>
  </si>
  <si>
    <t>TRAFFIC ( SOCIAL AND COMMUNITY SERVICES)</t>
  </si>
  <si>
    <t>PARKS &amp; RECREATION ( SOCIAL AND COMMUNITY SERVICES)</t>
  </si>
  <si>
    <t>PUBLIC WORKS ( INFRASTRUCTURE SERVICES)</t>
  </si>
  <si>
    <t>WATER SERVICES ( INFRASTRUCTURE SERVICES)</t>
  </si>
  <si>
    <t>ELECTRICITY SERVICES ( INFRASTRUCTURE SERVICES)</t>
  </si>
  <si>
    <t>SOCIAL &amp; COMMUNITY SERVICE</t>
  </si>
  <si>
    <t>CEMETARIES</t>
  </si>
  <si>
    <t>COMMUNITY &amp; SOCIAL SERVICES</t>
  </si>
  <si>
    <t>Lisence fees- financial system( VIP)</t>
  </si>
  <si>
    <t>Selling of sites</t>
  </si>
  <si>
    <t>Advertisements ( Masilonyana News)</t>
  </si>
  <si>
    <t>Community participation funded by MSIG</t>
  </si>
  <si>
    <t>Audit internal ( Funded by FMG ) Audit committee</t>
  </si>
  <si>
    <t>Contigencies</t>
  </si>
  <si>
    <t>Accrued leave</t>
  </si>
  <si>
    <t xml:space="preserve">Accrued leave </t>
  </si>
  <si>
    <t>TARIFFS MASILONYANA MUNICIPALITY</t>
  </si>
  <si>
    <t>APPROVED TARIFFS</t>
  </si>
  <si>
    <t>0-10 Kiloliter</t>
  </si>
  <si>
    <t>10-12 Kiloliter</t>
  </si>
  <si>
    <t>Municipal Systems Improvement Grant</t>
  </si>
  <si>
    <t>2013/2014</t>
  </si>
  <si>
    <t>INCOME &amp; EXPENDITURE  FOR THE YEAR ENDING 30 JUNE 2012</t>
  </si>
  <si>
    <t>Long Service Bonus</t>
  </si>
  <si>
    <t>Long service bonus</t>
  </si>
  <si>
    <t>Salary increase</t>
  </si>
  <si>
    <t>Assumptions and inputs</t>
  </si>
  <si>
    <t>Inflation</t>
  </si>
  <si>
    <t>Section 57</t>
  </si>
  <si>
    <t>Councilors</t>
  </si>
  <si>
    <t>Provision for Bad Debts(Collection Rates)</t>
  </si>
  <si>
    <t>0.0%</t>
  </si>
  <si>
    <t xml:space="preserve">Advertisements </t>
  </si>
  <si>
    <t>Free basic electric ( Indigent subsidy)</t>
  </si>
  <si>
    <t>Water Free Basic ( Indigent subsidy)</t>
  </si>
  <si>
    <t>ADJ BUDGET</t>
  </si>
  <si>
    <t>Postage ( Consumer Accounts)</t>
  </si>
  <si>
    <t>PMS Implementation</t>
  </si>
  <si>
    <t>Financial Assets ( Scanners)</t>
  </si>
  <si>
    <t>Property rates (Indigent subsidy)</t>
  </si>
  <si>
    <t>Refuse removal (Indigent subsidy)</t>
  </si>
  <si>
    <t>Sewerage blockages</t>
  </si>
  <si>
    <t>Sewerage connections</t>
  </si>
  <si>
    <t>Sewerage service charges</t>
  </si>
  <si>
    <t>Sewerage service charges ( Indigent subsidy)</t>
  </si>
  <si>
    <t>Water Free Basic (Indigent subsidy)</t>
  </si>
  <si>
    <t>2014/2015</t>
  </si>
  <si>
    <t xml:space="preserve">Valuation costs </t>
  </si>
  <si>
    <t xml:space="preserve">Financial system changes </t>
  </si>
  <si>
    <t>`</t>
  </si>
  <si>
    <t>ORIGINAL BUDGET</t>
  </si>
  <si>
    <t>ADJUSTED BUDGET</t>
  </si>
  <si>
    <t>FULL YEAR</t>
  </si>
  <si>
    <t>2015/2016</t>
  </si>
  <si>
    <t>EXPENDITURE  FOR THE YEAR ENDING 30 JUNE 2014</t>
  </si>
  <si>
    <t>INCOME  FOR THE YEAR ENDING 30 JUNE 2014</t>
  </si>
  <si>
    <t>Allocation of sites</t>
  </si>
  <si>
    <t>Second phase of Paving, Upgrading of gravel roads (including stormwater), which will be EPWP</t>
  </si>
  <si>
    <t>building a new library and the promise made by MEC Khothule on building a Sports complex in Tshepong</t>
  </si>
  <si>
    <t>Tshepong Brick making project</t>
  </si>
  <si>
    <t>AMOUNT</t>
  </si>
  <si>
    <t>FINANCIAL YEAR</t>
  </si>
  <si>
    <t xml:space="preserve">Upgrading of buildings &amp; offices </t>
  </si>
  <si>
    <t>Upgrading, maintenance &amp; installation of high mast lights</t>
  </si>
  <si>
    <t>Streets naming project</t>
  </si>
  <si>
    <t>Building of offices in Tshepong</t>
  </si>
  <si>
    <t>Fencing of oxidation ponds</t>
  </si>
  <si>
    <t>Constantly engaging the FS-Health Department on matters affecting patients and erection of the Ambulance / Bus stop</t>
  </si>
  <si>
    <t>Installation of 505 domestic water meters, 2 Zone meters &amp; 5 bulk-water meters</t>
  </si>
  <si>
    <t xml:space="preserve">Upgrading of oxidation ponds </t>
  </si>
  <si>
    <t>Cleaning of cemeteries in all 5 towns</t>
  </si>
  <si>
    <t>SOUTPAN</t>
  </si>
  <si>
    <t xml:space="preserve">Township establishment (Allocation of sites) </t>
  </si>
  <si>
    <t>Derelict Erven of which owners / occupants could not be traced; The derelict erven were disposed &amp; re-sold to the interested parties</t>
  </si>
  <si>
    <t>Second phase of Paving, Upgrading of gravel roads (including stormwater), which will be EPWP (labour intensive) project</t>
  </si>
  <si>
    <t>MLM to continue engaging the Dept of Sports, Arts &amp; Culture about building a Sports complex in Ikgomotseng</t>
  </si>
  <si>
    <t>Upgrading of buildings &amp; offices ; MLM offices, second phase &amp; completion of the Ikgomotseng community hall to resume by April 2013</t>
  </si>
  <si>
    <t>Soutpan / Ikgomotseng, Water treatment plant (R9.2 million) – 2013/2014 financial year</t>
  </si>
  <si>
    <t>Installation of 1027 water meters, 2 zone meters &amp; 5 bulk water meters (The project is under construction)</t>
  </si>
  <si>
    <t xml:space="preserve">Provision of Mega Liter storage reservoir, </t>
  </si>
  <si>
    <t xml:space="preserve">Upgrading of bulk water supply </t>
  </si>
  <si>
    <t xml:space="preserve"> Upgrading, maintenance &amp; installation of high mast lights (Continuous)</t>
  </si>
  <si>
    <t>THEUNISSEN</t>
  </si>
  <si>
    <t>Derelict Ervin of which owners / occupants could not be traced; The derelict ervin were disposed &amp; re-sold to the interested parties</t>
  </si>
  <si>
    <t>Second phase of Paving, Upgrading of gravel roads (including storm-water), which will be EPWP (labour intensive) project</t>
  </si>
  <si>
    <t>Patching of potholes (30/06/2013) and continuous (36 jobs created)</t>
  </si>
  <si>
    <t>MLM to continue engaging the Premier’s Office &amp; the Mining houses about ZR Mahabane Brick making project</t>
  </si>
  <si>
    <t>Paving bricks for paving of streets to be purchased from the Z.R Mahabane brick making project</t>
  </si>
  <si>
    <t xml:space="preserve"> MLM to continue engaging the Dept of Sports, Arts &amp; Culture about funding the second &amp; final phase of Masilo Sports Complex</t>
  </si>
  <si>
    <t>Upgrading of buildings &amp; offices (30/06/2013 &amp; continuous); MLM offices, halls renovated &amp; sports grounds to follow in July 2013</t>
  </si>
  <si>
    <t>Erection of new cemeteries in Masilo &amp; Makeleketla</t>
  </si>
  <si>
    <t>MLM will still continue to engage Mining houses &amp; provincial departments to fund the fencing of cemeteries and paving roads leading to the cemeteries</t>
  </si>
  <si>
    <t>MLM to continue engaging the FS-Dept of Sports, Arts &amp; Culture to absorb Library services</t>
  </si>
  <si>
    <t>Refuse removal; 5 Tipper trucks to be leased from Goverment Garage</t>
  </si>
  <si>
    <t>Upgrading of water purification plant (30/06/2014)</t>
  </si>
  <si>
    <t>Construction of new surfaced roads and storm-water</t>
  </si>
  <si>
    <t>Grading of all (existing) gravel roads</t>
  </si>
  <si>
    <t>Maintenance of (existing) &amp; construction of new high mast lights</t>
  </si>
  <si>
    <t xml:space="preserve">Construction on new roads &amp; storm-water  </t>
  </si>
  <si>
    <t xml:space="preserve">Replacing asbestos pipe between Theunissen &amp; Brandfort </t>
  </si>
  <si>
    <t xml:space="preserve">Upgrading of water purification plant </t>
  </si>
  <si>
    <r>
      <rPr>
        <sz val="10"/>
        <color rgb="FF000000"/>
        <rFont val="Calibri"/>
        <family val="2"/>
      </rPr>
      <t xml:space="preserve">Installation of 3720 water meters, 2 zone meters &amp; 4 bulk water meters </t>
    </r>
    <r>
      <rPr>
        <i/>
        <sz val="10"/>
        <color rgb="FF000000"/>
        <rFont val="Calibri"/>
        <family val="2"/>
      </rPr>
      <t>(Project still ongoing/under construction)</t>
    </r>
  </si>
  <si>
    <r>
      <rPr>
        <sz val="10"/>
        <color rgb="FF000000"/>
        <rFont val="Calibri"/>
        <family val="2"/>
      </rPr>
      <t xml:space="preserve">Construction of clear water pump station; </t>
    </r>
    <r>
      <rPr>
        <i/>
        <sz val="10"/>
        <color rgb="FF000000"/>
        <rFont val="Calibri"/>
        <family val="2"/>
      </rPr>
      <t>(MLM in a process of registering the project &amp; will be implemented in 2014/2015)</t>
    </r>
  </si>
  <si>
    <r>
      <rPr>
        <sz val="10"/>
        <color rgb="FF000000"/>
        <rFont val="Calibri"/>
        <family val="2"/>
      </rPr>
      <t xml:space="preserve">Construction of 2 Earth Dams; </t>
    </r>
    <r>
      <rPr>
        <i/>
        <sz val="10"/>
        <color rgb="FF000000"/>
        <rFont val="Calibri"/>
        <family val="2"/>
      </rPr>
      <t>(MLM in a process of registering the project &amp; will be implemented in 2014/2015)</t>
    </r>
  </si>
  <si>
    <r>
      <rPr>
        <sz val="10"/>
        <color rgb="FF000000"/>
        <rFont val="Calibri"/>
        <family val="2"/>
      </rPr>
      <t xml:space="preserve">Construction of 2ML resevoir; </t>
    </r>
    <r>
      <rPr>
        <i/>
        <sz val="10"/>
        <color rgb="FF000000"/>
        <rFont val="Calibri"/>
        <family val="2"/>
      </rPr>
      <t>(MLM in a process of registering the project &amp; will be implemented in 2014/2015)</t>
    </r>
  </si>
  <si>
    <t>BRANDFORT</t>
  </si>
  <si>
    <t xml:space="preserve">Upgrading of buildings &amp; offices (30/06/2013 &amp; continuous); MLM offices, halls renovated &amp; sports grounds to follow in July 2013 </t>
  </si>
  <si>
    <t>MLM to engage Mining houses about funding the second phase of renovating Ipeleng Community Hall</t>
  </si>
  <si>
    <t>Majwemasweu Sports Complex which will be done in phases</t>
  </si>
  <si>
    <t>Fencing of cemeteries; (for THN, Winburg &amp; Brandfort)</t>
  </si>
  <si>
    <t>Refuse removal; 5 Tipper trucks to be leased from Govt Garage</t>
  </si>
  <si>
    <t>Winnie Mandela Museum – (Project of Lejweleputswa District Municipality, FS &amp; National Department of Arts &amp; Culture)</t>
  </si>
  <si>
    <t xml:space="preserve">Upgrading of water purification plant (30/06/2015) MLM in a process of registering the project </t>
  </si>
  <si>
    <r>
      <rPr>
        <sz val="10"/>
        <color rgb="FF000000"/>
        <rFont val="Calibri"/>
        <family val="2"/>
      </rPr>
      <t>Upgrading of Water Purification Plant, Phase 1; (The 1</t>
    </r>
    <r>
      <rPr>
        <vertAlign val="superscript"/>
        <sz val="10"/>
        <color rgb="FF000000"/>
        <rFont val="Calibri"/>
        <family val="2"/>
      </rPr>
      <t>st</t>
    </r>
    <r>
      <rPr>
        <sz val="10"/>
        <color rgb="FF000000"/>
        <rFont val="Calibri"/>
        <family val="2"/>
      </rPr>
      <t xml:space="preserve"> Phase is complete &amp; the 2</t>
    </r>
    <r>
      <rPr>
        <vertAlign val="superscript"/>
        <sz val="10"/>
        <color rgb="FF000000"/>
        <rFont val="Calibri"/>
        <family val="2"/>
      </rPr>
      <t>nd</t>
    </r>
    <r>
      <rPr>
        <sz val="10"/>
        <color rgb="FF000000"/>
        <rFont val="Calibri"/>
        <family val="2"/>
      </rPr>
      <t xml:space="preserve"> Phase to start immediately after MIG approval</t>
    </r>
  </si>
  <si>
    <t>Upgrading of Waste Disposal Site; The project could not be implemented with the available budget, therefore budget maintenance has been submitted</t>
  </si>
  <si>
    <t>Installation of 2719 Water Meters &amp; 3 Bulk-Water Meters; (The project is still under-construction</t>
  </si>
  <si>
    <t xml:space="preserve">Upgrading of Water-Purification Plant Phase 2; </t>
  </si>
  <si>
    <t>Construction of Brandfort Sports Center; (To be implemented in phases)</t>
  </si>
  <si>
    <t>WINBURG</t>
  </si>
  <si>
    <t>Township establishment (Allocation of sites); MLM Council still to approve the layout plan for Winburg / Makeleketla, the plan has been submitted to the Township Board for approval</t>
  </si>
  <si>
    <t>MLM to engage Mining houses about funding the second phase of renovating Winburg Sports Grounds</t>
  </si>
  <si>
    <t>Makeleketla Sports Complex which will be done in phases to the value of R7.4 (MIG Fund); the project is under construction</t>
  </si>
  <si>
    <t>Fencing of cemeteries; (R1.5m for THN, Winburg &amp; Brandfort)</t>
  </si>
  <si>
    <t>Erection of new cemeteries; (R641 000) for both Makeleketla &amp; Masilo</t>
  </si>
  <si>
    <t>Eradication of 1261 buckets (R28.5m); project still under construction &amp; experiencing challenges of hard rock lying beneath the surface</t>
  </si>
  <si>
    <t>Upgrading of existing Waste-Water treatment works (R14.5m); The project is been divided into mechanical &amp; civil works and is at construction stage</t>
  </si>
  <si>
    <t>Upgrading of storm-water drainage (R3.1m) &amp; the project is complete</t>
  </si>
  <si>
    <t>Construction of 0.8km residential distributor streets (R5.9m) &amp; the project is complete</t>
  </si>
  <si>
    <t>Installation of 3122 water meters &amp; 3 zone meters (R7.4m) &amp; the project is under construction</t>
  </si>
  <si>
    <t>Construction &amp; surface of 1.5km distributor road &amp; storm-water drainage, phase 2 (R11.5m) &amp; still has to go through the procurement process</t>
  </si>
  <si>
    <t>Winburg / Makeleketla Sports Center (R7.4m) &amp; the project is Under-Construction</t>
  </si>
  <si>
    <t>Construction of 4ML reservoir (R9m) &amp; the project will be implemented in 2014/2015</t>
  </si>
  <si>
    <t xml:space="preserve">Upgrading of water treatment works (R24.7m), project still to be registered &amp; will be implemented on 2014/2015 financial year </t>
  </si>
  <si>
    <t>RBIG</t>
  </si>
  <si>
    <t>SOURCE OF FUNDING</t>
  </si>
  <si>
    <t>LIST OF PROJECTS AS PER THE IDP</t>
  </si>
  <si>
    <t>Dept of Sports,Arts &amp; Culture</t>
  </si>
  <si>
    <t>Provincial Departments</t>
  </si>
  <si>
    <t>Donations/Bursaries</t>
  </si>
  <si>
    <t>Legal Services ( Ass Man appointed)</t>
  </si>
  <si>
    <t>Cash Collecting service</t>
  </si>
  <si>
    <t>Cash Collecting Service</t>
  </si>
  <si>
    <t>EPWP</t>
  </si>
  <si>
    <t>Capital programmes Upgrading of Offices/Paypoints</t>
  </si>
  <si>
    <t>Councillors Support Grant</t>
  </si>
  <si>
    <t>Donations ( Bursaries)&amp; Special Programmes</t>
  </si>
  <si>
    <t>AGRICULTURE (residential tariff/4)</t>
  </si>
  <si>
    <t>Free to indigents</t>
  </si>
  <si>
    <t>Salaries:Vacant ( CTC )</t>
  </si>
  <si>
    <t>Unmetered water usage Flat rate</t>
  </si>
  <si>
    <t xml:space="preserve">Salaries </t>
  </si>
  <si>
    <t>Site Rent</t>
  </si>
  <si>
    <t>Vehicles ( Sedan)</t>
  </si>
  <si>
    <t>Donations (Busaries)</t>
  </si>
  <si>
    <t>Policy review ,PMS Implementation,Medical Survellance</t>
  </si>
  <si>
    <t xml:space="preserve">Furniture &amp; equipment </t>
  </si>
  <si>
    <t>Busaries Income from Mines</t>
  </si>
  <si>
    <t>DIRECT OPERATING INCOME</t>
  </si>
  <si>
    <t>Buckets per month</t>
  </si>
  <si>
    <t>Flat rate per month</t>
  </si>
  <si>
    <t>Operating Income</t>
  </si>
  <si>
    <t xml:space="preserve">Operating Resutls (Excl. MIG) </t>
  </si>
  <si>
    <t>Operating Expenditure</t>
  </si>
  <si>
    <t>Surplus/Deficit</t>
  </si>
  <si>
    <t>Long Service Bonusses</t>
  </si>
  <si>
    <t>Strategic Support</t>
  </si>
  <si>
    <t>TARIFFS</t>
  </si>
  <si>
    <t>RESIDENTIAL</t>
  </si>
  <si>
    <t>FINAL APPROVED BUDGET</t>
  </si>
  <si>
    <t>2016/2017</t>
  </si>
  <si>
    <t>2016/17</t>
  </si>
  <si>
    <t xml:space="preserve">ACTUAL </t>
  </si>
  <si>
    <t>EXPENDITURE  FOR THE PERIOD ENDING 31 DEC  2013</t>
  </si>
  <si>
    <t>NET OPERATING INCOME/LOSS</t>
  </si>
  <si>
    <t>Adjustment</t>
  </si>
  <si>
    <t>Full year forecast</t>
  </si>
  <si>
    <t>Income from mines</t>
  </si>
  <si>
    <t xml:space="preserve"> INCOME GENERATED</t>
  </si>
  <si>
    <t>TOWN HALL &amp; OFFICES (SOCIAL AND COMMUNITY SERVICES)</t>
  </si>
  <si>
    <t>PROPERTIES (SOCIAL AND COMMUNITY SERVICES)</t>
  </si>
  <si>
    <t>Bulk Line</t>
  </si>
  <si>
    <t xml:space="preserve">EXPENDITURE  </t>
  </si>
  <si>
    <t xml:space="preserve">INCOME  </t>
  </si>
  <si>
    <t xml:space="preserve">INCOME </t>
  </si>
  <si>
    <t>DEPARTMENT</t>
  </si>
  <si>
    <t>TOWN</t>
  </si>
  <si>
    <t>2005 /2006</t>
  </si>
  <si>
    <t>2006 /2007</t>
  </si>
  <si>
    <t>2007 /2008</t>
  </si>
  <si>
    <t>OWN</t>
  </si>
  <si>
    <t>VEHICLES</t>
  </si>
  <si>
    <t>MAYORS OFFICE</t>
  </si>
  <si>
    <t>SPEAKER</t>
  </si>
  <si>
    <t>PMU BUDGET</t>
  </si>
  <si>
    <t>ALL TOWNS</t>
  </si>
  <si>
    <t>VEHICLE</t>
  </si>
  <si>
    <t>TOTAL EXECUTIVE &amp; COUNCIL</t>
  </si>
  <si>
    <t>FINANCE SERVICE</t>
  </si>
  <si>
    <t>CORPORATE</t>
  </si>
  <si>
    <t>OFFICE FURNITURE</t>
  </si>
  <si>
    <t>UPGRADING OF OFFICES</t>
  </si>
  <si>
    <t>LOAN CAPITAL REPAYMENTS</t>
  </si>
  <si>
    <t>TOTAL FINANCE &amp; ADMINSTRATION</t>
  </si>
  <si>
    <t>SOCIAL AND COMMUNITY SERVICES</t>
  </si>
  <si>
    <t>CEMETERY</t>
  </si>
  <si>
    <t>THEUNISSEN/WINBURG/BRANFORD</t>
  </si>
  <si>
    <t>ESTABLISHMENT</t>
  </si>
  <si>
    <t>FENCING</t>
  </si>
  <si>
    <t>MINES &amp; PROV DEPARTMENTS</t>
  </si>
  <si>
    <t>LOW BED</t>
  </si>
  <si>
    <t>TLB</t>
  </si>
  <si>
    <t>MAKELEKETLA&amp;MASILO</t>
  </si>
  <si>
    <t>NEW CEMETERY</t>
  </si>
  <si>
    <t>THEUNISSEN/ MASILO</t>
  </si>
  <si>
    <t>ACCESS ROAD</t>
  </si>
  <si>
    <t>SOUTPAN/IKGOMOTSENG</t>
  </si>
  <si>
    <t>ROADS</t>
  </si>
  <si>
    <t>WINBURG/ MAKELEKETLA</t>
  </si>
  <si>
    <t>PEDESTRIAN CROSSINGS</t>
  </si>
  <si>
    <t>BRANDFORT/ MAJWEMASWEU</t>
  </si>
  <si>
    <t>SOUTPAN/ IKGOMOTSENG</t>
  </si>
  <si>
    <t>VERKEERDEVLEI/ TSHEPONG</t>
  </si>
  <si>
    <t>TOWNSHIP ESTABLISHMENT(ALLOCATION OF SITES)</t>
  </si>
  <si>
    <t>STREET NAMING PROJECT</t>
  </si>
  <si>
    <t>BUILDING OF OFFICES</t>
  </si>
  <si>
    <t>UNKNOWN</t>
  </si>
  <si>
    <t>PARKS</t>
  </si>
  <si>
    <t>VERKEERDEVLEI/THEUNISSEN/SOUTPAN</t>
  </si>
  <si>
    <t>IRRIGATION SYSTEM FOR SOCCERFIELDS</t>
  </si>
  <si>
    <t>TOTAL SOCIAL AND COMMUNITY SERVICES</t>
  </si>
  <si>
    <t>MIG/FS/0748/CF/09/10</t>
  </si>
  <si>
    <t>BRANDFORT/MAJWEMASWEU</t>
  </si>
  <si>
    <t>SPORTS COMPLEX</t>
  </si>
  <si>
    <t>MIG/FS/0752/CF/09/09</t>
  </si>
  <si>
    <t>WINBURG/MAKELEKETLA</t>
  </si>
  <si>
    <t>TOTAL SPORTS &amp; RECREATION</t>
  </si>
  <si>
    <t>MIG/FS/0842/SW/11/11</t>
  </si>
  <si>
    <t>UPGRADING WASTE DISPOSAL SITE</t>
  </si>
  <si>
    <t>TOTAL WASTE MANAGEMENT</t>
  </si>
  <si>
    <t>SANITATION</t>
  </si>
  <si>
    <t>BUCKET ERADICATION</t>
  </si>
  <si>
    <t>OTHER MIG PROJECTS</t>
  </si>
  <si>
    <t>UPGRADING OF SEWER PONDS</t>
  </si>
  <si>
    <t>MIG/FS/0587/S/07/07</t>
  </si>
  <si>
    <t xml:space="preserve">UPGRADING OF EXISTING WASTE WATER TREATMENT </t>
  </si>
  <si>
    <t>1050 BUCKETS</t>
  </si>
  <si>
    <t>BUCKETS</t>
  </si>
  <si>
    <t>UPGRADING OF OXIDATION PONDS</t>
  </si>
  <si>
    <t>BUCKET 1261 ERVEN</t>
  </si>
  <si>
    <t>PMU EXPENSES</t>
  </si>
  <si>
    <t>PMU</t>
  </si>
  <si>
    <t>TOTAL WASTE WATER MANAGEMENT</t>
  </si>
  <si>
    <t>STREETS &amp; STORMWATER</t>
  </si>
  <si>
    <t>UPGRADING STREETS TO SURFACE</t>
  </si>
  <si>
    <t>MIG/FS/0874/R,ST/12/12</t>
  </si>
  <si>
    <t>RESIDENTIAL STREET 1.5 KMS</t>
  </si>
  <si>
    <t>EPWP &amp; OWN</t>
  </si>
  <si>
    <t>TOTAL ROADS TRANSPORT</t>
  </si>
  <si>
    <t>WATER DISTRIBUTION</t>
  </si>
  <si>
    <t>THEUNISSEN/BRANDFORT</t>
  </si>
  <si>
    <t>WATER RBIG (DWA)</t>
  </si>
  <si>
    <t>MIG/FS/0703/W/11/12</t>
  </si>
  <si>
    <t>UPGRADING WATER PURIFICATION PLANT</t>
  </si>
  <si>
    <t>BULK WATER PIPELINE</t>
  </si>
  <si>
    <t>WATER TREATMENT PLANT</t>
  </si>
  <si>
    <t>MIG/FS/0655/W/08/09</t>
  </si>
  <si>
    <t>MEGA LITRE STORAGE RESEVOIR</t>
  </si>
  <si>
    <t>THEUNISSEN/MASILO</t>
  </si>
  <si>
    <t>CLEAR WATER STATION</t>
  </si>
  <si>
    <t>2ML RESEVOIR</t>
  </si>
  <si>
    <t>WATER METERS INSTALLATION 1027 METERS</t>
  </si>
  <si>
    <t>CONSTRUCTION OF 2 EARTH DAMS</t>
  </si>
  <si>
    <t>RESEVOIR</t>
  </si>
  <si>
    <t>MIG/FS/0657/W/08/09</t>
  </si>
  <si>
    <t>MIG/FS/0856/W/11/11</t>
  </si>
  <si>
    <t>WATER METERS</t>
  </si>
  <si>
    <t>VERKEERDEVLEI/TSHEPONG</t>
  </si>
  <si>
    <t>WATER METERS INSTALLATION 505 METERS</t>
  </si>
  <si>
    <t>RETIC NETWORK ( ISOLATION VALVES)</t>
  </si>
  <si>
    <t>WATER TANKERS</t>
  </si>
  <si>
    <t>TOTAL WATER</t>
  </si>
  <si>
    <t>ELECTRICITY DISTRIBUTION</t>
  </si>
  <si>
    <t>VEHICLES SERVICE DELIVERY DEPARTMENTS</t>
  </si>
  <si>
    <t>TOTAL ELECTRICITY</t>
  </si>
  <si>
    <t>LED PROJECTS</t>
  </si>
  <si>
    <t>SPORTS</t>
  </si>
  <si>
    <t>SPORTS,ARTS &amp; CULTURE</t>
  </si>
  <si>
    <t>CEMETERIES</t>
  </si>
  <si>
    <t>CLEANING OF CEMETERIES</t>
  </si>
  <si>
    <t>MINES</t>
  </si>
  <si>
    <t>GRAVEL LEADING TO INFORMAL SETTLEMENT OUTSIDE BEATRIX MINE</t>
  </si>
  <si>
    <t>CLEANING OF WARDS &amp; REMOVING ILLEGAL DUMPS</t>
  </si>
  <si>
    <t>TOTAL CAPEX</t>
  </si>
  <si>
    <t>Sources of Funding Summary</t>
  </si>
  <si>
    <t>Own</t>
  </si>
  <si>
    <t>Unknown</t>
  </si>
  <si>
    <t>Premiers Office and Mines</t>
  </si>
  <si>
    <t>Dept Sport,Arts and Culture</t>
  </si>
  <si>
    <t xml:space="preserve">WINBURG </t>
  </si>
  <si>
    <t>Property</t>
  </si>
  <si>
    <t>0.225</t>
  </si>
  <si>
    <t>0.024</t>
  </si>
  <si>
    <t>0.30</t>
  </si>
  <si>
    <t xml:space="preserve">SOUTPAN </t>
  </si>
  <si>
    <t>0.08</t>
  </si>
  <si>
    <t>0.09</t>
  </si>
  <si>
    <t>0.10</t>
  </si>
  <si>
    <t xml:space="preserve">THEUNISSEN </t>
  </si>
  <si>
    <t>0.111</t>
  </si>
  <si>
    <t>0.12</t>
  </si>
  <si>
    <t>0.13</t>
  </si>
  <si>
    <t xml:space="preserve">BRANDFORT </t>
  </si>
  <si>
    <t>0.0641</t>
  </si>
  <si>
    <t>0.07</t>
  </si>
  <si>
    <t>Schools with septic tanks per cubic meter</t>
  </si>
  <si>
    <t>545.00</t>
  </si>
  <si>
    <t>580.43</t>
  </si>
  <si>
    <t>621.06</t>
  </si>
  <si>
    <t>Schools with sewerage</t>
  </si>
  <si>
    <t>527.56</t>
  </si>
  <si>
    <t>561.85</t>
  </si>
  <si>
    <t>601.18</t>
  </si>
  <si>
    <t>Post Office</t>
  </si>
  <si>
    <t>529.74</t>
  </si>
  <si>
    <t>564.17</t>
  </si>
  <si>
    <t>603.66</t>
  </si>
  <si>
    <t>SAPS</t>
  </si>
  <si>
    <t>Correctional Services</t>
  </si>
  <si>
    <t>5749.75</t>
  </si>
  <si>
    <t>6123.48</t>
  </si>
  <si>
    <t>6552.12</t>
  </si>
  <si>
    <t>Hostels</t>
  </si>
  <si>
    <t>158.05</t>
  </si>
  <si>
    <t>168.32</t>
  </si>
  <si>
    <t>180.10</t>
  </si>
  <si>
    <t>Dept of Justice</t>
  </si>
  <si>
    <t>178.76</t>
  </si>
  <si>
    <t>190.38</t>
  </si>
  <si>
    <t>203.71</t>
  </si>
  <si>
    <t>SAPS Quarters and Hostels</t>
  </si>
  <si>
    <t>1008.25</t>
  </si>
  <si>
    <t>1073.79</t>
  </si>
  <si>
    <t>1148.96</t>
  </si>
  <si>
    <t>Hospitals</t>
  </si>
  <si>
    <t>7788.05</t>
  </si>
  <si>
    <t>8294.27</t>
  </si>
  <si>
    <t>8874.87</t>
  </si>
  <si>
    <t>Traffic Department</t>
  </si>
  <si>
    <t>179.85</t>
  </si>
  <si>
    <t>191.54</t>
  </si>
  <si>
    <t>204.95</t>
  </si>
  <si>
    <t>Old age homes</t>
  </si>
  <si>
    <t>359.70</t>
  </si>
  <si>
    <t>383.08</t>
  </si>
  <si>
    <t>409.90</t>
  </si>
  <si>
    <t>Households with Septic Tanks per cubic meter</t>
  </si>
  <si>
    <t>64.31</t>
  </si>
  <si>
    <t>68.49</t>
  </si>
  <si>
    <t>73.28</t>
  </si>
  <si>
    <t>Business with Septic Tanks</t>
  </si>
  <si>
    <t>140.00</t>
  </si>
  <si>
    <t>149.10</t>
  </si>
  <si>
    <t>159.54</t>
  </si>
  <si>
    <t>Opening of a blocked drain</t>
  </si>
  <si>
    <t>150.00</t>
  </si>
  <si>
    <t>159.75</t>
  </si>
  <si>
    <t>170.93</t>
  </si>
  <si>
    <t>REPAIR WORK</t>
  </si>
  <si>
    <t>Actual cost plus 10%</t>
  </si>
  <si>
    <t>RECONNECTION FEES</t>
  </si>
  <si>
    <t>Reconnection</t>
  </si>
  <si>
    <t>80.00</t>
  </si>
  <si>
    <t>85.60</t>
  </si>
  <si>
    <t>Connection fee</t>
  </si>
  <si>
    <t>Clearance certificate</t>
  </si>
  <si>
    <t>50.00</t>
  </si>
  <si>
    <t>Valuation certificate</t>
  </si>
  <si>
    <t>35.00</t>
  </si>
  <si>
    <t>5.00</t>
  </si>
  <si>
    <t>8</t>
  </si>
  <si>
    <t>POUND FEES</t>
  </si>
  <si>
    <t>Cows, bulls and horses</t>
  </si>
  <si>
    <t>10.00</t>
  </si>
  <si>
    <t>Sheep and goats</t>
  </si>
  <si>
    <t>Herding fees - per kilometre</t>
  </si>
  <si>
    <t>Admin cost</t>
  </si>
  <si>
    <t>10%</t>
  </si>
  <si>
    <t>250.00</t>
  </si>
  <si>
    <t>Non-residents</t>
  </si>
  <si>
    <t>400.00</t>
  </si>
  <si>
    <t>225.00</t>
  </si>
  <si>
    <t>100.00</t>
  </si>
  <si>
    <t>Burial in case of grave already purchased</t>
  </si>
  <si>
    <t>175.00</t>
  </si>
  <si>
    <t>Burial of cremated corpses</t>
  </si>
  <si>
    <t>85.00</t>
  </si>
  <si>
    <t>Two people to be buried in one grave (additional)</t>
  </si>
  <si>
    <t>200.00</t>
  </si>
  <si>
    <t>300.00</t>
  </si>
  <si>
    <t>Sundays and any public holiday as well as after 15H00 on any working day</t>
  </si>
  <si>
    <t>HALLS</t>
  </si>
  <si>
    <t>Town Hall (Main)</t>
  </si>
  <si>
    <t>Deposit( Activities in general)</t>
  </si>
  <si>
    <t>Deposit(Indemnity for high risk activities)</t>
  </si>
  <si>
    <t>Town Hall (Side)</t>
  </si>
  <si>
    <t>Deposit</t>
  </si>
  <si>
    <t>Kitchen</t>
  </si>
  <si>
    <t>Community Hall</t>
  </si>
  <si>
    <t>Library Hall</t>
  </si>
  <si>
    <t>Deposit Showgrounds and sport fields</t>
  </si>
  <si>
    <t>Encroachments of boundaries</t>
  </si>
  <si>
    <t>Residential/Businesses</t>
  </si>
  <si>
    <t>Year</t>
  </si>
  <si>
    <t>Per annum</t>
  </si>
  <si>
    <t>INDIGENCY DISCOUNTS</t>
  </si>
  <si>
    <t>All Services and Rates for Residential Households</t>
  </si>
  <si>
    <t>See tariffs as per service</t>
  </si>
  <si>
    <t>SELLING OF ERVEN</t>
  </si>
  <si>
    <t>The valuation price will be the selling price</t>
  </si>
  <si>
    <t>Undeveloped residential sites</t>
  </si>
  <si>
    <t>R1.00 per sq meter</t>
  </si>
  <si>
    <t>R1.07 per sq meter</t>
  </si>
  <si>
    <t>R1.13 per sq meter</t>
  </si>
  <si>
    <t>R1.20 per sq meter</t>
  </si>
  <si>
    <t>R1.28 per sq meter</t>
  </si>
  <si>
    <t>R1.37 per sq meter</t>
  </si>
  <si>
    <t>Developed residential sites</t>
  </si>
  <si>
    <t>R1.50 per sq meter</t>
  </si>
  <si>
    <t>R1.61 per sq meter</t>
  </si>
  <si>
    <t>R1.71 per sq meter</t>
  </si>
  <si>
    <t>R1.82 per sq meter</t>
  </si>
  <si>
    <t>R1.95 per sq meter</t>
  </si>
  <si>
    <t>R2.09 per sq meter</t>
  </si>
  <si>
    <t>Undeveloped business sites</t>
  </si>
  <si>
    <t>R2.50 per sq meter</t>
  </si>
  <si>
    <t>R2.68 per sq meter</t>
  </si>
  <si>
    <t>R2.84 per sq meter</t>
  </si>
  <si>
    <t>R3.00 per sq meter</t>
  </si>
  <si>
    <t>R3.21 per sq meter</t>
  </si>
  <si>
    <t>R3.43 per sq meter</t>
  </si>
  <si>
    <t>Developed business sites</t>
  </si>
  <si>
    <t>R4.00 per sq meter</t>
  </si>
  <si>
    <t>R4.28 per sq meter</t>
  </si>
  <si>
    <t>R4.54 per sq meter</t>
  </si>
  <si>
    <t>R4.85 per sq meter</t>
  </si>
  <si>
    <t>R5.20 per sq meter</t>
  </si>
  <si>
    <t>R5.57 per sq meter</t>
  </si>
  <si>
    <t>Sale of land for social housing</t>
  </si>
  <si>
    <t>R7.00 per sq meter</t>
  </si>
  <si>
    <t>R7.46 per sq meter</t>
  </si>
  <si>
    <t>R7.98 per sq meter</t>
  </si>
  <si>
    <t>R8.54 per sq meter</t>
  </si>
  <si>
    <t>RENT OF ERVEN</t>
  </si>
  <si>
    <t>R1.40 per sq meter</t>
  </si>
  <si>
    <t>R2.10 per sq meter</t>
  </si>
  <si>
    <t>R3.50 per sq meter</t>
  </si>
  <si>
    <t>R5.60 per sq meter</t>
  </si>
  <si>
    <t>R9.00 per sq meter</t>
  </si>
  <si>
    <t>SELLING OF SCRAP METAL / MATERIAL</t>
  </si>
  <si>
    <t>To be determined by the Municipal Manager and or sold on auction</t>
  </si>
  <si>
    <t>SUNDRY TARIFFS</t>
  </si>
  <si>
    <t>Bush Cutter</t>
  </si>
  <si>
    <t>rate per hour</t>
  </si>
  <si>
    <t>Tipper Truck</t>
  </si>
  <si>
    <t>Tractor</t>
  </si>
  <si>
    <t>Brush Cutter</t>
  </si>
  <si>
    <t>Trailer</t>
  </si>
  <si>
    <t>Chain Saw</t>
  </si>
  <si>
    <t>Compressor</t>
  </si>
  <si>
    <t>Grader</t>
  </si>
  <si>
    <t>Cherry Picker</t>
  </si>
  <si>
    <t>Admin fees &amp; avail of Municipal land</t>
  </si>
  <si>
    <t>Admin fees for initiation school not on municipal land</t>
  </si>
  <si>
    <t>COMMONAGE TARIFFS</t>
  </si>
  <si>
    <t>Per month per head for cattle</t>
  </si>
  <si>
    <t>Per month per head for sheep</t>
  </si>
  <si>
    <t>Per month per head for pigs</t>
  </si>
  <si>
    <t>Per month per head for horses</t>
  </si>
  <si>
    <t>Rent of creaches</t>
  </si>
  <si>
    <t>R5.00 per sq meter</t>
  </si>
  <si>
    <t>maximum</t>
  </si>
  <si>
    <t xml:space="preserve">Containers on Municipal Properties </t>
  </si>
  <si>
    <t>200.00/month</t>
  </si>
  <si>
    <t>213.00/month</t>
  </si>
  <si>
    <t>230.00/month</t>
  </si>
  <si>
    <t>Transfer of sites from one person to another in</t>
  </si>
  <si>
    <t>The township</t>
  </si>
  <si>
    <t>Sale of gravel</t>
  </si>
  <si>
    <t>Sale of soil</t>
  </si>
  <si>
    <t>Erection of advertisements Temporary</t>
  </si>
  <si>
    <t>R 1.5 per day per poster</t>
  </si>
  <si>
    <t>Erection of advertisements Permanent</t>
  </si>
  <si>
    <t>&lt;0.75 sq meter</t>
  </si>
  <si>
    <t>R500,00</t>
  </si>
  <si>
    <t>R535</t>
  </si>
  <si>
    <t>0.75 -1.5 sq meter</t>
  </si>
  <si>
    <t>R750,00</t>
  </si>
  <si>
    <t>R800</t>
  </si>
  <si>
    <t>1.5 -2.25 sq meter</t>
  </si>
  <si>
    <t>R1000,00</t>
  </si>
  <si>
    <t>R1070</t>
  </si>
  <si>
    <t>2015/2017</t>
  </si>
  <si>
    <t>MIG/FS0978/W/13/13</t>
  </si>
  <si>
    <t>UPGRADING OF WATER TREATMENT WORKS AND GROUND STORAGE RESEVOIR</t>
  </si>
  <si>
    <t>UPGRADING OF WATER TREATMENT WORKS AND CONSTRUCTION OF 2ML RESEVOIR</t>
  </si>
  <si>
    <t>MIG/FS0980/W/13/14</t>
  </si>
  <si>
    <t>MIG/FS0981/W/14/15</t>
  </si>
  <si>
    <t>UPGRADING OF WATER TREATMENT WORKS AND UPGRADE OF EARTH DAMS</t>
  </si>
  <si>
    <t>NOT REGISTERED</t>
  </si>
  <si>
    <t>CONTRUCTION OF WASTE DISPOSAL SITE</t>
  </si>
  <si>
    <t>CONSTRUCTION OF SEWER PUMP STATION</t>
  </si>
  <si>
    <t>UPGRADE OF OUTFALL SEWER</t>
  </si>
  <si>
    <t>DRAFT ANNUAL BUDGET</t>
  </si>
  <si>
    <t>CAPITAL BUDGET</t>
  </si>
  <si>
    <t>FURNITURE &amp; EQUIPMENT</t>
  </si>
  <si>
    <t>TIPPER TRUCKS</t>
  </si>
  <si>
    <t>Full Year</t>
  </si>
  <si>
    <t>Actual</t>
  </si>
  <si>
    <t>2013/2015</t>
  </si>
  <si>
    <t xml:space="preserve">Actual </t>
  </si>
  <si>
    <t>SEWERAGE SERVICES (INFRASTRUCTURE SERVICES)</t>
  </si>
  <si>
    <t>REFUSE SERVICES (SOCIAL AND COMMUNITY SERVICES)</t>
  </si>
  <si>
    <t xml:space="preserve">YELLOW FLEET </t>
  </si>
  <si>
    <t>TRAFFIC VEHICLE</t>
  </si>
  <si>
    <t>DATA SERVER PURCHASE &amp; EQUIPMENT</t>
  </si>
  <si>
    <t>2017/2018</t>
  </si>
  <si>
    <t>Books Printing &amp; publications</t>
  </si>
  <si>
    <t>Capacity Development Programmes for SMMEs</t>
  </si>
  <si>
    <t>Furniture &amp; equipment (Computers)</t>
  </si>
  <si>
    <t>q</t>
  </si>
  <si>
    <t>PLANNING &amp; IDP</t>
  </si>
  <si>
    <t>Special programmes  Gender programmes</t>
  </si>
  <si>
    <t>Capital programmes(Youth centre)</t>
  </si>
  <si>
    <t>Public participation &amp; education(Oper Pat)</t>
  </si>
  <si>
    <t>Audit internal(Tribunal committee remunerations)</t>
  </si>
  <si>
    <t>MIG/FS/1001/F/14/15</t>
  </si>
  <si>
    <t>FENCING OF OXIDATION POND</t>
  </si>
  <si>
    <t>MIG/FS/1002/F/13/15</t>
  </si>
  <si>
    <t>FENCING OF WATER TREATMENT WORKS</t>
  </si>
  <si>
    <t>MIG/FS/1003/F/13/15</t>
  </si>
  <si>
    <t>FENCING OF RESEVOIR</t>
  </si>
  <si>
    <t>MIG/FS/1004/C/14/15</t>
  </si>
  <si>
    <t>MIG/FS/1005/F/14/15</t>
  </si>
  <si>
    <t>FENCING OF CEMETERY AND BUILDING ABLUTION FACILITY</t>
  </si>
  <si>
    <t>MIG/FS/1006/F/14/15</t>
  </si>
  <si>
    <t>FENCING OF CEMETERIES</t>
  </si>
  <si>
    <t>MIG/FS/1008/FS/14/15</t>
  </si>
  <si>
    <t>CONSTRUCTION OF SEWER PUMPSTATION &amp; MAIN IN MAKELEKETLA</t>
  </si>
  <si>
    <t>COMMUNITY</t>
  </si>
  <si>
    <t>FENCING OF A COMMUNITY HALL</t>
  </si>
  <si>
    <t>UPGRADING OF GRAVEL ROADS,PAVIN, PATCHING OF POTHOLES</t>
  </si>
  <si>
    <t>WINBURG &amp; THEUNISSEN</t>
  </si>
  <si>
    <t>UPGRADING OF LADFILLS</t>
  </si>
  <si>
    <t>EPIP</t>
  </si>
  <si>
    <t>IRRIGATION SYSTEM</t>
  </si>
  <si>
    <t>0-500</t>
  </si>
  <si>
    <t>501-1000</t>
  </si>
  <si>
    <t>1001 and more</t>
  </si>
  <si>
    <t>Rezoning</t>
  </si>
  <si>
    <t>Removal, amendmentsor suspension of restrictive title conditions</t>
  </si>
  <si>
    <t>Amendments of general plan</t>
  </si>
  <si>
    <t>Permanent closure of a public place</t>
  </si>
  <si>
    <t>Consent use</t>
  </si>
  <si>
    <t>Sub-division</t>
  </si>
  <si>
    <t>Sub-division per additional portion after 5th</t>
  </si>
  <si>
    <t>Consolidation</t>
  </si>
  <si>
    <t>Consolidation per additional portion after 5th</t>
  </si>
  <si>
    <t>General</t>
  </si>
  <si>
    <t>Appeal on decision</t>
  </si>
  <si>
    <t>Zoning certificate</t>
  </si>
  <si>
    <t>Government refuse removal per month</t>
  </si>
  <si>
    <t>16-21 Kilolitre</t>
  </si>
  <si>
    <t>7-10 Kilolitre</t>
  </si>
  <si>
    <t>0-6 Kilolitre</t>
  </si>
  <si>
    <t>11-15 Kilotre</t>
  </si>
  <si>
    <t>&gt;21 Kilolitre</t>
  </si>
  <si>
    <t>COMMERCIAL</t>
  </si>
  <si>
    <t>Consumption up to 200 per kiloltre</t>
  </si>
  <si>
    <t>Consumption &gt;200 per kiloltre</t>
  </si>
  <si>
    <t>INSTITUTIONAL BUILDING</t>
  </si>
  <si>
    <t>INDUSTRIES</t>
  </si>
  <si>
    <t>VACANT STANDS</t>
  </si>
  <si>
    <t>Basic charge</t>
  </si>
  <si>
    <t>Per residential stand</t>
  </si>
  <si>
    <t>Per non- residential stand</t>
  </si>
  <si>
    <t>ILLEGAL CONNECTION</t>
  </si>
  <si>
    <t>VAT INCL</t>
  </si>
  <si>
    <t>N/A</t>
  </si>
  <si>
    <t>VACUM TANKER SERVICE</t>
  </si>
  <si>
    <t xml:space="preserve">For the removal of sewerage by vacuum tank outside a sewer reticulated </t>
  </si>
  <si>
    <t xml:space="preserve">area per kilolitre </t>
  </si>
  <si>
    <t>DOMESTIC PRE-PAID</t>
  </si>
  <si>
    <t xml:space="preserve">DOMESTIC CONVENTIONAL </t>
  </si>
  <si>
    <t>SCHOOLS AND OLD AGE HOMES</t>
  </si>
  <si>
    <t>CONVENTIONAL</t>
  </si>
  <si>
    <t>PRE-PAID</t>
  </si>
  <si>
    <t>Consumption per unit (c/kWh)</t>
  </si>
  <si>
    <t>DEPARTMENTAL(INTERNAL)</t>
  </si>
  <si>
    <t>Consumption per unti (c )</t>
  </si>
  <si>
    <t>Demand charges</t>
  </si>
  <si>
    <t>INDUSTRIAL TARIFFS</t>
  </si>
  <si>
    <t>ELECTRICITY TARIFFS</t>
  </si>
  <si>
    <t>Large power user 400V (scale 3A)</t>
  </si>
  <si>
    <t>Consumption per unit (c )</t>
  </si>
  <si>
    <t>LARGE POWER USER 11kv (scale 3B)</t>
  </si>
  <si>
    <t xml:space="preserve">NON- STANDARD TARIFF </t>
  </si>
  <si>
    <t>Farms Residential</t>
  </si>
  <si>
    <t>Conventional</t>
  </si>
  <si>
    <t>Energy charge (c/kWh)</t>
  </si>
  <si>
    <t>Pre-Paid</t>
  </si>
  <si>
    <t>Farms below 50kVa</t>
  </si>
  <si>
    <t>Cleaning of VIP toilets (Households) pm</t>
  </si>
  <si>
    <t>INDUSTRIAL EFFLUENT</t>
  </si>
  <si>
    <t>Consumption per kl</t>
  </si>
  <si>
    <t>VACANT STAND</t>
  </si>
  <si>
    <t>Non-residential stand pm</t>
  </si>
  <si>
    <t xml:space="preserve">VIP TOILETS </t>
  </si>
  <si>
    <t>Baby</t>
  </si>
  <si>
    <t>Childen under 9 years</t>
  </si>
  <si>
    <t xml:space="preserve">Children above 9 years and adults </t>
  </si>
  <si>
    <t>Outsize graves</t>
  </si>
  <si>
    <t>Weekend funerals closing of graves by municipal officials (Saturday)</t>
  </si>
  <si>
    <t xml:space="preserve">Fine to release Roaming live-stock </t>
  </si>
  <si>
    <t xml:space="preserve"> Residential  stand pm</t>
  </si>
  <si>
    <t>SPLUMA</t>
  </si>
  <si>
    <t>BUDGET AND TREASURY OFFICE</t>
  </si>
  <si>
    <t>Religious</t>
  </si>
  <si>
    <t>Vacant land irrespective of zoning</t>
  </si>
  <si>
    <t>CATEGORY 1 APPLICATION</t>
  </si>
  <si>
    <t xml:space="preserve">CATEGORY 2 APPLICATION </t>
  </si>
  <si>
    <t>RECONNECTION (Account default)</t>
  </si>
  <si>
    <t>CONNECTION FEE (OPENING OF NEW ACCOUNT)</t>
  </si>
  <si>
    <t>Deposit (Residental)</t>
  </si>
  <si>
    <t>Deposit (Business)</t>
  </si>
  <si>
    <t>Deposit (Industrial)</t>
  </si>
  <si>
    <t>NB:</t>
  </si>
  <si>
    <t>CRIMINAL CHARGE WILL BE OPENED</t>
  </si>
  <si>
    <t>Penalty (Residential)</t>
  </si>
  <si>
    <t>Penalty (Business)</t>
  </si>
  <si>
    <t>Penalty (Industrial)</t>
  </si>
  <si>
    <t>Reconnection fee All</t>
  </si>
  <si>
    <t>TRAFFIC FINES</t>
  </si>
  <si>
    <t>Inspection fee</t>
  </si>
  <si>
    <t>FIRE SERVICES</t>
  </si>
  <si>
    <t>Within - Register of calls</t>
  </si>
  <si>
    <t>Outside - Register of calls</t>
  </si>
  <si>
    <t>Within - Cost per kilolitre</t>
  </si>
  <si>
    <t>Outside - Cost per kilolitre</t>
  </si>
  <si>
    <t>Use of foam/ fire extinguisher</t>
  </si>
  <si>
    <t>Rental Showgrounds and sport fields (weekdays)</t>
  </si>
  <si>
    <t>Rental Showgrounds and sport fields (Weekends)</t>
  </si>
  <si>
    <t>MUNICIPAL HOUSES AND FLATS</t>
  </si>
  <si>
    <t>RENTAL OF MUNICIPAL LAND</t>
  </si>
  <si>
    <t>Rental (flats)</t>
  </si>
  <si>
    <t>Rental (Houses)</t>
  </si>
  <si>
    <t>For grazing per hector p.m</t>
  </si>
  <si>
    <t>For ploughing per hector p.m</t>
  </si>
  <si>
    <t>MINING  PROPERTIES</t>
  </si>
  <si>
    <t>Reservation of a grave (36 months) + percentage annual increase on tariff</t>
  </si>
  <si>
    <t xml:space="preserve">PUBLIC SERVICE INFRASTRUCTURE 30%exempt (market value) </t>
  </si>
  <si>
    <t>Call out for fires</t>
  </si>
  <si>
    <t>hourly tariff</t>
  </si>
  <si>
    <t xml:space="preserve">Water and Electricty </t>
  </si>
  <si>
    <t>in terms of the National law enforcement tariff charge list</t>
  </si>
  <si>
    <t>%</t>
  </si>
  <si>
    <t>p/sq meter</t>
  </si>
  <si>
    <t>Township establishment per erf(single)</t>
  </si>
  <si>
    <t>Township establishment per erf(Group)</t>
  </si>
  <si>
    <t>Township establishment per erf(Business&amp;Other)</t>
  </si>
  <si>
    <t>Township establishment per erf(Industrial)</t>
  </si>
  <si>
    <t>Per erf</t>
  </si>
  <si>
    <t>Note: Advertisement and registration costs for the applicant's bugdet are not included in the application fee.</t>
  </si>
  <si>
    <t>Tender fees: Below R200 000</t>
  </si>
  <si>
    <t>Tender fees: Above R200 000</t>
  </si>
  <si>
    <t>NB: FOR COUNCIL TO APPROVE: A20 ALL TARIFF MUST BE ROUNDED OFF TO THE NEAREST RAND</t>
  </si>
  <si>
    <t>Undeveloped Vacant land Private owned</t>
  </si>
  <si>
    <t>Undeveloped Vacant land Private owned (Flat rate charged in Rand)</t>
  </si>
  <si>
    <t>VAT EXCL</t>
  </si>
  <si>
    <t>Sale of grave(own digging)</t>
  </si>
  <si>
    <t>Households Indigents</t>
  </si>
  <si>
    <t>Basic charge Indigents</t>
  </si>
  <si>
    <t>Minimum charge Indigents</t>
  </si>
  <si>
    <t>Masilo, Majwemasoeu,Tshepong and Makeleketla</t>
  </si>
  <si>
    <t>Theunissen, Brandfort, Winburg, Verkeerdevlei</t>
  </si>
  <si>
    <t>Basic charge p/m</t>
  </si>
  <si>
    <t>General Public up to 1000 kg</t>
  </si>
  <si>
    <t>Safe disposal of products:crushed/buried</t>
  </si>
  <si>
    <t>Clean building material less than 300mm diameter</t>
  </si>
  <si>
    <t>Soil, usable as cover material</t>
  </si>
  <si>
    <t>Delisted solids (less than 300mm diameter)</t>
  </si>
  <si>
    <t>Delisted sludge (trench and cover)</t>
  </si>
  <si>
    <t>Delisted liquids (trench and cover)</t>
  </si>
  <si>
    <t>Disposal of treated liquids/sludge of contaminated foods</t>
  </si>
  <si>
    <t>Disposal of clean compostable garden refuseby general publicand contractor, in excess of 1000kg</t>
  </si>
  <si>
    <t>Disposal of treated liquids/sludge of contaminated food stuff where lime is used will be calculated according to the amount of bags used on the said product.</t>
  </si>
  <si>
    <t>Tyres are not acceoted on site</t>
  </si>
  <si>
    <t xml:space="preserve">Paper pulp exceeding 40% moisture content </t>
  </si>
  <si>
    <t>Disposal of general and non-hazardous indstrial dry solid wa</t>
  </si>
  <si>
    <t>Zero rated</t>
  </si>
  <si>
    <t>Disposal by general and non-hazardous industrial dry solid waste by the public and contractors in excess of 1000 kg</t>
  </si>
  <si>
    <t>300.00 plus additional R70 per bag of limefor the treatment of waste</t>
  </si>
  <si>
    <t>LANDFILL WASTE TARIFF</t>
  </si>
  <si>
    <t>2018/2019</t>
  </si>
  <si>
    <t>Building Plans</t>
  </si>
  <si>
    <t>Block 1 (0-50c/kWh)</t>
  </si>
  <si>
    <t>Block 2 (51- 350c/kWh)</t>
  </si>
  <si>
    <t>Block 3 (351-600c/kWh)</t>
  </si>
  <si>
    <t>Block4 (&gt;600c/kWh)</t>
  </si>
  <si>
    <t>New building plans</t>
  </si>
  <si>
    <t>Building renovations plans</t>
  </si>
  <si>
    <t xml:space="preserve">Reservation of a grave </t>
  </si>
  <si>
    <t>Returned  cheque bank charge</t>
  </si>
  <si>
    <t>Returned cheque penalty</t>
  </si>
  <si>
    <t>CONSUMER BEOW 50kVA EXCLUDING RESIDENTIALS AND  OLD AGE HOMES</t>
  </si>
  <si>
    <t xml:space="preserve">Businesses </t>
  </si>
  <si>
    <t>2018/2019 MASILONYANA APPROVED TARIFFS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</si>
</sst>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0">
    <numFmt numFmtId="43" formatCode="_(* #,##0.00_);_(* \(#,##0.00\);_(* &quot;-&quot;??_);_(@_)"/>
    <numFmt numFmtId="164" formatCode="_ * #,##0_ ;_ * \-#,##0_ ;_ * &quot;-&quot;_ ;_ @_ "/>
    <numFmt numFmtId="165" formatCode="_ * #,##0.00_ ;_ * \-#,##0.00_ ;_ * &quot;-&quot;??_ ;_ @_ "/>
    <numFmt numFmtId="166" formatCode="_-&quot;R&quot;* #,##0.00_-;\-&quot;R&quot;* #,##0.00_-;_-&quot;R&quot;* &quot;-&quot;??_-;_-@_-"/>
    <numFmt numFmtId="167" formatCode="_ * #,##0_ ;_ * \-#,##0_ ;_ * &quot;-&quot;??_ ;_ @_ "/>
    <numFmt numFmtId="168" formatCode="#,##0_ ;\-#,##0\ "/>
    <numFmt numFmtId="169" formatCode="_(* #,##0_);_(* \(#,##0\);_(* &quot;-&quot;??_);_(@_)"/>
    <numFmt numFmtId="170" formatCode="_(* #,##0.000_);_(* \(#,##0.000\);_(* &quot;-&quot;??_);_(@_)"/>
    <numFmt numFmtId="171" formatCode="_ * #,##0.000_ ;_ * \-#,##0.000_ ;_ * &quot;-&quot;???_ ;_ @_ "/>
    <numFmt numFmtId="172" formatCode="#,##0.00_ ;\-#,##0.00\ "/>
    <numFmt numFmtId="173" formatCode="0.0%"/>
    <numFmt numFmtId="174" formatCode="_ * #,##0.000_ ;_ * \-#,##0.000_ ;_ * &quot;-&quot;??_ ;_ @_ "/>
    <numFmt numFmtId="175" formatCode="_ &quot;R&quot;* #,##0.0000_ ;_ &quot;R&quot;* \-#,##0.0000_ ;_ &quot;R&quot;* &quot;-&quot;????_ ;_ @_ "/>
    <numFmt numFmtId="176" formatCode="_(* #,##0.00000_);_(* \(#,##0.00000\);_(* &quot;-&quot;?????_);_(@_)"/>
    <numFmt numFmtId="177" formatCode="0,000.00"/>
    <numFmt numFmtId="178" formatCode="0,000,000"/>
    <numFmt numFmtId="179" formatCode="_ * #,##0.00_ ;_ * \-#,##0.00_ ;_ * &quot;-&quot;_ ;_ @_ "/>
    <numFmt numFmtId="180" formatCode="_-* #,##0_-;\-* #,##0_-;_-* &quot;-&quot;??_-;_-@_-"/>
    <numFmt numFmtId="181" formatCode="_ * #,##0.00_ ;_ * \-#,##0.00_ ;_ * &quot;-&quot;???_ ;_ @_ "/>
    <numFmt numFmtId="182" formatCode="_(* #,##0.00_);_(* \(#,##0.00\);_(* &quot;-&quot;?????_);_(@_)"/>
  </numFmts>
  <fonts count="50" x14ac:knownFonts="1">
    <font>
      <sz val="10"/>
      <name val="Arial"/>
    </font>
    <font>
      <sz val="10"/>
      <name val="Arial"/>
      <family val="2"/>
    </font>
    <font>
      <b/>
      <i/>
      <sz val="11"/>
      <name val="Arial"/>
      <family val="2"/>
    </font>
    <font>
      <i/>
      <sz val="8"/>
      <name val="Arial"/>
      <family val="2"/>
    </font>
    <font>
      <b/>
      <i/>
      <sz val="8"/>
      <name val="Arial"/>
      <family val="2"/>
    </font>
    <font>
      <sz val="8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b/>
      <i/>
      <u/>
      <sz val="10"/>
      <name val="Arial"/>
      <family val="2"/>
    </font>
    <font>
      <b/>
      <sz val="10"/>
      <name val="Arial"/>
      <family val="2"/>
    </font>
    <font>
      <b/>
      <i/>
      <sz val="12"/>
      <name val="Arial"/>
      <family val="2"/>
    </font>
    <font>
      <b/>
      <sz val="11"/>
      <name val="Arial"/>
      <family val="2"/>
    </font>
    <font>
      <sz val="20"/>
      <name val="Arial"/>
      <family val="2"/>
    </font>
    <font>
      <b/>
      <i/>
      <sz val="20"/>
      <name val="Arial"/>
      <family val="2"/>
    </font>
    <font>
      <sz val="36"/>
      <name val="Arial"/>
      <family val="2"/>
    </font>
    <font>
      <b/>
      <sz val="28"/>
      <name val="Arial"/>
      <family val="2"/>
    </font>
    <font>
      <b/>
      <i/>
      <sz val="28"/>
      <name val="Arial"/>
      <family val="2"/>
    </font>
    <font>
      <b/>
      <i/>
      <sz val="48"/>
      <name val="Arial"/>
      <family val="2"/>
    </font>
    <font>
      <sz val="48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i/>
      <sz val="10"/>
      <name val="Times New Roman"/>
      <family val="1"/>
    </font>
    <font>
      <i/>
      <sz val="8"/>
      <name val="Arial"/>
      <family val="2"/>
    </font>
    <font>
      <b/>
      <i/>
      <u/>
      <sz val="8"/>
      <name val="Arial"/>
      <family val="2"/>
    </font>
    <font>
      <b/>
      <i/>
      <sz val="9"/>
      <name val="Arial"/>
      <family val="2"/>
    </font>
    <font>
      <b/>
      <u/>
      <sz val="10"/>
      <name val="Arial"/>
      <family val="2"/>
    </font>
    <font>
      <b/>
      <sz val="9"/>
      <name val="Arial"/>
      <family val="2"/>
    </font>
    <font>
      <b/>
      <u/>
      <sz val="12"/>
      <name val="Arial"/>
      <family val="2"/>
    </font>
    <font>
      <sz val="18"/>
      <color rgb="FF000000"/>
      <name val="Calibri"/>
      <family val="2"/>
    </font>
    <font>
      <sz val="10"/>
      <color rgb="FF000000"/>
      <name val="Calibri"/>
      <family val="2"/>
    </font>
    <font>
      <b/>
      <sz val="12"/>
      <color rgb="FF000000"/>
      <name val="Calibri"/>
      <family val="2"/>
    </font>
    <font>
      <i/>
      <sz val="10"/>
      <color rgb="FF000000"/>
      <name val="Calibri"/>
      <family val="2"/>
    </font>
    <font>
      <vertAlign val="superscript"/>
      <sz val="10"/>
      <color rgb="FF000000"/>
      <name val="Calibri"/>
      <family val="2"/>
    </font>
    <font>
      <b/>
      <i/>
      <u/>
      <sz val="9"/>
      <name val="Arial"/>
      <family val="2"/>
    </font>
    <font>
      <i/>
      <sz val="8"/>
      <color rgb="FFFF0000"/>
      <name val="Arial"/>
      <family val="2"/>
    </font>
    <font>
      <sz val="9"/>
      <name val="Arial"/>
      <family val="2"/>
    </font>
    <font>
      <i/>
      <sz val="14"/>
      <name val="Arial"/>
      <family val="2"/>
    </font>
    <font>
      <b/>
      <u/>
      <sz val="14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8"/>
      <name val="Arial"/>
      <family val="2"/>
    </font>
    <font>
      <sz val="10"/>
      <color rgb="FF000000"/>
      <name val="Arial"/>
      <family val="2"/>
    </font>
    <font>
      <i/>
      <sz val="12"/>
      <name val="Arial"/>
      <family val="2"/>
    </font>
    <font>
      <b/>
      <i/>
      <sz val="12"/>
      <name val="Times New Roman"/>
      <family val="1"/>
    </font>
    <font>
      <b/>
      <i/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i/>
      <sz val="12"/>
      <color rgb="FF000000"/>
      <name val="Calibri"/>
      <family val="2"/>
    </font>
    <font>
      <b/>
      <i/>
      <sz val="12"/>
      <color rgb="FF000000"/>
      <name val="Arial"/>
      <family val="2"/>
    </font>
    <font>
      <b/>
      <i/>
      <sz val="1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</cellStyleXfs>
  <cellXfs count="968">
    <xf numFmtId="0" fontId="0" fillId="0" borderId="0" xfId="0"/>
    <xf numFmtId="167" fontId="3" fillId="2" borderId="1" xfId="1" applyNumberFormat="1" applyFont="1" applyFill="1" applyBorder="1" applyAlignment="1">
      <alignment horizontal="center"/>
    </xf>
    <xf numFmtId="0" fontId="3" fillId="0" borderId="2" xfId="0" applyFont="1" applyBorder="1"/>
    <xf numFmtId="167" fontId="3" fillId="2" borderId="3" xfId="1" applyNumberFormat="1" applyFont="1" applyFill="1" applyBorder="1"/>
    <xf numFmtId="0" fontId="3" fillId="0" borderId="4" xfId="0" applyFont="1" applyBorder="1"/>
    <xf numFmtId="0" fontId="3" fillId="0" borderId="1" xfId="0" applyFont="1" applyBorder="1"/>
    <xf numFmtId="0" fontId="0" fillId="0" borderId="5" xfId="0" applyBorder="1"/>
    <xf numFmtId="0" fontId="0" fillId="0" borderId="6" xfId="0" applyBorder="1"/>
    <xf numFmtId="0" fontId="3" fillId="0" borderId="0" xfId="0" applyFont="1" applyBorder="1"/>
    <xf numFmtId="167" fontId="3" fillId="2" borderId="1" xfId="1" applyNumberFormat="1" applyFont="1" applyFill="1" applyBorder="1" applyAlignment="1">
      <alignment horizontal="center" wrapText="1"/>
    </xf>
    <xf numFmtId="167" fontId="3" fillId="2" borderId="4" xfId="1" applyNumberFormat="1" applyFont="1" applyFill="1" applyBorder="1" applyAlignment="1">
      <alignment horizontal="center"/>
    </xf>
    <xf numFmtId="0" fontId="0" fillId="0" borderId="0" xfId="0" applyBorder="1"/>
    <xf numFmtId="167" fontId="3" fillId="0" borderId="1" xfId="1" applyNumberFormat="1" applyFont="1" applyBorder="1"/>
    <xf numFmtId="167" fontId="3" fillId="0" borderId="2" xfId="1" applyNumberFormat="1" applyFont="1" applyBorder="1"/>
    <xf numFmtId="0" fontId="3" fillId="0" borderId="7" xfId="0" applyFont="1" applyBorder="1"/>
    <xf numFmtId="0" fontId="3" fillId="0" borderId="8" xfId="0" applyFont="1" applyBorder="1"/>
    <xf numFmtId="167" fontId="3" fillId="0" borderId="0" xfId="1" applyNumberFormat="1" applyFont="1"/>
    <xf numFmtId="167" fontId="3" fillId="0" borderId="3" xfId="1" applyNumberFormat="1" applyFont="1" applyBorder="1"/>
    <xf numFmtId="0" fontId="0" fillId="0" borderId="9" xfId="0" applyBorder="1"/>
    <xf numFmtId="0" fontId="0" fillId="0" borderId="10" xfId="0" applyBorder="1"/>
    <xf numFmtId="0" fontId="0" fillId="0" borderId="7" xfId="0" applyBorder="1"/>
    <xf numFmtId="0" fontId="0" fillId="0" borderId="11" xfId="0" applyBorder="1"/>
    <xf numFmtId="0" fontId="0" fillId="0" borderId="8" xfId="0" applyBorder="1"/>
    <xf numFmtId="0" fontId="7" fillId="0" borderId="12" xfId="0" applyFont="1" applyBorder="1"/>
    <xf numFmtId="0" fontId="7" fillId="0" borderId="10" xfId="0" applyFont="1" applyBorder="1"/>
    <xf numFmtId="167" fontId="0" fillId="0" borderId="0" xfId="0" applyNumberFormat="1"/>
    <xf numFmtId="0" fontId="0" fillId="0" borderId="0" xfId="0" applyAlignment="1">
      <alignment wrapText="1"/>
    </xf>
    <xf numFmtId="0" fontId="5" fillId="0" borderId="0" xfId="0" applyFont="1" applyAlignment="1">
      <alignment wrapText="1"/>
    </xf>
    <xf numFmtId="0" fontId="3" fillId="0" borderId="3" xfId="0" applyFont="1" applyBorder="1"/>
    <xf numFmtId="0" fontId="3" fillId="0" borderId="13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164" fontId="10" fillId="0" borderId="0" xfId="0" applyNumberFormat="1" applyFont="1"/>
    <xf numFmtId="164" fontId="0" fillId="0" borderId="0" xfId="0" applyNumberFormat="1"/>
    <xf numFmtId="164" fontId="6" fillId="0" borderId="14" xfId="0" applyNumberFormat="1" applyFont="1" applyBorder="1" applyAlignment="1">
      <alignment horizontal="centerContinuous"/>
    </xf>
    <xf numFmtId="164" fontId="6" fillId="0" borderId="15" xfId="0" applyNumberFormat="1" applyFont="1" applyBorder="1" applyAlignment="1">
      <alignment horizontal="centerContinuous"/>
    </xf>
    <xf numFmtId="164" fontId="6" fillId="0" borderId="16" xfId="0" applyNumberFormat="1" applyFont="1" applyBorder="1" applyAlignment="1">
      <alignment horizontal="centerContinuous"/>
    </xf>
    <xf numFmtId="164" fontId="6" fillId="0" borderId="9" xfId="0" applyNumberFormat="1" applyFont="1" applyBorder="1" applyAlignment="1">
      <alignment horizontal="centerContinuous"/>
    </xf>
    <xf numFmtId="164" fontId="6" fillId="0" borderId="17" xfId="0" applyNumberFormat="1" applyFont="1" applyBorder="1" applyAlignment="1">
      <alignment horizontal="centerContinuous"/>
    </xf>
    <xf numFmtId="164" fontId="6" fillId="0" borderId="18" xfId="0" applyNumberFormat="1" applyFont="1" applyBorder="1" applyAlignment="1">
      <alignment horizontal="center"/>
    </xf>
    <xf numFmtId="164" fontId="6" fillId="0" borderId="19" xfId="0" applyNumberFormat="1" applyFont="1" applyBorder="1" applyAlignment="1">
      <alignment horizontal="center"/>
    </xf>
    <xf numFmtId="164" fontId="6" fillId="0" borderId="20" xfId="0" applyNumberFormat="1" applyFont="1" applyBorder="1" applyAlignment="1">
      <alignment horizontal="center"/>
    </xf>
    <xf numFmtId="164" fontId="6" fillId="0" borderId="21" xfId="0" applyNumberFormat="1" applyFont="1" applyBorder="1" applyAlignment="1">
      <alignment horizontal="center"/>
    </xf>
    <xf numFmtId="164" fontId="0" fillId="0" borderId="22" xfId="0" applyNumberFormat="1" applyBorder="1"/>
    <xf numFmtId="164" fontId="0" fillId="0" borderId="2" xfId="0" applyNumberFormat="1" applyBorder="1"/>
    <xf numFmtId="164" fontId="0" fillId="0" borderId="6" xfId="0" applyNumberFormat="1" applyBorder="1"/>
    <xf numFmtId="164" fontId="0" fillId="0" borderId="0" xfId="0" applyNumberFormat="1" applyBorder="1"/>
    <xf numFmtId="164" fontId="0" fillId="0" borderId="23" xfId="0" applyNumberFormat="1" applyBorder="1"/>
    <xf numFmtId="164" fontId="0" fillId="0" borderId="3" xfId="0" applyNumberFormat="1" applyBorder="1"/>
    <xf numFmtId="164" fontId="11" fillId="0" borderId="24" xfId="0" applyNumberFormat="1" applyFont="1" applyBorder="1"/>
    <xf numFmtId="164" fontId="6" fillId="0" borderId="0" xfId="0" applyNumberFormat="1" applyFont="1" applyBorder="1" applyAlignment="1">
      <alignment horizontal="centerContinuous"/>
    </xf>
    <xf numFmtId="164" fontId="6" fillId="0" borderId="0" xfId="0" applyNumberFormat="1" applyFont="1" applyBorder="1" applyAlignment="1">
      <alignment horizontal="center"/>
    </xf>
    <xf numFmtId="164" fontId="11" fillId="0" borderId="0" xfId="0" applyNumberFormat="1" applyFont="1" applyBorder="1"/>
    <xf numFmtId="164" fontId="0" fillId="0" borderId="21" xfId="0" applyNumberFormat="1" applyBorder="1"/>
    <xf numFmtId="167" fontId="3" fillId="0" borderId="0" xfId="1" applyNumberFormat="1" applyFont="1" applyBorder="1"/>
    <xf numFmtId="0" fontId="12" fillId="0" borderId="0" xfId="0" applyFont="1"/>
    <xf numFmtId="0" fontId="14" fillId="0" borderId="0" xfId="0" applyFont="1"/>
    <xf numFmtId="0" fontId="9" fillId="0" borderId="0" xfId="0" applyFont="1"/>
    <xf numFmtId="0" fontId="6" fillId="0" borderId="0" xfId="0" applyFont="1"/>
    <xf numFmtId="0" fontId="0" fillId="0" borderId="14" xfId="0" applyBorder="1"/>
    <xf numFmtId="0" fontId="0" fillId="0" borderId="15" xfId="0" applyBorder="1"/>
    <xf numFmtId="0" fontId="0" fillId="0" borderId="25" xfId="0" applyBorder="1"/>
    <xf numFmtId="0" fontId="0" fillId="0" borderId="22" xfId="0" applyBorder="1"/>
    <xf numFmtId="0" fontId="0" fillId="0" borderId="26" xfId="0" applyBorder="1"/>
    <xf numFmtId="0" fontId="15" fillId="0" borderId="22" xfId="0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15" fillId="0" borderId="26" xfId="0" applyFont="1" applyBorder="1" applyAlignment="1">
      <alignment horizontal="center"/>
    </xf>
    <xf numFmtId="0" fontId="15" fillId="0" borderId="27" xfId="0" applyFont="1" applyBorder="1" applyAlignment="1">
      <alignment horizontal="center"/>
    </xf>
    <xf numFmtId="0" fontId="15" fillId="0" borderId="21" xfId="0" applyFont="1" applyBorder="1" applyAlignment="1">
      <alignment horizontal="center"/>
    </xf>
    <xf numFmtId="0" fontId="15" fillId="0" borderId="28" xfId="0" applyFont="1" applyBorder="1" applyAlignment="1">
      <alignment horizontal="center"/>
    </xf>
    <xf numFmtId="0" fontId="18" fillId="0" borderId="0" xfId="0" applyFont="1"/>
    <xf numFmtId="0" fontId="14" fillId="0" borderId="22" xfId="0" applyFont="1" applyBorder="1"/>
    <xf numFmtId="0" fontId="14" fillId="0" borderId="0" xfId="0" applyFont="1" applyBorder="1"/>
    <xf numFmtId="0" fontId="14" fillId="0" borderId="26" xfId="0" applyFont="1" applyBorder="1"/>
    <xf numFmtId="0" fontId="12" fillId="0" borderId="22" xfId="0" applyFont="1" applyBorder="1"/>
    <xf numFmtId="0" fontId="12" fillId="0" borderId="0" xfId="0" applyFont="1" applyBorder="1"/>
    <xf numFmtId="0" fontId="12" fillId="0" borderId="26" xfId="0" applyFont="1" applyBorder="1"/>
    <xf numFmtId="165" fontId="3" fillId="0" borderId="0" xfId="1" applyNumberFormat="1" applyFont="1" applyBorder="1"/>
    <xf numFmtId="167" fontId="5" fillId="0" borderId="0" xfId="0" applyNumberFormat="1" applyFont="1" applyBorder="1"/>
    <xf numFmtId="0" fontId="5" fillId="0" borderId="0" xfId="0" applyFont="1" applyBorder="1"/>
    <xf numFmtId="167" fontId="5" fillId="0" borderId="0" xfId="1" applyNumberFormat="1" applyFont="1" applyBorder="1"/>
    <xf numFmtId="165" fontId="3" fillId="0" borderId="0" xfId="1" applyFont="1" applyBorder="1"/>
    <xf numFmtId="167" fontId="3" fillId="0" borderId="0" xfId="0" applyNumberFormat="1" applyFont="1" applyBorder="1"/>
    <xf numFmtId="167" fontId="7" fillId="0" borderId="0" xfId="1" applyNumberFormat="1" applyFont="1" applyBorder="1"/>
    <xf numFmtId="167" fontId="3" fillId="0" borderId="1" xfId="1" applyNumberFormat="1" applyFont="1" applyFill="1" applyBorder="1" applyAlignment="1">
      <alignment horizontal="center"/>
    </xf>
    <xf numFmtId="0" fontId="3" fillId="0" borderId="4" xfId="1" applyNumberFormat="1" applyFont="1" applyFill="1" applyBorder="1" applyAlignment="1">
      <alignment horizontal="center"/>
    </xf>
    <xf numFmtId="167" fontId="3" fillId="0" borderId="2" xfId="1" applyNumberFormat="1" applyFont="1" applyFill="1" applyBorder="1"/>
    <xf numFmtId="167" fontId="3" fillId="0" borderId="5" xfId="1" applyNumberFormat="1" applyFont="1" applyFill="1" applyBorder="1"/>
    <xf numFmtId="164" fontId="11" fillId="0" borderId="29" xfId="0" applyNumberFormat="1" applyFont="1" applyBorder="1"/>
    <xf numFmtId="167" fontId="3" fillId="0" borderId="1" xfId="1" applyNumberFormat="1" applyFont="1" applyFill="1" applyBorder="1"/>
    <xf numFmtId="167" fontId="3" fillId="0" borderId="3" xfId="1" applyNumberFormat="1" applyFont="1" applyFill="1" applyBorder="1"/>
    <xf numFmtId="167" fontId="3" fillId="3" borderId="1" xfId="1" applyNumberFormat="1" applyFont="1" applyFill="1" applyBorder="1" applyAlignment="1">
      <alignment horizontal="center"/>
    </xf>
    <xf numFmtId="0" fontId="3" fillId="3" borderId="4" xfId="1" applyNumberFormat="1" applyFont="1" applyFill="1" applyBorder="1" applyAlignment="1">
      <alignment horizontal="center"/>
    </xf>
    <xf numFmtId="167" fontId="3" fillId="3" borderId="3" xfId="1" applyNumberFormat="1" applyFont="1" applyFill="1" applyBorder="1"/>
    <xf numFmtId="0" fontId="4" fillId="0" borderId="2" xfId="0" applyFont="1" applyFill="1" applyBorder="1"/>
    <xf numFmtId="0" fontId="3" fillId="0" borderId="2" xfId="0" applyFont="1" applyFill="1" applyBorder="1"/>
    <xf numFmtId="169" fontId="0" fillId="0" borderId="0" xfId="0" applyNumberFormat="1" applyFill="1"/>
    <xf numFmtId="0" fontId="0" fillId="0" borderId="0" xfId="0" applyFill="1"/>
    <xf numFmtId="0" fontId="3" fillId="0" borderId="1" xfId="0" applyFont="1" applyFill="1" applyBorder="1"/>
    <xf numFmtId="169" fontId="3" fillId="0" borderId="5" xfId="1" applyNumberFormat="1" applyFont="1" applyFill="1" applyBorder="1" applyAlignment="1">
      <alignment horizontal="center"/>
    </xf>
    <xf numFmtId="169" fontId="3" fillId="0" borderId="3" xfId="1" applyNumberFormat="1" applyFont="1" applyFill="1" applyBorder="1" applyAlignment="1">
      <alignment horizontal="center"/>
    </xf>
    <xf numFmtId="169" fontId="3" fillId="0" borderId="30" xfId="1" applyNumberFormat="1" applyFont="1" applyFill="1" applyBorder="1" applyAlignment="1">
      <alignment horizontal="center"/>
    </xf>
    <xf numFmtId="0" fontId="0" fillId="0" borderId="0" xfId="0" applyFill="1" applyBorder="1"/>
    <xf numFmtId="0" fontId="3" fillId="0" borderId="9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167" fontId="3" fillId="0" borderId="1" xfId="0" applyNumberFormat="1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4" xfId="0" applyFont="1" applyFill="1" applyBorder="1"/>
    <xf numFmtId="49" fontId="3" fillId="0" borderId="4" xfId="1" applyNumberFormat="1" applyFont="1" applyFill="1" applyBorder="1" applyAlignment="1">
      <alignment horizontal="center"/>
    </xf>
    <xf numFmtId="168" fontId="3" fillId="0" borderId="2" xfId="1" applyNumberFormat="1" applyFont="1" applyFill="1" applyBorder="1"/>
    <xf numFmtId="167" fontId="0" fillId="0" borderId="0" xfId="0" applyNumberFormat="1" applyFill="1"/>
    <xf numFmtId="167" fontId="3" fillId="0" borderId="30" xfId="1" applyNumberFormat="1" applyFont="1" applyFill="1" applyBorder="1"/>
    <xf numFmtId="167" fontId="3" fillId="0" borderId="0" xfId="1" applyNumberFormat="1" applyFont="1" applyFill="1" applyBorder="1"/>
    <xf numFmtId="168" fontId="3" fillId="0" borderId="5" xfId="1" applyNumberFormat="1" applyFont="1" applyFill="1" applyBorder="1"/>
    <xf numFmtId="167" fontId="3" fillId="0" borderId="12" xfId="1" applyNumberFormat="1" applyFont="1" applyFill="1" applyBorder="1"/>
    <xf numFmtId="0" fontId="19" fillId="0" borderId="2" xfId="0" applyFont="1" applyFill="1" applyBorder="1"/>
    <xf numFmtId="0" fontId="3" fillId="0" borderId="0" xfId="0" applyFont="1" applyFill="1" applyBorder="1"/>
    <xf numFmtId="167" fontId="3" fillId="0" borderId="3" xfId="0" applyNumberFormat="1" applyFont="1" applyFill="1" applyBorder="1"/>
    <xf numFmtId="169" fontId="3" fillId="0" borderId="3" xfId="1" applyNumberFormat="1" applyFont="1" applyFill="1" applyBorder="1"/>
    <xf numFmtId="0" fontId="3" fillId="0" borderId="5" xfId="0" applyFont="1" applyFill="1" applyBorder="1"/>
    <xf numFmtId="0" fontId="4" fillId="0" borderId="4" xfId="0" applyFont="1" applyFill="1" applyBorder="1"/>
    <xf numFmtId="167" fontId="3" fillId="0" borderId="10" xfId="1" applyNumberFormat="1" applyFont="1" applyFill="1" applyBorder="1"/>
    <xf numFmtId="0" fontId="19" fillId="0" borderId="0" xfId="0" applyFont="1" applyFill="1" applyBorder="1"/>
    <xf numFmtId="169" fontId="3" fillId="0" borderId="2" xfId="1" applyNumberFormat="1" applyFont="1" applyFill="1" applyBorder="1" applyAlignment="1">
      <alignment horizontal="center"/>
    </xf>
    <xf numFmtId="167" fontId="3" fillId="0" borderId="2" xfId="0" applyNumberFormat="1" applyFont="1" applyFill="1" applyBorder="1"/>
    <xf numFmtId="169" fontId="3" fillId="0" borderId="1" xfId="1" applyNumberFormat="1" applyFont="1" applyFill="1" applyBorder="1"/>
    <xf numFmtId="169" fontId="3" fillId="0" borderId="2" xfId="1" applyNumberFormat="1" applyFont="1" applyFill="1" applyBorder="1"/>
    <xf numFmtId="0" fontId="4" fillId="0" borderId="3" xfId="0" applyFont="1" applyFill="1" applyBorder="1"/>
    <xf numFmtId="169" fontId="3" fillId="0" borderId="4" xfId="1" applyNumberFormat="1" applyFont="1" applyFill="1" applyBorder="1"/>
    <xf numFmtId="167" fontId="3" fillId="0" borderId="0" xfId="1" applyNumberFormat="1" applyFont="1" applyFill="1"/>
    <xf numFmtId="0" fontId="0" fillId="0" borderId="5" xfId="0" applyFill="1" applyBorder="1"/>
    <xf numFmtId="170" fontId="3" fillId="0" borderId="0" xfId="0" applyNumberFormat="1" applyFont="1" applyFill="1" applyBorder="1" applyAlignment="1">
      <alignment horizontal="right"/>
    </xf>
    <xf numFmtId="170" fontId="0" fillId="0" borderId="0" xfId="0" applyNumberFormat="1" applyFill="1" applyAlignment="1">
      <alignment horizontal="right"/>
    </xf>
    <xf numFmtId="164" fontId="0" fillId="0" borderId="3" xfId="0" applyNumberFormat="1" applyFill="1" applyBorder="1"/>
    <xf numFmtId="167" fontId="0" fillId="0" borderId="0" xfId="0" applyNumberFormat="1" applyBorder="1"/>
    <xf numFmtId="167" fontId="7" fillId="0" borderId="0" xfId="0" applyNumberFormat="1" applyFont="1" applyBorder="1"/>
    <xf numFmtId="164" fontId="0" fillId="0" borderId="30" xfId="0" applyNumberFormat="1" applyBorder="1"/>
    <xf numFmtId="164" fontId="0" fillId="0" borderId="30" xfId="0" applyNumberFormat="1" applyFill="1" applyBorder="1"/>
    <xf numFmtId="0" fontId="9" fillId="0" borderId="17" xfId="0" applyFont="1" applyBorder="1"/>
    <xf numFmtId="0" fontId="9" fillId="0" borderId="8" xfId="0" applyFont="1" applyBorder="1"/>
    <xf numFmtId="171" fontId="22" fillId="0" borderId="26" xfId="0" quotePrefix="1" applyNumberFormat="1" applyFont="1" applyFill="1" applyBorder="1" applyAlignment="1">
      <alignment horizontal="center"/>
    </xf>
    <xf numFmtId="171" fontId="22" fillId="0" borderId="26" xfId="0" applyNumberFormat="1" applyFont="1" applyFill="1" applyBorder="1" applyAlignment="1">
      <alignment horizontal="center"/>
    </xf>
    <xf numFmtId="171" fontId="22" fillId="0" borderId="26" xfId="0" applyNumberFormat="1" applyFont="1" applyFill="1" applyBorder="1"/>
    <xf numFmtId="0" fontId="22" fillId="0" borderId="21" xfId="0" quotePrefix="1" applyFont="1" applyFill="1" applyBorder="1" applyAlignment="1">
      <alignment horizontal="center"/>
    </xf>
    <xf numFmtId="2" fontId="22" fillId="0" borderId="0" xfId="0" quotePrefix="1" applyNumberFormat="1" applyFont="1" applyFill="1" applyBorder="1" applyAlignment="1">
      <alignment horizontal="center"/>
    </xf>
    <xf numFmtId="167" fontId="3" fillId="0" borderId="0" xfId="2" applyNumberFormat="1" applyFont="1" applyBorder="1"/>
    <xf numFmtId="0" fontId="4" fillId="0" borderId="5" xfId="0" applyFont="1" applyFill="1" applyBorder="1"/>
    <xf numFmtId="169" fontId="3" fillId="0" borderId="7" xfId="1" applyNumberFormat="1" applyFont="1" applyFill="1" applyBorder="1"/>
    <xf numFmtId="167" fontId="3" fillId="0" borderId="6" xfId="0" applyNumberFormat="1" applyFont="1" applyFill="1" applyBorder="1"/>
    <xf numFmtId="169" fontId="3" fillId="0" borderId="6" xfId="1" applyNumberFormat="1" applyFont="1" applyFill="1" applyBorder="1"/>
    <xf numFmtId="0" fontId="3" fillId="0" borderId="9" xfId="0" applyFont="1" applyFill="1" applyBorder="1" applyAlignment="1"/>
    <xf numFmtId="0" fontId="3" fillId="0" borderId="2" xfId="0" applyFont="1" applyFill="1" applyBorder="1" applyAlignment="1">
      <alignment horizontal="center"/>
    </xf>
    <xf numFmtId="170" fontId="3" fillId="0" borderId="6" xfId="0" applyNumberFormat="1" applyFont="1" applyFill="1" applyBorder="1" applyAlignment="1">
      <alignment horizontal="right"/>
    </xf>
    <xf numFmtId="170" fontId="3" fillId="0" borderId="8" xfId="0" applyNumberFormat="1" applyFont="1" applyFill="1" applyBorder="1" applyAlignment="1">
      <alignment horizontal="right"/>
    </xf>
    <xf numFmtId="170" fontId="3" fillId="0" borderId="7" xfId="0" applyNumberFormat="1" applyFont="1" applyFill="1" applyBorder="1" applyAlignment="1">
      <alignment horizontal="right"/>
    </xf>
    <xf numFmtId="170" fontId="5" fillId="0" borderId="17" xfId="0" applyNumberFormat="1" applyFont="1" applyFill="1" applyBorder="1" applyAlignment="1">
      <alignment horizontal="right"/>
    </xf>
    <xf numFmtId="170" fontId="3" fillId="0" borderId="6" xfId="0" applyNumberFormat="1" applyFont="1" applyFill="1" applyBorder="1" applyAlignment="1">
      <alignment horizontal="left"/>
    </xf>
    <xf numFmtId="0" fontId="0" fillId="0" borderId="13" xfId="0" applyFill="1" applyBorder="1"/>
    <xf numFmtId="0" fontId="0" fillId="0" borderId="30" xfId="0" applyFill="1" applyBorder="1"/>
    <xf numFmtId="0" fontId="0" fillId="0" borderId="12" xfId="0" applyFill="1" applyBorder="1"/>
    <xf numFmtId="0" fontId="3" fillId="0" borderId="2" xfId="0" applyFont="1" applyFill="1" applyBorder="1" applyAlignment="1">
      <alignment horizontal="left"/>
    </xf>
    <xf numFmtId="169" fontId="4" fillId="0" borderId="3" xfId="1" applyNumberFormat="1" applyFont="1" applyFill="1" applyBorder="1"/>
    <xf numFmtId="169" fontId="4" fillId="0" borderId="4" xfId="1" applyNumberFormat="1" applyFont="1" applyFill="1" applyBorder="1"/>
    <xf numFmtId="0" fontId="9" fillId="0" borderId="0" xfId="0" applyFont="1" applyAlignment="1">
      <alignment vertical="top"/>
    </xf>
    <xf numFmtId="164" fontId="0" fillId="0" borderId="0" xfId="1" applyNumberFormat="1" applyFont="1"/>
    <xf numFmtId="167" fontId="3" fillId="4" borderId="1" xfId="1" applyNumberFormat="1" applyFont="1" applyFill="1" applyBorder="1"/>
    <xf numFmtId="167" fontId="3" fillId="4" borderId="2" xfId="1" applyNumberFormat="1" applyFont="1" applyFill="1" applyBorder="1"/>
    <xf numFmtId="164" fontId="11" fillId="0" borderId="31" xfId="0" applyNumberFormat="1" applyFont="1" applyBorder="1"/>
    <xf numFmtId="167" fontId="0" fillId="0" borderId="0" xfId="0" applyNumberFormat="1" applyFill="1" applyBorder="1"/>
    <xf numFmtId="165" fontId="22" fillId="0" borderId="26" xfId="0" quotePrefix="1" applyNumberFormat="1" applyFont="1" applyFill="1" applyBorder="1" applyAlignment="1">
      <alignment horizontal="center"/>
    </xf>
    <xf numFmtId="0" fontId="22" fillId="0" borderId="0" xfId="0" quotePrefix="1" applyFont="1" applyFill="1" applyBorder="1" applyAlignment="1">
      <alignment horizontal="center"/>
    </xf>
    <xf numFmtId="0" fontId="22" fillId="0" borderId="0" xfId="0" applyFont="1" applyFill="1" applyBorder="1" applyAlignment="1">
      <alignment horizontal="center"/>
    </xf>
    <xf numFmtId="0" fontId="22" fillId="0" borderId="0" xfId="0" applyFont="1" applyFill="1" applyBorder="1"/>
    <xf numFmtId="167" fontId="3" fillId="4" borderId="3" xfId="1" applyNumberFormat="1" applyFont="1" applyFill="1" applyBorder="1"/>
    <xf numFmtId="165" fontId="0" fillId="0" borderId="0" xfId="0" applyNumberFormat="1"/>
    <xf numFmtId="0" fontId="3" fillId="0" borderId="0" xfId="0" applyFont="1" applyFill="1"/>
    <xf numFmtId="0" fontId="20" fillId="0" borderId="0" xfId="0" applyFont="1" applyFill="1" applyBorder="1"/>
    <xf numFmtId="171" fontId="20" fillId="0" borderId="26" xfId="0" applyNumberFormat="1" applyFont="1" applyFill="1" applyBorder="1"/>
    <xf numFmtId="0" fontId="20" fillId="0" borderId="0" xfId="0" applyFont="1" applyFill="1" applyBorder="1" applyAlignment="1">
      <alignment horizontal="center"/>
    </xf>
    <xf numFmtId="0" fontId="21" fillId="0" borderId="0" xfId="0" quotePrefix="1" applyFont="1" applyFill="1" applyBorder="1" applyAlignment="1">
      <alignment horizontal="center"/>
    </xf>
    <xf numFmtId="0" fontId="21" fillId="0" borderId="0" xfId="0" applyFont="1" applyFill="1" applyBorder="1" applyAlignment="1">
      <alignment horizontal="center"/>
    </xf>
    <xf numFmtId="171" fontId="21" fillId="0" borderId="26" xfId="0" quotePrefix="1" applyNumberFormat="1" applyFont="1" applyFill="1" applyBorder="1" applyAlignment="1">
      <alignment horizontal="center"/>
    </xf>
    <xf numFmtId="0" fontId="20" fillId="0" borderId="21" xfId="0" applyFont="1" applyFill="1" applyBorder="1"/>
    <xf numFmtId="0" fontId="21" fillId="0" borderId="21" xfId="0" applyFont="1" applyFill="1" applyBorder="1" applyAlignment="1">
      <alignment horizontal="center"/>
    </xf>
    <xf numFmtId="171" fontId="21" fillId="0" borderId="28" xfId="0" applyNumberFormat="1" applyFont="1" applyFill="1" applyBorder="1" applyAlignment="1">
      <alignment horizontal="center"/>
    </xf>
    <xf numFmtId="0" fontId="4" fillId="0" borderId="0" xfId="0" applyFont="1" applyFill="1" applyBorder="1"/>
    <xf numFmtId="0" fontId="9" fillId="0" borderId="0" xfId="0" applyFont="1" applyFill="1" applyBorder="1"/>
    <xf numFmtId="164" fontId="9" fillId="0" borderId="26" xfId="0" applyNumberFormat="1" applyFont="1" applyFill="1" applyBorder="1"/>
    <xf numFmtId="0" fontId="23" fillId="0" borderId="0" xfId="0" applyFont="1" applyFill="1" applyBorder="1"/>
    <xf numFmtId="2" fontId="22" fillId="0" borderId="0" xfId="0" applyNumberFormat="1" applyFont="1" applyFill="1" applyBorder="1"/>
    <xf numFmtId="172" fontId="22" fillId="0" borderId="0" xfId="0" quotePrefix="1" applyNumberFormat="1" applyFont="1" applyFill="1" applyBorder="1" applyAlignment="1">
      <alignment horizontal="center"/>
    </xf>
    <xf numFmtId="165" fontId="22" fillId="0" borderId="26" xfId="0" applyNumberFormat="1" applyFont="1" applyFill="1" applyBorder="1" applyAlignment="1">
      <alignment horizontal="center"/>
    </xf>
    <xf numFmtId="0" fontId="22" fillId="0" borderId="21" xfId="0" applyFont="1" applyFill="1" applyBorder="1"/>
    <xf numFmtId="0" fontId="22" fillId="0" borderId="21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right"/>
    </xf>
    <xf numFmtId="164" fontId="6" fillId="0" borderId="26" xfId="0" applyNumberFormat="1" applyFont="1" applyFill="1" applyBorder="1" applyAlignment="1">
      <alignment horizontal="right"/>
    </xf>
    <xf numFmtId="0" fontId="22" fillId="0" borderId="0" xfId="0" quotePrefix="1" applyFont="1" applyFill="1" applyBorder="1"/>
    <xf numFmtId="0" fontId="4" fillId="0" borderId="0" xfId="0" applyFont="1" applyFill="1" applyBorder="1" applyAlignment="1">
      <alignment horizontal="center"/>
    </xf>
    <xf numFmtId="165" fontId="4" fillId="0" borderId="26" xfId="0" applyNumberFormat="1" applyFont="1" applyFill="1" applyBorder="1" applyAlignment="1">
      <alignment horizontal="center"/>
    </xf>
    <xf numFmtId="165" fontId="3" fillId="0" borderId="26" xfId="0" applyNumberFormat="1" applyFont="1" applyFill="1" applyBorder="1" applyAlignment="1">
      <alignment horizontal="center"/>
    </xf>
    <xf numFmtId="2" fontId="22" fillId="0" borderId="0" xfId="0" applyNumberFormat="1" applyFont="1" applyFill="1" applyBorder="1" applyAlignment="1">
      <alignment horizontal="center"/>
    </xf>
    <xf numFmtId="171" fontId="22" fillId="0" borderId="28" xfId="0" applyNumberFormat="1" applyFont="1" applyFill="1" applyBorder="1" applyAlignment="1">
      <alignment horizontal="center"/>
    </xf>
    <xf numFmtId="0" fontId="4" fillId="0" borderId="22" xfId="0" quotePrefix="1" applyFont="1" applyFill="1" applyBorder="1" applyAlignment="1">
      <alignment horizontal="left"/>
    </xf>
    <xf numFmtId="0" fontId="6" fillId="0" borderId="15" xfId="0" applyFont="1" applyFill="1" applyBorder="1"/>
    <xf numFmtId="165" fontId="0" fillId="0" borderId="0" xfId="0" applyNumberFormat="1" applyFill="1"/>
    <xf numFmtId="0" fontId="3" fillId="0" borderId="0" xfId="0" quotePrefix="1" applyFont="1" applyFill="1" applyBorder="1"/>
    <xf numFmtId="164" fontId="0" fillId="0" borderId="12" xfId="0" applyNumberFormat="1" applyBorder="1"/>
    <xf numFmtId="164" fontId="0" fillId="0" borderId="10" xfId="0" applyNumberFormat="1" applyBorder="1"/>
    <xf numFmtId="164" fontId="9" fillId="0" borderId="7" xfId="0" applyNumberFormat="1" applyFont="1" applyBorder="1"/>
    <xf numFmtId="164" fontId="9" fillId="0" borderId="5" xfId="0" applyNumberFormat="1" applyFont="1" applyBorder="1"/>
    <xf numFmtId="164" fontId="0" fillId="0" borderId="5" xfId="0" applyNumberFormat="1" applyBorder="1"/>
    <xf numFmtId="164" fontId="0" fillId="0" borderId="32" xfId="0" applyNumberFormat="1" applyBorder="1"/>
    <xf numFmtId="164" fontId="0" fillId="0" borderId="20" xfId="0" applyNumberFormat="1" applyBorder="1"/>
    <xf numFmtId="164" fontId="6" fillId="0" borderId="33" xfId="0" applyNumberFormat="1" applyFont="1" applyBorder="1" applyAlignment="1">
      <alignment horizontal="center"/>
    </xf>
    <xf numFmtId="164" fontId="6" fillId="0" borderId="34" xfId="0" applyNumberFormat="1" applyFont="1" applyBorder="1" applyAlignment="1">
      <alignment horizontal="centerContinuous"/>
    </xf>
    <xf numFmtId="164" fontId="6" fillId="0" borderId="35" xfId="0" applyNumberFormat="1" applyFont="1" applyBorder="1"/>
    <xf numFmtId="164" fontId="6" fillId="0" borderId="7" xfId="0" applyNumberFormat="1" applyFont="1" applyBorder="1" applyAlignment="1">
      <alignment horizontal="center"/>
    </xf>
    <xf numFmtId="164" fontId="6" fillId="0" borderId="36" xfId="0" applyNumberFormat="1" applyFont="1" applyBorder="1"/>
    <xf numFmtId="164" fontId="6" fillId="0" borderId="37" xfId="0" applyNumberFormat="1" applyFont="1" applyBorder="1" applyAlignment="1">
      <alignment horizontal="center"/>
    </xf>
    <xf numFmtId="164" fontId="0" fillId="0" borderId="35" xfId="0" applyNumberFormat="1" applyBorder="1"/>
    <xf numFmtId="164" fontId="9" fillId="0" borderId="35" xfId="0" applyNumberFormat="1" applyFont="1" applyBorder="1"/>
    <xf numFmtId="164" fontId="9" fillId="0" borderId="35" xfId="0" applyNumberFormat="1" applyFont="1" applyBorder="1" applyAlignment="1">
      <alignment horizontal="left" indent="1"/>
    </xf>
    <xf numFmtId="164" fontId="0" fillId="0" borderId="13" xfId="0" applyNumberFormat="1" applyBorder="1"/>
    <xf numFmtId="164" fontId="9" fillId="0" borderId="11" xfId="0" applyNumberFormat="1" applyFont="1" applyBorder="1"/>
    <xf numFmtId="164" fontId="0" fillId="0" borderId="11" xfId="0" applyNumberFormat="1" applyBorder="1"/>
    <xf numFmtId="164" fontId="0" fillId="0" borderId="8" xfId="0" applyNumberFormat="1" applyBorder="1"/>
    <xf numFmtId="164" fontId="3" fillId="0" borderId="2" xfId="1" applyNumberFormat="1" applyFont="1" applyFill="1" applyBorder="1"/>
    <xf numFmtId="164" fontId="3" fillId="0" borderId="3" xfId="1" applyNumberFormat="1" applyFont="1" applyFill="1" applyBorder="1"/>
    <xf numFmtId="164" fontId="3" fillId="0" borderId="30" xfId="1" applyNumberFormat="1" applyFont="1" applyFill="1" applyBorder="1"/>
    <xf numFmtId="164" fontId="3" fillId="0" borderId="1" xfId="1" applyNumberFormat="1" applyFont="1" applyFill="1" applyBorder="1"/>
    <xf numFmtId="164" fontId="3" fillId="0" borderId="0" xfId="0" applyNumberFormat="1" applyFont="1" applyFill="1" applyBorder="1"/>
    <xf numFmtId="164" fontId="3" fillId="0" borderId="5" xfId="1" applyNumberFormat="1" applyFont="1" applyFill="1" applyBorder="1"/>
    <xf numFmtId="169" fontId="0" fillId="0" borderId="0" xfId="0" applyNumberFormat="1" applyFill="1" applyBorder="1"/>
    <xf numFmtId="0" fontId="25" fillId="0" borderId="0" xfId="0" applyFont="1"/>
    <xf numFmtId="0" fontId="26" fillId="0" borderId="0" xfId="0" applyFont="1"/>
    <xf numFmtId="0" fontId="19" fillId="0" borderId="0" xfId="0" applyFont="1"/>
    <xf numFmtId="0" fontId="19" fillId="0" borderId="0" xfId="0" applyFont="1" applyAlignment="1">
      <alignment horizontal="left" indent="1"/>
    </xf>
    <xf numFmtId="0" fontId="9" fillId="0" borderId="0" xfId="0" applyFont="1" applyAlignment="1">
      <alignment horizontal="left"/>
    </xf>
    <xf numFmtId="0" fontId="0" fillId="0" borderId="0" xfId="0" applyAlignment="1">
      <alignment horizontal="left" indent="1"/>
    </xf>
    <xf numFmtId="0" fontId="27" fillId="0" borderId="0" xfId="0" applyFont="1"/>
    <xf numFmtId="10" fontId="0" fillId="0" borderId="0" xfId="0" applyNumberFormat="1"/>
    <xf numFmtId="173" fontId="0" fillId="0" borderId="0" xfId="2" applyNumberFormat="1" applyFont="1"/>
    <xf numFmtId="173" fontId="0" fillId="0" borderId="0" xfId="0" applyNumberFormat="1"/>
    <xf numFmtId="10" fontId="0" fillId="0" borderId="0" xfId="2" applyNumberFormat="1" applyFont="1"/>
    <xf numFmtId="9" fontId="0" fillId="0" borderId="0" xfId="0" applyNumberFormat="1"/>
    <xf numFmtId="169" fontId="4" fillId="0" borderId="0" xfId="1" applyNumberFormat="1" applyFont="1" applyFill="1" applyBorder="1"/>
    <xf numFmtId="174" fontId="0" fillId="0" borderId="0" xfId="1" quotePrefix="1" applyNumberFormat="1" applyFont="1" applyAlignment="1">
      <alignment horizontal="right"/>
    </xf>
    <xf numFmtId="164" fontId="3" fillId="0" borderId="6" xfId="0" applyNumberFormat="1" applyFont="1" applyFill="1" applyBorder="1" applyAlignment="1">
      <alignment horizontal="right"/>
    </xf>
    <xf numFmtId="164" fontId="3" fillId="0" borderId="6" xfId="0" applyNumberFormat="1" applyFont="1" applyFill="1" applyBorder="1" applyAlignment="1">
      <alignment horizontal="left"/>
    </xf>
    <xf numFmtId="164" fontId="19" fillId="0" borderId="6" xfId="0" applyNumberFormat="1" applyFont="1" applyFill="1" applyBorder="1" applyAlignment="1">
      <alignment horizontal="right"/>
    </xf>
    <xf numFmtId="164" fontId="3" fillId="0" borderId="8" xfId="0" applyNumberFormat="1" applyFont="1" applyFill="1" applyBorder="1" applyAlignment="1">
      <alignment horizontal="right"/>
    </xf>
    <xf numFmtId="164" fontId="3" fillId="0" borderId="0" xfId="0" applyNumberFormat="1" applyFont="1" applyFill="1" applyBorder="1" applyAlignment="1">
      <alignment horizontal="right"/>
    </xf>
    <xf numFmtId="164" fontId="3" fillId="0" borderId="7" xfId="0" applyNumberFormat="1" applyFont="1" applyFill="1" applyBorder="1" applyAlignment="1">
      <alignment horizontal="right"/>
    </xf>
    <xf numFmtId="164" fontId="19" fillId="0" borderId="8" xfId="0" applyNumberFormat="1" applyFont="1" applyFill="1" applyBorder="1" applyAlignment="1">
      <alignment horizontal="right"/>
    </xf>
    <xf numFmtId="164" fontId="5" fillId="0" borderId="17" xfId="0" applyNumberFormat="1" applyFont="1" applyFill="1" applyBorder="1" applyAlignment="1">
      <alignment horizontal="right"/>
    </xf>
    <xf numFmtId="164" fontId="5" fillId="0" borderId="0" xfId="0" applyNumberFormat="1" applyFont="1" applyFill="1" applyBorder="1" applyAlignment="1">
      <alignment horizontal="right"/>
    </xf>
    <xf numFmtId="164" fontId="0" fillId="0" borderId="0" xfId="0" applyNumberFormat="1" applyFill="1" applyAlignment="1">
      <alignment horizontal="right"/>
    </xf>
    <xf numFmtId="175" fontId="0" fillId="0" borderId="0" xfId="0" applyNumberFormat="1" applyFill="1" applyBorder="1"/>
    <xf numFmtId="0" fontId="6" fillId="0" borderId="38" xfId="0" applyFont="1" applyFill="1" applyBorder="1"/>
    <xf numFmtId="171" fontId="20" fillId="0" borderId="39" xfId="0" applyNumberFormat="1" applyFont="1" applyFill="1" applyBorder="1"/>
    <xf numFmtId="171" fontId="21" fillId="0" borderId="39" xfId="0" quotePrefix="1" applyNumberFormat="1" applyFont="1" applyFill="1" applyBorder="1" applyAlignment="1">
      <alignment horizontal="center"/>
    </xf>
    <xf numFmtId="171" fontId="21" fillId="0" borderId="40" xfId="0" applyNumberFormat="1" applyFont="1" applyFill="1" applyBorder="1" applyAlignment="1">
      <alignment horizontal="center"/>
    </xf>
    <xf numFmtId="164" fontId="9" fillId="0" borderId="39" xfId="0" applyNumberFormat="1" applyFont="1" applyFill="1" applyBorder="1"/>
    <xf numFmtId="171" fontId="22" fillId="0" borderId="39" xfId="0" applyNumberFormat="1" applyFont="1" applyFill="1" applyBorder="1"/>
    <xf numFmtId="171" fontId="22" fillId="0" borderId="39" xfId="0" quotePrefix="1" applyNumberFormat="1" applyFont="1" applyFill="1" applyBorder="1" applyAlignment="1">
      <alignment horizontal="center"/>
    </xf>
    <xf numFmtId="171" fontId="22" fillId="0" borderId="39" xfId="0" applyNumberFormat="1" applyFont="1" applyFill="1" applyBorder="1" applyAlignment="1">
      <alignment horizontal="center"/>
    </xf>
    <xf numFmtId="165" fontId="22" fillId="0" borderId="39" xfId="0" quotePrefix="1" applyNumberFormat="1" applyFont="1" applyFill="1" applyBorder="1" applyAlignment="1">
      <alignment horizontal="center"/>
    </xf>
    <xf numFmtId="165" fontId="22" fillId="0" borderId="39" xfId="0" applyNumberFormat="1" applyFont="1" applyFill="1" applyBorder="1" applyAlignment="1">
      <alignment horizontal="center"/>
    </xf>
    <xf numFmtId="164" fontId="6" fillId="0" borderId="39" xfId="0" applyNumberFormat="1" applyFont="1" applyFill="1" applyBorder="1" applyAlignment="1">
      <alignment horizontal="right"/>
    </xf>
    <xf numFmtId="165" fontId="4" fillId="0" borderId="39" xfId="0" applyNumberFormat="1" applyFont="1" applyFill="1" applyBorder="1" applyAlignment="1">
      <alignment horizontal="center"/>
    </xf>
    <xf numFmtId="165" fontId="3" fillId="0" borderId="39" xfId="0" applyNumberFormat="1" applyFont="1" applyFill="1" applyBorder="1" applyAlignment="1">
      <alignment horizontal="center"/>
    </xf>
    <xf numFmtId="171" fontId="22" fillId="0" borderId="40" xfId="0" applyNumberFormat="1" applyFont="1" applyFill="1" applyBorder="1" applyAlignment="1">
      <alignment horizontal="center"/>
    </xf>
    <xf numFmtId="9" fontId="3" fillId="0" borderId="10" xfId="2" applyFont="1" applyFill="1" applyBorder="1"/>
    <xf numFmtId="167" fontId="19" fillId="0" borderId="0" xfId="0" applyNumberFormat="1" applyFont="1" applyFill="1" applyBorder="1"/>
    <xf numFmtId="10" fontId="3" fillId="0" borderId="5" xfId="2" applyNumberFormat="1" applyFont="1" applyFill="1" applyBorder="1"/>
    <xf numFmtId="167" fontId="0" fillId="0" borderId="0" xfId="2" applyNumberFormat="1" applyFont="1" applyFill="1" applyBorder="1"/>
    <xf numFmtId="169" fontId="3" fillId="0" borderId="0" xfId="0" applyNumberFormat="1" applyFont="1" applyFill="1"/>
    <xf numFmtId="0" fontId="3" fillId="0" borderId="9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10" fontId="9" fillId="0" borderId="0" xfId="2" applyNumberFormat="1" applyFont="1" applyFill="1" applyBorder="1"/>
    <xf numFmtId="165" fontId="0" fillId="0" borderId="0" xfId="0" applyNumberFormat="1" applyFill="1" applyBorder="1"/>
    <xf numFmtId="165" fontId="0" fillId="0" borderId="0" xfId="1" applyFont="1" applyFill="1" applyBorder="1"/>
    <xf numFmtId="0" fontId="28" fillId="0" borderId="0" xfId="0" applyFont="1"/>
    <xf numFmtId="166" fontId="0" fillId="0" borderId="0" xfId="0" applyNumberFormat="1"/>
    <xf numFmtId="0" fontId="0" fillId="0" borderId="0" xfId="0" applyAlignment="1">
      <alignment horizontal="right"/>
    </xf>
    <xf numFmtId="0" fontId="1" fillId="0" borderId="0" xfId="0" applyFont="1" applyFill="1" applyBorder="1"/>
    <xf numFmtId="0" fontId="1" fillId="0" borderId="0" xfId="0" applyFont="1" applyFill="1"/>
    <xf numFmtId="43" fontId="0" fillId="0" borderId="0" xfId="0" applyNumberFormat="1" applyFill="1"/>
    <xf numFmtId="0" fontId="1" fillId="0" borderId="3" xfId="0" applyFont="1" applyBorder="1"/>
    <xf numFmtId="0" fontId="25" fillId="0" borderId="3" xfId="0" applyFont="1" applyBorder="1" applyAlignment="1">
      <alignment horizontal="right"/>
    </xf>
    <xf numFmtId="166" fontId="25" fillId="0" borderId="3" xfId="0" applyNumberFormat="1" applyFont="1" applyBorder="1"/>
    <xf numFmtId="0" fontId="0" fillId="0" borderId="3" xfId="0" applyBorder="1"/>
    <xf numFmtId="0" fontId="0" fillId="0" borderId="3" xfId="0" applyBorder="1" applyAlignment="1">
      <alignment horizontal="right"/>
    </xf>
    <xf numFmtId="166" fontId="0" fillId="0" borderId="3" xfId="0" applyNumberFormat="1" applyBorder="1"/>
    <xf numFmtId="0" fontId="9" fillId="0" borderId="3" xfId="0" applyFont="1" applyBorder="1"/>
    <xf numFmtId="0" fontId="29" fillId="0" borderId="3" xfId="0" applyFont="1" applyBorder="1"/>
    <xf numFmtId="14" fontId="1" fillId="0" borderId="3" xfId="0" applyNumberFormat="1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0" fontId="29" fillId="0" borderId="3" xfId="0" applyFont="1" applyBorder="1" applyAlignment="1">
      <alignment vertical="center" readingOrder="1"/>
    </xf>
    <xf numFmtId="0" fontId="30" fillId="0" borderId="3" xfId="0" applyFont="1" applyBorder="1" applyAlignment="1">
      <alignment vertical="center" readingOrder="1"/>
    </xf>
    <xf numFmtId="14" fontId="0" fillId="0" borderId="3" xfId="0" applyNumberFormat="1" applyBorder="1" applyAlignment="1">
      <alignment horizontal="right"/>
    </xf>
    <xf numFmtId="166" fontId="1" fillId="0" borderId="3" xfId="0" applyNumberFormat="1" applyFont="1" applyBorder="1"/>
    <xf numFmtId="0" fontId="4" fillId="0" borderId="22" xfId="0" applyFont="1" applyFill="1" applyBorder="1" applyAlignment="1">
      <alignment horizontal="left"/>
    </xf>
    <xf numFmtId="167" fontId="4" fillId="0" borderId="0" xfId="2" applyNumberFormat="1" applyFont="1" applyFill="1" applyBorder="1"/>
    <xf numFmtId="0" fontId="33" fillId="0" borderId="0" xfId="0" applyFont="1" applyFill="1" applyBorder="1"/>
    <xf numFmtId="0" fontId="6" fillId="0" borderId="22" xfId="0" applyFont="1" applyFill="1" applyBorder="1" applyAlignment="1">
      <alignment horizontal="left"/>
    </xf>
    <xf numFmtId="0" fontId="6" fillId="0" borderId="27" xfId="0" applyFont="1" applyFill="1" applyBorder="1" applyAlignment="1">
      <alignment horizontal="left"/>
    </xf>
    <xf numFmtId="0" fontId="4" fillId="0" borderId="27" xfId="0" applyFont="1" applyFill="1" applyBorder="1" applyAlignment="1">
      <alignment horizontal="left"/>
    </xf>
    <xf numFmtId="164" fontId="6" fillId="0" borderId="26" xfId="0" applyNumberFormat="1" applyFont="1" applyFill="1" applyBorder="1"/>
    <xf numFmtId="167" fontId="34" fillId="0" borderId="5" xfId="1" applyNumberFormat="1" applyFont="1" applyFill="1" applyBorder="1"/>
    <xf numFmtId="176" fontId="22" fillId="0" borderId="39" xfId="0" quotePrefix="1" applyNumberFormat="1" applyFont="1" applyFill="1" applyBorder="1" applyAlignment="1">
      <alignment horizontal="center"/>
    </xf>
    <xf numFmtId="176" fontId="22" fillId="0" borderId="26" xfId="0" quotePrefix="1" applyNumberFormat="1" applyFont="1" applyFill="1" applyBorder="1" applyAlignment="1">
      <alignment horizontal="center"/>
    </xf>
    <xf numFmtId="176" fontId="22" fillId="0" borderId="39" xfId="0" applyNumberFormat="1" applyFont="1" applyFill="1" applyBorder="1" applyAlignment="1">
      <alignment horizontal="center"/>
    </xf>
    <xf numFmtId="176" fontId="22" fillId="0" borderId="26" xfId="0" applyNumberFormat="1" applyFont="1" applyFill="1" applyBorder="1" applyAlignment="1">
      <alignment horizontal="center"/>
    </xf>
    <xf numFmtId="169" fontId="4" fillId="0" borderId="5" xfId="1" applyNumberFormat="1" applyFont="1" applyFill="1" applyBorder="1"/>
    <xf numFmtId="169" fontId="4" fillId="0" borderId="0" xfId="0" applyNumberFormat="1" applyFont="1" applyFill="1"/>
    <xf numFmtId="169" fontId="4" fillId="0" borderId="41" xfId="0" applyNumberFormat="1" applyFont="1" applyFill="1" applyBorder="1"/>
    <xf numFmtId="43" fontId="0" fillId="0" borderId="0" xfId="0" applyNumberFormat="1" applyFill="1" applyBorder="1"/>
    <xf numFmtId="3" fontId="0" fillId="0" borderId="0" xfId="0" applyNumberFormat="1" applyFill="1" applyBorder="1"/>
    <xf numFmtId="176" fontId="22" fillId="0" borderId="40" xfId="0" applyNumberFormat="1" applyFont="1" applyFill="1" applyBorder="1" applyAlignment="1">
      <alignment horizontal="center"/>
    </xf>
    <xf numFmtId="176" fontId="22" fillId="0" borderId="28" xfId="0" applyNumberFormat="1" applyFont="1" applyFill="1" applyBorder="1" applyAlignment="1">
      <alignment horizontal="center"/>
    </xf>
    <xf numFmtId="2" fontId="22" fillId="0" borderId="21" xfId="0" quotePrefix="1" applyNumberFormat="1" applyFont="1" applyFill="1" applyBorder="1" applyAlignment="1">
      <alignment horizontal="center"/>
    </xf>
    <xf numFmtId="165" fontId="22" fillId="0" borderId="40" xfId="0" quotePrefix="1" applyNumberFormat="1" applyFont="1" applyFill="1" applyBorder="1" applyAlignment="1">
      <alignment horizontal="center"/>
    </xf>
    <xf numFmtId="165" fontId="22" fillId="0" borderId="28" xfId="0" quotePrefix="1" applyNumberFormat="1" applyFont="1" applyFill="1" applyBorder="1" applyAlignment="1">
      <alignment horizontal="center"/>
    </xf>
    <xf numFmtId="165" fontId="22" fillId="0" borderId="40" xfId="0" applyNumberFormat="1" applyFont="1" applyFill="1" applyBorder="1" applyAlignment="1">
      <alignment horizontal="center"/>
    </xf>
    <xf numFmtId="165" fontId="22" fillId="0" borderId="28" xfId="0" applyNumberFormat="1" applyFont="1" applyFill="1" applyBorder="1" applyAlignment="1">
      <alignment horizontal="center"/>
    </xf>
    <xf numFmtId="0" fontId="3" fillId="0" borderId="21" xfId="0" quotePrefix="1" applyFont="1" applyFill="1" applyBorder="1"/>
    <xf numFmtId="165" fontId="3" fillId="0" borderId="28" xfId="0" applyNumberFormat="1" applyFont="1" applyFill="1" applyBorder="1" applyAlignment="1">
      <alignment horizontal="center"/>
    </xf>
    <xf numFmtId="165" fontId="3" fillId="0" borderId="40" xfId="0" applyNumberFormat="1" applyFont="1" applyFill="1" applyBorder="1" applyAlignment="1">
      <alignment horizontal="center"/>
    </xf>
    <xf numFmtId="172" fontId="22" fillId="0" borderId="21" xfId="0" quotePrefix="1" applyNumberFormat="1" applyFont="1" applyFill="1" applyBorder="1" applyAlignment="1">
      <alignment horizontal="center"/>
    </xf>
    <xf numFmtId="0" fontId="24" fillId="0" borderId="9" xfId="0" applyFont="1" applyFill="1" applyBorder="1" applyAlignment="1">
      <alignment horizontal="center"/>
    </xf>
    <xf numFmtId="0" fontId="3" fillId="0" borderId="3" xfId="0" applyFont="1" applyFill="1" applyBorder="1"/>
    <xf numFmtId="0" fontId="19" fillId="0" borderId="3" xfId="0" applyFont="1" applyFill="1" applyBorder="1"/>
    <xf numFmtId="0" fontId="4" fillId="0" borderId="1" xfId="0" applyFont="1" applyFill="1" applyBorder="1"/>
    <xf numFmtId="15" fontId="3" fillId="0" borderId="4" xfId="0" applyNumberFormat="1" applyFont="1" applyFill="1" applyBorder="1" applyAlignment="1">
      <alignment horizontal="center"/>
    </xf>
    <xf numFmtId="169" fontId="3" fillId="0" borderId="1" xfId="1" applyNumberFormat="1" applyFont="1" applyFill="1" applyBorder="1" applyAlignment="1">
      <alignment horizontal="center"/>
    </xf>
    <xf numFmtId="168" fontId="3" fillId="0" borderId="1" xfId="1" applyNumberFormat="1" applyFont="1" applyFill="1" applyBorder="1"/>
    <xf numFmtId="9" fontId="3" fillId="0" borderId="1" xfId="2" applyFont="1" applyFill="1" applyBorder="1"/>
    <xf numFmtId="0" fontId="0" fillId="0" borderId="0" xfId="0" applyAlignment="1">
      <alignment horizontal="center"/>
    </xf>
    <xf numFmtId="0" fontId="3" fillId="0" borderId="9" xfId="0" applyFont="1" applyFill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15" fillId="0" borderId="26" xfId="0" applyFont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3" fillId="0" borderId="17" xfId="0" applyFont="1" applyFill="1" applyBorder="1" applyAlignment="1">
      <alignment horizontal="center"/>
    </xf>
    <xf numFmtId="0" fontId="35" fillId="0" borderId="0" xfId="0" applyFont="1" applyFill="1" applyBorder="1" applyAlignment="1">
      <alignment wrapText="1"/>
    </xf>
    <xf numFmtId="0" fontId="1" fillId="0" borderId="5" xfId="0" applyFont="1" applyFill="1" applyBorder="1"/>
    <xf numFmtId="177" fontId="35" fillId="0" borderId="0" xfId="0" applyNumberFormat="1" applyFont="1" applyFill="1" applyAlignment="1" applyProtection="1">
      <alignment horizontal="right" vertical="top"/>
      <protection locked="0"/>
    </xf>
    <xf numFmtId="170" fontId="1" fillId="0" borderId="6" xfId="0" applyNumberFormat="1" applyFont="1" applyFill="1" applyBorder="1" applyAlignment="1">
      <alignment horizontal="right"/>
    </xf>
    <xf numFmtId="0" fontId="1" fillId="0" borderId="2" xfId="0" applyFont="1" applyFill="1" applyBorder="1"/>
    <xf numFmtId="0" fontId="1" fillId="0" borderId="13" xfId="0" applyFont="1" applyFill="1" applyBorder="1"/>
    <xf numFmtId="0" fontId="1" fillId="0" borderId="30" xfId="0" applyFont="1" applyFill="1" applyBorder="1"/>
    <xf numFmtId="0" fontId="1" fillId="0" borderId="12" xfId="0" applyFont="1" applyFill="1" applyBorder="1"/>
    <xf numFmtId="170" fontId="1" fillId="0" borderId="8" xfId="0" applyNumberFormat="1" applyFont="1" applyFill="1" applyBorder="1" applyAlignment="1">
      <alignment horizontal="right"/>
    </xf>
    <xf numFmtId="170" fontId="1" fillId="0" borderId="0" xfId="0" applyNumberFormat="1" applyFont="1" applyFill="1" applyAlignment="1">
      <alignment horizontal="right"/>
    </xf>
    <xf numFmtId="3" fontId="1" fillId="0" borderId="0" xfId="1" applyNumberFormat="1" applyFont="1" applyFill="1" applyBorder="1" applyAlignment="1">
      <alignment horizontal="right"/>
    </xf>
    <xf numFmtId="178" fontId="5" fillId="0" borderId="0" xfId="0" applyNumberFormat="1" applyFont="1" applyFill="1" applyAlignment="1" applyProtection="1">
      <alignment horizontal="right" vertical="top"/>
      <protection locked="0"/>
    </xf>
    <xf numFmtId="167" fontId="1" fillId="0" borderId="0" xfId="0" applyNumberFormat="1" applyFont="1" applyFill="1"/>
    <xf numFmtId="169" fontId="1" fillId="0" borderId="0" xfId="0" applyNumberFormat="1" applyFont="1" applyFill="1"/>
    <xf numFmtId="0" fontId="1" fillId="0" borderId="0" xfId="0" applyFont="1" applyFill="1" applyAlignment="1">
      <alignment wrapText="1"/>
    </xf>
    <xf numFmtId="165" fontId="1" fillId="0" borderId="0" xfId="1" applyFont="1" applyFill="1"/>
    <xf numFmtId="0" fontId="3" fillId="0" borderId="9" xfId="0" applyFont="1" applyFill="1" applyBorder="1" applyAlignment="1">
      <alignment horizontal="center"/>
    </xf>
    <xf numFmtId="0" fontId="3" fillId="0" borderId="17" xfId="0" applyFont="1" applyFill="1" applyBorder="1" applyAlignment="1">
      <alignment horizontal="center"/>
    </xf>
    <xf numFmtId="0" fontId="0" fillId="0" borderId="12" xfId="0" applyBorder="1"/>
    <xf numFmtId="0" fontId="0" fillId="0" borderId="42" xfId="0" applyBorder="1"/>
    <xf numFmtId="0" fontId="14" fillId="0" borderId="5" xfId="0" applyFont="1" applyBorder="1"/>
    <xf numFmtId="0" fontId="12" fillId="0" borderId="5" xfId="0" applyFont="1" applyBorder="1"/>
    <xf numFmtId="0" fontId="15" fillId="0" borderId="5" xfId="0" applyFont="1" applyBorder="1" applyAlignment="1">
      <alignment horizontal="center"/>
    </xf>
    <xf numFmtId="0" fontId="15" fillId="0" borderId="32" xfId="0" applyFont="1" applyBorder="1" applyAlignment="1">
      <alignment horizontal="center"/>
    </xf>
    <xf numFmtId="0" fontId="0" fillId="0" borderId="13" xfId="0" applyBorder="1"/>
    <xf numFmtId="0" fontId="17" fillId="0" borderId="5" xfId="0" applyFont="1" applyBorder="1" applyAlignment="1"/>
    <xf numFmtId="0" fontId="17" fillId="0" borderId="0" xfId="0" applyFont="1" applyBorder="1" applyAlignment="1"/>
    <xf numFmtId="0" fontId="17" fillId="0" borderId="26" xfId="0" applyFont="1" applyBorder="1" applyAlignment="1"/>
    <xf numFmtId="0" fontId="3" fillId="0" borderId="13" xfId="0" applyFont="1" applyFill="1" applyBorder="1"/>
    <xf numFmtId="164" fontId="3" fillId="0" borderId="4" xfId="1" applyNumberFormat="1" applyFont="1" applyFill="1" applyBorder="1"/>
    <xf numFmtId="168" fontId="3" fillId="0" borderId="12" xfId="1" applyNumberFormat="1" applyFont="1" applyFill="1" applyBorder="1"/>
    <xf numFmtId="0" fontId="3" fillId="0" borderId="12" xfId="0" applyFont="1" applyFill="1" applyBorder="1"/>
    <xf numFmtId="169" fontId="3" fillId="0" borderId="4" xfId="1" applyNumberFormat="1" applyFont="1" applyFill="1" applyBorder="1" applyAlignment="1">
      <alignment horizontal="center"/>
    </xf>
    <xf numFmtId="169" fontId="3" fillId="0" borderId="13" xfId="1" applyNumberFormat="1" applyFont="1" applyFill="1" applyBorder="1" applyAlignment="1">
      <alignment horizontal="center"/>
    </xf>
    <xf numFmtId="169" fontId="3" fillId="0" borderId="12" xfId="1" applyNumberFormat="1" applyFont="1" applyFill="1" applyBorder="1" applyAlignment="1">
      <alignment horizontal="center"/>
    </xf>
    <xf numFmtId="168" fontId="3" fillId="0" borderId="4" xfId="1" applyNumberFormat="1" applyFont="1" applyFill="1" applyBorder="1"/>
    <xf numFmtId="169" fontId="3" fillId="0" borderId="0" xfId="1" applyNumberFormat="1" applyFont="1" applyFill="1" applyBorder="1" applyAlignment="1">
      <alignment horizontal="center"/>
    </xf>
    <xf numFmtId="9" fontId="3" fillId="0" borderId="7" xfId="2" applyFont="1" applyFill="1" applyBorder="1"/>
    <xf numFmtId="167" fontId="3" fillId="0" borderId="6" xfId="1" applyNumberFormat="1" applyFont="1" applyFill="1" applyBorder="1"/>
    <xf numFmtId="0" fontId="3" fillId="0" borderId="4" xfId="0" applyFont="1" applyFill="1" applyBorder="1" applyAlignment="1">
      <alignment horizontal="left"/>
    </xf>
    <xf numFmtId="167" fontId="3" fillId="0" borderId="4" xfId="1" applyNumberFormat="1" applyFont="1" applyFill="1" applyBorder="1"/>
    <xf numFmtId="0" fontId="3" fillId="0" borderId="1" xfId="0" applyFont="1" applyFill="1" applyBorder="1" applyAlignment="1">
      <alignment horizontal="left"/>
    </xf>
    <xf numFmtId="170" fontId="3" fillId="0" borderId="10" xfId="0" applyNumberFormat="1" applyFont="1" applyFill="1" applyBorder="1" applyAlignment="1">
      <alignment horizontal="right"/>
    </xf>
    <xf numFmtId="0" fontId="3" fillId="0" borderId="10" xfId="0" applyFont="1" applyFill="1" applyBorder="1"/>
    <xf numFmtId="167" fontId="3" fillId="0" borderId="7" xfId="0" applyNumberFormat="1" applyFont="1" applyFill="1" applyBorder="1" applyAlignment="1">
      <alignment horizontal="center"/>
    </xf>
    <xf numFmtId="49" fontId="3" fillId="0" borderId="8" xfId="1" applyNumberFormat="1" applyFont="1" applyFill="1" applyBorder="1" applyAlignment="1">
      <alignment horizontal="center"/>
    </xf>
    <xf numFmtId="167" fontId="3" fillId="0" borderId="17" xfId="1" applyNumberFormat="1" applyFont="1" applyFill="1" applyBorder="1"/>
    <xf numFmtId="168" fontId="3" fillId="0" borderId="6" xfId="1" applyNumberFormat="1" applyFont="1" applyFill="1" applyBorder="1"/>
    <xf numFmtId="167" fontId="3" fillId="0" borderId="9" xfId="1" applyNumberFormat="1" applyFont="1" applyFill="1" applyBorder="1"/>
    <xf numFmtId="168" fontId="3" fillId="0" borderId="0" xfId="1" applyNumberFormat="1" applyFont="1" applyFill="1" applyBorder="1"/>
    <xf numFmtId="167" fontId="3" fillId="0" borderId="17" xfId="0" applyNumberFormat="1" applyFont="1" applyFill="1" applyBorder="1"/>
    <xf numFmtId="169" fontId="3" fillId="0" borderId="17" xfId="1" applyNumberFormat="1" applyFont="1" applyFill="1" applyBorder="1"/>
    <xf numFmtId="169" fontId="4" fillId="0" borderId="17" xfId="1" applyNumberFormat="1" applyFont="1" applyFill="1" applyBorder="1"/>
    <xf numFmtId="169" fontId="3" fillId="0" borderId="17" xfId="1" applyNumberFormat="1" applyFont="1" applyFill="1" applyBorder="1" applyAlignment="1">
      <alignment horizontal="center"/>
    </xf>
    <xf numFmtId="169" fontId="3" fillId="0" borderId="9" xfId="1" applyNumberFormat="1" applyFont="1" applyFill="1" applyBorder="1" applyAlignment="1">
      <alignment horizontal="center"/>
    </xf>
    <xf numFmtId="167" fontId="3" fillId="0" borderId="7" xfId="1" applyNumberFormat="1" applyFont="1" applyFill="1" applyBorder="1"/>
    <xf numFmtId="0" fontId="0" fillId="0" borderId="6" xfId="0" applyFill="1" applyBorder="1"/>
    <xf numFmtId="167" fontId="3" fillId="0" borderId="13" xfId="1" applyNumberFormat="1" applyFont="1" applyFill="1" applyBorder="1"/>
    <xf numFmtId="169" fontId="4" fillId="0" borderId="9" xfId="1" applyNumberFormat="1" applyFont="1" applyFill="1" applyBorder="1"/>
    <xf numFmtId="170" fontId="3" fillId="0" borderId="9" xfId="0" applyNumberFormat="1" applyFont="1" applyFill="1" applyBorder="1" applyAlignment="1">
      <alignment horizontal="right"/>
    </xf>
    <xf numFmtId="0" fontId="4" fillId="0" borderId="9" xfId="0" applyFont="1" applyFill="1" applyBorder="1"/>
    <xf numFmtId="170" fontId="1" fillId="0" borderId="11" xfId="0" applyNumberFormat="1" applyFont="1" applyFill="1" applyBorder="1" applyAlignment="1">
      <alignment horizontal="right"/>
    </xf>
    <xf numFmtId="0" fontId="1" fillId="0" borderId="11" xfId="0" applyFont="1" applyFill="1" applyBorder="1"/>
    <xf numFmtId="0" fontId="1" fillId="0" borderId="8" xfId="0" applyFont="1" applyFill="1" applyBorder="1"/>
    <xf numFmtId="170" fontId="1" fillId="0" borderId="10" xfId="0" applyNumberFormat="1" applyFont="1" applyFill="1" applyBorder="1" applyAlignment="1">
      <alignment horizontal="right"/>
    </xf>
    <xf numFmtId="0" fontId="1" fillId="0" borderId="10" xfId="0" applyFont="1" applyFill="1" applyBorder="1"/>
    <xf numFmtId="170" fontId="1" fillId="0" borderId="0" xfId="0" applyNumberFormat="1" applyFont="1" applyFill="1" applyBorder="1" applyAlignment="1">
      <alignment horizontal="right"/>
    </xf>
    <xf numFmtId="170" fontId="0" fillId="0" borderId="0" xfId="0" applyNumberFormat="1" applyFill="1" applyBorder="1" applyAlignment="1">
      <alignment horizontal="right"/>
    </xf>
    <xf numFmtId="0" fontId="4" fillId="0" borderId="5" xfId="0" applyFont="1" applyFill="1" applyBorder="1" applyAlignment="1"/>
    <xf numFmtId="0" fontId="4" fillId="0" borderId="0" xfId="0" applyFont="1" applyFill="1" applyBorder="1" applyAlignment="1"/>
    <xf numFmtId="0" fontId="4" fillId="0" borderId="10" xfId="0" applyFont="1" applyFill="1" applyBorder="1"/>
    <xf numFmtId="0" fontId="24" fillId="0" borderId="9" xfId="0" applyFont="1" applyFill="1" applyBorder="1" applyAlignment="1"/>
    <xf numFmtId="0" fontId="24" fillId="0" borderId="17" xfId="0" applyFont="1" applyFill="1" applyBorder="1" applyAlignment="1"/>
    <xf numFmtId="0" fontId="4" fillId="0" borderId="6" xfId="0" applyFont="1" applyFill="1" applyBorder="1" applyAlignment="1"/>
    <xf numFmtId="0" fontId="4" fillId="0" borderId="8" xfId="0" applyFont="1" applyFill="1" applyBorder="1" applyAlignment="1"/>
    <xf numFmtId="0" fontId="4" fillId="0" borderId="17" xfId="0" applyFont="1" applyFill="1" applyBorder="1" applyAlignment="1"/>
    <xf numFmtId="0" fontId="24" fillId="0" borderId="30" xfId="0" applyFont="1" applyFill="1" applyBorder="1" applyAlignment="1"/>
    <xf numFmtId="0" fontId="3" fillId="0" borderId="9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167" fontId="3" fillId="5" borderId="2" xfId="1" applyNumberFormat="1" applyFont="1" applyFill="1" applyBorder="1"/>
    <xf numFmtId="3" fontId="3" fillId="0" borderId="2" xfId="0" applyNumberFormat="1" applyFont="1" applyFill="1" applyBorder="1"/>
    <xf numFmtId="169" fontId="40" fillId="0" borderId="3" xfId="3" applyNumberFormat="1" applyFont="1" applyFill="1" applyBorder="1"/>
    <xf numFmtId="168" fontId="3" fillId="0" borderId="2" xfId="1" applyNumberFormat="1" applyFont="1" applyFill="1" applyBorder="1"/>
    <xf numFmtId="0" fontId="0" fillId="0" borderId="0" xfId="0"/>
    <xf numFmtId="0" fontId="0" fillId="0" borderId="0" xfId="0" applyBorder="1"/>
    <xf numFmtId="167" fontId="3" fillId="0" borderId="2" xfId="1" applyNumberFormat="1" applyFont="1" applyFill="1" applyBorder="1"/>
    <xf numFmtId="167" fontId="3" fillId="0" borderId="3" xfId="1" applyNumberFormat="1" applyFont="1" applyFill="1" applyBorder="1"/>
    <xf numFmtId="169" fontId="3" fillId="0" borderId="3" xfId="3" applyNumberFormat="1" applyFont="1" applyFill="1" applyBorder="1"/>
    <xf numFmtId="169" fontId="3" fillId="0" borderId="2" xfId="3" applyNumberFormat="1" applyFont="1" applyFill="1" applyBorder="1"/>
    <xf numFmtId="169" fontId="3" fillId="0" borderId="4" xfId="3" applyNumberFormat="1" applyFont="1" applyFill="1" applyBorder="1"/>
    <xf numFmtId="169" fontId="0" fillId="0" borderId="0" xfId="0" applyNumberFormat="1" applyFill="1"/>
    <xf numFmtId="0" fontId="0" fillId="0" borderId="0" xfId="0" applyFill="1"/>
    <xf numFmtId="169" fontId="3" fillId="0" borderId="5" xfId="1" applyNumberFormat="1" applyFont="1" applyFill="1" applyBorder="1" applyAlignment="1">
      <alignment horizontal="center"/>
    </xf>
    <xf numFmtId="169" fontId="3" fillId="0" borderId="3" xfId="1" applyNumberFormat="1" applyFont="1" applyFill="1" applyBorder="1" applyAlignment="1">
      <alignment horizontal="center"/>
    </xf>
    <xf numFmtId="169" fontId="3" fillId="0" borderId="30" xfId="1" applyNumberFormat="1" applyFont="1" applyFill="1" applyBorder="1" applyAlignment="1">
      <alignment horizontal="center"/>
    </xf>
    <xf numFmtId="0" fontId="0" fillId="0" borderId="0" xfId="0" applyFill="1" applyBorder="1"/>
    <xf numFmtId="167" fontId="3" fillId="0" borderId="30" xfId="1" applyNumberFormat="1" applyFont="1" applyFill="1" applyBorder="1"/>
    <xf numFmtId="0" fontId="3" fillId="0" borderId="0" xfId="0" applyFont="1" applyFill="1" applyBorder="1"/>
    <xf numFmtId="167" fontId="3" fillId="0" borderId="3" xfId="0" applyNumberFormat="1" applyFont="1" applyFill="1" applyBorder="1"/>
    <xf numFmtId="169" fontId="3" fillId="0" borderId="3" xfId="1" applyNumberFormat="1" applyFont="1" applyFill="1" applyBorder="1"/>
    <xf numFmtId="0" fontId="1" fillId="0" borderId="0" xfId="0" applyFont="1" applyFill="1" applyBorder="1"/>
    <xf numFmtId="169" fontId="3" fillId="0" borderId="2" xfId="1" applyNumberFormat="1" applyFont="1" applyFill="1" applyBorder="1" applyAlignment="1">
      <alignment horizontal="center"/>
    </xf>
    <xf numFmtId="169" fontId="3" fillId="0" borderId="1" xfId="1" applyNumberFormat="1" applyFont="1" applyFill="1" applyBorder="1"/>
    <xf numFmtId="169" fontId="3" fillId="0" borderId="2" xfId="1" applyNumberFormat="1" applyFont="1" applyFill="1" applyBorder="1"/>
    <xf numFmtId="0" fontId="0" fillId="0" borderId="13" xfId="0" applyFill="1" applyBorder="1"/>
    <xf numFmtId="169" fontId="4" fillId="0" borderId="3" xfId="1" applyNumberFormat="1" applyFont="1" applyFill="1" applyBorder="1"/>
    <xf numFmtId="169" fontId="4" fillId="0" borderId="4" xfId="1" applyNumberFormat="1" applyFont="1" applyFill="1" applyBorder="1"/>
    <xf numFmtId="0" fontId="7" fillId="0" borderId="0" xfId="0" applyFont="1" applyFill="1" applyBorder="1"/>
    <xf numFmtId="171" fontId="7" fillId="0" borderId="26" xfId="0" applyNumberFormat="1" applyFont="1" applyFill="1" applyBorder="1"/>
    <xf numFmtId="0" fontId="7" fillId="0" borderId="0" xfId="0" applyFont="1" applyFill="1" applyBorder="1" applyAlignment="1">
      <alignment horizontal="center"/>
    </xf>
    <xf numFmtId="0" fontId="21" fillId="0" borderId="0" xfId="0" quotePrefix="1" applyFont="1" applyFill="1" applyBorder="1" applyAlignment="1">
      <alignment horizontal="center"/>
    </xf>
    <xf numFmtId="0" fontId="21" fillId="0" borderId="0" xfId="0" applyFont="1" applyFill="1" applyBorder="1" applyAlignment="1">
      <alignment horizontal="center"/>
    </xf>
    <xf numFmtId="171" fontId="21" fillId="0" borderId="26" xfId="0" quotePrefix="1" applyNumberFormat="1" applyFont="1" applyFill="1" applyBorder="1" applyAlignment="1">
      <alignment horizontal="center"/>
    </xf>
    <xf numFmtId="0" fontId="7" fillId="0" borderId="21" xfId="0" applyFont="1" applyFill="1" applyBorder="1"/>
    <xf numFmtId="0" fontId="21" fillId="0" borderId="21" xfId="0" applyFont="1" applyFill="1" applyBorder="1" applyAlignment="1">
      <alignment horizontal="center"/>
    </xf>
    <xf numFmtId="171" fontId="21" fillId="0" borderId="28" xfId="0" applyNumberFormat="1" applyFont="1" applyFill="1" applyBorder="1" applyAlignment="1">
      <alignment horizontal="center"/>
    </xf>
    <xf numFmtId="0" fontId="4" fillId="0" borderId="0" xfId="0" applyFont="1" applyFill="1" applyBorder="1"/>
    <xf numFmtId="0" fontId="9" fillId="0" borderId="0" xfId="0" applyFont="1" applyFill="1" applyBorder="1"/>
    <xf numFmtId="164" fontId="9" fillId="0" borderId="26" xfId="0" applyNumberFormat="1" applyFont="1" applyFill="1" applyBorder="1"/>
    <xf numFmtId="0" fontId="6" fillId="0" borderId="15" xfId="0" applyFont="1" applyFill="1" applyBorder="1"/>
    <xf numFmtId="0" fontId="6" fillId="0" borderId="38" xfId="0" applyFont="1" applyFill="1" applyBorder="1"/>
    <xf numFmtId="171" fontId="7" fillId="0" borderId="39" xfId="0" applyNumberFormat="1" applyFont="1" applyFill="1" applyBorder="1"/>
    <xf numFmtId="171" fontId="21" fillId="0" borderId="39" xfId="0" quotePrefix="1" applyNumberFormat="1" applyFont="1" applyFill="1" applyBorder="1" applyAlignment="1">
      <alignment horizontal="center"/>
    </xf>
    <xf numFmtId="171" fontId="21" fillId="0" borderId="40" xfId="0" applyNumberFormat="1" applyFont="1" applyFill="1" applyBorder="1" applyAlignment="1">
      <alignment horizontal="center"/>
    </xf>
    <xf numFmtId="164" fontId="9" fillId="0" borderId="39" xfId="0" applyNumberFormat="1" applyFont="1" applyFill="1" applyBorder="1"/>
    <xf numFmtId="0" fontId="1" fillId="0" borderId="0" xfId="0" applyFont="1" applyFill="1"/>
    <xf numFmtId="169" fontId="3" fillId="0" borderId="0" xfId="3" applyNumberFormat="1" applyFont="1" applyFill="1" applyBorder="1"/>
    <xf numFmtId="169" fontId="4" fillId="0" borderId="0" xfId="3" applyNumberFormat="1" applyFont="1" applyFill="1" applyBorder="1"/>
    <xf numFmtId="169" fontId="4" fillId="0" borderId="41" xfId="3" applyNumberFormat="1" applyFont="1" applyFill="1" applyBorder="1"/>
    <xf numFmtId="169" fontId="4" fillId="0" borderId="3" xfId="3" applyNumberFormat="1" applyFont="1" applyFill="1" applyBorder="1"/>
    <xf numFmtId="169" fontId="4" fillId="0" borderId="3" xfId="3" applyNumberFormat="1" applyFont="1" applyFill="1" applyBorder="1" applyAlignment="1">
      <alignment horizontal="center"/>
    </xf>
    <xf numFmtId="0" fontId="4" fillId="0" borderId="3" xfId="3" applyNumberFormat="1" applyFont="1" applyFill="1" applyBorder="1" applyAlignment="1">
      <alignment horizontal="center"/>
    </xf>
    <xf numFmtId="0" fontId="0" fillId="0" borderId="3" xfId="0" applyFill="1" applyBorder="1"/>
    <xf numFmtId="169" fontId="3" fillId="0" borderId="1" xfId="3" applyNumberFormat="1" applyFont="1" applyFill="1" applyBorder="1"/>
    <xf numFmtId="0" fontId="0" fillId="0" borderId="8" xfId="0" applyFill="1" applyBorder="1"/>
    <xf numFmtId="0" fontId="0" fillId="0" borderId="4" xfId="0" applyFill="1" applyBorder="1"/>
    <xf numFmtId="169" fontId="24" fillId="0" borderId="41" xfId="0" applyNumberFormat="1" applyFont="1" applyFill="1" applyBorder="1"/>
    <xf numFmtId="0" fontId="9" fillId="0" borderId="0" xfId="0" applyFont="1" applyFill="1" applyBorder="1" applyAlignment="1">
      <alignment horizontal="center"/>
    </xf>
    <xf numFmtId="0" fontId="36" fillId="0" borderId="0" xfId="0" applyFont="1" applyFill="1" applyBorder="1" applyAlignment="1"/>
    <xf numFmtId="0" fontId="36" fillId="0" borderId="0" xfId="0" applyFont="1" applyFill="1" applyBorder="1" applyAlignment="1">
      <alignment horizontal="center"/>
    </xf>
    <xf numFmtId="169" fontId="3" fillId="0" borderId="6" xfId="3" applyNumberFormat="1" applyFont="1" applyFill="1" applyBorder="1"/>
    <xf numFmtId="169" fontId="4" fillId="0" borderId="43" xfId="3" applyNumberFormat="1" applyFont="1" applyFill="1" applyBorder="1"/>
    <xf numFmtId="169" fontId="4" fillId="0" borderId="2" xfId="3" applyNumberFormat="1" applyFont="1" applyFill="1" applyBorder="1"/>
    <xf numFmtId="3" fontId="3" fillId="0" borderId="2" xfId="3" applyNumberFormat="1" applyFont="1" applyFill="1" applyBorder="1"/>
    <xf numFmtId="0" fontId="9" fillId="0" borderId="0" xfId="0" applyFont="1" applyFill="1" applyBorder="1" applyAlignment="1">
      <alignment horizontal="right"/>
    </xf>
    <xf numFmtId="0" fontId="37" fillId="0" borderId="0" xfId="0" applyFont="1" applyFill="1" applyBorder="1" applyAlignment="1"/>
    <xf numFmtId="0" fontId="38" fillId="0" borderId="0" xfId="0" applyFont="1" applyFill="1" applyBorder="1" applyAlignment="1">
      <alignment horizontal="right"/>
    </xf>
    <xf numFmtId="0" fontId="39" fillId="0" borderId="0" xfId="0" applyFont="1" applyFill="1" applyBorder="1" applyAlignment="1"/>
    <xf numFmtId="169" fontId="40" fillId="0" borderId="3" xfId="3" applyNumberFormat="1" applyFont="1" applyFill="1" applyBorder="1" applyAlignment="1">
      <alignment horizontal="right"/>
    </xf>
    <xf numFmtId="169" fontId="5" fillId="0" borderId="0" xfId="3" applyNumberFormat="1" applyFont="1" applyFill="1" applyBorder="1"/>
    <xf numFmtId="169" fontId="40" fillId="0" borderId="0" xfId="3" applyNumberFormat="1" applyFont="1" applyFill="1" applyBorder="1" applyAlignment="1">
      <alignment horizontal="right"/>
    </xf>
    <xf numFmtId="169" fontId="40" fillId="0" borderId="0" xfId="3" applyNumberFormat="1" applyFont="1" applyFill="1" applyBorder="1"/>
    <xf numFmtId="169" fontId="40" fillId="0" borderId="41" xfId="3" applyNumberFormat="1" applyFont="1" applyFill="1" applyBorder="1" applyAlignment="1">
      <alignment horizontal="right"/>
    </xf>
    <xf numFmtId="169" fontId="40" fillId="0" borderId="4" xfId="3" applyNumberFormat="1" applyFont="1" applyFill="1" applyBorder="1" applyAlignment="1">
      <alignment horizontal="right"/>
    </xf>
    <xf numFmtId="169" fontId="3" fillId="0" borderId="3" xfId="3" applyNumberFormat="1" applyFont="1" applyFill="1" applyBorder="1" applyAlignment="1">
      <alignment horizontal="right"/>
    </xf>
    <xf numFmtId="169" fontId="3" fillId="0" borderId="3" xfId="3" applyNumberFormat="1" applyFont="1" applyFill="1" applyBorder="1" applyAlignment="1">
      <alignment horizontal="center"/>
    </xf>
    <xf numFmtId="169" fontId="40" fillId="0" borderId="2" xfId="3" applyNumberFormat="1" applyFont="1" applyFill="1" applyBorder="1" applyAlignment="1">
      <alignment horizontal="right"/>
    </xf>
    <xf numFmtId="169" fontId="40" fillId="0" borderId="43" xfId="3" applyNumberFormat="1" applyFont="1" applyFill="1" applyBorder="1" applyAlignment="1">
      <alignment horizontal="right"/>
    </xf>
    <xf numFmtId="169" fontId="40" fillId="0" borderId="1" xfId="3" applyNumberFormat="1" applyFont="1" applyFill="1" applyBorder="1" applyAlignment="1">
      <alignment horizontal="right"/>
    </xf>
    <xf numFmtId="0" fontId="9" fillId="0" borderId="0" xfId="0" applyFont="1" applyFill="1" applyAlignment="1">
      <alignment horizontal="right"/>
    </xf>
    <xf numFmtId="0" fontId="9" fillId="0" borderId="0" xfId="0" applyFont="1" applyFill="1"/>
    <xf numFmtId="169" fontId="26" fillId="0" borderId="41" xfId="0" applyNumberFormat="1" applyFont="1" applyFill="1" applyBorder="1" applyAlignment="1">
      <alignment horizontal="right"/>
    </xf>
    <xf numFmtId="0" fontId="25" fillId="0" borderId="0" xfId="0" applyFont="1" applyFill="1"/>
    <xf numFmtId="43" fontId="0" fillId="0" borderId="0" xfId="0" applyNumberFormat="1" applyFill="1"/>
    <xf numFmtId="0" fontId="0" fillId="0" borderId="0" xfId="0" applyFont="1" applyFill="1"/>
    <xf numFmtId="43" fontId="0" fillId="0" borderId="3" xfId="0" applyNumberFormat="1" applyFill="1" applyBorder="1"/>
    <xf numFmtId="43" fontId="9" fillId="0" borderId="41" xfId="0" applyNumberFormat="1" applyFont="1" applyFill="1" applyBorder="1"/>
    <xf numFmtId="169" fontId="40" fillId="0" borderId="10" xfId="3" applyNumberFormat="1" applyFont="1" applyFill="1" applyBorder="1" applyAlignment="1">
      <alignment horizontal="right"/>
    </xf>
    <xf numFmtId="169" fontId="40" fillId="0" borderId="17" xfId="3" applyNumberFormat="1" applyFont="1" applyFill="1" applyBorder="1"/>
    <xf numFmtId="169" fontId="5" fillId="0" borderId="17" xfId="3" applyNumberFormat="1" applyFont="1" applyFill="1" applyBorder="1"/>
    <xf numFmtId="0" fontId="1" fillId="0" borderId="17" xfId="0" applyFont="1" applyFill="1" applyBorder="1"/>
    <xf numFmtId="169" fontId="5" fillId="0" borderId="7" xfId="3" applyNumberFormat="1" applyFont="1" applyFill="1" applyBorder="1"/>
    <xf numFmtId="0" fontId="0" fillId="0" borderId="17" xfId="0" applyFill="1" applyBorder="1"/>
    <xf numFmtId="0" fontId="0" fillId="0" borderId="17" xfId="0" applyFont="1" applyFill="1" applyBorder="1"/>
    <xf numFmtId="0" fontId="6" fillId="0" borderId="22" xfId="0" applyFont="1" applyFill="1" applyBorder="1" applyAlignment="1">
      <alignment horizontal="left"/>
    </xf>
    <xf numFmtId="0" fontId="6" fillId="0" borderId="27" xfId="0" applyFont="1" applyFill="1" applyBorder="1" applyAlignment="1">
      <alignment horizontal="left"/>
    </xf>
    <xf numFmtId="169" fontId="5" fillId="0" borderId="3" xfId="3" applyNumberFormat="1" applyFont="1" applyFill="1" applyBorder="1"/>
    <xf numFmtId="0" fontId="40" fillId="0" borderId="6" xfId="0" applyFont="1" applyFill="1" applyBorder="1" applyAlignment="1">
      <alignment horizontal="left"/>
    </xf>
    <xf numFmtId="0" fontId="6" fillId="0" borderId="0" xfId="0" applyFont="1" applyFill="1" applyBorder="1"/>
    <xf numFmtId="169" fontId="6" fillId="0" borderId="0" xfId="3" applyNumberFormat="1" applyFont="1" applyFill="1" applyBorder="1"/>
    <xf numFmtId="3" fontId="3" fillId="0" borderId="3" xfId="3" applyNumberFormat="1" applyFont="1" applyFill="1" applyBorder="1" applyAlignment="1">
      <alignment horizontal="center"/>
    </xf>
    <xf numFmtId="0" fontId="3" fillId="0" borderId="3" xfId="3" applyNumberFormat="1" applyFont="1" applyFill="1" applyBorder="1" applyAlignment="1">
      <alignment horizontal="center"/>
    </xf>
    <xf numFmtId="0" fontId="40" fillId="0" borderId="3" xfId="0" applyFont="1" applyFill="1" applyBorder="1" applyAlignment="1">
      <alignment horizontal="left"/>
    </xf>
    <xf numFmtId="169" fontId="4" fillId="0" borderId="10" xfId="3" applyNumberFormat="1" applyFont="1" applyFill="1" applyBorder="1"/>
    <xf numFmtId="0" fontId="40" fillId="0" borderId="0" xfId="0" applyFont="1" applyFill="1" applyBorder="1" applyAlignment="1">
      <alignment horizontal="left"/>
    </xf>
    <xf numFmtId="0" fontId="40" fillId="0" borderId="11" xfId="0" applyFont="1" applyFill="1" applyBorder="1" applyAlignment="1">
      <alignment horizontal="left"/>
    </xf>
    <xf numFmtId="0" fontId="40" fillId="0" borderId="44" xfId="0" applyFont="1" applyFill="1" applyBorder="1" applyAlignment="1">
      <alignment horizontal="left"/>
    </xf>
    <xf numFmtId="180" fontId="3" fillId="0" borderId="2" xfId="1" applyNumberFormat="1" applyFont="1" applyFill="1" applyBorder="1"/>
    <xf numFmtId="164" fontId="9" fillId="0" borderId="22" xfId="0" applyNumberFormat="1" applyFont="1" applyFill="1" applyBorder="1"/>
    <xf numFmtId="0" fontId="6" fillId="0" borderId="14" xfId="0" applyFont="1" applyFill="1" applyBorder="1"/>
    <xf numFmtId="171" fontId="7" fillId="0" borderId="22" xfId="0" applyNumberFormat="1" applyFont="1" applyFill="1" applyBorder="1"/>
    <xf numFmtId="171" fontId="21" fillId="0" borderId="22" xfId="0" quotePrefix="1" applyNumberFormat="1" applyFont="1" applyFill="1" applyBorder="1" applyAlignment="1">
      <alignment horizontal="center"/>
    </xf>
    <xf numFmtId="171" fontId="21" fillId="0" borderId="27" xfId="0" applyNumberFormat="1" applyFont="1" applyFill="1" applyBorder="1" applyAlignment="1">
      <alignment horizontal="center"/>
    </xf>
    <xf numFmtId="0" fontId="6" fillId="0" borderId="33" xfId="0" applyFont="1" applyFill="1" applyBorder="1"/>
    <xf numFmtId="171" fontId="21" fillId="0" borderId="35" xfId="0" quotePrefix="1" applyNumberFormat="1" applyFont="1" applyFill="1" applyBorder="1" applyAlignment="1">
      <alignment horizontal="center"/>
    </xf>
    <xf numFmtId="171" fontId="21" fillId="0" borderId="36" xfId="0" applyNumberFormat="1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3" fillId="0" borderId="17" xfId="0" applyFont="1" applyFill="1" applyBorder="1" applyAlignment="1">
      <alignment horizontal="center"/>
    </xf>
    <xf numFmtId="0" fontId="5" fillId="0" borderId="0" xfId="0" applyFont="1"/>
    <xf numFmtId="0" fontId="40" fillId="0" borderId="0" xfId="0" applyFont="1"/>
    <xf numFmtId="0" fontId="5" fillId="0" borderId="2" xfId="0" applyFont="1" applyFill="1" applyBorder="1"/>
    <xf numFmtId="0" fontId="4" fillId="0" borderId="9" xfId="0" applyFont="1" applyFill="1" applyBorder="1" applyAlignment="1">
      <alignment horizontal="left"/>
    </xf>
    <xf numFmtId="0" fontId="3" fillId="0" borderId="9" xfId="0" applyFont="1" applyFill="1" applyBorder="1" applyAlignment="1">
      <alignment horizontal="center"/>
    </xf>
    <xf numFmtId="0" fontId="24" fillId="0" borderId="9" xfId="0" applyFont="1" applyFill="1" applyBorder="1" applyAlignment="1"/>
    <xf numFmtId="0" fontId="24" fillId="0" borderId="17" xfId="0" applyFont="1" applyFill="1" applyBorder="1" applyAlignment="1"/>
    <xf numFmtId="0" fontId="3" fillId="0" borderId="9" xfId="0" applyFont="1" applyFill="1" applyBorder="1" applyAlignment="1">
      <alignment horizontal="center"/>
    </xf>
    <xf numFmtId="0" fontId="3" fillId="0" borderId="17" xfId="0" applyFont="1" applyFill="1" applyBorder="1" applyAlignment="1">
      <alignment horizontal="center"/>
    </xf>
    <xf numFmtId="0" fontId="2" fillId="0" borderId="12" xfId="0" applyFont="1" applyFill="1" applyBorder="1" applyAlignment="1">
      <alignment vertical="top"/>
    </xf>
    <xf numFmtId="0" fontId="2" fillId="0" borderId="10" xfId="0" applyFont="1" applyFill="1" applyBorder="1" applyAlignment="1">
      <alignment vertical="top"/>
    </xf>
    <xf numFmtId="0" fontId="2" fillId="0" borderId="13" xfId="0" applyFont="1" applyFill="1" applyBorder="1" applyAlignment="1">
      <alignment vertical="top"/>
    </xf>
    <xf numFmtId="0" fontId="2" fillId="0" borderId="11" xfId="0" applyFont="1" applyFill="1" applyBorder="1" applyAlignment="1">
      <alignment vertical="top"/>
    </xf>
    <xf numFmtId="0" fontId="2" fillId="0" borderId="8" xfId="0" applyFont="1" applyFill="1" applyBorder="1" applyAlignment="1">
      <alignment vertical="top"/>
    </xf>
    <xf numFmtId="167" fontId="3" fillId="0" borderId="2" xfId="1" applyNumberFormat="1" applyFont="1" applyFill="1" applyBorder="1" applyAlignment="1">
      <alignment horizontal="center"/>
    </xf>
    <xf numFmtId="2" fontId="35" fillId="0" borderId="2" xfId="0" applyNumberFormat="1" applyFont="1" applyFill="1" applyBorder="1" applyAlignment="1" applyProtection="1">
      <alignment horizontal="right" vertical="top"/>
      <protection locked="0"/>
    </xf>
    <xf numFmtId="0" fontId="9" fillId="0" borderId="0" xfId="4" applyFont="1" applyAlignment="1">
      <alignment vertical="top"/>
    </xf>
    <xf numFmtId="0" fontId="1" fillId="0" borderId="0" xfId="4"/>
    <xf numFmtId="167" fontId="1" fillId="0" borderId="0" xfId="4" applyNumberFormat="1"/>
    <xf numFmtId="165" fontId="1" fillId="0" borderId="0" xfId="4" applyNumberFormat="1"/>
    <xf numFmtId="0" fontId="1" fillId="0" borderId="0" xfId="4" applyAlignment="1">
      <alignment wrapText="1"/>
    </xf>
    <xf numFmtId="0" fontId="3" fillId="0" borderId="11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3" fillId="0" borderId="17" xfId="0" applyFont="1" applyFill="1" applyBorder="1" applyAlignment="1">
      <alignment horizontal="center"/>
    </xf>
    <xf numFmtId="169" fontId="3" fillId="0" borderId="19" xfId="1" applyNumberFormat="1" applyFont="1" applyFill="1" applyBorder="1" applyAlignment="1">
      <alignment horizontal="center"/>
    </xf>
    <xf numFmtId="167" fontId="3" fillId="0" borderId="0" xfId="0" applyNumberFormat="1" applyFont="1" applyFill="1" applyBorder="1"/>
    <xf numFmtId="170" fontId="3" fillId="0" borderId="12" xfId="0" applyNumberFormat="1" applyFont="1" applyFill="1" applyBorder="1" applyAlignment="1">
      <alignment vertical="top"/>
    </xf>
    <xf numFmtId="170" fontId="3" fillId="0" borderId="7" xfId="0" applyNumberFormat="1" applyFont="1" applyFill="1" applyBorder="1" applyAlignment="1">
      <alignment vertical="top"/>
    </xf>
    <xf numFmtId="170" fontId="3" fillId="0" borderId="13" xfId="0" applyNumberFormat="1" applyFont="1" applyFill="1" applyBorder="1" applyAlignment="1">
      <alignment vertical="top"/>
    </xf>
    <xf numFmtId="170" fontId="3" fillId="0" borderId="8" xfId="0" applyNumberFormat="1" applyFont="1" applyFill="1" applyBorder="1" applyAlignment="1">
      <alignment vertical="top"/>
    </xf>
    <xf numFmtId="0" fontId="40" fillId="0" borderId="0" xfId="4" applyFont="1" applyAlignment="1">
      <alignment wrapText="1"/>
    </xf>
    <xf numFmtId="0" fontId="9" fillId="0" borderId="0" xfId="4" applyFont="1" applyAlignment="1">
      <alignment wrapText="1"/>
    </xf>
    <xf numFmtId="164" fontId="1" fillId="0" borderId="0" xfId="4" applyNumberFormat="1" applyFont="1"/>
    <xf numFmtId="0" fontId="1" fillId="0" borderId="0" xfId="4" applyFont="1"/>
    <xf numFmtId="169" fontId="4" fillId="0" borderId="10" xfId="1" applyNumberFormat="1" applyFont="1" applyFill="1" applyBorder="1"/>
    <xf numFmtId="167" fontId="3" fillId="0" borderId="11" xfId="1" applyNumberFormat="1" applyFont="1" applyFill="1" applyBorder="1"/>
    <xf numFmtId="180" fontId="3" fillId="0" borderId="1" xfId="1" applyNumberFormat="1" applyFont="1" applyFill="1" applyBorder="1"/>
    <xf numFmtId="180" fontId="3" fillId="0" borderId="5" xfId="1" applyNumberFormat="1" applyFont="1" applyFill="1" applyBorder="1"/>
    <xf numFmtId="167" fontId="3" fillId="0" borderId="8" xfId="0" applyNumberFormat="1" applyFont="1" applyFill="1" applyBorder="1"/>
    <xf numFmtId="167" fontId="3" fillId="0" borderId="11" xfId="0" applyNumberFormat="1" applyFont="1" applyFill="1" applyBorder="1"/>
    <xf numFmtId="0" fontId="3" fillId="0" borderId="9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wrapText="1"/>
    </xf>
    <xf numFmtId="167" fontId="3" fillId="0" borderId="1" xfId="0" applyNumberFormat="1" applyFont="1" applyFill="1" applyBorder="1" applyAlignment="1">
      <alignment horizontal="center" wrapText="1"/>
    </xf>
    <xf numFmtId="0" fontId="3" fillId="0" borderId="4" xfId="0" applyFont="1" applyFill="1" applyBorder="1" applyAlignment="1">
      <alignment wrapText="1"/>
    </xf>
    <xf numFmtId="15" fontId="3" fillId="0" borderId="4" xfId="0" applyNumberFormat="1" applyFont="1" applyFill="1" applyBorder="1" applyAlignment="1">
      <alignment horizontal="center" wrapText="1"/>
    </xf>
    <xf numFmtId="49" fontId="3" fillId="0" borderId="4" xfId="1" applyNumberFormat="1" applyFont="1" applyFill="1" applyBorder="1" applyAlignment="1">
      <alignment horizontal="center" wrapText="1"/>
    </xf>
    <xf numFmtId="0" fontId="4" fillId="0" borderId="2" xfId="0" applyFont="1" applyFill="1" applyBorder="1" applyAlignment="1">
      <alignment wrapText="1"/>
    </xf>
    <xf numFmtId="167" fontId="3" fillId="0" borderId="2" xfId="1" applyNumberFormat="1" applyFont="1" applyFill="1" applyBorder="1" applyAlignment="1">
      <alignment wrapText="1"/>
    </xf>
    <xf numFmtId="169" fontId="3" fillId="0" borderId="2" xfId="1" applyNumberFormat="1" applyFont="1" applyFill="1" applyBorder="1" applyAlignment="1">
      <alignment horizontal="center" wrapText="1"/>
    </xf>
    <xf numFmtId="3" fontId="3" fillId="0" borderId="0" xfId="0" applyNumberFormat="1" applyFont="1" applyFill="1" applyBorder="1"/>
    <xf numFmtId="0" fontId="4" fillId="0" borderId="30" xfId="3" applyNumberFormat="1" applyFont="1" applyFill="1" applyBorder="1" applyAlignment="1">
      <alignment horizontal="center"/>
    </xf>
    <xf numFmtId="0" fontId="0" fillId="0" borderId="30" xfId="0" applyBorder="1"/>
    <xf numFmtId="169" fontId="3" fillId="0" borderId="30" xfId="3" applyNumberFormat="1" applyFont="1" applyFill="1" applyBorder="1"/>
    <xf numFmtId="3" fontId="3" fillId="0" borderId="30" xfId="3" applyNumberFormat="1" applyFont="1" applyFill="1" applyBorder="1" applyAlignment="1">
      <alignment horizontal="center"/>
    </xf>
    <xf numFmtId="0" fontId="3" fillId="0" borderId="30" xfId="3" applyNumberFormat="1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169" fontId="3" fillId="0" borderId="2" xfId="1" applyNumberFormat="1" applyFont="1" applyFill="1" applyBorder="1" applyAlignment="1">
      <alignment horizontal="left"/>
    </xf>
    <xf numFmtId="0" fontId="3" fillId="0" borderId="9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21" xfId="0" applyFont="1" applyFill="1" applyBorder="1"/>
    <xf numFmtId="167" fontId="3" fillId="0" borderId="2" xfId="1" quotePrefix="1" applyNumberFormat="1" applyFont="1" applyFill="1" applyBorder="1"/>
    <xf numFmtId="2" fontId="3" fillId="0" borderId="2" xfId="1" applyNumberFormat="1" applyFont="1" applyFill="1" applyBorder="1"/>
    <xf numFmtId="0" fontId="4" fillId="0" borderId="0" xfId="0" applyFont="1"/>
    <xf numFmtId="0" fontId="4" fillId="0" borderId="3" xfId="0" applyFont="1" applyBorder="1"/>
    <xf numFmtId="0" fontId="4" fillId="5" borderId="3" xfId="0" applyFont="1" applyFill="1" applyBorder="1"/>
    <xf numFmtId="0" fontId="4" fillId="0" borderId="0" xfId="0" applyFont="1" applyBorder="1"/>
    <xf numFmtId="0" fontId="4" fillId="0" borderId="1" xfId="0" applyFont="1" applyBorder="1"/>
    <xf numFmtId="0" fontId="4" fillId="0" borderId="2" xfId="0" applyFont="1" applyBorder="1"/>
    <xf numFmtId="169" fontId="4" fillId="0" borderId="45" xfId="3" applyNumberFormat="1" applyFont="1" applyFill="1" applyBorder="1"/>
    <xf numFmtId="169" fontId="40" fillId="0" borderId="45" xfId="3" applyNumberFormat="1" applyFont="1" applyFill="1" applyBorder="1" applyAlignment="1">
      <alignment horizontal="right"/>
    </xf>
    <xf numFmtId="0" fontId="4" fillId="0" borderId="4" xfId="0" applyFont="1" applyBorder="1"/>
    <xf numFmtId="171" fontId="21" fillId="0" borderId="21" xfId="0" applyNumberFormat="1" applyFont="1" applyFill="1" applyBorder="1" applyAlignment="1">
      <alignment horizontal="center"/>
    </xf>
    <xf numFmtId="0" fontId="7" fillId="0" borderId="0" xfId="0" applyFont="1"/>
    <xf numFmtId="0" fontId="41" fillId="0" borderId="0" xfId="0" applyFont="1" applyFill="1"/>
    <xf numFmtId="0" fontId="1" fillId="0" borderId="0" xfId="0" applyFont="1"/>
    <xf numFmtId="0" fontId="6" fillId="0" borderId="28" xfId="0" applyFont="1" applyBorder="1"/>
    <xf numFmtId="164" fontId="6" fillId="0" borderId="38" xfId="0" applyNumberFormat="1" applyFont="1" applyFill="1" applyBorder="1"/>
    <xf numFmtId="0" fontId="6" fillId="0" borderId="40" xfId="0" applyFont="1" applyBorder="1"/>
    <xf numFmtId="171" fontId="21" fillId="0" borderId="39" xfId="0" applyNumberFormat="1" applyFont="1" applyFill="1" applyBorder="1" applyAlignment="1">
      <alignment horizontal="center"/>
    </xf>
    <xf numFmtId="0" fontId="6" fillId="0" borderId="27" xfId="0" applyFont="1" applyBorder="1"/>
    <xf numFmtId="0" fontId="9" fillId="0" borderId="14" xfId="0" applyFont="1" applyBorder="1"/>
    <xf numFmtId="0" fontId="10" fillId="0" borderId="0" xfId="0" applyFont="1"/>
    <xf numFmtId="0" fontId="10" fillId="0" borderId="15" xfId="0" applyFont="1" applyFill="1" applyBorder="1"/>
    <xf numFmtId="0" fontId="10" fillId="0" borderId="38" xfId="0" applyFont="1" applyFill="1" applyBorder="1"/>
    <xf numFmtId="0" fontId="10" fillId="0" borderId="14" xfId="0" applyFont="1" applyFill="1" applyBorder="1"/>
    <xf numFmtId="0" fontId="42" fillId="0" borderId="0" xfId="0" applyFont="1"/>
    <xf numFmtId="0" fontId="10" fillId="0" borderId="22" xfId="0" applyFont="1" applyFill="1" applyBorder="1" applyAlignment="1">
      <alignment horizontal="left"/>
    </xf>
    <xf numFmtId="0" fontId="42" fillId="0" borderId="0" xfId="0" applyFont="1" applyFill="1" applyBorder="1"/>
    <xf numFmtId="0" fontId="10" fillId="0" borderId="0" xfId="0" applyFont="1" applyFill="1" applyBorder="1"/>
    <xf numFmtId="171" fontId="42" fillId="0" borderId="39" xfId="0" applyNumberFormat="1" applyFont="1" applyFill="1" applyBorder="1"/>
    <xf numFmtId="171" fontId="42" fillId="0" borderId="26" xfId="0" applyNumberFormat="1" applyFont="1" applyFill="1" applyBorder="1"/>
    <xf numFmtId="171" fontId="42" fillId="0" borderId="22" xfId="0" applyNumberFormat="1" applyFont="1" applyFill="1" applyBorder="1"/>
    <xf numFmtId="0" fontId="10" fillId="0" borderId="39" xfId="0" applyFont="1" applyBorder="1"/>
    <xf numFmtId="0" fontId="42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43" fillId="0" borderId="0" xfId="0" quotePrefix="1" applyFont="1" applyFill="1" applyBorder="1" applyAlignment="1">
      <alignment horizontal="center"/>
    </xf>
    <xf numFmtId="0" fontId="43" fillId="0" borderId="0" xfId="0" applyFont="1" applyFill="1" applyBorder="1" applyAlignment="1">
      <alignment horizontal="center"/>
    </xf>
    <xf numFmtId="171" fontId="43" fillId="0" borderId="39" xfId="0" quotePrefix="1" applyNumberFormat="1" applyFont="1" applyFill="1" applyBorder="1" applyAlignment="1">
      <alignment horizontal="center"/>
    </xf>
    <xf numFmtId="171" fontId="43" fillId="0" borderId="26" xfId="0" quotePrefix="1" applyNumberFormat="1" applyFont="1" applyFill="1" applyBorder="1" applyAlignment="1">
      <alignment horizontal="center"/>
    </xf>
    <xf numFmtId="171" fontId="43" fillId="0" borderId="22" xfId="0" quotePrefix="1" applyNumberFormat="1" applyFont="1" applyFill="1" applyBorder="1" applyAlignment="1">
      <alignment horizontal="center"/>
    </xf>
    <xf numFmtId="0" fontId="10" fillId="0" borderId="22" xfId="0" applyFont="1" applyBorder="1" applyAlignment="1">
      <alignment horizontal="center"/>
    </xf>
    <xf numFmtId="0" fontId="10" fillId="0" borderId="39" xfId="0" applyFont="1" applyBorder="1" applyAlignment="1">
      <alignment horizontal="center"/>
    </xf>
    <xf numFmtId="0" fontId="10" fillId="0" borderId="27" xfId="0" applyFont="1" applyFill="1" applyBorder="1" applyAlignment="1">
      <alignment horizontal="left"/>
    </xf>
    <xf numFmtId="0" fontId="42" fillId="0" borderId="21" xfId="0" applyFont="1" applyFill="1" applyBorder="1"/>
    <xf numFmtId="0" fontId="10" fillId="0" borderId="21" xfId="0" applyFont="1" applyFill="1" applyBorder="1"/>
    <xf numFmtId="0" fontId="43" fillId="0" borderId="21" xfId="0" applyFont="1" applyFill="1" applyBorder="1" applyAlignment="1">
      <alignment horizontal="center"/>
    </xf>
    <xf numFmtId="171" fontId="43" fillId="0" borderId="40" xfId="0" applyNumberFormat="1" applyFont="1" applyFill="1" applyBorder="1" applyAlignment="1">
      <alignment horizontal="center"/>
    </xf>
    <xf numFmtId="171" fontId="43" fillId="0" borderId="28" xfId="0" applyNumberFormat="1" applyFont="1" applyFill="1" applyBorder="1" applyAlignment="1">
      <alignment horizontal="center"/>
    </xf>
    <xf numFmtId="171" fontId="43" fillId="0" borderId="27" xfId="0" applyNumberFormat="1" applyFont="1" applyFill="1" applyBorder="1" applyAlignment="1">
      <alignment horizontal="center"/>
    </xf>
    <xf numFmtId="171" fontId="43" fillId="0" borderId="21" xfId="0" applyNumberFormat="1" applyFont="1" applyFill="1" applyBorder="1" applyAlignment="1">
      <alignment horizontal="center"/>
    </xf>
    <xf numFmtId="0" fontId="10" fillId="0" borderId="47" xfId="0" quotePrefix="1" applyFont="1" applyFill="1" applyBorder="1" applyAlignment="1">
      <alignment horizontal="left"/>
    </xf>
    <xf numFmtId="0" fontId="44" fillId="0" borderId="48" xfId="0" applyFont="1" applyFill="1" applyBorder="1"/>
    <xf numFmtId="0" fontId="42" fillId="0" borderId="48" xfId="0" applyFont="1" applyFill="1" applyBorder="1"/>
    <xf numFmtId="0" fontId="10" fillId="0" borderId="48" xfId="0" applyFont="1" applyFill="1" applyBorder="1"/>
    <xf numFmtId="0" fontId="10" fillId="0" borderId="48" xfId="0" applyFont="1" applyFill="1" applyBorder="1" applyAlignment="1">
      <alignment horizontal="center"/>
    </xf>
    <xf numFmtId="0" fontId="42" fillId="0" borderId="48" xfId="0" applyFont="1" applyFill="1" applyBorder="1" applyAlignment="1">
      <alignment horizontal="center"/>
    </xf>
    <xf numFmtId="165" fontId="42" fillId="0" borderId="46" xfId="0" applyNumberFormat="1" applyFont="1" applyFill="1" applyBorder="1" applyAlignment="1">
      <alignment horizontal="center"/>
    </xf>
    <xf numFmtId="165" fontId="42" fillId="0" borderId="49" xfId="0" applyNumberFormat="1" applyFont="1" applyFill="1" applyBorder="1" applyAlignment="1">
      <alignment horizontal="center"/>
    </xf>
    <xf numFmtId="165" fontId="42" fillId="0" borderId="47" xfId="0" applyNumberFormat="1" applyFont="1" applyFill="1" applyBorder="1" applyAlignment="1">
      <alignment horizontal="center"/>
    </xf>
    <xf numFmtId="182" fontId="42" fillId="0" borderId="46" xfId="0" quotePrefix="1" applyNumberFormat="1" applyFont="1" applyFill="1" applyBorder="1" applyAlignment="1">
      <alignment horizontal="center"/>
    </xf>
    <xf numFmtId="0" fontId="10" fillId="0" borderId="22" xfId="0" quotePrefix="1" applyFont="1" applyFill="1" applyBorder="1" applyAlignment="1">
      <alignment horizontal="left"/>
    </xf>
    <xf numFmtId="0" fontId="44" fillId="0" borderId="0" xfId="0" applyFont="1" applyFill="1" applyBorder="1"/>
    <xf numFmtId="165" fontId="42" fillId="0" borderId="39" xfId="0" applyNumberFormat="1" applyFont="1" applyFill="1" applyBorder="1" applyAlignment="1">
      <alignment horizontal="center"/>
    </xf>
    <xf numFmtId="165" fontId="42" fillId="0" borderId="26" xfId="0" applyNumberFormat="1" applyFont="1" applyFill="1" applyBorder="1" applyAlignment="1">
      <alignment horizontal="center"/>
    </xf>
    <xf numFmtId="165" fontId="42" fillId="0" borderId="22" xfId="0" applyNumberFormat="1" applyFont="1" applyFill="1" applyBorder="1" applyAlignment="1">
      <alignment horizontal="center"/>
    </xf>
    <xf numFmtId="182" fontId="42" fillId="0" borderId="39" xfId="0" quotePrefix="1" applyNumberFormat="1" applyFont="1" applyFill="1" applyBorder="1" applyAlignment="1">
      <alignment horizontal="center"/>
    </xf>
    <xf numFmtId="0" fontId="10" fillId="0" borderId="0" xfId="0" quotePrefix="1" applyFont="1" applyFill="1" applyBorder="1" applyAlignment="1">
      <alignment horizontal="center"/>
    </xf>
    <xf numFmtId="2" fontId="10" fillId="0" borderId="0" xfId="0" quotePrefix="1" applyNumberFormat="1" applyFont="1" applyFill="1" applyBorder="1" applyAlignment="1">
      <alignment horizontal="center"/>
    </xf>
    <xf numFmtId="2" fontId="42" fillId="0" borderId="0" xfId="0" quotePrefix="1" applyNumberFormat="1" applyFont="1" applyFill="1" applyBorder="1" applyAlignment="1">
      <alignment horizontal="center"/>
    </xf>
    <xf numFmtId="165" fontId="42" fillId="0" borderId="39" xfId="0" quotePrefix="1" applyNumberFormat="1" applyFont="1" applyFill="1" applyBorder="1" applyAlignment="1">
      <alignment horizontal="center"/>
    </xf>
    <xf numFmtId="165" fontId="42" fillId="0" borderId="26" xfId="0" quotePrefix="1" applyNumberFormat="1" applyFont="1" applyFill="1" applyBorder="1" applyAlignment="1">
      <alignment horizontal="center"/>
    </xf>
    <xf numFmtId="165" fontId="42" fillId="0" borderId="22" xfId="0" quotePrefix="1" applyNumberFormat="1" applyFont="1" applyFill="1" applyBorder="1" applyAlignment="1">
      <alignment horizontal="center"/>
    </xf>
    <xf numFmtId="0" fontId="45" fillId="0" borderId="0" xfId="0" applyFont="1"/>
    <xf numFmtId="0" fontId="45" fillId="0" borderId="39" xfId="0" applyFont="1" applyBorder="1"/>
    <xf numFmtId="0" fontId="10" fillId="0" borderId="48" xfId="0" quotePrefix="1" applyFont="1" applyFill="1" applyBorder="1" applyAlignment="1">
      <alignment horizontal="center"/>
    </xf>
    <xf numFmtId="0" fontId="10" fillId="0" borderId="48" xfId="0" quotePrefix="1" applyFont="1" applyFill="1" applyBorder="1" applyAlignment="1">
      <alignment horizontal="right"/>
    </xf>
    <xf numFmtId="164" fontId="10" fillId="0" borderId="46" xfId="0" quotePrefix="1" applyNumberFormat="1" applyFont="1" applyFill="1" applyBorder="1" applyAlignment="1">
      <alignment horizontal="right"/>
    </xf>
    <xf numFmtId="164" fontId="10" fillId="0" borderId="49" xfId="0" quotePrefix="1" applyNumberFormat="1" applyFont="1" applyFill="1" applyBorder="1" applyAlignment="1">
      <alignment horizontal="right"/>
    </xf>
    <xf numFmtId="164" fontId="10" fillId="0" borderId="47" xfId="0" quotePrefix="1" applyNumberFormat="1" applyFont="1" applyFill="1" applyBorder="1" applyAlignment="1">
      <alignment horizontal="right"/>
    </xf>
    <xf numFmtId="0" fontId="10" fillId="0" borderId="0" xfId="0" quotePrefix="1" applyFont="1" applyFill="1" applyBorder="1" applyAlignment="1">
      <alignment horizontal="right"/>
    </xf>
    <xf numFmtId="164" fontId="10" fillId="0" borderId="39" xfId="0" quotePrefix="1" applyNumberFormat="1" applyFont="1" applyFill="1" applyBorder="1" applyAlignment="1">
      <alignment horizontal="right"/>
    </xf>
    <xf numFmtId="164" fontId="10" fillId="0" borderId="26" xfId="0" quotePrefix="1" applyNumberFormat="1" applyFont="1" applyFill="1" applyBorder="1" applyAlignment="1">
      <alignment horizontal="right"/>
    </xf>
    <xf numFmtId="164" fontId="10" fillId="0" borderId="22" xfId="0" quotePrefix="1" applyNumberFormat="1" applyFont="1" applyFill="1" applyBorder="1" applyAlignment="1">
      <alignment horizontal="right"/>
    </xf>
    <xf numFmtId="9" fontId="10" fillId="0" borderId="0" xfId="0" quotePrefix="1" applyNumberFormat="1" applyFont="1" applyFill="1" applyBorder="1" applyAlignment="1">
      <alignment horizontal="center"/>
    </xf>
    <xf numFmtId="9" fontId="42" fillId="0" borderId="0" xfId="0" quotePrefix="1" applyNumberFormat="1" applyFont="1" applyFill="1" applyBorder="1" applyAlignment="1">
      <alignment horizontal="center"/>
    </xf>
    <xf numFmtId="9" fontId="42" fillId="0" borderId="39" xfId="0" quotePrefix="1" applyNumberFormat="1" applyFont="1" applyFill="1" applyBorder="1" applyAlignment="1">
      <alignment horizontal="right"/>
    </xf>
    <xf numFmtId="9" fontId="42" fillId="0" borderId="26" xfId="0" quotePrefix="1" applyNumberFormat="1" applyFont="1" applyFill="1" applyBorder="1" applyAlignment="1">
      <alignment horizontal="right"/>
    </xf>
    <xf numFmtId="9" fontId="42" fillId="0" borderId="22" xfId="0" quotePrefix="1" applyNumberFormat="1" applyFont="1" applyFill="1" applyBorder="1" applyAlignment="1">
      <alignment horizontal="right"/>
    </xf>
    <xf numFmtId="0" fontId="42" fillId="0" borderId="0" xfId="0" quotePrefix="1" applyFont="1" applyFill="1" applyBorder="1" applyAlignment="1">
      <alignment horizontal="center"/>
    </xf>
    <xf numFmtId="0" fontId="42" fillId="0" borderId="48" xfId="0" quotePrefix="1" applyFont="1" applyFill="1" applyBorder="1" applyAlignment="1">
      <alignment horizontal="center"/>
    </xf>
    <xf numFmtId="165" fontId="42" fillId="0" borderId="46" xfId="0" quotePrefix="1" applyNumberFormat="1" applyFont="1" applyFill="1" applyBorder="1" applyAlignment="1">
      <alignment horizontal="center"/>
    </xf>
    <xf numFmtId="165" fontId="42" fillId="0" borderId="49" xfId="0" quotePrefix="1" applyNumberFormat="1" applyFont="1" applyFill="1" applyBorder="1" applyAlignment="1">
      <alignment horizontal="center"/>
    </xf>
    <xf numFmtId="165" fontId="42" fillId="0" borderId="47" xfId="0" quotePrefix="1" applyNumberFormat="1" applyFont="1" applyFill="1" applyBorder="1" applyAlignment="1">
      <alignment horizontal="center"/>
    </xf>
    <xf numFmtId="171" fontId="42" fillId="0" borderId="39" xfId="0" quotePrefix="1" applyNumberFormat="1" applyFont="1" applyFill="1" applyBorder="1" applyAlignment="1">
      <alignment horizontal="center"/>
    </xf>
    <xf numFmtId="171" fontId="42" fillId="0" borderId="26" xfId="0" quotePrefix="1" applyNumberFormat="1" applyFont="1" applyFill="1" applyBorder="1" applyAlignment="1">
      <alignment horizontal="center"/>
    </xf>
    <xf numFmtId="171" fontId="42" fillId="0" borderId="22" xfId="0" quotePrefix="1" applyNumberFormat="1" applyFont="1" applyFill="1" applyBorder="1" applyAlignment="1">
      <alignment horizontal="center"/>
    </xf>
    <xf numFmtId="171" fontId="42" fillId="0" borderId="46" xfId="0" quotePrefix="1" applyNumberFormat="1" applyFont="1" applyFill="1" applyBorder="1" applyAlignment="1">
      <alignment horizontal="center"/>
    </xf>
    <xf numFmtId="171" fontId="42" fillId="0" borderId="49" xfId="0" quotePrefix="1" applyNumberFormat="1" applyFont="1" applyFill="1" applyBorder="1" applyAlignment="1">
      <alignment horizontal="center"/>
    </xf>
    <xf numFmtId="171" fontId="42" fillId="0" borderId="47" xfId="0" quotePrefix="1" applyNumberFormat="1" applyFont="1" applyFill="1" applyBorder="1" applyAlignment="1">
      <alignment horizontal="center"/>
    </xf>
    <xf numFmtId="0" fontId="10" fillId="0" borderId="26" xfId="0" applyFont="1" applyFill="1" applyBorder="1"/>
    <xf numFmtId="165" fontId="42" fillId="0" borderId="39" xfId="1" quotePrefix="1" applyFont="1" applyFill="1" applyBorder="1" applyAlignment="1">
      <alignment horizontal="center"/>
    </xf>
    <xf numFmtId="0" fontId="45" fillId="0" borderId="22" xfId="0" applyFont="1" applyBorder="1"/>
    <xf numFmtId="0" fontId="45" fillId="0" borderId="0" xfId="0" applyFont="1" applyBorder="1"/>
    <xf numFmtId="0" fontId="45" fillId="0" borderId="26" xfId="0" applyFont="1" applyBorder="1"/>
    <xf numFmtId="0" fontId="10" fillId="0" borderId="49" xfId="0" applyFont="1" applyFill="1" applyBorder="1"/>
    <xf numFmtId="171" fontId="42" fillId="0" borderId="0" xfId="0" applyNumberFormat="1" applyFont="1" applyFill="1" applyBorder="1" applyAlignment="1">
      <alignment horizontal="center"/>
    </xf>
    <xf numFmtId="171" fontId="42" fillId="0" borderId="39" xfId="0" applyNumberFormat="1" applyFont="1" applyFill="1" applyBorder="1" applyAlignment="1">
      <alignment horizontal="center"/>
    </xf>
    <xf numFmtId="171" fontId="42" fillId="0" borderId="26" xfId="0" applyNumberFormat="1" applyFont="1" applyFill="1" applyBorder="1" applyAlignment="1">
      <alignment horizontal="center"/>
    </xf>
    <xf numFmtId="171" fontId="42" fillId="0" borderId="22" xfId="0" applyNumberFormat="1" applyFont="1" applyFill="1" applyBorder="1" applyAlignment="1">
      <alignment horizontal="center"/>
    </xf>
    <xf numFmtId="164" fontId="42" fillId="0" borderId="39" xfId="0" quotePrefix="1" applyNumberFormat="1" applyFont="1" applyFill="1" applyBorder="1" applyAlignment="1">
      <alignment horizontal="center"/>
    </xf>
    <xf numFmtId="164" fontId="42" fillId="0" borderId="26" xfId="0" quotePrefix="1" applyNumberFormat="1" applyFont="1" applyFill="1" applyBorder="1" applyAlignment="1">
      <alignment horizontal="center"/>
    </xf>
    <xf numFmtId="179" fontId="42" fillId="0" borderId="22" xfId="0" quotePrefix="1" applyNumberFormat="1" applyFont="1" applyFill="1" applyBorder="1" applyAlignment="1">
      <alignment horizontal="center"/>
    </xf>
    <xf numFmtId="43" fontId="42" fillId="0" borderId="39" xfId="0" quotePrefix="1" applyNumberFormat="1" applyFont="1" applyFill="1" applyBorder="1" applyAlignment="1">
      <alignment horizontal="center"/>
    </xf>
    <xf numFmtId="164" fontId="42" fillId="0" borderId="39" xfId="0" applyNumberFormat="1" applyFont="1" applyFill="1" applyBorder="1" applyAlignment="1">
      <alignment horizontal="center"/>
    </xf>
    <xf numFmtId="164" fontId="42" fillId="0" borderId="26" xfId="0" applyNumberFormat="1" applyFont="1" applyFill="1" applyBorder="1" applyAlignment="1">
      <alignment horizontal="center"/>
    </xf>
    <xf numFmtId="179" fontId="42" fillId="0" borderId="22" xfId="0" applyNumberFormat="1" applyFont="1" applyFill="1" applyBorder="1" applyAlignment="1">
      <alignment horizontal="center"/>
    </xf>
    <xf numFmtId="181" fontId="42" fillId="0" borderId="39" xfId="0" applyNumberFormat="1" applyFont="1" applyFill="1" applyBorder="1" applyAlignment="1">
      <alignment horizontal="center"/>
    </xf>
    <xf numFmtId="0" fontId="42" fillId="0" borderId="0" xfId="0" applyFont="1" applyBorder="1"/>
    <xf numFmtId="0" fontId="42" fillId="0" borderId="26" xfId="0" applyFont="1" applyBorder="1"/>
    <xf numFmtId="0" fontId="42" fillId="0" borderId="39" xfId="0" applyFont="1" applyBorder="1"/>
    <xf numFmtId="0" fontId="45" fillId="0" borderId="48" xfId="0" applyFont="1" applyBorder="1"/>
    <xf numFmtId="0" fontId="45" fillId="0" borderId="49" xfId="0" applyFont="1" applyBorder="1"/>
    <xf numFmtId="0" fontId="45" fillId="0" borderId="14" xfId="0" applyFont="1" applyBorder="1"/>
    <xf numFmtId="165" fontId="42" fillId="0" borderId="39" xfId="1" applyFont="1" applyBorder="1"/>
    <xf numFmtId="0" fontId="45" fillId="0" borderId="27" xfId="0" applyFont="1" applyBorder="1"/>
    <xf numFmtId="0" fontId="45" fillId="0" borderId="21" xfId="0" applyFont="1" applyBorder="1"/>
    <xf numFmtId="0" fontId="45" fillId="0" borderId="28" xfId="0" applyFont="1" applyBorder="1"/>
    <xf numFmtId="0" fontId="45" fillId="0" borderId="40" xfId="0" applyFont="1" applyBorder="1"/>
    <xf numFmtId="0" fontId="46" fillId="0" borderId="0" xfId="0" applyFont="1"/>
    <xf numFmtId="0" fontId="45" fillId="0" borderId="0" xfId="0" applyFont="1" applyFill="1" applyBorder="1"/>
    <xf numFmtId="0" fontId="46" fillId="0" borderId="0" xfId="0" applyFont="1" applyFill="1" applyBorder="1"/>
    <xf numFmtId="0" fontId="46" fillId="0" borderId="39" xfId="0" applyFont="1" applyBorder="1"/>
    <xf numFmtId="0" fontId="46" fillId="0" borderId="47" xfId="0" quotePrefix="1" applyFont="1" applyFill="1" applyBorder="1" applyAlignment="1">
      <alignment horizontal="left"/>
    </xf>
    <xf numFmtId="0" fontId="45" fillId="0" borderId="48" xfId="0" applyFont="1" applyFill="1" applyBorder="1"/>
    <xf numFmtId="0" fontId="10" fillId="0" borderId="46" xfId="0" applyFont="1" applyBorder="1"/>
    <xf numFmtId="0" fontId="42" fillId="0" borderId="22" xfId="0" applyFont="1" applyBorder="1"/>
    <xf numFmtId="0" fontId="42" fillId="0" borderId="48" xfId="0" applyFont="1" applyBorder="1"/>
    <xf numFmtId="0" fontId="42" fillId="0" borderId="15" xfId="0" applyFont="1" applyBorder="1"/>
    <xf numFmtId="0" fontId="42" fillId="0" borderId="25" xfId="0" applyFont="1" applyBorder="1"/>
    <xf numFmtId="0" fontId="42" fillId="0" borderId="38" xfId="0" applyFont="1" applyBorder="1"/>
    <xf numFmtId="0" fontId="42" fillId="0" borderId="21" xfId="0" applyFont="1" applyBorder="1"/>
    <xf numFmtId="0" fontId="42" fillId="0" borderId="28" xfId="0" applyFont="1" applyBorder="1"/>
    <xf numFmtId="0" fontId="42" fillId="0" borderId="40" xfId="0" applyFont="1" applyBorder="1"/>
    <xf numFmtId="0" fontId="10" fillId="0" borderId="47" xfId="0" applyFont="1" applyFill="1" applyBorder="1" applyAlignment="1">
      <alignment horizontal="left"/>
    </xf>
    <xf numFmtId="172" fontId="10" fillId="0" borderId="48" xfId="0" quotePrefix="1" applyNumberFormat="1" applyFont="1" applyFill="1" applyBorder="1" applyAlignment="1">
      <alignment horizontal="center"/>
    </xf>
    <xf numFmtId="172" fontId="42" fillId="0" borderId="48" xfId="0" quotePrefix="1" applyNumberFormat="1" applyFont="1" applyFill="1" applyBorder="1" applyAlignment="1">
      <alignment horizontal="center"/>
    </xf>
    <xf numFmtId="172" fontId="10" fillId="0" borderId="0" xfId="0" quotePrefix="1" applyNumberFormat="1" applyFont="1" applyFill="1" applyBorder="1" applyAlignment="1">
      <alignment horizontal="center"/>
    </xf>
    <xf numFmtId="172" fontId="42" fillId="0" borderId="0" xfId="0" quotePrefix="1" applyNumberFormat="1" applyFont="1" applyFill="1" applyBorder="1" applyAlignment="1">
      <alignment horizontal="center"/>
    </xf>
    <xf numFmtId="0" fontId="10" fillId="0" borderId="48" xfId="0" applyFont="1" applyFill="1" applyBorder="1" applyAlignment="1">
      <alignment horizontal="right"/>
    </xf>
    <xf numFmtId="164" fontId="10" fillId="0" borderId="46" xfId="0" applyNumberFormat="1" applyFont="1" applyFill="1" applyBorder="1" applyAlignment="1">
      <alignment horizontal="right"/>
    </xf>
    <xf numFmtId="164" fontId="10" fillId="0" borderId="49" xfId="0" applyNumberFormat="1" applyFont="1" applyFill="1" applyBorder="1" applyAlignment="1">
      <alignment horizontal="right"/>
    </xf>
    <xf numFmtId="164" fontId="10" fillId="0" borderId="47" xfId="0" applyNumberFormat="1" applyFont="1" applyFill="1" applyBorder="1" applyAlignment="1">
      <alignment horizontal="right"/>
    </xf>
    <xf numFmtId="0" fontId="10" fillId="0" borderId="0" xfId="0" applyFont="1" applyFill="1" applyBorder="1" applyAlignment="1">
      <alignment horizontal="right"/>
    </xf>
    <xf numFmtId="164" fontId="10" fillId="0" borderId="39" xfId="0" applyNumberFormat="1" applyFont="1" applyFill="1" applyBorder="1" applyAlignment="1">
      <alignment horizontal="right"/>
    </xf>
    <xf numFmtId="164" fontId="10" fillId="0" borderId="26" xfId="0" applyNumberFormat="1" applyFont="1" applyFill="1" applyBorder="1" applyAlignment="1">
      <alignment horizontal="right"/>
    </xf>
    <xf numFmtId="164" fontId="10" fillId="0" borderId="22" xfId="0" applyNumberFormat="1" applyFont="1" applyFill="1" applyBorder="1" applyAlignment="1">
      <alignment horizontal="right"/>
    </xf>
    <xf numFmtId="165" fontId="10" fillId="0" borderId="26" xfId="0" applyNumberFormat="1" applyFont="1" applyFill="1" applyBorder="1" applyAlignment="1">
      <alignment horizontal="center"/>
    </xf>
    <xf numFmtId="0" fontId="42" fillId="0" borderId="0" xfId="0" quotePrefix="1" applyFont="1" applyFill="1" applyBorder="1"/>
    <xf numFmtId="165" fontId="10" fillId="0" borderId="35" xfId="0" applyNumberFormat="1" applyFont="1" applyFill="1" applyBorder="1" applyAlignment="1">
      <alignment horizontal="center"/>
    </xf>
    <xf numFmtId="165" fontId="10" fillId="0" borderId="39" xfId="0" applyNumberFormat="1" applyFont="1" applyFill="1" applyBorder="1" applyAlignment="1">
      <alignment horizontal="center"/>
    </xf>
    <xf numFmtId="165" fontId="10" fillId="0" borderId="22" xfId="0" applyNumberFormat="1" applyFont="1" applyFill="1" applyBorder="1" applyAlignment="1">
      <alignment horizontal="center"/>
    </xf>
    <xf numFmtId="16" fontId="42" fillId="0" borderId="0" xfId="0" applyNumberFormat="1" applyFont="1" applyFill="1" applyBorder="1"/>
    <xf numFmtId="2" fontId="10" fillId="0" borderId="0" xfId="0" applyNumberFormat="1" applyFont="1" applyFill="1" applyBorder="1" applyAlignment="1">
      <alignment horizontal="center"/>
    </xf>
    <xf numFmtId="2" fontId="42" fillId="0" borderId="0" xfId="0" applyNumberFormat="1" applyFont="1" applyFill="1" applyBorder="1" applyAlignment="1">
      <alignment horizontal="center"/>
    </xf>
    <xf numFmtId="165" fontId="42" fillId="0" borderId="0" xfId="0" quotePrefix="1" applyNumberFormat="1" applyFont="1" applyFill="1" applyBorder="1" applyAlignment="1">
      <alignment horizontal="center"/>
    </xf>
    <xf numFmtId="171" fontId="10" fillId="0" borderId="39" xfId="0" applyNumberFormat="1" applyFont="1" applyFill="1" applyBorder="1" applyAlignment="1">
      <alignment horizontal="center"/>
    </xf>
    <xf numFmtId="165" fontId="42" fillId="0" borderId="39" xfId="1" applyFont="1" applyFill="1" applyBorder="1" applyAlignment="1">
      <alignment horizontal="center"/>
    </xf>
    <xf numFmtId="0" fontId="10" fillId="0" borderId="28" xfId="0" applyFont="1" applyFill="1" applyBorder="1"/>
    <xf numFmtId="0" fontId="10" fillId="0" borderId="21" xfId="0" quotePrefix="1" applyFont="1" applyFill="1" applyBorder="1" applyAlignment="1">
      <alignment horizontal="center"/>
    </xf>
    <xf numFmtId="0" fontId="10" fillId="0" borderId="21" xfId="0" applyFont="1" applyFill="1" applyBorder="1" applyAlignment="1">
      <alignment horizontal="center"/>
    </xf>
    <xf numFmtId="172" fontId="10" fillId="0" borderId="21" xfId="0" quotePrefix="1" applyNumberFormat="1" applyFont="1" applyFill="1" applyBorder="1" applyAlignment="1">
      <alignment horizontal="center"/>
    </xf>
    <xf numFmtId="172" fontId="42" fillId="0" borderId="21" xfId="0" quotePrefix="1" applyNumberFormat="1" applyFont="1" applyFill="1" applyBorder="1" applyAlignment="1">
      <alignment horizontal="center"/>
    </xf>
    <xf numFmtId="165" fontId="42" fillId="0" borderId="40" xfId="0" quotePrefix="1" applyNumberFormat="1" applyFont="1" applyFill="1" applyBorder="1" applyAlignment="1">
      <alignment horizontal="center"/>
    </xf>
    <xf numFmtId="165" fontId="42" fillId="0" borderId="28" xfId="0" quotePrefix="1" applyNumberFormat="1" applyFont="1" applyFill="1" applyBorder="1" applyAlignment="1">
      <alignment horizontal="center"/>
    </xf>
    <xf numFmtId="165" fontId="42" fillId="0" borderId="27" xfId="0" quotePrefix="1" applyNumberFormat="1" applyFont="1" applyFill="1" applyBorder="1" applyAlignment="1">
      <alignment horizontal="center"/>
    </xf>
    <xf numFmtId="182" fontId="42" fillId="0" borderId="40" xfId="0" quotePrefix="1" applyNumberFormat="1" applyFont="1" applyFill="1" applyBorder="1" applyAlignment="1">
      <alignment horizontal="center"/>
    </xf>
    <xf numFmtId="0" fontId="42" fillId="0" borderId="21" xfId="0" applyFont="1" applyFill="1" applyBorder="1" applyAlignment="1">
      <alignment horizontal="center"/>
    </xf>
    <xf numFmtId="171" fontId="42" fillId="0" borderId="40" xfId="0" applyNumberFormat="1" applyFont="1" applyFill="1" applyBorder="1" applyAlignment="1">
      <alignment horizontal="center"/>
    </xf>
    <xf numFmtId="171" fontId="42" fillId="0" borderId="28" xfId="0" applyNumberFormat="1" applyFont="1" applyFill="1" applyBorder="1" applyAlignment="1">
      <alignment horizontal="center"/>
    </xf>
    <xf numFmtId="171" fontId="42" fillId="0" borderId="27" xfId="0" applyNumberFormat="1" applyFont="1" applyFill="1" applyBorder="1" applyAlignment="1">
      <alignment horizontal="center"/>
    </xf>
    <xf numFmtId="0" fontId="45" fillId="0" borderId="46" xfId="0" applyFont="1" applyBorder="1"/>
    <xf numFmtId="176" fontId="42" fillId="0" borderId="39" xfId="0" quotePrefix="1" applyNumberFormat="1" applyFont="1" applyFill="1" applyBorder="1" applyAlignment="1">
      <alignment horizontal="center"/>
    </xf>
    <xf numFmtId="0" fontId="10" fillId="0" borderId="0" xfId="0" applyFont="1" applyBorder="1"/>
    <xf numFmtId="0" fontId="10" fillId="0" borderId="33" xfId="0" applyFont="1" applyFill="1" applyBorder="1"/>
    <xf numFmtId="171" fontId="43" fillId="0" borderId="35" xfId="0" quotePrefix="1" applyNumberFormat="1" applyFont="1" applyFill="1" applyBorder="1" applyAlignment="1">
      <alignment horizontal="center"/>
    </xf>
    <xf numFmtId="171" fontId="43" fillId="0" borderId="36" xfId="0" applyNumberFormat="1" applyFont="1" applyFill="1" applyBorder="1" applyAlignment="1">
      <alignment horizontal="center"/>
    </xf>
    <xf numFmtId="0" fontId="10" fillId="0" borderId="14" xfId="0" quotePrefix="1" applyFont="1" applyFill="1" applyBorder="1" applyAlignment="1">
      <alignment horizontal="left"/>
    </xf>
    <xf numFmtId="0" fontId="42" fillId="0" borderId="26" xfId="0" applyFont="1" applyFill="1" applyBorder="1"/>
    <xf numFmtId="0" fontId="7" fillId="0" borderId="38" xfId="0" applyFont="1" applyBorder="1"/>
    <xf numFmtId="0" fontId="6" fillId="0" borderId="39" xfId="0" applyFont="1" applyBorder="1"/>
    <xf numFmtId="0" fontId="7" fillId="0" borderId="39" xfId="0" applyFont="1" applyBorder="1"/>
    <xf numFmtId="0" fontId="6" fillId="0" borderId="22" xfId="0" applyFont="1" applyBorder="1" applyAlignment="1">
      <alignment horizontal="center"/>
    </xf>
    <xf numFmtId="0" fontId="6" fillId="0" borderId="39" xfId="0" applyFont="1" applyBorder="1" applyAlignment="1">
      <alignment horizontal="center"/>
    </xf>
    <xf numFmtId="0" fontId="7" fillId="0" borderId="40" xfId="0" applyFont="1" applyBorder="1"/>
    <xf numFmtId="0" fontId="6" fillId="0" borderId="14" xfId="0" quotePrefix="1" applyFont="1" applyFill="1" applyBorder="1" applyAlignment="1">
      <alignment horizontal="left"/>
    </xf>
    <xf numFmtId="0" fontId="8" fillId="0" borderId="25" xfId="0" applyFont="1" applyFill="1" applyBorder="1"/>
    <xf numFmtId="0" fontId="7" fillId="0" borderId="26" xfId="0" applyFont="1" applyFill="1" applyBorder="1"/>
    <xf numFmtId="0" fontId="1" fillId="0" borderId="39" xfId="0" applyFont="1" applyBorder="1"/>
    <xf numFmtId="0" fontId="1" fillId="0" borderId="22" xfId="0" applyFont="1" applyBorder="1"/>
    <xf numFmtId="0" fontId="6" fillId="0" borderId="26" xfId="0" applyFont="1" applyFill="1" applyBorder="1"/>
    <xf numFmtId="2" fontId="6" fillId="0" borderId="0" xfId="0" applyNumberFormat="1" applyFont="1" applyFill="1" applyBorder="1"/>
    <xf numFmtId="2" fontId="7" fillId="0" borderId="0" xfId="0" applyNumberFormat="1" applyFont="1" applyFill="1" applyBorder="1"/>
    <xf numFmtId="0" fontId="6" fillId="0" borderId="0" xfId="0" quotePrefix="1" applyFont="1" applyFill="1" applyBorder="1" applyAlignment="1">
      <alignment horizontal="center"/>
    </xf>
    <xf numFmtId="2" fontId="6" fillId="0" borderId="0" xfId="0" quotePrefix="1" applyNumberFormat="1" applyFont="1" applyFill="1" applyBorder="1" applyAlignment="1">
      <alignment horizontal="center"/>
    </xf>
    <xf numFmtId="2" fontId="7" fillId="0" borderId="0" xfId="0" quotePrefix="1" applyNumberFormat="1" applyFont="1" applyFill="1" applyBorder="1" applyAlignment="1">
      <alignment horizontal="center"/>
    </xf>
    <xf numFmtId="171" fontId="7" fillId="0" borderId="39" xfId="0" quotePrefix="1" applyNumberFormat="1" applyFont="1" applyFill="1" applyBorder="1" applyAlignment="1">
      <alignment horizontal="center"/>
    </xf>
    <xf numFmtId="171" fontId="7" fillId="0" borderId="26" xfId="0" quotePrefix="1" applyNumberFormat="1" applyFont="1" applyFill="1" applyBorder="1" applyAlignment="1">
      <alignment horizontal="center"/>
    </xf>
    <xf numFmtId="176" fontId="7" fillId="0" borderId="22" xfId="0" quotePrefix="1" applyNumberFormat="1" applyFont="1" applyFill="1" applyBorder="1" applyAlignment="1">
      <alignment horizontal="center"/>
    </xf>
    <xf numFmtId="176" fontId="7" fillId="0" borderId="39" xfId="0" quotePrefix="1" applyNumberFormat="1" applyFont="1" applyFill="1" applyBorder="1" applyAlignment="1">
      <alignment horizontal="center"/>
    </xf>
    <xf numFmtId="171" fontId="7" fillId="0" borderId="39" xfId="0" applyNumberFormat="1" applyFont="1" applyFill="1" applyBorder="1" applyAlignment="1">
      <alignment horizontal="center"/>
    </xf>
    <xf numFmtId="171" fontId="7" fillId="0" borderId="26" xfId="0" applyNumberFormat="1" applyFont="1" applyFill="1" applyBorder="1" applyAlignment="1">
      <alignment horizontal="center"/>
    </xf>
    <xf numFmtId="176" fontId="7" fillId="0" borderId="22" xfId="0" applyNumberFormat="1" applyFont="1" applyFill="1" applyBorder="1" applyAlignment="1">
      <alignment horizontal="center"/>
    </xf>
    <xf numFmtId="176" fontId="7" fillId="0" borderId="39" xfId="0" applyNumberFormat="1" applyFont="1" applyFill="1" applyBorder="1" applyAlignment="1">
      <alignment horizontal="center"/>
    </xf>
    <xf numFmtId="0" fontId="1" fillId="0" borderId="0" xfId="0" applyFont="1" applyBorder="1"/>
    <xf numFmtId="171" fontId="7" fillId="0" borderId="22" xfId="0" quotePrefix="1" applyNumberFormat="1" applyFont="1" applyFill="1" applyBorder="1" applyAlignment="1">
      <alignment horizontal="center"/>
    </xf>
    <xf numFmtId="0" fontId="8" fillId="0" borderId="26" xfId="0" applyFont="1" applyFill="1" applyBorder="1"/>
    <xf numFmtId="165" fontId="7" fillId="0" borderId="39" xfId="1" applyFont="1" applyFill="1" applyBorder="1" applyAlignment="1">
      <alignment horizontal="center"/>
    </xf>
    <xf numFmtId="165" fontId="7" fillId="0" borderId="22" xfId="1" quotePrefix="1" applyFont="1" applyFill="1" applyBorder="1" applyAlignment="1">
      <alignment horizontal="center"/>
    </xf>
    <xf numFmtId="172" fontId="6" fillId="0" borderId="0" xfId="0" quotePrefix="1" applyNumberFormat="1" applyFont="1" applyFill="1" applyBorder="1" applyAlignment="1">
      <alignment horizontal="center"/>
    </xf>
    <xf numFmtId="172" fontId="7" fillId="0" borderId="0" xfId="0" quotePrefix="1" applyNumberFormat="1" applyFont="1" applyFill="1" applyBorder="1" applyAlignment="1">
      <alignment horizontal="center"/>
    </xf>
    <xf numFmtId="165" fontId="7" fillId="0" borderId="39" xfId="0" quotePrefix="1" applyNumberFormat="1" applyFont="1" applyFill="1" applyBorder="1" applyAlignment="1">
      <alignment horizontal="center"/>
    </xf>
    <xf numFmtId="165" fontId="7" fillId="0" borderId="26" xfId="0" quotePrefix="1" applyNumberFormat="1" applyFont="1" applyFill="1" applyBorder="1" applyAlignment="1">
      <alignment horizontal="center"/>
    </xf>
    <xf numFmtId="165" fontId="7" fillId="0" borderId="22" xfId="0" quotePrefix="1" applyNumberFormat="1" applyFont="1" applyFill="1" applyBorder="1" applyAlignment="1">
      <alignment horizontal="center"/>
    </xf>
    <xf numFmtId="165" fontId="7" fillId="0" borderId="39" xfId="1" quotePrefix="1" applyFont="1" applyFill="1" applyBorder="1" applyAlignment="1">
      <alignment horizontal="center"/>
    </xf>
    <xf numFmtId="165" fontId="7" fillId="0" borderId="0" xfId="0" applyNumberFormat="1" applyFont="1" applyFill="1" applyBorder="1" applyAlignment="1">
      <alignment horizontal="center"/>
    </xf>
    <xf numFmtId="0" fontId="10" fillId="0" borderId="21" xfId="0" applyFont="1" applyBorder="1"/>
    <xf numFmtId="0" fontId="44" fillId="0" borderId="47" xfId="0" applyFont="1" applyFill="1" applyBorder="1" applyAlignment="1">
      <alignment horizontal="left" vertical="top" wrapText="1"/>
    </xf>
    <xf numFmtId="0" fontId="44" fillId="0" borderId="48" xfId="0" applyFont="1" applyFill="1" applyBorder="1" applyAlignment="1">
      <alignment horizontal="left" vertical="top" wrapText="1"/>
    </xf>
    <xf numFmtId="0" fontId="44" fillId="0" borderId="49" xfId="0" applyFont="1" applyFill="1" applyBorder="1" applyAlignment="1">
      <alignment horizontal="left" vertical="top" wrapText="1"/>
    </xf>
    <xf numFmtId="0" fontId="10" fillId="0" borderId="15" xfId="0" applyFont="1" applyBorder="1"/>
    <xf numFmtId="0" fontId="42" fillId="0" borderId="0" xfId="0" applyFont="1" applyBorder="1" applyAlignment="1">
      <alignment horizontal="center"/>
    </xf>
    <xf numFmtId="0" fontId="42" fillId="0" borderId="0" xfId="0" applyFont="1" applyBorder="1" applyAlignment="1">
      <alignment horizontal="left"/>
    </xf>
    <xf numFmtId="0" fontId="42" fillId="0" borderId="0" xfId="0" applyFont="1" applyBorder="1" applyAlignment="1">
      <alignment horizontal="center" wrapText="1"/>
    </xf>
    <xf numFmtId="0" fontId="42" fillId="0" borderId="0" xfId="0" applyFont="1" applyBorder="1" applyAlignment="1">
      <alignment horizontal="left" wrapText="1"/>
    </xf>
    <xf numFmtId="182" fontId="42" fillId="0" borderId="49" xfId="0" quotePrefix="1" applyNumberFormat="1" applyFont="1" applyFill="1" applyBorder="1" applyAlignment="1">
      <alignment horizontal="center"/>
    </xf>
    <xf numFmtId="182" fontId="42" fillId="0" borderId="38" xfId="0" quotePrefix="1" applyNumberFormat="1" applyFont="1" applyFill="1" applyBorder="1" applyAlignment="1">
      <alignment horizontal="center"/>
    </xf>
    <xf numFmtId="0" fontId="42" fillId="0" borderId="0" xfId="0" applyFont="1" applyBorder="1" applyAlignment="1">
      <alignment wrapText="1"/>
    </xf>
    <xf numFmtId="0" fontId="44" fillId="0" borderId="26" xfId="0" applyFont="1" applyBorder="1"/>
    <xf numFmtId="171" fontId="42" fillId="0" borderId="48" xfId="0" quotePrefix="1" applyNumberFormat="1" applyFont="1" applyFill="1" applyBorder="1" applyAlignment="1">
      <alignment horizontal="center"/>
    </xf>
    <xf numFmtId="171" fontId="42" fillId="0" borderId="0" xfId="0" quotePrefix="1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horizontal="left"/>
    </xf>
    <xf numFmtId="0" fontId="44" fillId="0" borderId="47" xfId="0" applyFont="1" applyFill="1" applyBorder="1"/>
    <xf numFmtId="0" fontId="42" fillId="0" borderId="49" xfId="0" applyFont="1" applyFill="1" applyBorder="1"/>
    <xf numFmtId="0" fontId="42" fillId="0" borderId="46" xfId="0" applyFont="1" applyFill="1" applyBorder="1"/>
    <xf numFmtId="2" fontId="10" fillId="0" borderId="48" xfId="0" quotePrefix="1" applyNumberFormat="1" applyFont="1" applyFill="1" applyBorder="1" applyAlignment="1">
      <alignment horizontal="center"/>
    </xf>
    <xf numFmtId="2" fontId="42" fillId="0" borderId="48" xfId="0" quotePrefix="1" applyNumberFormat="1" applyFont="1" applyFill="1" applyBorder="1" applyAlignment="1">
      <alignment horizontal="center"/>
    </xf>
    <xf numFmtId="165" fontId="42" fillId="0" borderId="29" xfId="0" quotePrefix="1" applyNumberFormat="1" applyFont="1" applyFill="1" applyBorder="1" applyAlignment="1">
      <alignment horizontal="center"/>
    </xf>
    <xf numFmtId="165" fontId="42" fillId="0" borderId="48" xfId="0" quotePrefix="1" applyNumberFormat="1" applyFont="1" applyFill="1" applyBorder="1" applyAlignment="1">
      <alignment horizontal="center"/>
    </xf>
    <xf numFmtId="165" fontId="42" fillId="0" borderId="38" xfId="0" quotePrefix="1" applyNumberFormat="1" applyFont="1" applyFill="1" applyBorder="1" applyAlignment="1">
      <alignment horizontal="center"/>
    </xf>
    <xf numFmtId="182" fontId="42" fillId="0" borderId="26" xfId="0" quotePrefix="1" applyNumberFormat="1" applyFont="1" applyFill="1" applyBorder="1" applyAlignment="1">
      <alignment horizontal="center"/>
    </xf>
    <xf numFmtId="0" fontId="48" fillId="0" borderId="22" xfId="0" quotePrefix="1" applyFont="1" applyFill="1" applyBorder="1" applyAlignment="1">
      <alignment horizontal="left"/>
    </xf>
    <xf numFmtId="0" fontId="44" fillId="0" borderId="15" xfId="0" applyFont="1" applyFill="1" applyBorder="1"/>
    <xf numFmtId="0" fontId="10" fillId="0" borderId="15" xfId="0" quotePrefix="1" applyFont="1" applyFill="1" applyBorder="1" applyAlignment="1">
      <alignment horizontal="center"/>
    </xf>
    <xf numFmtId="0" fontId="10" fillId="0" borderId="15" xfId="0" applyFont="1" applyFill="1" applyBorder="1" applyAlignment="1">
      <alignment horizontal="center"/>
    </xf>
    <xf numFmtId="0" fontId="42" fillId="0" borderId="15" xfId="0" quotePrefix="1" applyFont="1" applyFill="1" applyBorder="1" applyAlignment="1">
      <alignment horizontal="center"/>
    </xf>
    <xf numFmtId="171" fontId="42" fillId="0" borderId="38" xfId="0" quotePrefix="1" applyNumberFormat="1" applyFont="1" applyFill="1" applyBorder="1" applyAlignment="1">
      <alignment horizontal="center"/>
    </xf>
    <xf numFmtId="171" fontId="42" fillId="0" borderId="25" xfId="0" quotePrefix="1" applyNumberFormat="1" applyFont="1" applyFill="1" applyBorder="1" applyAlignment="1">
      <alignment horizontal="center"/>
    </xf>
    <xf numFmtId="0" fontId="42" fillId="0" borderId="21" xfId="0" quotePrefix="1" applyFont="1" applyFill="1" applyBorder="1" applyAlignment="1">
      <alignment horizontal="center"/>
    </xf>
    <xf numFmtId="171" fontId="42" fillId="0" borderId="40" xfId="0" quotePrefix="1" applyNumberFormat="1" applyFont="1" applyFill="1" applyBorder="1" applyAlignment="1">
      <alignment horizontal="center"/>
    </xf>
    <xf numFmtId="171" fontId="42" fillId="0" borderId="28" xfId="0" quotePrefix="1" applyNumberFormat="1" applyFont="1" applyFill="1" applyBorder="1" applyAlignment="1">
      <alignment horizontal="center"/>
    </xf>
    <xf numFmtId="182" fontId="42" fillId="0" borderId="0" xfId="0" quotePrefix="1" applyNumberFormat="1" applyFont="1" applyFill="1" applyBorder="1" applyAlignment="1">
      <alignment horizontal="center"/>
    </xf>
    <xf numFmtId="0" fontId="42" fillId="0" borderId="25" xfId="0" applyFont="1" applyFill="1" applyBorder="1"/>
    <xf numFmtId="0" fontId="42" fillId="0" borderId="28" xfId="0" applyFont="1" applyFill="1" applyBorder="1"/>
    <xf numFmtId="182" fontId="42" fillId="0" borderId="25" xfId="0" quotePrefix="1" applyNumberFormat="1" applyFont="1" applyFill="1" applyBorder="1" applyAlignment="1">
      <alignment horizontal="center"/>
    </xf>
    <xf numFmtId="182" fontId="42" fillId="0" borderId="28" xfId="0" quotePrefix="1" applyNumberFormat="1" applyFont="1" applyFill="1" applyBorder="1" applyAlignment="1">
      <alignment horizontal="center"/>
    </xf>
    <xf numFmtId="2" fontId="42" fillId="0" borderId="39" xfId="0" applyNumberFormat="1" applyFont="1" applyBorder="1"/>
    <xf numFmtId="2" fontId="42" fillId="0" borderId="39" xfId="1" applyNumberFormat="1" applyFont="1" applyBorder="1"/>
    <xf numFmtId="2" fontId="45" fillId="0" borderId="39" xfId="0" applyNumberFormat="1" applyFont="1" applyBorder="1"/>
    <xf numFmtId="173" fontId="7" fillId="0" borderId="39" xfId="0" applyNumberFormat="1" applyFont="1" applyBorder="1"/>
    <xf numFmtId="173" fontId="6" fillId="0" borderId="40" xfId="0" applyNumberFormat="1" applyFont="1" applyBorder="1"/>
    <xf numFmtId="0" fontId="42" fillId="0" borderId="49" xfId="0" applyFont="1" applyBorder="1" applyAlignment="1">
      <alignment horizontal="center"/>
    </xf>
    <xf numFmtId="165" fontId="42" fillId="0" borderId="39" xfId="1" applyNumberFormat="1" applyFont="1" applyBorder="1"/>
    <xf numFmtId="165" fontId="42" fillId="0" borderId="39" xfId="0" applyNumberFormat="1" applyFont="1" applyBorder="1"/>
    <xf numFmtId="0" fontId="42" fillId="0" borderId="14" xfId="0" applyFont="1" applyFill="1" applyBorder="1"/>
    <xf numFmtId="0" fontId="42" fillId="0" borderId="15" xfId="0" applyFont="1" applyFill="1" applyBorder="1"/>
    <xf numFmtId="0" fontId="42" fillId="0" borderId="0" xfId="0" applyFont="1" applyFill="1"/>
    <xf numFmtId="0" fontId="42" fillId="0" borderId="38" xfId="0" applyFont="1" applyFill="1" applyBorder="1"/>
    <xf numFmtId="0" fontId="42" fillId="0" borderId="22" xfId="0" applyFont="1" applyFill="1" applyBorder="1"/>
    <xf numFmtId="0" fontId="42" fillId="0" borderId="39" xfId="0" applyFont="1" applyFill="1" applyBorder="1"/>
    <xf numFmtId="0" fontId="47" fillId="0" borderId="0" xfId="0" applyFont="1" applyFill="1" applyBorder="1"/>
    <xf numFmtId="165" fontId="42" fillId="0" borderId="39" xfId="1" applyFont="1" applyFill="1" applyBorder="1"/>
    <xf numFmtId="0" fontId="42" fillId="0" borderId="27" xfId="0" applyFont="1" applyFill="1" applyBorder="1"/>
    <xf numFmtId="0" fontId="42" fillId="0" borderId="40" xfId="0" applyFont="1" applyFill="1" applyBorder="1"/>
    <xf numFmtId="0" fontId="10" fillId="0" borderId="0" xfId="0" applyFont="1" applyFill="1"/>
    <xf numFmtId="165" fontId="42" fillId="0" borderId="38" xfId="1" applyFont="1" applyFill="1" applyBorder="1"/>
    <xf numFmtId="0" fontId="45" fillId="0" borderId="0" xfId="0" applyFont="1" applyFill="1"/>
    <xf numFmtId="0" fontId="45" fillId="0" borderId="39" xfId="0" applyFont="1" applyFill="1" applyBorder="1"/>
    <xf numFmtId="0" fontId="46" fillId="0" borderId="0" xfId="0" applyFont="1" applyFill="1"/>
    <xf numFmtId="0" fontId="42" fillId="0" borderId="0" xfId="0" applyFont="1" applyFill="1" applyBorder="1" applyAlignment="1">
      <alignment horizontal="left" wrapText="1"/>
    </xf>
    <xf numFmtId="165" fontId="42" fillId="0" borderId="28" xfId="1" quotePrefix="1" applyFont="1" applyFill="1" applyBorder="1" applyAlignment="1">
      <alignment horizontal="center"/>
    </xf>
    <xf numFmtId="2" fontId="45" fillId="0" borderId="40" xfId="0" applyNumberFormat="1" applyFont="1" applyBorder="1"/>
    <xf numFmtId="0" fontId="42" fillId="0" borderId="0" xfId="0" applyFont="1" applyFill="1" applyBorder="1" applyAlignment="1">
      <alignment wrapText="1"/>
    </xf>
    <xf numFmtId="165" fontId="42" fillId="0" borderId="0" xfId="0" applyNumberFormat="1" applyFont="1" applyFill="1" applyBorder="1" applyAlignment="1">
      <alignment horizontal="center"/>
    </xf>
    <xf numFmtId="0" fontId="0" fillId="5" borderId="0" xfId="0" applyFill="1"/>
    <xf numFmtId="2" fontId="42" fillId="0" borderId="39" xfId="0" applyNumberFormat="1" applyFont="1" applyFill="1" applyBorder="1" applyAlignment="1">
      <alignment horizontal="right" indent="1"/>
    </xf>
    <xf numFmtId="0" fontId="10" fillId="6" borderId="0" xfId="0" applyFont="1" applyFill="1" applyBorder="1" applyAlignment="1">
      <alignment horizontal="left"/>
    </xf>
    <xf numFmtId="0" fontId="44" fillId="6" borderId="0" xfId="0" applyFont="1" applyFill="1" applyBorder="1"/>
    <xf numFmtId="0" fontId="42" fillId="6" borderId="0" xfId="0" applyFont="1" applyFill="1" applyBorder="1"/>
    <xf numFmtId="0" fontId="10" fillId="6" borderId="0" xfId="0" applyFont="1" applyFill="1" applyBorder="1"/>
    <xf numFmtId="0" fontId="10" fillId="6" borderId="0" xfId="0" applyFont="1" applyFill="1" applyBorder="1" applyAlignment="1">
      <alignment horizontal="center"/>
    </xf>
    <xf numFmtId="0" fontId="42" fillId="6" borderId="0" xfId="0" applyFont="1" applyFill="1" applyBorder="1" applyAlignment="1">
      <alignment horizontal="center"/>
    </xf>
    <xf numFmtId="165" fontId="42" fillId="6" borderId="0" xfId="0" applyNumberFormat="1" applyFont="1" applyFill="1" applyBorder="1" applyAlignment="1">
      <alignment horizontal="center"/>
    </xf>
    <xf numFmtId="165" fontId="42" fillId="6" borderId="0" xfId="0" quotePrefix="1" applyNumberFormat="1" applyFont="1" applyFill="1" applyBorder="1" applyAlignment="1">
      <alignment horizontal="center"/>
    </xf>
    <xf numFmtId="165" fontId="42" fillId="6" borderId="39" xfId="0" quotePrefix="1" applyNumberFormat="1" applyFont="1" applyFill="1" applyBorder="1" applyAlignment="1">
      <alignment horizontal="center"/>
    </xf>
    <xf numFmtId="182" fontId="42" fillId="6" borderId="39" xfId="0" quotePrefix="1" applyNumberFormat="1" applyFont="1" applyFill="1" applyBorder="1" applyAlignment="1">
      <alignment horizontal="center"/>
    </xf>
    <xf numFmtId="0" fontId="42" fillId="6" borderId="0" xfId="0" applyFont="1" applyFill="1" applyBorder="1" applyAlignment="1">
      <alignment wrapText="1"/>
    </xf>
    <xf numFmtId="182" fontId="42" fillId="6" borderId="39" xfId="0" quotePrefix="1" applyNumberFormat="1" applyFont="1" applyFill="1" applyBorder="1" applyAlignment="1">
      <alignment horizontal="center" wrapText="1"/>
    </xf>
    <xf numFmtId="0" fontId="49" fillId="0" borderId="0" xfId="0" applyFont="1"/>
    <xf numFmtId="0" fontId="17" fillId="0" borderId="22" xfId="0" applyFont="1" applyBorder="1" applyAlignment="1">
      <alignment horizontal="center"/>
    </xf>
    <xf numFmtId="0" fontId="17" fillId="0" borderId="0" xfId="0" applyFont="1" applyBorder="1" applyAlignment="1">
      <alignment horizontal="center"/>
    </xf>
    <xf numFmtId="0" fontId="17" fillId="0" borderId="26" xfId="0" applyFont="1" applyBorder="1" applyAlignment="1">
      <alignment horizontal="center"/>
    </xf>
    <xf numFmtId="0" fontId="13" fillId="0" borderId="22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3" fillId="0" borderId="26" xfId="0" applyFont="1" applyBorder="1" applyAlignment="1">
      <alignment horizontal="center"/>
    </xf>
    <xf numFmtId="0" fontId="16" fillId="0" borderId="22" xfId="0" applyFont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16" fillId="0" borderId="26" xfId="0" applyFont="1" applyBorder="1" applyAlignment="1">
      <alignment horizontal="center"/>
    </xf>
    <xf numFmtId="0" fontId="15" fillId="0" borderId="22" xfId="0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15" fillId="0" borderId="26" xfId="0" applyFont="1" applyBorder="1" applyAlignment="1">
      <alignment horizontal="center"/>
    </xf>
    <xf numFmtId="164" fontId="10" fillId="0" borderId="5" xfId="0" applyNumberFormat="1" applyFont="1" applyBorder="1" applyAlignment="1">
      <alignment horizontal="center"/>
    </xf>
    <xf numFmtId="164" fontId="10" fillId="0" borderId="0" xfId="0" applyNumberFormat="1" applyFont="1" applyBorder="1" applyAlignment="1">
      <alignment horizontal="center"/>
    </xf>
    <xf numFmtId="164" fontId="10" fillId="0" borderId="6" xfId="0" applyNumberFormat="1" applyFont="1" applyBorder="1" applyAlignment="1">
      <alignment horizontal="center"/>
    </xf>
    <xf numFmtId="0" fontId="6" fillId="0" borderId="30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0" borderId="30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3" fillId="0" borderId="17" xfId="0" applyFont="1" applyFill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2" fillId="0" borderId="12" xfId="0" applyFont="1" applyFill="1" applyBorder="1" applyAlignment="1">
      <alignment horizontal="center" vertical="top"/>
    </xf>
    <xf numFmtId="0" fontId="2" fillId="0" borderId="10" xfId="0" applyFont="1" applyFill="1" applyBorder="1" applyAlignment="1">
      <alignment horizontal="center" vertical="top"/>
    </xf>
    <xf numFmtId="0" fontId="2" fillId="0" borderId="13" xfId="0" applyFont="1" applyFill="1" applyBorder="1" applyAlignment="1">
      <alignment horizontal="center" vertical="top"/>
    </xf>
    <xf numFmtId="0" fontId="2" fillId="0" borderId="11" xfId="0" applyFont="1" applyFill="1" applyBorder="1" applyAlignment="1">
      <alignment horizontal="center" vertical="top"/>
    </xf>
    <xf numFmtId="0" fontId="24" fillId="0" borderId="30" xfId="0" applyFont="1" applyFill="1" applyBorder="1" applyAlignment="1">
      <alignment horizontal="center"/>
    </xf>
    <xf numFmtId="0" fontId="24" fillId="0" borderId="9" xfId="0" applyFont="1" applyFill="1" applyBorder="1" applyAlignment="1">
      <alignment horizontal="center"/>
    </xf>
    <xf numFmtId="0" fontId="24" fillId="0" borderId="17" xfId="0" applyFont="1" applyFill="1" applyBorder="1" applyAlignment="1">
      <alignment horizontal="center"/>
    </xf>
    <xf numFmtId="170" fontId="3" fillId="0" borderId="12" xfId="0" applyNumberFormat="1" applyFont="1" applyFill="1" applyBorder="1" applyAlignment="1">
      <alignment horizontal="center" vertical="top"/>
    </xf>
    <xf numFmtId="170" fontId="3" fillId="0" borderId="7" xfId="0" applyNumberFormat="1" applyFont="1" applyFill="1" applyBorder="1" applyAlignment="1">
      <alignment horizontal="center" vertical="top"/>
    </xf>
    <xf numFmtId="170" fontId="3" fillId="0" borderId="13" xfId="0" applyNumberFormat="1" applyFont="1" applyFill="1" applyBorder="1" applyAlignment="1">
      <alignment horizontal="center" vertical="top"/>
    </xf>
    <xf numFmtId="170" fontId="3" fillId="0" borderId="8" xfId="0" applyNumberFormat="1" applyFont="1" applyFill="1" applyBorder="1" applyAlignment="1">
      <alignment horizontal="center" vertical="top"/>
    </xf>
    <xf numFmtId="0" fontId="24" fillId="0" borderId="9" xfId="0" applyFont="1" applyFill="1" applyBorder="1" applyAlignment="1">
      <alignment horizontal="left"/>
    </xf>
    <xf numFmtId="0" fontId="24" fillId="0" borderId="17" xfId="0" applyFont="1" applyFill="1" applyBorder="1" applyAlignment="1">
      <alignment horizontal="left"/>
    </xf>
    <xf numFmtId="0" fontId="13" fillId="0" borderId="5" xfId="0" applyFont="1" applyBorder="1" applyAlignment="1">
      <alignment horizontal="center"/>
    </xf>
    <xf numFmtId="0" fontId="16" fillId="0" borderId="5" xfId="0" applyFont="1" applyBorder="1" applyAlignment="1">
      <alignment horizontal="center"/>
    </xf>
    <xf numFmtId="0" fontId="15" fillId="0" borderId="5" xfId="0" applyFont="1" applyBorder="1" applyAlignment="1">
      <alignment horizontal="center"/>
    </xf>
    <xf numFmtId="0" fontId="2" fillId="0" borderId="7" xfId="0" applyFont="1" applyFill="1" applyBorder="1" applyAlignment="1">
      <alignment horizontal="center" vertical="top"/>
    </xf>
    <xf numFmtId="0" fontId="2" fillId="0" borderId="30" xfId="0" applyFont="1" applyFill="1" applyBorder="1" applyAlignment="1">
      <alignment horizontal="center" vertical="top"/>
    </xf>
    <xf numFmtId="0" fontId="2" fillId="0" borderId="9" xfId="0" applyFont="1" applyFill="1" applyBorder="1" applyAlignment="1">
      <alignment horizontal="center" vertical="top"/>
    </xf>
    <xf numFmtId="0" fontId="2" fillId="0" borderId="17" xfId="0" applyFont="1" applyFill="1" applyBorder="1" applyAlignment="1">
      <alignment horizontal="center" vertical="top"/>
    </xf>
    <xf numFmtId="0" fontId="0" fillId="0" borderId="11" xfId="0" applyFill="1" applyBorder="1" applyAlignment="1">
      <alignment horizontal="center"/>
    </xf>
    <xf numFmtId="0" fontId="24" fillId="0" borderId="30" xfId="0" applyFont="1" applyFill="1" applyBorder="1" applyAlignment="1">
      <alignment horizontal="center" wrapText="1"/>
    </xf>
    <xf numFmtId="0" fontId="24" fillId="0" borderId="9" xfId="0" applyFont="1" applyFill="1" applyBorder="1" applyAlignment="1">
      <alignment horizontal="center" wrapText="1"/>
    </xf>
    <xf numFmtId="0" fontId="24" fillId="0" borderId="17" xfId="0" applyFont="1" applyFill="1" applyBorder="1" applyAlignment="1">
      <alignment horizontal="center" wrapText="1"/>
    </xf>
    <xf numFmtId="0" fontId="6" fillId="0" borderId="14" xfId="0" applyFont="1" applyFill="1" applyBorder="1" applyAlignment="1">
      <alignment horizontal="center"/>
    </xf>
    <xf numFmtId="0" fontId="6" fillId="0" borderId="15" xfId="0" applyFont="1" applyFill="1" applyBorder="1" applyAlignment="1">
      <alignment horizontal="center"/>
    </xf>
    <xf numFmtId="0" fontId="20" fillId="0" borderId="15" xfId="0" applyFont="1" applyFill="1" applyBorder="1" applyAlignment="1"/>
    <xf numFmtId="0" fontId="7" fillId="0" borderId="15" xfId="0" applyFont="1" applyFill="1" applyBorder="1" applyAlignment="1"/>
    <xf numFmtId="0" fontId="10" fillId="0" borderId="14" xfId="0" applyFont="1" applyFill="1" applyBorder="1" applyAlignment="1">
      <alignment horizontal="center"/>
    </xf>
    <xf numFmtId="0" fontId="10" fillId="0" borderId="15" xfId="0" applyFont="1" applyFill="1" applyBorder="1" applyAlignment="1">
      <alignment horizontal="center"/>
    </xf>
    <xf numFmtId="0" fontId="42" fillId="0" borderId="15" xfId="0" applyFont="1" applyFill="1" applyBorder="1" applyAlignment="1"/>
  </cellXfs>
  <cellStyles count="5">
    <cellStyle name="Comma" xfId="1" builtinId="3"/>
    <cellStyle name="Comma_salaries0705" xfId="3"/>
    <cellStyle name="Normal" xfId="0" builtinId="0"/>
    <cellStyle name="Normal 2" xfId="4"/>
    <cellStyle name="Percent" xfId="2" builtinId="5"/>
  </cellStyles>
  <dxfs count="3">
    <dxf>
      <fill>
        <patternFill>
          <bgColor indexed="9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 patternType="solid">
          <bgColor indexed="10"/>
        </patternFill>
      </fill>
    </dxf>
  </dxfs>
  <tableStyles count="0" defaultTableStyle="TableStyleMedium9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n-ZA" sz="2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APPORTIONMENT OF OPERATING EXPENSES</a:t>
            </a:r>
          </a:p>
        </c:rich>
      </c:tx>
      <c:layout>
        <c:manualLayout>
          <c:xMode val="edge"/>
          <c:yMode val="edge"/>
          <c:x val="0.13097949886104893"/>
          <c:y val="2.7298850574712652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628731135523632"/>
          <c:y val="0.50484579726122025"/>
          <c:w val="0.24510527884007824"/>
          <c:h val="0.12887618241025392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9.8794803269182566E-2"/>
                  <c:y val="-0.2143638007264307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6104377043985668"/>
                  <c:y val="8.702345532519824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1402818383465163"/>
                  <c:y val="4.526897774862519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1843906755391331E-2"/>
                  <c:y val="5.944761629115797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8333303439575804E-2"/>
                  <c:y val="-0.2113511839027894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5.2282986266807802E-2"/>
                  <c:y val="-0.2858268270388272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0.11079714693977603"/>
                  <c:y val="1.935721650120852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3920267369767826E-2"/>
                  <c:y val="-3.847891577852333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0.10488141146365813"/>
                  <c:y val="-0.2162931721142440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n-ZA" sz="8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GRAPHS!$A$1:$I$1</c:f>
              <c:strCache>
                <c:ptCount val="9"/>
                <c:pt idx="0">
                  <c:v>EMPLOYEE REMUNERATION</c:v>
                </c:pt>
                <c:pt idx="1">
                  <c:v>COUNCILLOR REMUNERATION</c:v>
                </c:pt>
                <c:pt idx="2">
                  <c:v>WORKING CAPITAL</c:v>
                </c:pt>
                <c:pt idx="3">
                  <c:v>REPAIRS  &amp; MAINTENANCE</c:v>
                </c:pt>
                <c:pt idx="4">
                  <c:v>INTEREST &amp; REDEMPTION</c:v>
                </c:pt>
                <c:pt idx="5">
                  <c:v>BULK PURCHASES </c:v>
                </c:pt>
                <c:pt idx="6">
                  <c:v>GENERAL EXPENDITURE</c:v>
                </c:pt>
                <c:pt idx="7">
                  <c:v>CONTRIBUTIONS TO CAPITAL </c:v>
                </c:pt>
                <c:pt idx="8">
                  <c:v>CONTRIBUTIONS TO PROVISIONS</c:v>
                </c:pt>
              </c:strCache>
            </c:strRef>
          </c:cat>
          <c:val>
            <c:numRef>
              <c:f>GRAPHS!$A$2:$I$2</c:f>
              <c:numCache>
                <c:formatCode>_ * #,##0_ ;_ * \-#,##0_ ;_ * "-"_ ;_ @_ 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8473804100227751"/>
          <c:y val="0.37069010770205646"/>
          <c:w val="0.20615034168564905"/>
          <c:h val="0.2471267384680368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n-ZA" sz="3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322" r="0.75000000000000322" t="1" header="0.5" footer="0.5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n-ZA" sz="21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APPORTIONMENT OF INCOME</a:t>
            </a:r>
          </a:p>
        </c:rich>
      </c:tx>
      <c:layout>
        <c:manualLayout>
          <c:xMode val="edge"/>
          <c:yMode val="edge"/>
          <c:x val="0.25371428571428739"/>
          <c:y val="2.8901734104046239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000034090957514"/>
          <c:y val="0.50589906695165809"/>
          <c:w val="0.22181849690127484"/>
          <c:h val="0.1585849406765560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6.1076565429321314E-2"/>
                  <c:y val="-7.5284206904212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7.5163164604424473E-2"/>
                  <c:y val="2.310495573329379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2.9587341582302414E-2"/>
                  <c:y val="0.241325613422357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7.2378672665916813E-2"/>
                  <c:y val="-0.3408282635190859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3703547056617995E-2"/>
                  <c:y val="-1.301950732804985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4.3343502062242217E-2"/>
                  <c:y val="-8.851523747227152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n-ZA" sz="9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GRAPHS!$A$35:$F$35</c:f>
              <c:strCache>
                <c:ptCount val="6"/>
                <c:pt idx="0">
                  <c:v>PROPERTY RATES</c:v>
                </c:pt>
                <c:pt idx="1">
                  <c:v>USER CHARGES</c:v>
                </c:pt>
                <c:pt idx="2">
                  <c:v>INTEREST EARNED</c:v>
                </c:pt>
                <c:pt idx="3">
                  <c:v>FINES</c:v>
                </c:pt>
                <c:pt idx="4">
                  <c:v>OPERATING GRANTS &amp; SUBSIDIES</c:v>
                </c:pt>
                <c:pt idx="5">
                  <c:v>OTHER INCOME</c:v>
                </c:pt>
              </c:strCache>
            </c:strRef>
          </c:cat>
          <c:val>
            <c:numRef>
              <c:f>GRAPHS!$A$36:$F$36</c:f>
              <c:numCache>
                <c:formatCode>_ * #,##0_ ;_ * \-#,##0_ ;_ * "-"_ ;_ @_ 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057142857142862"/>
          <c:y val="0.42774647388729814"/>
          <c:w val="0.28685714285714381"/>
          <c:h val="0.2562624469629151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n-ZA" sz="4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322" r="0.75000000000000322" t="1" header="0.5" footer="0.5"/>
    <c:pageSetup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APPORTIONMENT OF OPERATING EXPENSES</a:t>
            </a:r>
          </a:p>
        </c:rich>
      </c:tx>
      <c:layout>
        <c:manualLayout>
          <c:xMode val="edge"/>
          <c:yMode val="edge"/>
          <c:x val="0.13097949886104812"/>
          <c:y val="2.7298850574712652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628731135523632"/>
          <c:y val="0.50484579726122025"/>
          <c:w val="0.24510527884007824"/>
          <c:h val="0.12887618241025392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9.8794803269181761E-2"/>
                  <c:y val="-0.2143638007264298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6104377043985668"/>
                  <c:y val="8.702345532519824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6.6112441129393171E-2"/>
                  <c:y val="0.1595654463933997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0.15390598692738106"/>
                  <c:y val="5.382642936917863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8333303439575804E-2"/>
                  <c:y val="-0.2113511839027894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5.2282986266807802E-2"/>
                  <c:y val="-0.2858268270388247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0.11226169224453271"/>
                  <c:y val="2.497834903857922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3.1243051999870847E-2"/>
                  <c:y val="-4.752146285255659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0.10488141146365813"/>
                  <c:y val="-0.2162931721142434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'GRAPHS (2)'!$A$1:$I$1</c:f>
              <c:strCache>
                <c:ptCount val="9"/>
                <c:pt idx="0">
                  <c:v>EMPLOYEE REMUNERATION</c:v>
                </c:pt>
                <c:pt idx="1">
                  <c:v>COUNCILLOR REMUNERATION</c:v>
                </c:pt>
                <c:pt idx="2">
                  <c:v>WORKING CAPITAL</c:v>
                </c:pt>
                <c:pt idx="3">
                  <c:v>REPAIRS  &amp; MAINTENANCE</c:v>
                </c:pt>
                <c:pt idx="4">
                  <c:v>INTEREST &amp; REDEMPTION</c:v>
                </c:pt>
                <c:pt idx="5">
                  <c:v>BULK PURCHASES </c:v>
                </c:pt>
                <c:pt idx="6">
                  <c:v>GENERAL EXPENDITURE</c:v>
                </c:pt>
                <c:pt idx="7">
                  <c:v>CONTRIBUTIONS TO CAPITAL </c:v>
                </c:pt>
                <c:pt idx="8">
                  <c:v>CONTRIBUTIONS TO PROVISIONS</c:v>
                </c:pt>
              </c:strCache>
            </c:strRef>
          </c:cat>
          <c:val>
            <c:numRef>
              <c:f>'GRAPHS (2)'!$A$2:$I$2</c:f>
              <c:numCache>
                <c:formatCode>_ * #,##0_ ;_ * \-#,##0_ ;_ * "-"_ ;_ @_ </c:formatCode>
                <c:ptCount val="9"/>
                <c:pt idx="0">
                  <c:v>68373974.415543929</c:v>
                </c:pt>
                <c:pt idx="1">
                  <c:v>7101698.040000001</c:v>
                </c:pt>
                <c:pt idx="2">
                  <c:v>46137985.274000004</c:v>
                </c:pt>
                <c:pt idx="3">
                  <c:v>24377793.199999996</c:v>
                </c:pt>
                <c:pt idx="4">
                  <c:v>745000</c:v>
                </c:pt>
                <c:pt idx="5">
                  <c:v>38360200</c:v>
                </c:pt>
                <c:pt idx="6">
                  <c:v>84898844.875857145</c:v>
                </c:pt>
                <c:pt idx="7">
                  <c:v>6873740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8473804100227751"/>
          <c:y val="0.37069010770205502"/>
          <c:w val="0.20615034168564905"/>
          <c:h val="0.2471267384680368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3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" r="0.750000000000001" t="1" header="0.5" footer="0.5"/>
    <c:pageSetup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1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APPORTIONMENT OF INCOME</a:t>
            </a:r>
          </a:p>
        </c:rich>
      </c:tx>
      <c:layout>
        <c:manualLayout>
          <c:xMode val="edge"/>
          <c:yMode val="edge"/>
          <c:x val="0.25371428571428623"/>
          <c:y val="2.8901734104046239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000034090957514"/>
          <c:y val="0.50589906695165809"/>
          <c:w val="0.22181849690127425"/>
          <c:h val="0.1585849406765560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6.1076565429321314E-2"/>
                  <c:y val="-7.5284206904212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7.5163164604424473E-2"/>
                  <c:y val="2.310495573329379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2.9587341582302275E-2"/>
                  <c:y val="0.241325613422357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0.17138938202499901"/>
                  <c:y val="0.1994363985751781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3703547056617982E-2"/>
                  <c:y val="-1.301950732804985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4.3343502062242217E-2"/>
                  <c:y val="-8.851523747227152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'GRAPHS (2)'!$A$35:$F$35</c:f>
              <c:strCache>
                <c:ptCount val="6"/>
                <c:pt idx="0">
                  <c:v>PROPERTY RATES</c:v>
                </c:pt>
                <c:pt idx="1">
                  <c:v>USER CHARGES</c:v>
                </c:pt>
                <c:pt idx="2">
                  <c:v>INTEREST EARNED</c:v>
                </c:pt>
                <c:pt idx="3">
                  <c:v>FINES</c:v>
                </c:pt>
                <c:pt idx="4">
                  <c:v>OPERATING GRANTS &amp; SUBSIDIES</c:v>
                </c:pt>
                <c:pt idx="5">
                  <c:v>OTHER INCOME</c:v>
                </c:pt>
              </c:strCache>
            </c:strRef>
          </c:cat>
          <c:val>
            <c:numRef>
              <c:f>'GRAPHS (2)'!$A$36:$F$36</c:f>
              <c:numCache>
                <c:formatCode>_ * #,##0_ ;_ * \-#,##0_ ;_ * "-"_ ;_ @_ </c:formatCode>
                <c:ptCount val="6"/>
                <c:pt idx="0">
                  <c:v>23832006.929142799</c:v>
                </c:pt>
                <c:pt idx="1">
                  <c:v>92679597.499151602</c:v>
                </c:pt>
                <c:pt idx="2">
                  <c:v>785291.55935588374</c:v>
                </c:pt>
                <c:pt idx="3">
                  <c:v>261855</c:v>
                </c:pt>
                <c:pt idx="4">
                  <c:v>170893000</c:v>
                </c:pt>
                <c:pt idx="5">
                  <c:v>10721.300999999999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057142857142862"/>
          <c:y val="0.42774647388729647"/>
          <c:w val="0.28685714285714364"/>
          <c:h val="0.2562624469629151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4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" r="0.750000000000001" t="1" header="0.5" footer="0.5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9525</xdr:rowOff>
    </xdr:from>
    <xdr:to>
      <xdr:col>8</xdr:col>
      <xdr:colOff>571500</xdr:colOff>
      <xdr:row>34</xdr:row>
      <xdr:rowOff>2428875</xdr:rowOff>
    </xdr:to>
    <xdr:graphicFrame macro="">
      <xdr:nvGraphicFramePr>
        <xdr:cNvPr id="215761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40</xdr:row>
      <xdr:rowOff>114300</xdr:rowOff>
    </xdr:from>
    <xdr:to>
      <xdr:col>8</xdr:col>
      <xdr:colOff>561975</xdr:colOff>
      <xdr:row>71</xdr:row>
      <xdr:rowOff>38100</xdr:rowOff>
    </xdr:to>
    <xdr:graphicFrame macro="">
      <xdr:nvGraphicFramePr>
        <xdr:cNvPr id="2157617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9525</xdr:rowOff>
    </xdr:from>
    <xdr:to>
      <xdr:col>8</xdr:col>
      <xdr:colOff>571500</xdr:colOff>
      <xdr:row>34</xdr:row>
      <xdr:rowOff>2428875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40</xdr:row>
      <xdr:rowOff>114300</xdr:rowOff>
    </xdr:from>
    <xdr:to>
      <xdr:col>8</xdr:col>
      <xdr:colOff>561975</xdr:colOff>
      <xdr:row>71</xdr:row>
      <xdr:rowOff>38100</xdr:rowOff>
    </xdr:to>
    <xdr:graphicFrame macro="">
      <xdr:nvGraphicFramePr>
        <xdr:cNvPr id="3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Budget%201415\Copy%20of%20OPEX%20CAPEX%20Budget%20201415%20FINAL%20June%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page"/>
      <sheetName val=" HIGH LEVEL BUDGET  SUMMARY"/>
      <sheetName val="INCEXP"/>
      <sheetName val="EXP ALLOCATION"/>
      <sheetName val="GRAPHS"/>
      <sheetName val="INPUT"/>
      <sheetName val="SUMMARY"/>
      <sheetName val="COVER PAGE"/>
      <sheetName val="SUMMARY2"/>
      <sheetName val="COUNCIL"/>
      <sheetName val="MAYOR"/>
      <sheetName val="SPEAKER"/>
      <sheetName val="MM"/>
      <sheetName val="CORP"/>
      <sheetName val="PROP"/>
      <sheetName val="RATES"/>
      <sheetName val="THALL"/>
      <sheetName val="FIN"/>
      <sheetName val="SOCIAL"/>
      <sheetName val="CEMETERY"/>
      <sheetName val="LIBRARIES"/>
      <sheetName val="HOUSING"/>
      <sheetName val="TRAFFIC"/>
      <sheetName val="PARKS"/>
      <sheetName val="REFUSE"/>
      <sheetName val="SEWAGE"/>
      <sheetName val="PWORKS"/>
      <sheetName val="WATER"/>
      <sheetName val="ELECTRIC"/>
      <sheetName val="Sheet2"/>
      <sheetName val="Sheet1"/>
      <sheetName val="CAPITAL"/>
      <sheetName val="TARIFFS"/>
    </sheetNames>
    <sheetDataSet>
      <sheetData sheetId="0"/>
      <sheetData sheetId="1"/>
      <sheetData sheetId="2"/>
      <sheetData sheetId="3"/>
      <sheetData sheetId="4"/>
      <sheetData sheetId="5">
        <row r="6">
          <cell r="C6">
            <v>6.9500000000000006E-2</v>
          </cell>
        </row>
        <row r="8">
          <cell r="C8">
            <v>6.4000000000000001E-2</v>
          </cell>
        </row>
        <row r="10">
          <cell r="C10">
            <v>5.5E-2</v>
          </cell>
        </row>
        <row r="11">
          <cell r="C11">
            <v>0.2671</v>
          </cell>
        </row>
        <row r="12">
          <cell r="C12">
            <v>7.0000000000000007E-2</v>
          </cell>
        </row>
        <row r="15">
          <cell r="C15" t="str">
            <v>0.0%</v>
          </cell>
        </row>
        <row r="18">
          <cell r="C18">
            <v>4.8000000000000001E-2</v>
          </cell>
        </row>
        <row r="19">
          <cell r="C19">
            <v>4.8000000000000001E-2</v>
          </cell>
        </row>
        <row r="20">
          <cell r="C20">
            <v>4.8000000000000001E-2</v>
          </cell>
        </row>
        <row r="21">
          <cell r="C21">
            <v>4.8000000000000001E-2</v>
          </cell>
        </row>
        <row r="22">
          <cell r="C22">
            <v>0.20380000000000001</v>
          </cell>
        </row>
        <row r="37">
          <cell r="C37">
            <v>7.0000000000000007E-2</v>
          </cell>
        </row>
        <row r="38">
          <cell r="C38">
            <v>4.8000000000000001E-2</v>
          </cell>
        </row>
        <row r="39">
          <cell r="C39">
            <v>4.8000000000000001E-2</v>
          </cell>
        </row>
        <row r="40">
          <cell r="C40">
            <v>4.8000000000000001E-2</v>
          </cell>
        </row>
        <row r="43">
          <cell r="C43">
            <v>4.8000000000000001E-2</v>
          </cell>
        </row>
        <row r="44">
          <cell r="C44">
            <v>4.8000000000000001E-2</v>
          </cell>
        </row>
        <row r="45">
          <cell r="C45">
            <v>4.8000000000000001E-2</v>
          </cell>
        </row>
        <row r="46">
          <cell r="C46">
            <v>4.8000000000000001E-2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L71"/>
  <sheetViews>
    <sheetView view="pageBreakPreview" topLeftCell="A22" zoomScaleSheetLayoutView="100" workbookViewId="0">
      <selection activeCell="G37" sqref="G37"/>
    </sheetView>
  </sheetViews>
  <sheetFormatPr defaultRowHeight="13.2" x14ac:dyDescent="0.25"/>
  <sheetData>
    <row r="1" spans="1:12" x14ac:dyDescent="0.25">
      <c r="A1" s="58"/>
      <c r="B1" s="59"/>
      <c r="C1" s="59"/>
      <c r="D1" s="59"/>
      <c r="E1" s="59"/>
      <c r="F1" s="59"/>
      <c r="G1" s="59"/>
      <c r="H1" s="59"/>
      <c r="I1" s="59"/>
      <c r="J1" s="59"/>
      <c r="K1" s="59"/>
      <c r="L1" s="60"/>
    </row>
    <row r="2" spans="1:12" x14ac:dyDescent="0.25">
      <c r="A2" s="61"/>
      <c r="B2" s="11"/>
      <c r="C2" s="11"/>
      <c r="D2" s="11"/>
      <c r="E2" s="11"/>
      <c r="F2" s="11"/>
      <c r="G2" s="11"/>
      <c r="H2" s="11"/>
      <c r="I2" s="11"/>
      <c r="J2" s="11"/>
      <c r="K2" s="11"/>
      <c r="L2" s="62"/>
    </row>
    <row r="3" spans="1:12" x14ac:dyDescent="0.25">
      <c r="A3" s="61"/>
      <c r="B3" s="11"/>
      <c r="C3" s="11"/>
      <c r="D3" s="11"/>
      <c r="E3" s="11"/>
      <c r="F3" s="11"/>
      <c r="G3" s="11"/>
      <c r="H3" s="11"/>
      <c r="I3" s="11"/>
      <c r="J3" s="11"/>
      <c r="K3" s="11"/>
      <c r="L3" s="62"/>
    </row>
    <row r="4" spans="1:12" x14ac:dyDescent="0.25">
      <c r="A4" s="61"/>
      <c r="B4" s="11"/>
      <c r="C4" s="11"/>
      <c r="D4" s="11"/>
      <c r="E4" s="11"/>
      <c r="F4" s="11"/>
      <c r="G4" s="11"/>
      <c r="H4" s="11"/>
      <c r="I4" s="11"/>
      <c r="J4" s="11"/>
      <c r="K4" s="11"/>
      <c r="L4" s="62"/>
    </row>
    <row r="5" spans="1:12" x14ac:dyDescent="0.25">
      <c r="A5" s="61"/>
      <c r="B5" s="11"/>
      <c r="C5" s="11"/>
      <c r="D5" s="11"/>
      <c r="E5" s="11"/>
      <c r="F5" s="11"/>
      <c r="G5" s="11"/>
      <c r="H5" s="11"/>
      <c r="I5" s="11"/>
      <c r="J5" s="11"/>
      <c r="K5" s="11"/>
      <c r="L5" s="62"/>
    </row>
    <row r="6" spans="1:12" x14ac:dyDescent="0.25">
      <c r="A6" s="61"/>
      <c r="B6" s="11"/>
      <c r="C6" s="11"/>
      <c r="D6" s="11"/>
      <c r="E6" s="11"/>
      <c r="F6" s="11"/>
      <c r="G6" s="11"/>
      <c r="H6" s="11"/>
      <c r="I6" s="11"/>
      <c r="J6" s="11"/>
      <c r="K6" s="11"/>
      <c r="L6" s="62"/>
    </row>
    <row r="7" spans="1:12" s="55" customFormat="1" ht="44.4" x14ac:dyDescent="0.7">
      <c r="A7" s="70"/>
      <c r="B7" s="71"/>
      <c r="C7" s="71"/>
      <c r="D7" s="71"/>
      <c r="E7" s="71"/>
      <c r="F7" s="71"/>
      <c r="G7" s="71"/>
      <c r="H7" s="71"/>
      <c r="I7" s="71"/>
      <c r="J7" s="71"/>
      <c r="K7" s="71"/>
      <c r="L7" s="72"/>
    </row>
    <row r="8" spans="1:12" x14ac:dyDescent="0.25">
      <c r="A8" s="61"/>
      <c r="B8" s="11"/>
      <c r="C8" s="11"/>
      <c r="D8" s="11"/>
      <c r="E8" s="11"/>
      <c r="F8" s="11"/>
      <c r="G8" s="11"/>
      <c r="H8" s="11"/>
      <c r="I8" s="11"/>
      <c r="J8" s="11"/>
      <c r="K8" s="11"/>
      <c r="L8" s="62"/>
    </row>
    <row r="9" spans="1:12" s="54" customFormat="1" ht="24.6" x14ac:dyDescent="0.4">
      <c r="A9" s="73"/>
      <c r="B9" s="74"/>
      <c r="C9" s="74"/>
      <c r="D9" s="74"/>
      <c r="E9" s="74"/>
      <c r="F9" s="74"/>
      <c r="G9" s="74"/>
      <c r="H9" s="74"/>
      <c r="I9" s="74"/>
      <c r="J9" s="74"/>
      <c r="K9" s="74"/>
      <c r="L9" s="75"/>
    </row>
    <row r="10" spans="1:12" x14ac:dyDescent="0.25">
      <c r="A10" s="61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62"/>
    </row>
    <row r="11" spans="1:12" x14ac:dyDescent="0.25">
      <c r="A11" s="61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62"/>
    </row>
    <row r="12" spans="1:12" s="69" customFormat="1" ht="60.6" x14ac:dyDescent="1">
      <c r="A12" s="909" t="s">
        <v>175</v>
      </c>
      <c r="B12" s="910"/>
      <c r="C12" s="910"/>
      <c r="D12" s="910"/>
      <c r="E12" s="910"/>
      <c r="F12" s="910"/>
      <c r="G12" s="910"/>
      <c r="H12" s="910"/>
      <c r="I12" s="910"/>
      <c r="J12" s="910"/>
      <c r="K12" s="910"/>
      <c r="L12" s="911"/>
    </row>
    <row r="13" spans="1:12" x14ac:dyDescent="0.25">
      <c r="A13" s="61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62"/>
    </row>
    <row r="14" spans="1:12" s="57" customFormat="1" ht="34.5" customHeight="1" x14ac:dyDescent="0.4">
      <c r="A14" s="912" t="s">
        <v>176</v>
      </c>
      <c r="B14" s="913"/>
      <c r="C14" s="913"/>
      <c r="D14" s="913"/>
      <c r="E14" s="913"/>
      <c r="F14" s="913"/>
      <c r="G14" s="913"/>
      <c r="H14" s="913"/>
      <c r="I14" s="913"/>
      <c r="J14" s="913"/>
      <c r="K14" s="913"/>
      <c r="L14" s="914"/>
    </row>
    <row r="15" spans="1:12" x14ac:dyDescent="0.25">
      <c r="A15" s="61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62"/>
    </row>
    <row r="16" spans="1:12" x14ac:dyDescent="0.25">
      <c r="A16" s="6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62"/>
    </row>
    <row r="17" spans="1:12" s="56" customFormat="1" ht="35.25" customHeight="1" x14ac:dyDescent="0.4">
      <c r="A17" s="912" t="s">
        <v>177</v>
      </c>
      <c r="B17" s="913"/>
      <c r="C17" s="913"/>
      <c r="D17" s="913"/>
      <c r="E17" s="913"/>
      <c r="F17" s="913"/>
      <c r="G17" s="913"/>
      <c r="H17" s="913"/>
      <c r="I17" s="913"/>
      <c r="J17" s="913"/>
      <c r="K17" s="913"/>
      <c r="L17" s="914"/>
    </row>
    <row r="18" spans="1:12" x14ac:dyDescent="0.25">
      <c r="A18" s="61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62"/>
    </row>
    <row r="19" spans="1:12" x14ac:dyDescent="0.25">
      <c r="A19" s="6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62"/>
    </row>
    <row r="20" spans="1:12" x14ac:dyDescent="0.25">
      <c r="A20" s="6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62"/>
    </row>
    <row r="21" spans="1:12" hidden="1" x14ac:dyDescent="0.25">
      <c r="A21" s="6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62"/>
    </row>
    <row r="22" spans="1:12" x14ac:dyDescent="0.25">
      <c r="A22" s="61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62"/>
    </row>
    <row r="23" spans="1:12" ht="25.5" customHeight="1" x14ac:dyDescent="0.25">
      <c r="A23" s="6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62"/>
    </row>
    <row r="24" spans="1:12" x14ac:dyDescent="0.25">
      <c r="A24" s="61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62"/>
    </row>
    <row r="25" spans="1:12" x14ac:dyDescent="0.25">
      <c r="A25" s="6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62"/>
    </row>
    <row r="26" spans="1:12" x14ac:dyDescent="0.25">
      <c r="A26" s="61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62"/>
    </row>
    <row r="27" spans="1:12" x14ac:dyDescent="0.25">
      <c r="A27" s="6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62"/>
    </row>
    <row r="28" spans="1:12" x14ac:dyDescent="0.25">
      <c r="A28" s="6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62"/>
    </row>
    <row r="29" spans="1:12" x14ac:dyDescent="0.25">
      <c r="A29" s="915" t="s">
        <v>529</v>
      </c>
      <c r="B29" s="916"/>
      <c r="C29" s="916"/>
      <c r="D29" s="916"/>
      <c r="E29" s="916"/>
      <c r="F29" s="916"/>
      <c r="G29" s="916"/>
      <c r="H29" s="916"/>
      <c r="I29" s="916"/>
      <c r="J29" s="916"/>
      <c r="K29" s="916"/>
      <c r="L29" s="917"/>
    </row>
    <row r="30" spans="1:12" ht="25.5" customHeight="1" x14ac:dyDescent="0.25">
      <c r="A30" s="915"/>
      <c r="B30" s="916"/>
      <c r="C30" s="916"/>
      <c r="D30" s="916"/>
      <c r="E30" s="916"/>
      <c r="F30" s="916"/>
      <c r="G30" s="916"/>
      <c r="H30" s="916"/>
      <c r="I30" s="916"/>
      <c r="J30" s="916"/>
      <c r="K30" s="916"/>
      <c r="L30" s="917"/>
    </row>
    <row r="31" spans="1:12" x14ac:dyDescent="0.25">
      <c r="A31" s="6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62"/>
    </row>
    <row r="32" spans="1:12" x14ac:dyDescent="0.25">
      <c r="A32" s="918" t="s">
        <v>382</v>
      </c>
      <c r="B32" s="919"/>
      <c r="C32" s="919"/>
      <c r="D32" s="919"/>
      <c r="E32" s="919"/>
      <c r="F32" s="919"/>
      <c r="G32" s="919"/>
      <c r="H32" s="919"/>
      <c r="I32" s="919"/>
      <c r="J32" s="919"/>
      <c r="K32" s="919"/>
      <c r="L32" s="920"/>
    </row>
    <row r="33" spans="1:12" x14ac:dyDescent="0.25">
      <c r="A33" s="918"/>
      <c r="B33" s="919"/>
      <c r="C33" s="919"/>
      <c r="D33" s="919"/>
      <c r="E33" s="919"/>
      <c r="F33" s="919"/>
      <c r="G33" s="919"/>
      <c r="H33" s="919"/>
      <c r="I33" s="919"/>
      <c r="J33" s="919"/>
      <c r="K33" s="919"/>
      <c r="L33" s="920"/>
    </row>
    <row r="34" spans="1:12" x14ac:dyDescent="0.25">
      <c r="A34" s="918"/>
      <c r="B34" s="919"/>
      <c r="C34" s="919"/>
      <c r="D34" s="919"/>
      <c r="E34" s="919"/>
      <c r="F34" s="919"/>
      <c r="G34" s="919"/>
      <c r="H34" s="919"/>
      <c r="I34" s="919"/>
      <c r="J34" s="919"/>
      <c r="K34" s="919"/>
      <c r="L34" s="920"/>
    </row>
    <row r="35" spans="1:12" x14ac:dyDescent="0.25">
      <c r="A35" s="918"/>
      <c r="B35" s="919"/>
      <c r="C35" s="919"/>
      <c r="D35" s="919"/>
      <c r="E35" s="919"/>
      <c r="F35" s="919"/>
      <c r="G35" s="919"/>
      <c r="H35" s="919"/>
      <c r="I35" s="919"/>
      <c r="J35" s="919"/>
      <c r="K35" s="919"/>
      <c r="L35" s="920"/>
    </row>
    <row r="36" spans="1:12" ht="35.4" x14ac:dyDescent="0.6">
      <c r="A36" s="63"/>
      <c r="B36" s="64"/>
      <c r="C36" s="64"/>
      <c r="D36" s="64"/>
      <c r="E36" s="64"/>
      <c r="F36" s="64"/>
      <c r="G36" s="64"/>
      <c r="H36" s="64"/>
      <c r="I36" s="64"/>
      <c r="J36" s="64"/>
      <c r="K36" s="64"/>
      <c r="L36" s="65"/>
    </row>
    <row r="37" spans="1:12" ht="35.4" x14ac:dyDescent="0.6">
      <c r="A37" s="63"/>
      <c r="B37" s="64"/>
      <c r="C37" s="64"/>
      <c r="D37" s="64"/>
      <c r="E37" s="64"/>
      <c r="F37" s="64"/>
      <c r="G37" s="64"/>
      <c r="H37" s="64"/>
      <c r="I37" s="64"/>
      <c r="J37" s="64"/>
      <c r="K37" s="64"/>
      <c r="L37" s="65"/>
    </row>
    <row r="38" spans="1:12" ht="35.4" x14ac:dyDescent="0.6">
      <c r="A38" s="63"/>
      <c r="B38" s="64"/>
      <c r="C38" s="64"/>
      <c r="D38" s="64"/>
      <c r="E38" s="64"/>
      <c r="F38" s="64"/>
      <c r="G38" s="64"/>
      <c r="H38" s="64"/>
      <c r="I38" s="64"/>
      <c r="J38" s="64"/>
      <c r="K38" s="64"/>
      <c r="L38" s="65"/>
    </row>
    <row r="39" spans="1:12" ht="35.4" x14ac:dyDescent="0.6">
      <c r="A39" s="63"/>
      <c r="B39" s="64"/>
      <c r="C39" s="64"/>
      <c r="D39" s="64"/>
      <c r="E39" s="64"/>
      <c r="F39" s="64"/>
      <c r="G39" s="64"/>
      <c r="H39" s="64"/>
      <c r="I39" s="64"/>
      <c r="J39" s="64"/>
      <c r="K39" s="64"/>
      <c r="L39" s="65"/>
    </row>
    <row r="40" spans="1:12" ht="35.4" x14ac:dyDescent="0.6">
      <c r="A40" s="63"/>
      <c r="B40" s="64"/>
      <c r="C40" s="64"/>
      <c r="D40" s="64"/>
      <c r="E40" s="64"/>
      <c r="F40" s="64"/>
      <c r="G40" s="64"/>
      <c r="H40" s="64"/>
      <c r="I40" s="64"/>
      <c r="J40" s="64"/>
      <c r="K40" s="64"/>
      <c r="L40" s="65"/>
    </row>
    <row r="41" spans="1:12" ht="36" thickBot="1" x14ac:dyDescent="0.65">
      <c r="A41" s="66"/>
      <c r="B41" s="67"/>
      <c r="C41" s="67"/>
      <c r="D41" s="67"/>
      <c r="E41" s="67"/>
      <c r="F41" s="67"/>
      <c r="G41" s="67"/>
      <c r="H41" s="67"/>
      <c r="I41" s="67"/>
      <c r="J41" s="67"/>
      <c r="K41" s="67"/>
      <c r="L41" s="68"/>
    </row>
    <row r="42" spans="1:12" ht="35.4" x14ac:dyDescent="0.6">
      <c r="A42" s="64"/>
      <c r="B42" s="64"/>
      <c r="C42" s="64"/>
      <c r="D42" s="64"/>
      <c r="E42" s="64"/>
      <c r="F42" s="64"/>
      <c r="G42" s="64"/>
      <c r="H42" s="64"/>
      <c r="I42" s="64"/>
      <c r="J42" s="64"/>
      <c r="K42" s="64"/>
      <c r="L42" s="64"/>
    </row>
    <row r="43" spans="1:12" ht="35.4" x14ac:dyDescent="0.6">
      <c r="A43" s="64"/>
      <c r="B43" s="64"/>
      <c r="C43" s="64"/>
      <c r="D43" s="64"/>
      <c r="E43" s="64"/>
      <c r="F43" s="64"/>
      <c r="G43" s="64"/>
      <c r="H43" s="64"/>
      <c r="I43" s="64"/>
      <c r="J43" s="64"/>
      <c r="K43" s="64"/>
      <c r="L43" s="64"/>
    </row>
    <row r="44" spans="1:12" ht="35.4" x14ac:dyDescent="0.6">
      <c r="A44" s="64"/>
      <c r="B44" s="64"/>
      <c r="C44" s="64"/>
      <c r="D44" s="64"/>
      <c r="E44" s="64"/>
      <c r="F44" s="64"/>
      <c r="G44" s="64"/>
      <c r="H44" s="64"/>
      <c r="I44" s="64"/>
      <c r="J44" s="64"/>
      <c r="K44" s="64"/>
      <c r="L44" s="64"/>
    </row>
    <row r="45" spans="1:12" x14ac:dyDescent="0.25">
      <c r="A45" s="11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</row>
    <row r="46" spans="1:12" x14ac:dyDescent="0.25">
      <c r="A46" s="11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</row>
    <row r="47" spans="1:12" x14ac:dyDescent="0.25">
      <c r="A47" s="11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</row>
    <row r="48" spans="1:12" x14ac:dyDescent="0.25">
      <c r="A48" s="11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</row>
    <row r="49" spans="1:12" x14ac:dyDescent="0.25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</row>
    <row r="50" spans="1:12" x14ac:dyDescent="0.25">
      <c r="A50" s="11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</row>
    <row r="51" spans="1:12" x14ac:dyDescent="0.25">
      <c r="A51" s="11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</row>
    <row r="52" spans="1:12" x14ac:dyDescent="0.25">
      <c r="A52" s="11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</row>
    <row r="53" spans="1:12" x14ac:dyDescent="0.25">
      <c r="A53" s="11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</row>
    <row r="54" spans="1:12" x14ac:dyDescent="0.25">
      <c r="A54" s="11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</row>
    <row r="55" spans="1:12" x14ac:dyDescent="0.25">
      <c r="A55" s="11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</row>
    <row r="56" spans="1:12" x14ac:dyDescent="0.25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</row>
    <row r="57" spans="1:12" x14ac:dyDescent="0.25">
      <c r="A57" s="11"/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</row>
    <row r="58" spans="1:12" x14ac:dyDescent="0.25">
      <c r="A58" s="11"/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</row>
    <row r="59" spans="1:12" x14ac:dyDescent="0.25">
      <c r="A59" s="11"/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</row>
    <row r="60" spans="1:12" x14ac:dyDescent="0.25">
      <c r="A60" s="11"/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</row>
    <row r="61" spans="1:12" x14ac:dyDescent="0.25">
      <c r="A61" s="11"/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</row>
    <row r="62" spans="1:12" x14ac:dyDescent="0.25">
      <c r="A62" s="11"/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</row>
    <row r="63" spans="1:12" x14ac:dyDescent="0.25">
      <c r="A63" s="11"/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</row>
    <row r="64" spans="1:12" x14ac:dyDescent="0.25">
      <c r="A64" s="11"/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</row>
    <row r="65" spans="1:12" x14ac:dyDescent="0.25">
      <c r="A65" s="11"/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</row>
    <row r="66" spans="1:12" x14ac:dyDescent="0.25">
      <c r="A66" s="11"/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</row>
    <row r="67" spans="1:12" x14ac:dyDescent="0.25">
      <c r="A67" s="11"/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</row>
    <row r="68" spans="1:12" x14ac:dyDescent="0.25">
      <c r="A68" s="11"/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</row>
    <row r="69" spans="1:12" x14ac:dyDescent="0.25">
      <c r="A69" s="11"/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</row>
    <row r="70" spans="1:12" x14ac:dyDescent="0.25">
      <c r="A70" s="11"/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</row>
    <row r="71" spans="1:12" x14ac:dyDescent="0.25">
      <c r="A71" s="11"/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</row>
  </sheetData>
  <mergeCells count="5">
    <mergeCell ref="A12:L12"/>
    <mergeCell ref="A14:L14"/>
    <mergeCell ref="A29:L30"/>
    <mergeCell ref="A32:L35"/>
    <mergeCell ref="A17:L17"/>
  </mergeCells>
  <phoneticPr fontId="0" type="noConversion"/>
  <pageMargins left="0.75" right="0.75" top="1" bottom="1" header="0.5" footer="0.5"/>
  <pageSetup scale="82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N312"/>
  <sheetViews>
    <sheetView topLeftCell="A141" workbookViewId="0">
      <selection activeCell="N159" sqref="N159"/>
    </sheetView>
  </sheetViews>
  <sheetFormatPr defaultRowHeight="13.2" x14ac:dyDescent="0.25"/>
  <cols>
    <col min="1" max="2" width="3.33203125" style="426" customWidth="1"/>
    <col min="3" max="3" width="29.88671875" customWidth="1"/>
    <col min="4" max="6" width="10.6640625" customWidth="1"/>
    <col min="7" max="7" width="10.6640625" style="426" customWidth="1"/>
    <col min="8" max="8" width="10.6640625" customWidth="1"/>
    <col min="9" max="9" width="10.6640625" style="426" customWidth="1"/>
    <col min="10" max="10" width="10.6640625" customWidth="1"/>
    <col min="11" max="11" width="11.33203125" customWidth="1"/>
    <col min="13" max="13" width="10.88671875" bestFit="1" customWidth="1"/>
    <col min="14" max="14" width="15" bestFit="1" customWidth="1"/>
    <col min="15" max="15" width="11.33203125" bestFit="1" customWidth="1"/>
  </cols>
  <sheetData>
    <row r="1" spans="1:11" s="426" customFormat="1" x14ac:dyDescent="0.25">
      <c r="C1" s="541" t="s">
        <v>410</v>
      </c>
      <c r="D1" s="541"/>
      <c r="E1" s="541"/>
      <c r="F1" s="541"/>
      <c r="H1" s="541"/>
      <c r="I1" s="541"/>
      <c r="J1" s="541"/>
      <c r="K1" s="541"/>
    </row>
    <row r="2" spans="1:11" s="426" customFormat="1" x14ac:dyDescent="0.25">
      <c r="C2" s="541"/>
      <c r="D2" s="541"/>
      <c r="E2" s="541"/>
      <c r="F2" s="541"/>
      <c r="G2" s="78"/>
      <c r="H2" s="541"/>
      <c r="I2" s="541"/>
      <c r="J2" s="541"/>
      <c r="K2" s="541"/>
    </row>
    <row r="3" spans="1:11" x14ac:dyDescent="0.25">
      <c r="C3" s="541"/>
      <c r="D3" s="542"/>
      <c r="E3" s="541"/>
      <c r="F3" s="541"/>
      <c r="G3" s="562"/>
      <c r="H3" s="541"/>
      <c r="I3" s="541"/>
      <c r="J3" s="541"/>
      <c r="K3" s="541"/>
    </row>
    <row r="4" spans="1:11" s="357" customFormat="1" x14ac:dyDescent="0.25">
      <c r="C4" s="582" t="s">
        <v>22</v>
      </c>
      <c r="D4" s="582" t="s">
        <v>23</v>
      </c>
      <c r="E4" s="583" t="s">
        <v>24</v>
      </c>
      <c r="F4" s="582" t="s">
        <v>535</v>
      </c>
      <c r="G4" s="582" t="s">
        <v>877</v>
      </c>
      <c r="H4" s="583" t="s">
        <v>24</v>
      </c>
      <c r="I4" s="583" t="s">
        <v>24</v>
      </c>
      <c r="J4" s="583" t="s">
        <v>24</v>
      </c>
      <c r="K4" s="583" t="s">
        <v>24</v>
      </c>
    </row>
    <row r="5" spans="1:11" s="357" customFormat="1" x14ac:dyDescent="0.25">
      <c r="C5" s="584"/>
      <c r="D5" s="585" t="s">
        <v>257</v>
      </c>
      <c r="E5" s="586" t="s">
        <v>382</v>
      </c>
      <c r="F5" s="586" t="s">
        <v>382</v>
      </c>
      <c r="G5" s="586" t="s">
        <v>382</v>
      </c>
      <c r="H5" s="586" t="s">
        <v>407</v>
      </c>
      <c r="I5" s="586" t="s">
        <v>414</v>
      </c>
      <c r="J5" s="586" t="s">
        <v>530</v>
      </c>
      <c r="K5" s="586" t="s">
        <v>886</v>
      </c>
    </row>
    <row r="6" spans="1:11" s="357" customFormat="1" x14ac:dyDescent="0.25">
      <c r="C6" s="587" t="s">
        <v>33</v>
      </c>
      <c r="D6" s="588"/>
      <c r="E6" s="588"/>
      <c r="F6" s="588"/>
      <c r="G6" s="589"/>
      <c r="H6" s="588"/>
      <c r="I6" s="588"/>
      <c r="J6" s="588"/>
      <c r="K6" s="588"/>
    </row>
    <row r="7" spans="1:11" s="285" customFormat="1" x14ac:dyDescent="0.25">
      <c r="A7" s="468"/>
      <c r="B7" s="468"/>
      <c r="C7" s="94" t="s">
        <v>241</v>
      </c>
      <c r="D7" s="428">
        <f>+COUNCIL!D7+MAYOR!D7+SPEAKER!D7+MM!D7+CORP!D7+PROP!D7+RATES!D7+THALL!D7+FIN!D7+SOCIAL!D7+CEMETERY!D7+LIBRARIES!D7+HOUSING!D7+TRAFFIC!D7+PARKS!D7+REFUSE!D7+SEWAGE!D7+PWORKS!D7+WATER!D7+ELECTRIC!D7</f>
        <v>48680</v>
      </c>
      <c r="E7" s="428">
        <f>+COUNCIL!E7+MAYOR!E7+SPEAKER!E7+MM!E7+CORP!E7+PROP!E7+RATES!E7+THALL!E7+FIN!E7+SOCIAL!E7+CEMETERY!E7+LIBRARIES!E7+HOUSING!E7+TRAFFIC!E7+PARKS!E7+REFUSE!E7+SEWAGE!E7+PWORKS!E7+WATER!E7+ELECTRIC!E7</f>
        <v>79010</v>
      </c>
      <c r="F7" s="428">
        <f>+COUNCIL!F7+MAYOR!F7+SPEAKER!F7+MM!F7+CORP!F7+PROP!F7+RATES!F7+THALL!F7+FIN!F7+SOCIAL!F7+CEMETERY!F7+LIBRARIES!F7+HOUSING!F7+TRAFFIC!F7+PARKS!F7+REFUSE!F7+SEWAGE!F7+PWORKS!F7+WATER!F7+ELECTRIC!F7</f>
        <v>79010</v>
      </c>
      <c r="G7" s="428">
        <f>+COUNCIL!G7+MAYOR!G7+SPEAKER!G7+MM!G7+CORP!G7+PROP!G7+RATES!G7+THALL!G7+FIN!G7+SOCIAL!G7+CEMETERY!G7+LIBRARIES!G7+HOUSING!G7+TRAFFIC!G7+PARKS!G7+REFUSE!G7+SEWAGE!G7+PWORKS!G7+WATER!G7+ELECTRIC!G7</f>
        <v>79010</v>
      </c>
      <c r="H7" s="428">
        <f>+COUNCIL!H7+MAYOR!H7+SPEAKER!H7+MM!H7+CORP!H7+PROP!H7+RATES!H7+THALL!H7+FIN!H7+SOCIAL!H7+CEMETERY!H7+LIBRARIES!H8+HOUSING!I7+TRAFFIC!H7+PARKS!H7+REFUSE!H7+SEWAGE!H7+PWORKS!H7+WATER!H7+ELECTRIC!H7</f>
        <v>84382.680000000008</v>
      </c>
      <c r="I7" s="428">
        <f>+COUNCIL!I7+MAYOR!I7+SPEAKER!I7+MM!I7+CORP!I7+PROP!I7+RATES!I7+THALL!I7+FIN!I7+SOCIAL!I7+CEMETERY!I7+LIBRARIES!I8+HOUSING!J7+TRAFFIC!I7+PARKS!I7+REFUSE!I7+SEWAGE!I7+PWORKS!I7+WATER!I7+ELECTRIC!I7+PLANNING!I7</f>
        <v>88179.034182857096</v>
      </c>
      <c r="J7" s="428">
        <f>+COUNCIL!J7+MAYOR!J7+SPEAKER!J7+MM!J7+CORP!J7+PROP!J7+RATES!J7+THALL!J7+FIN!J7+SOCIAL!J7+CEMETERY!J7+LIBRARIES!J8+HOUSING!K7+TRAFFIC!J7+PARKS!J7+REFUSE!J7+SEWAGE!J7+PWORKS!J7+WATER!J7+ELECTRIC!J7+PLANNING!J7</f>
        <v>93028.881062914224</v>
      </c>
      <c r="K7" s="428">
        <f>+COUNCIL!K7+MAYOR!K7+SPEAKER!K7+MM!K7+CORP!K7+PROP!K7+RATES!K7+THALL!K7+FIN!K7+SOCIAL!K7+CEMETERY!K7+LIBRARIES!K8+HOUSING!L7+TRAFFIC!K7+PARKS!K7+REFUSE!K7+SEWAGE!K7+PWORKS!K7+WATER!K7+ELECTRIC!K7+PLANNING!K7</f>
        <v>97959.411759248702</v>
      </c>
    </row>
    <row r="8" spans="1:11" s="285" customFormat="1" x14ac:dyDescent="0.25">
      <c r="A8" s="468"/>
      <c r="B8" s="468"/>
      <c r="C8" s="94" t="s">
        <v>34</v>
      </c>
      <c r="D8" s="428">
        <f>+COUNCIL!D8+MAYOR!D8+SPEAKER!D8+MM!D8+CORP!D8+PROP!D8+RATES!D8+THALL!D8+FIN!D8+SOCIAL!D8+CEMETERY!D8+LIBRARIES!D8+HOUSING!D8+TRAFFIC!D8+PARKS!D8+REFUSE!D8+SEWAGE!D8+PWORKS!D8+WATER!D8+ELECTRIC!D8</f>
        <v>0</v>
      </c>
      <c r="E8" s="428"/>
      <c r="F8" s="428"/>
      <c r="G8" s="428"/>
      <c r="H8" s="428"/>
      <c r="I8" s="428">
        <f>+COUNCIL!I8+MAYOR!I8+SPEAKER!I8+MM!I8+CORP!I8+PROP!I8+RATES!I8+THALL!I8+FIN!I8+SOCIAL!I8+CEMETERY!I8+LIBRARIES!I9+HOUSING!J8+TRAFFIC!I8+PARKS!I8+REFUSE!I8+SEWAGE!I8+PWORKS!I8+WATER!I8+ELECTRIC!I8+PLANNING!I8</f>
        <v>12528</v>
      </c>
      <c r="J8" s="428">
        <f>+COUNCIL!J8+MAYOR!J8+SPEAKER!J8+MM!J8+CORP!J8+PROP!J8+RATES!J8+THALL!J8+FIN!J8+SOCIAL!J8+CEMETERY!J8+LIBRARIES!J9+HOUSING!K8+TRAFFIC!J8+PARKS!J8+REFUSE!J8+SEWAGE!J8+PWORKS!J8+WATER!J8+ELECTRIC!J8+PLANNING!J8</f>
        <v>13217.039999999999</v>
      </c>
      <c r="K8" s="428">
        <f>+COUNCIL!K8+MAYOR!K8+SPEAKER!K8+MM!K8+CORP!K8+PROP!K8+RATES!K8+THALL!K8+FIN!K8+SOCIAL!K8+CEMETERY!K8+LIBRARIES!K9+HOUSING!L8+TRAFFIC!K8+PARKS!K8+REFUSE!K8+SEWAGE!K8+PWORKS!K8+WATER!K8+ELECTRIC!K8+PLANNING!K8</f>
        <v>13943.977199999998</v>
      </c>
    </row>
    <row r="9" spans="1:11" s="285" customFormat="1" x14ac:dyDescent="0.25">
      <c r="A9" s="468"/>
      <c r="B9" s="468"/>
      <c r="C9" s="94" t="s">
        <v>35</v>
      </c>
      <c r="D9" s="428">
        <f>+COUNCIL!D9+MAYOR!D9+SPEAKER!D9+MM!D9+CORP!D9+PROP!D9+RATES!D9+THALL!D9+FIN!D9+SOCIAL!D9+CEMETERY!D9+LIBRARIES!D9+HOUSING!D9+TRAFFIC!D9+PARKS!D9+REFUSE!D9+SEWAGE!D9+PWORKS!D9+WATER!D9+ELECTRIC!D9</f>
        <v>55790</v>
      </c>
      <c r="E9" s="428">
        <f>+COUNCIL!E9+MAYOR!E9+SPEAKER!E9+MM!E9+CORP!E9+PROP!E9+RATES!E9+THALL!E9+FIN!E9+SOCIAL!E9+CEMETERY!E9+LIBRARIES!E9+HOUSING!E9+TRAFFIC!E9+PARKS!E9+REFUSE!E9+SEWAGE!E9+PWORKS!E9+WATER!E9+ELECTRIC!E9</f>
        <v>494300</v>
      </c>
      <c r="F9" s="428">
        <f>+COUNCIL!F9+MAYOR!F9+SPEAKER!F9+MM!F9+CORP!F9+PROP!F9+RATES!F9+THALL!F9+FIN!F9+SOCIAL!F9+CEMETERY!F9+LIBRARIES!F9+HOUSING!F9+TRAFFIC!F9+PARKS!F9+REFUSE!F9+SEWAGE!F9+PWORKS!F9+WATER!F9+ELECTRIC!F9</f>
        <v>494300</v>
      </c>
      <c r="G9" s="428">
        <f>+COUNCIL!G9+MAYOR!G9+SPEAKER!G9+MM!G9+CORP!G9+PROP!G9+RATES!G9+THALL!G9+FIN!G9+SOCIAL!G9+CEMETERY!G9+LIBRARIES!G9+HOUSING!G9+TRAFFIC!G9+PARKS!G9+REFUSE!G9+SEWAGE!G9+PWORKS!G9+WATER!G9+ELECTRIC!G9</f>
        <v>494300</v>
      </c>
      <c r="H9" s="428">
        <f>+COUNCIL!H9+MAYOR!H9+SPEAKER!H9+MM!H9+CORP!H9+PROP!H9+RATES!H9+THALL!H9+FIN!H9+SOCIAL!H9+CEMETERY!H9+LIBRARIES!H10+HOUSING!I9+TRAFFIC!H9+PARKS!H9+REFUSE!H9+SEWAGE!H9+PWORKS!H9+WATER!H9+ELECTRIC!H9</f>
        <v>527912.4</v>
      </c>
      <c r="I9" s="428">
        <f>+COUNCIL!I9+MAYOR!I9+SPEAKER!I9+MM!I9+CORP!I9+PROP!I9+RATES!I9+THALL!I9+FIN!I9+SOCIAL!I9+CEMETERY!I9+LIBRARIES!I10+HOUSING!J9+TRAFFIC!I9+PARKS!I9+REFUSE!I9+SEWAGE!I9+PWORKS!I9+WATER!I9+ELECTRIC!I9+PLANNING!I9</f>
        <v>672945.59691428416</v>
      </c>
      <c r="J9" s="428">
        <f>+COUNCIL!J9+MAYOR!J9+SPEAKER!J9+MM!J9+CORP!J9+PROP!J9+RATES!J9+THALL!J9+FIN!J9+SOCIAL!J9+CEMETERY!J9+LIBRARIES!J10+HOUSING!K9+TRAFFIC!J9+PARKS!J9+REFUSE!J9+SEWAGE!J9+PWORKS!J9+WATER!J9+ELECTRIC!J9+PLANNING!J9</f>
        <v>709957.60474456986</v>
      </c>
      <c r="K9" s="428">
        <f>+COUNCIL!K9+MAYOR!K9+SPEAKER!K9+MM!K9+CORP!K9+PROP!K9+RATES!K9+THALL!K9+FIN!K9+SOCIAL!K9+CEMETERY!K9+LIBRARIES!K10+HOUSING!L9+TRAFFIC!K9+PARKS!K9+REFUSE!K9+SEWAGE!K9+PWORKS!K9+WATER!K9+ELECTRIC!K9+PLANNING!K9</f>
        <v>748901.48357576923</v>
      </c>
    </row>
    <row r="10" spans="1:11" s="285" customFormat="1" x14ac:dyDescent="0.25">
      <c r="A10" s="468"/>
      <c r="B10" s="468"/>
      <c r="C10" s="94" t="s">
        <v>350</v>
      </c>
      <c r="D10" s="428">
        <f>+COUNCIL!D10+MAYOR!D10+SPEAKER!D10+MM!D10+CORP!D10+PROP!D10+RATES!D10+THALL!D10+FIN!D10+SOCIAL!D10+CEMETERY!D10+LIBRARIES!D10+HOUSING!D10+TRAFFIC!D10+PARKS!D10+REFUSE!D10+SEWAGE!D10+PWORKS!D10+WATER!D10+ELECTRIC!D10</f>
        <v>2147850</v>
      </c>
      <c r="E10" s="428">
        <f>+COUNCIL!E10+MAYOR!E10+SPEAKER!E10+MM!E10+CORP!E10+PROP!E10+RATES!E10+THALL!E10+FIN!E10+SOCIAL!E10+CEMETERY!E10+LIBRARIES!E10+HOUSING!E10+TRAFFIC!E10+PARKS!E10+REFUSE!E10+SEWAGE!E10+PWORKS!E10+WATER!E10+ELECTRIC!E10</f>
        <v>1646200</v>
      </c>
      <c r="F10" s="428">
        <f>+COUNCIL!F10+MAYOR!F10+SPEAKER!F10+MM!F10+CORP!F10+PROP!F10+RATES!F10+THALL!F10+FIN!F10+SOCIAL!F10+CEMETERY!F10+LIBRARIES!F10+HOUSING!F10+TRAFFIC!F10+PARKS!F10+REFUSE!F10+SEWAGE!F10+PWORKS!F10+WATER!F10+ELECTRIC!F10</f>
        <v>1651600</v>
      </c>
      <c r="G10" s="428">
        <f>+COUNCIL!G10+MAYOR!G10+SPEAKER!G10+MM!G10+CORP!G10+PROP!G10+RATES!G10+THALL!G10+FIN!G10+SOCIAL!G10+CEMETERY!G10+LIBRARIES!G10+HOUSING!G10+TRAFFIC!G10+PARKS!G10+REFUSE!G10+SEWAGE!G10+PWORKS!G10+WATER!G10+ELECTRIC!G10</f>
        <v>1651600</v>
      </c>
      <c r="H10" s="428">
        <f>+COUNCIL!H10+MAYOR!H10+SPEAKER!H10+MM!H10+CORP!H10+PROP!H10+RATES!H10+THALL!H10+FIN!H10+SOCIAL!H10+CEMETERY!H10+LIBRARIES!H11+HOUSING!I10+TRAFFIC!H10+PARKS!H10+REFUSE!H10+SEWAGE!H10+PWORKS!H10+WATER!H10+ELECTRIC!H10</f>
        <v>1758141.6</v>
      </c>
      <c r="I10" s="428">
        <f>+COUNCIL!I10+MAYOR!I10+SPEAKER!I10+MM!I10+CORP!I10+PROP!I10+RATES!I10+THALL!I10+FIN!I10+SOCIAL!I10+CEMETERY!I10+LIBRARIES!I11+HOUSING!J10+TRAFFIC!I10+PARKS!I10+REFUSE!I10+SEWAGE!I10+PWORKS!I10+WATER!I10+ELECTRIC!I10+PLANNING!I10</f>
        <v>1823688.9887999995</v>
      </c>
      <c r="J10" s="428">
        <f>+COUNCIL!J10+MAYOR!J10+SPEAKER!J10+MM!J10+CORP!J10+PROP!J10+RATES!J10+THALL!J10+FIN!J10+SOCIAL!J10+CEMETERY!J10+LIBRARIES!J11+HOUSING!K10+TRAFFIC!J10+PARKS!J10+REFUSE!J10+SEWAGE!J10+PWORKS!J10+WATER!J10+ELECTRIC!J10+PLANNING!J10</f>
        <v>1923991.8831839995</v>
      </c>
      <c r="K10" s="428">
        <f>+COUNCIL!K10+MAYOR!K10+SPEAKER!K10+MM!K10+CORP!K10+PROP!K10+RATES!K10+THALL!K10+FIN!K10+SOCIAL!K10+CEMETERY!K10+LIBRARIES!K11+HOUSING!L10+TRAFFIC!K10+PARKS!K10+REFUSE!K10+SEWAGE!K10+PWORKS!K10+WATER!K10+ELECTRIC!K10+PLANNING!K10</f>
        <v>2025963.4529927513</v>
      </c>
    </row>
    <row r="11" spans="1:11" s="285" customFormat="1" x14ac:dyDescent="0.25">
      <c r="A11" s="468"/>
      <c r="B11" s="468"/>
      <c r="C11" s="94" t="s">
        <v>36</v>
      </c>
      <c r="D11" s="428">
        <f>+COUNCIL!D11+MAYOR!D11+SPEAKER!D11+MM!D11+CORP!D11+PROP!D11+RATES!D11+THALL!D11+FIN!D11+SOCIAL!D11+CEMETERY!D11+LIBRARIES!D11+HOUSING!D11+TRAFFIC!D11+PARKS!D11+REFUSE!D11+SEWAGE!D11+PWORKS!D11+WATER!D11+ELECTRIC!D11</f>
        <v>0</v>
      </c>
      <c r="E11" s="428">
        <f>+COUNCIL!E11+MAYOR!E11+SPEAKER!E11+MM!E11+CORP!E11+PROP!E11+RATES!E11+THALL!E11+FIN!E11+SOCIAL!E11+CEMETERY!E11+LIBRARIES!E11+HOUSING!E11+TRAFFIC!E11+PARKS!E11+REFUSE!E11+SEWAGE!E11+PWORKS!E11+WATER!E11+ELECTRIC!E11</f>
        <v>0</v>
      </c>
      <c r="F11" s="428">
        <f>+COUNCIL!F11+MAYOR!F11+SPEAKER!F11+MM!F11+CORP!F11+PROP!F11+RATES!F11+THALL!F11+FIN!F11+SOCIAL!F11+CEMETERY!F11+LIBRARIES!F11+HOUSING!F11+TRAFFIC!F11+PARKS!F11+REFUSE!F11+SEWAGE!F11+PWORKS!F11+WATER!F11+ELECTRIC!F11</f>
        <v>0</v>
      </c>
      <c r="G11" s="428">
        <f>+COUNCIL!G11+MAYOR!G11+SPEAKER!G11+MM!G11+CORP!G11+PROP!G11+RATES!G11+THALL!G11+FIN!G11+SOCIAL!G11+CEMETERY!G11+LIBRARIES!G11+HOUSING!G11+TRAFFIC!G11+PARKS!G11+REFUSE!G11+SEWAGE!G11+PWORKS!G11+WATER!G11+ELECTRIC!G11</f>
        <v>0</v>
      </c>
      <c r="H11" s="428">
        <f>+COUNCIL!H11+MAYOR!H11+SPEAKER!H11+MM!H11+CORP!H11+PROP!H11+RATES!H11+THALL!H11+FIN!H11+SOCIAL!H11+CEMETERY!H11+LIBRARIES!H12+HOUSING!I11+TRAFFIC!H11+PARKS!H11+REFUSE!H11+SEWAGE!H11+PWORKS!H11+WATER!H11+ELECTRIC!H11</f>
        <v>0</v>
      </c>
      <c r="I11" s="428">
        <f>+COUNCIL!I11+MAYOR!I11+SPEAKER!I11+MM!I11+CORP!I11+PROP!I11+RATES!I11+THALL!I11+FIN!I11+SOCIAL!I11+CEMETERY!I11+LIBRARIES!I12+HOUSING!J11+TRAFFIC!I11+PARKS!I11+REFUSE!I11+SEWAGE!I11+PWORKS!I11+WATER!I11+ELECTRIC!I11+PLANNING!I11</f>
        <v>0</v>
      </c>
      <c r="J11" s="428">
        <f>+COUNCIL!J11+MAYOR!J11+SPEAKER!J11+MM!J11+CORP!J11+PROP!J11+RATES!J11+THALL!J11+FIN!J11+SOCIAL!J11+CEMETERY!J11+LIBRARIES!J12+HOUSING!K11+TRAFFIC!J11+PARKS!J11+REFUSE!J11+SEWAGE!J11+PWORKS!J11+WATER!J11+ELECTRIC!J11+PLANNING!J11</f>
        <v>0</v>
      </c>
      <c r="K11" s="428">
        <f>+COUNCIL!K11+MAYOR!K11+SPEAKER!K11+MM!K11+CORP!K11+PROP!K11+RATES!K11+THALL!K11+FIN!K11+SOCIAL!K11+CEMETERY!K11+LIBRARIES!K12+HOUSING!L11+TRAFFIC!K11+PARKS!K11+REFUSE!K11+SEWAGE!K11+PWORKS!K11+WATER!K11+ELECTRIC!K11+PLANNING!K11</f>
        <v>0</v>
      </c>
    </row>
    <row r="12" spans="1:11" s="285" customFormat="1" x14ac:dyDescent="0.25">
      <c r="A12" s="468"/>
      <c r="B12" s="468"/>
      <c r="C12" s="94" t="s">
        <v>85</v>
      </c>
      <c r="D12" s="428">
        <f>+COUNCIL!D12+MAYOR!D12+SPEAKER!D12+MM!D12+CORP!D12+PROP!D12+RATES!D12+THALL!D12+FIN!D12+SOCIAL!D12+CEMETERY!D12+LIBRARIES!D12+HOUSING!D12+TRAFFIC!D12+PARKS!D12+REFUSE!D12+SEWAGE!D12+PWORKS!D12+WATER!D12+ELECTRIC!D12</f>
        <v>394560</v>
      </c>
      <c r="E12" s="428">
        <f>+COUNCIL!E12+MAYOR!E12+SPEAKER!E12+MM!E12+CORP!E12+PROP!E12+RATES!E12+THALL!E12+FIN!E12+SOCIAL!E12+CEMETERY!E12+LIBRARIES!E12+HOUSING!E12+TRAFFIC!E12+PARKS!E12+REFUSE!E12+SEWAGE!E12+PWORKS!E12+WATER!E12+ELECTRIC!E12</f>
        <v>484500</v>
      </c>
      <c r="F12" s="428">
        <f>+COUNCIL!F12+MAYOR!F12+SPEAKER!F12+MM!F12+CORP!F12+PROP!F12+RATES!F12+THALL!F12+FIN!F12+SOCIAL!F12+CEMETERY!F12+LIBRARIES!F12+HOUSING!F12+TRAFFIC!F12+PARKS!F12+REFUSE!F12+SEWAGE!F12+PWORKS!F12+WATER!F12+ELECTRIC!F12</f>
        <v>484500</v>
      </c>
      <c r="G12" s="428">
        <f>+COUNCIL!G12+MAYOR!G12+SPEAKER!G12+MM!G12+CORP!G12+PROP!G12+RATES!G12+THALL!G12+FIN!G12+SOCIAL!G12+CEMETERY!G12+LIBRARIES!G12+HOUSING!G12+TRAFFIC!G12+PARKS!G12+REFUSE!G12+SEWAGE!G12+PWORKS!G12+WATER!G12+ELECTRIC!G12</f>
        <v>484500</v>
      </c>
      <c r="H12" s="428">
        <f>+COUNCIL!H12+MAYOR!H12+SPEAKER!H12+MM!H12+CORP!H12+PROP!H12+RATES!H12+THALL!H12+FIN!H12+SOCIAL!H12+CEMETERY!H12+LIBRARIES!H13+HOUSING!I12+TRAFFIC!H12+PARKS!H12+REFUSE!H12+SEWAGE!H12+PWORKS!H12+WATER!H12+ELECTRIC!H12</f>
        <v>517281</v>
      </c>
      <c r="I12" s="428">
        <f>+COUNCIL!I12+MAYOR!I12+SPEAKER!I12+MM!I12+CORP!I12+PROP!I12+RATES!I12+THALL!I12+FIN!I12+SOCIAL!I12+CEMETERY!I12+LIBRARIES!I13+HOUSING!J12+TRAFFIC!I12+PARKS!I12+REFUSE!I12+SEWAGE!I12+PWORKS!I12+WATER!I12+ELECTRIC!I12+PLANNING!I12</f>
        <v>376457.03099999996</v>
      </c>
      <c r="J12" s="428">
        <f>+COUNCIL!J12+MAYOR!J12+SPEAKER!J12+MM!J12+CORP!J12+PROP!J12+RATES!J12+THALL!J12+FIN!J12+SOCIAL!J12+CEMETERY!J12+LIBRARIES!J13+HOUSING!K12+TRAFFIC!J12+PARKS!J12+REFUSE!J12+SEWAGE!J12+PWORKS!J12+WATER!J12+ELECTRIC!J12+PLANNING!J12</f>
        <v>397125.33343499998</v>
      </c>
      <c r="K12" s="428">
        <f>+COUNCIL!K12+MAYOR!K12+SPEAKER!K12+MM!K12+CORP!K12+PROP!K12+RATES!K12+THALL!K12+FIN!K12+SOCIAL!K12+CEMETERY!K12+LIBRARIES!K13+HOUSING!L12+TRAFFIC!K12+PARKS!K12+REFUSE!K12+SEWAGE!K12+PWORKS!K12+WATER!K12+ELECTRIC!K12+PLANNING!K12</f>
        <v>397751.89106483996</v>
      </c>
    </row>
    <row r="13" spans="1:11" s="285" customFormat="1" x14ac:dyDescent="0.25">
      <c r="A13" s="468"/>
      <c r="B13" s="468"/>
      <c r="C13" s="94" t="s">
        <v>84</v>
      </c>
      <c r="D13" s="428">
        <f>+COUNCIL!D13+MAYOR!D13+SPEAKER!D13+MM!D13+CORP!D13+PROP!D13+RATES!D13+THALL!D13+FIN!D13+SOCIAL!D13+CEMETERY!D13+LIBRARIES!D13+HOUSING!D13+TRAFFIC!D13+PARKS!D13+REFUSE!D13+SEWAGE!D13+PWORKS!D13+WATER!D13+ELECTRIC!D13</f>
        <v>14280</v>
      </c>
      <c r="E13" s="428">
        <f>+COUNCIL!E13+MAYOR!E13+SPEAKER!E13+MM!E13+CORP!E13+PROP!E13+RATES!E13+THALL!E13+FIN!E13+SOCIAL!E13+CEMETERY!E13+LIBRARIES!E13+HOUSING!E13+TRAFFIC!E13+PARKS!E13+REFUSE!E13+SEWAGE!E13+PWORKS!E13+WATER!E13+ELECTRIC!E13</f>
        <v>0</v>
      </c>
      <c r="F13" s="428">
        <f>+COUNCIL!F13+MAYOR!F13+SPEAKER!F13+MM!F13+CORP!F13+PROP!F13+RATES!F13+THALL!F13+FIN!F13+SOCIAL!F13+CEMETERY!F13+LIBRARIES!F13+HOUSING!F13+TRAFFIC!F13+PARKS!F13+REFUSE!F13+SEWAGE!F13+PWORKS!F13+WATER!F13+ELECTRIC!F13</f>
        <v>0</v>
      </c>
      <c r="G13" s="428">
        <f>+COUNCIL!G13+MAYOR!G13+SPEAKER!G13+MM!G13+CORP!G13+PROP!G13+RATES!G13+THALL!G13+FIN!G13+SOCIAL!G13+CEMETERY!G13+LIBRARIES!G13+HOUSING!G13+TRAFFIC!G13+PARKS!G13+REFUSE!G13+SEWAGE!G13+PWORKS!G13+WATER!G13+ELECTRIC!G13</f>
        <v>0</v>
      </c>
      <c r="H13" s="428">
        <f>+COUNCIL!H13+MAYOR!H13+SPEAKER!H13+MM!H13+CORP!H13+PROP!H13+RATES!H13+THALL!H13+FIN!H13+SOCIAL!H13+CEMETERY!H13+LIBRARIES!H14+HOUSING!I13+TRAFFIC!H13+PARKS!H13+REFUSE!H13+SEWAGE!H13+PWORKS!H13+WATER!H13+ELECTRIC!H13</f>
        <v>0</v>
      </c>
      <c r="I13" s="428">
        <f>+COUNCIL!I13+MAYOR!I13+SPEAKER!I13+MM!I13+CORP!I13+PROP!I13+RATES!I13+THALL!I13+FIN!I13+SOCIAL!I13+CEMETERY!I13+LIBRARIES!I14+HOUSING!J13+TRAFFIC!I13+PARKS!I13+REFUSE!I13+SEWAGE!I13+PWORKS!I13+WATER!I13+ELECTRIC!I13+PLANNING!I13</f>
        <v>103566</v>
      </c>
      <c r="J13" s="428">
        <f>+COUNCIL!J13+MAYOR!J13+SPEAKER!J13+MM!J13+CORP!J13+PROP!J13+RATES!J13+THALL!J13+FIN!J13+SOCIAL!J13+CEMETERY!J13+LIBRARIES!J14+HOUSING!K13+TRAFFIC!J13+PARKS!J13+REFUSE!J13+SEWAGE!J13+PWORKS!J13+WATER!J13+ELECTRIC!J13+PLANNING!J13</f>
        <v>109262.12999999999</v>
      </c>
      <c r="K13" s="428">
        <f>+COUNCIL!K13+MAYOR!K13+SPEAKER!K13+MM!K13+CORP!K13+PROP!K13+RATES!K13+THALL!K13+FIN!K13+SOCIAL!K13+CEMETERY!K13+LIBRARIES!K14+HOUSING!L13+TRAFFIC!K13+PARKS!K13+REFUSE!K13+SEWAGE!K13+PWORKS!K13+WATER!K13+ELECTRIC!K13+PLANNING!K13</f>
        <v>115053.02288999998</v>
      </c>
    </row>
    <row r="14" spans="1:11" s="285" customFormat="1" x14ac:dyDescent="0.25">
      <c r="A14" s="468"/>
      <c r="B14" s="468"/>
      <c r="C14" s="94" t="s">
        <v>37</v>
      </c>
      <c r="D14" s="428">
        <f>+COUNCIL!D14+MAYOR!D14+SPEAKER!D14+MM!D14+CORP!D14+PROP!D14+RATES!D14+THALL!D14+FIN!D14+SOCIAL!D14+CEMETERY!D14+LIBRARIES!D14+HOUSING!D14+TRAFFIC!D14+PARKS!D14+REFUSE!D14+SEWAGE!D14+PWORKS!D14+WATER!D14+ELECTRIC!D14</f>
        <v>2412706.2239999999</v>
      </c>
      <c r="E14" s="428">
        <f>+COUNCIL!E14+MAYOR!E14+SPEAKER!E14+MM!E14+CORP!E14+PROP!E14+RATES!E14+THALL!E14+FIN!E14+SOCIAL!E14+CEMETERY!E14+LIBRARIES!E14+HOUSING!E14+TRAFFIC!E14+PARKS!E14+REFUSE!E14+SEWAGE!E14+PWORKS!E14+WATER!E14+ELECTRIC!E14</f>
        <v>3842000</v>
      </c>
      <c r="F14" s="428">
        <f>+COUNCIL!F14+MAYOR!F14+SPEAKER!F14+MM!F14+CORP!F14+PROP!F14+RATES!F14+THALL!F14+FIN!F14+SOCIAL!F14+CEMETERY!F14+LIBRARIES!F14+HOUSING!F14+TRAFFIC!F14+PARKS!F14+REFUSE!F14+SEWAGE!F14+PWORKS!F14+WATER!F14+ELECTRIC!F14</f>
        <v>3842000</v>
      </c>
      <c r="G14" s="428">
        <f>+COUNCIL!G14+MAYOR!G14+SPEAKER!G14+MM!G14+CORP!G14+PROP!G14+RATES!G14+THALL!G14+FIN!G14+SOCIAL!G14+CEMETERY!G14+LIBRARIES!G14+HOUSING!G14+TRAFFIC!G14+PARKS!G14+REFUSE!G14+SEWAGE!G14+PWORKS!G14+WATER!G14+ELECTRIC!G14</f>
        <v>3842000</v>
      </c>
      <c r="H14" s="428">
        <f>+COUNCIL!H14+MAYOR!H14+SPEAKER!H14+MM!H14+CORP!H14+PROP!H14+RATES!H14+THALL!H14+FIN!H14+SOCIAL!H14+CEMETERY!H14+LIBRARIES!H15+HOUSING!I14+TRAFFIC!H14+PARKS!H14+REFUSE!H14+SEWAGE!H14+PWORKS!H14+WATER!H14+ELECTRIC!H14</f>
        <v>4028924</v>
      </c>
      <c r="I14" s="428">
        <f>+COUNCIL!I14+MAYOR!I14+SPEAKER!I14+MM!I14+CORP!I14+PROP!I14+RATES!I14+THALL!I14+FIN!I14+SOCIAL!I14+CEMETERY!I14+LIBRARIES!I15+HOUSING!J14+TRAFFIC!I14+PARKS!I14+REFUSE!I14+SEWAGE!I14+PWORKS!I14+WATER!I14+ELECTRIC!I14+PLANNING!I14</f>
        <v>3424865.1005714261</v>
      </c>
      <c r="J14" s="428">
        <f>+COUNCIL!J14+MAYOR!J14+SPEAKER!J14+MM!J14+CORP!J14+PROP!J14+RATES!J14+THALL!J14+FIN!J14+SOCIAL!J14+CEMETERY!J14+LIBRARIES!J15+HOUSING!K14+TRAFFIC!J14+PARKS!J14+REFUSE!J14+SEWAGE!J14+PWORKS!J14+WATER!J14+ELECTRIC!J14+PLANNING!J14</f>
        <v>3613089.8087828546</v>
      </c>
      <c r="K14" s="428">
        <f>+COUNCIL!K14+MAYOR!K14+SPEAKER!K14+MM!K14+CORP!K14+PROP!K14+RATES!K14+THALL!K14+FIN!K14+SOCIAL!K14+CEMETERY!K14+LIBRARIES!K15+HOUSING!L14+TRAFFIC!K14+PARKS!K14+REFUSE!K14+SEWAGE!K14+PWORKS!K14+WATER!K14+ELECTRIC!K14+PLANNING!K14</f>
        <v>3726356.8480101055</v>
      </c>
    </row>
    <row r="15" spans="1:11" s="285" customFormat="1" x14ac:dyDescent="0.25">
      <c r="A15" s="468"/>
      <c r="B15" s="468"/>
      <c r="C15" s="94" t="s">
        <v>38</v>
      </c>
      <c r="D15" s="428">
        <f>+COUNCIL!D15+MAYOR!D15+SPEAKER!D15+MM!D15+CORP!D15+PROP!D15+RATES!D15+THALL!D15+FIN!D15+SOCIAL!D15+CEMETERY!D15+LIBRARIES!D15+HOUSING!D15+TRAFFIC!D15+PARKS!D15+REFUSE!D15+SEWAGE!D15+PWORKS!D15+WATER!D15+ELECTRIC!D15</f>
        <v>0</v>
      </c>
      <c r="E15" s="428">
        <f>+COUNCIL!E15+MAYOR!E15+SPEAKER!E15+MM!E15+CORP!E15+PROP!E15+RATES!E15+THALL!E15+FIN!E15+SOCIAL!E15+CEMETERY!E15+LIBRARIES!E15+HOUSING!E15+TRAFFIC!E15+PARKS!E15+REFUSE!E15+SEWAGE!E15+PWORKS!E15+WATER!E15+ELECTRIC!E15</f>
        <v>0</v>
      </c>
      <c r="F15" s="428">
        <f>+COUNCIL!F15+MAYOR!F15+SPEAKER!F15+MM!F15+CORP!F15+PROP!F15+RATES!F15+THALL!F15+FIN!F15+SOCIAL!F15+CEMETERY!F15+LIBRARIES!F15+HOUSING!F15+TRAFFIC!F15+PARKS!F15+REFUSE!F15+SEWAGE!F15+PWORKS!F15+WATER!F15+ELECTRIC!F15</f>
        <v>0</v>
      </c>
      <c r="G15" s="428">
        <f>+COUNCIL!G15+MAYOR!G15+SPEAKER!G15+MM!G15+CORP!G15+PROP!G15+RATES!G15+THALL!G15+FIN!G15+SOCIAL!G15+CEMETERY!G15+LIBRARIES!G15+HOUSING!G15+TRAFFIC!G15+PARKS!G15+REFUSE!G15+SEWAGE!G15+PWORKS!G15+WATER!G15+ELECTRIC!G15</f>
        <v>0</v>
      </c>
      <c r="H15" s="428">
        <f>+COUNCIL!H15+MAYOR!H15+SPEAKER!H15+MM!H15+CORP!H15+PROP!H15+RATES!H15+THALL!H15+FIN!H15+SOCIAL!H15+CEMETERY!H15+LIBRARIES!H16+HOUSING!I15+TRAFFIC!H15+PARKS!H15+REFUSE!H15+SEWAGE!H15+PWORKS!H15+WATER!H15+ELECTRIC!H15</f>
        <v>0</v>
      </c>
      <c r="I15" s="428">
        <f>+COUNCIL!I15+MAYOR!I15+SPEAKER!I15+MM!I15+CORP!I15+PROP!I15+RATES!I15+THALL!I15+FIN!I15+SOCIAL!I15+CEMETERY!I15+LIBRARIES!I16+HOUSING!J15+TRAFFIC!I15+PARKS!I15+REFUSE!I15+SEWAGE!I15+PWORKS!I15+WATER!I15+ELECTRIC!I15+PLANNING!I15</f>
        <v>0</v>
      </c>
      <c r="J15" s="428">
        <f>+COUNCIL!J15+MAYOR!J15+SPEAKER!J15+MM!J15+CORP!J15+PROP!J15+RATES!J15+THALL!J15+FIN!J15+SOCIAL!J15+CEMETERY!J15+LIBRARIES!J16+HOUSING!K15+TRAFFIC!J15+PARKS!J15+REFUSE!J15+SEWAGE!J15+PWORKS!J15+WATER!J15+ELECTRIC!J15+PLANNING!J15</f>
        <v>0</v>
      </c>
      <c r="K15" s="428">
        <f>+COUNCIL!K15+MAYOR!K15+SPEAKER!K15+MM!K15+CORP!K15+PROP!K15+RATES!K15+THALL!K15+FIN!K15+SOCIAL!K15+CEMETERY!K15+LIBRARIES!K16+HOUSING!L15+TRAFFIC!K15+PARKS!K15+REFUSE!K15+SEWAGE!K15+PWORKS!K15+WATER!K15+ELECTRIC!K15+PLANNING!K15</f>
        <v>0</v>
      </c>
    </row>
    <row r="16" spans="1:11" s="285" customFormat="1" x14ac:dyDescent="0.25">
      <c r="A16" s="468"/>
      <c r="B16" s="468"/>
      <c r="C16" s="94" t="s">
        <v>83</v>
      </c>
      <c r="D16" s="428">
        <f>+COUNCIL!D16+MAYOR!D16+SPEAKER!D16+MM!D16+CORP!D16+PROP!D16+RATES!D16+THALL!D16+FIN!D16+SOCIAL!D16+CEMETERY!D16+LIBRARIES!D16+HOUSING!D16+TRAFFIC!D16+PARKS!D16+REFUSE!D16+SEWAGE!D16+PWORKS!D16+WATER!D16+ELECTRIC!D16</f>
        <v>2272230</v>
      </c>
      <c r="E16" s="428">
        <f>+COUNCIL!E16+MAYOR!E16+SPEAKER!E16+MM!E16+CORP!E16+PROP!E16+RATES!E16+THALL!E16+FIN!E16+SOCIAL!E16+CEMETERY!E16+LIBRARIES!E16+HOUSING!E16+TRAFFIC!E16+PARKS!E16+REFUSE!E16+SEWAGE!E16+PWORKS!E16+WATER!E16+ELECTRIC!E16</f>
        <v>1050000</v>
      </c>
      <c r="F16" s="428">
        <f>+COUNCIL!F16+MAYOR!F16+SPEAKER!F16+MM!F16+CORP!F16+PROP!F16+RATES!F16+THALL!F16+FIN!F16+SOCIAL!F16+CEMETERY!F16+LIBRARIES!F16+HOUSING!F16+TRAFFIC!F16+PARKS!F16+REFUSE!F16+SEWAGE!F16+PWORKS!F16+WATER!F16+ELECTRIC!F16</f>
        <v>1050000</v>
      </c>
      <c r="G16" s="428">
        <f>+COUNCIL!G16+MAYOR!G16+SPEAKER!G16+MM!G16+CORP!G16+PROP!G16+RATES!G16+THALL!G16+FIN!G16+SOCIAL!G16+CEMETERY!G16+LIBRARIES!G16+HOUSING!G16+TRAFFIC!G16+PARKS!G16+REFUSE!G16+SEWAGE!G16+PWORKS!G16+WATER!G16+ELECTRIC!G16</f>
        <v>1050000</v>
      </c>
      <c r="H16" s="428">
        <f>+COUNCIL!H16+MAYOR!H16+SPEAKER!H16+MM!H16+CORP!H16+PROP!H16+RATES!H16+THALL!H16+FIN!H16+SOCIAL!H16+CEMETERY!H16+LIBRARIES!H17+HOUSING!I16+TRAFFIC!H16+PARKS!H16+REFUSE!H16+SEWAGE!H16+PWORKS!H16+WATER!H16+ELECTRIC!H16</f>
        <v>971760</v>
      </c>
      <c r="I16" s="428">
        <f>+COUNCIL!I16+MAYOR!I16+SPEAKER!I16+MM!I16+CORP!I16+PROP!I16+RATES!I16+THALL!I16+FIN!I16+SOCIAL!I16+CEMETERY!I16+LIBRARIES!I17+HOUSING!J16+TRAFFIC!I16+PARKS!I16+REFUSE!I16+SEWAGE!I16+PWORKS!I16+WATER!I16+ELECTRIC!I16+PLANNING!I16</f>
        <v>1897649.3322786908</v>
      </c>
      <c r="J16" s="428">
        <f>+COUNCIL!J16+MAYOR!J16+SPEAKER!J16+MM!J16+CORP!J16+PROP!J16+RATES!J16+THALL!J16+FIN!J16+SOCIAL!J16+CEMETERY!J16+LIBRARIES!J17+HOUSING!K16+TRAFFIC!J16+PARKS!J16+REFUSE!J16+SEWAGE!J16+PWORKS!J16+WATER!J16+ELECTRIC!J16+PLANNING!J16</f>
        <v>2001993.2569940188</v>
      </c>
      <c r="K16" s="428">
        <f>+COUNCIL!K16+MAYOR!K16+SPEAKER!K16+MM!K16+CORP!K16+PROP!K16+RATES!K16+THALL!K16+FIN!K16+SOCIAL!K16+CEMETERY!K16+LIBRARIES!K17+HOUSING!L16+TRAFFIC!K16+PARKS!K16+REFUSE!K16+SEWAGE!K16+PWORKS!K16+WATER!K16+ELECTRIC!K16+PLANNING!K16</f>
        <v>2093631.0967747301</v>
      </c>
    </row>
    <row r="17" spans="1:11" s="285" customFormat="1" x14ac:dyDescent="0.25">
      <c r="A17" s="468"/>
      <c r="B17" s="468"/>
      <c r="C17" s="94" t="s">
        <v>39</v>
      </c>
      <c r="D17" s="428">
        <f>+COUNCIL!D17+MAYOR!D17+SPEAKER!D17+MM!D17+CORP!D17+PROP!D17+RATES!D17+THALL!D17+FIN!D17+SOCIAL!D17+CEMETERY!D17+LIBRARIES!D17+HOUSING!D17+TRAFFIC!D17+PARKS!D17+REFUSE!D17+SEWAGE!D17+PWORKS!D17+WATER!D17+ELECTRIC!D17</f>
        <v>35764625</v>
      </c>
      <c r="E17" s="428">
        <f>+COUNCIL!E17+MAYOR!E17+SPEAKER!E17+MM!E17+CORP!E17+PROP!E17+RATES!E17+THALL!E17+FIN!E17+SOCIAL!E17+CEMETERY!E17+LIBRARIES!E17+HOUSING!E17+TRAFFIC!E17+PARKS!E17+REFUSE!E17+SEWAGE!E17+PWORKS!E17+WATER!E17+ELECTRIC!E17</f>
        <v>50356000</v>
      </c>
      <c r="F17" s="428">
        <f>+COUNCIL!F17+MAYOR!F17+SPEAKER!F17+MM!F17+CORP!F17+PROP!F17+RATES!F17+THALL!F17+FIN!F17+SOCIAL!F17+CEMETERY!F17+LIBRARIES!F17+HOUSING!F17+TRAFFIC!F17+PARKS!F17+REFUSE!F17+SEWAGE!F17+PWORKS!F17+WATER!F17+ELECTRIC!F17</f>
        <v>44787070</v>
      </c>
      <c r="G17" s="428">
        <f>+COUNCIL!G17+MAYOR!G17+SPEAKER!G17+MM!G17+CORP!G17+PROP!G17+RATES!G17+THALL!G17+FIN!G17+SOCIAL!G17+CEMETERY!G17+LIBRARIES!G17+HOUSING!G17+TRAFFIC!G17+PARKS!G17+REFUSE!G17+SEWAGE!G17+PWORKS!G17+WATER!G17+ELECTRIC!G17</f>
        <v>45667070</v>
      </c>
      <c r="H17" s="428">
        <f>+COUNCIL!H17+MAYOR!H17+SPEAKER!H17+MM!H17+CORP!H17+PROP!H17+RATES!H17+THALL!H17+FIN!H17+SOCIAL!H17+CEMETERY!H17+LIBRARIES!H18+HOUSING!I17+TRAFFIC!H17+PARKS!H17+REFUSE!H17+SEWAGE!H17+PWORKS!H17+WATER!H17+ELECTRIC!H17</f>
        <v>45744908.395999998</v>
      </c>
      <c r="I17" s="428">
        <f>+COUNCIL!I17+MAYOR!I17+SPEAKER!I17+MM!I17+CORP!I17+PROP!I17+RATES!I17+THALL!I17+FIN!I17+SOCIAL!I17+CEMETERY!I17+LIBRARIES!I18+HOUSING!J17+TRAFFIC!I17+PARKS!I17+REFUSE!I17+SEWAGE!I17+PWORKS!I17+WATER!I17+ELECTRIC!I17+PLANNING!I17</f>
        <v>47953003.466571406</v>
      </c>
      <c r="J17" s="428">
        <f>+COUNCIL!J17+MAYOR!J17+SPEAKER!J17+MM!J17+CORP!J17+PROP!J17+RATES!J17+THALL!J17+FIN!J17+SOCIAL!J17+CEMETERY!J17+LIBRARIES!J18+HOUSING!K17+TRAFFIC!J17+PARKS!J17+REFUSE!J17+SEWAGE!J17+PWORKS!J17+WATER!J17+ELECTRIC!J17+PLANNING!J17</f>
        <v>50588710.886532828</v>
      </c>
      <c r="K17" s="428">
        <f>+COUNCIL!K17+MAYOR!K17+SPEAKER!K17+MM!K17+CORP!K17+PROP!K17+RATES!K17+THALL!K17+FIN!K17+SOCIAL!K17+CEMETERY!K17+LIBRARIES!K18+HOUSING!L17+TRAFFIC!K17+PARKS!K17+REFUSE!K17+SEWAGE!K17+PWORKS!K17+WATER!K17+ELECTRIC!K17+PLANNING!K17</f>
        <v>52336603.09734758</v>
      </c>
    </row>
    <row r="18" spans="1:11" s="285" customFormat="1" x14ac:dyDescent="0.25">
      <c r="A18" s="468"/>
      <c r="B18" s="468"/>
      <c r="C18" s="94"/>
      <c r="D18" s="429">
        <f t="shared" ref="D18:K18" si="0">SUM(D7:D17)</f>
        <v>43110721.223999999</v>
      </c>
      <c r="E18" s="429">
        <f t="shared" si="0"/>
        <v>57952010</v>
      </c>
      <c r="F18" s="429">
        <f t="shared" si="0"/>
        <v>52388480</v>
      </c>
      <c r="G18" s="429">
        <f t="shared" si="0"/>
        <v>53268480</v>
      </c>
      <c r="H18" s="429">
        <f t="shared" si="0"/>
        <v>53633310.075999998</v>
      </c>
      <c r="I18" s="429">
        <f t="shared" si="0"/>
        <v>56352882.550318666</v>
      </c>
      <c r="J18" s="429">
        <f t="shared" si="0"/>
        <v>59450376.824736185</v>
      </c>
      <c r="K18" s="429">
        <f t="shared" si="0"/>
        <v>61556164.281615026</v>
      </c>
    </row>
    <row r="19" spans="1:11" s="285" customFormat="1" x14ac:dyDescent="0.25">
      <c r="A19" s="468"/>
      <c r="B19" s="468"/>
      <c r="C19" s="93" t="s">
        <v>40</v>
      </c>
      <c r="D19" s="428">
        <v>0</v>
      </c>
      <c r="E19" s="86"/>
      <c r="F19" s="86"/>
      <c r="G19" s="444">
        <v>0</v>
      </c>
      <c r="H19" s="86"/>
      <c r="I19" s="86"/>
      <c r="J19" s="86"/>
      <c r="K19" s="88"/>
    </row>
    <row r="20" spans="1:11" s="285" customFormat="1" x14ac:dyDescent="0.25">
      <c r="A20" s="468"/>
      <c r="B20" s="468"/>
      <c r="C20" s="94" t="s">
        <v>41</v>
      </c>
      <c r="D20" s="428">
        <f>+COUNCIL!D20+MAYOR!D20+SPEAKER!D20+MM!D20+CORP!D20+PROP!D20+RATES!D20+THALL!D20+FIN!D20+SOCIAL!D20+CEMETERY!D20+LIBRARIES!D20+HOUSING!D20+TRAFFIC!D20+PARKS!D20+REFUSE!D20+SEWAGE!D20+PWORKS!D20+WATER!D20+ELECTRIC!D20</f>
        <v>2263900</v>
      </c>
      <c r="E20" s="428">
        <f>+COUNCIL!E20+MAYOR!E20+SPEAKER!E20+MM!E20+CORP!E20+PROP!E20+RATES!E20+THALL!E20+FIN!E20+SOCIAL!E20+CEMETERY!E20+LIBRARIES!E20+HOUSING!E20+TRAFFIC!E20+PARKS!E20+REFUSE!E20+SEWAGE!E20+PWORKS!E20+WATER!E20+ELECTRIC!E20</f>
        <v>3157200</v>
      </c>
      <c r="F20" s="428">
        <f>+COUNCIL!F20+MAYOR!F20+SPEAKER!F20+MM!F20+CORP!F20+PROP!F20+RATES!F20+THALL!F20+FIN!F20+SOCIAL!F20+CEMETERY!F20+LIBRARIES!F20+HOUSING!F20+TRAFFIC!F20+PARKS!F20+REFUSE!F20+SEWAGE!F20+PWORKS!F20+WATER!F20+ELECTRIC!F20</f>
        <v>3157200</v>
      </c>
      <c r="G20" s="428">
        <f>+COUNCIL!G20+MAYOR!G20+SPEAKER!G20+MM!G20+CORP!G20+PROP!G20+RATES!G20+THALL!G20+FIN!G20+SOCIAL!G20+CEMETERY!G20+LIBRARIES!G20+HOUSING!G20+TRAFFIC!G20+PARKS!G20+REFUSE!G20+SEWAGE!G20+PWORKS!G20+WATER!G20+ELECTRIC!G20</f>
        <v>3157200</v>
      </c>
      <c r="H20" s="428">
        <f>+COUNCIL!H20+MAYOR!H20+SPEAKER!H20+MM!H20+CORP!H20+PROP!H20+RATES!H20+THALL!H20+FIN!H20+SOCIAL!H20+CEMETERY!H20+LIBRARIES!H20+HOUSING!I20+TRAFFIC!H20+PARKS!H20+REFUSE!H20+SEWAGE!H20+PWORKS!H20+WATER!H20+ELECTRIC!H20</f>
        <v>3223441.6</v>
      </c>
      <c r="I20" s="428">
        <f>+COUNCIL!I20+MAYOR!I20+SPEAKER!I20+MM!I20+CORP!I20+PROP!I20+RATES!I20+THALL!I20+FIN!I20+SOCIAL!I20+CEMETERY!I20+LIBRARIES!I21+HOUSING!J20+TRAFFIC!I20+PARKS!I20+REFUSE!I20+SEWAGE!I20+PWORKS!I20+WATER!I20+ELECTRIC!I20+PLANNING!I20</f>
        <v>4064877.6894857106</v>
      </c>
      <c r="J20" s="428">
        <f>+COUNCIL!J20+MAYOR!J20+SPEAKER!J20+MM!J20+CORP!J20+PROP!J20+RATES!J20+THALL!J20+FIN!J20+SOCIAL!J20+CEMETERY!J20+LIBRARIES!J21+HOUSING!K20+TRAFFIC!J20+PARKS!J20+REFUSE!J20+SEWAGE!J20+PWORKS!J20+WATER!J20+ELECTRIC!J20+PLANNING!J20</f>
        <v>4276684.960447425</v>
      </c>
      <c r="K20" s="428">
        <f>+COUNCIL!K20+MAYOR!K20+SPEAKER!K20+MM!K20+CORP!K20+PROP!K20+RATES!K20+THALL!K20+FIN!K20+SOCIAL!K20+CEMETERY!K20+LIBRARIES!K21+HOUSING!L20+TRAFFIC!K20+PARKS!K20+REFUSE!K20+SEWAGE!K20+PWORKS!K20+WATER!K20+ELECTRIC!K20+PLANNING!K20</f>
        <v>4435432.7706839573</v>
      </c>
    </row>
    <row r="21" spans="1:11" s="285" customFormat="1" x14ac:dyDescent="0.25">
      <c r="A21" s="468"/>
      <c r="B21" s="468"/>
      <c r="C21" s="94" t="s">
        <v>42</v>
      </c>
      <c r="D21" s="428">
        <f>+COUNCIL!D21+MAYOR!D21+SPEAKER!D21+MM!D21+CORP!D21+PROP!D21+RATES!D21+THALL!D21+FIN!D21+SOCIAL!D21+CEMETERY!D21+LIBRARIES!D21+HOUSING!D21+TRAFFIC!D21+PARKS!D21+REFUSE!D21+SEWAGE!D21+PWORKS!D21+WATER!D21+ELECTRIC!D21</f>
        <v>2961526.8480000002</v>
      </c>
      <c r="E21" s="428">
        <f>+COUNCIL!E21+MAYOR!E21+SPEAKER!E21+MM!E21+CORP!E21+PROP!E21+RATES!E21+THALL!E21+FIN!E21+SOCIAL!E21+CEMETERY!E21+LIBRARIES!E21+HOUSING!E21+TRAFFIC!E21+PARKS!E21+REFUSE!E21+SEWAGE!E21+PWORKS!E21+WATER!E21+ELECTRIC!E21</f>
        <v>5398000</v>
      </c>
      <c r="F21" s="428">
        <f>+COUNCIL!F21+MAYOR!F21+SPEAKER!F21+MM!F21+CORP!F21+PROP!F21+RATES!F21+THALL!F21+FIN!F21+SOCIAL!F21+CEMETERY!F21+LIBRARIES!F21+HOUSING!F21+TRAFFIC!F21+PARKS!F21+REFUSE!F21+SEWAGE!F21+PWORKS!F21+WATER!F21+ELECTRIC!F21</f>
        <v>5398000</v>
      </c>
      <c r="G21" s="428">
        <f>+COUNCIL!G21+MAYOR!G21+SPEAKER!G21+MM!G21+CORP!G21+PROP!G21+RATES!G21+THALL!G21+FIN!G21+SOCIAL!G21+CEMETERY!G21+LIBRARIES!G21+HOUSING!G21+TRAFFIC!G21+PARKS!G21+REFUSE!G21+SEWAGE!G21+PWORKS!G21+WATER!G21+ELECTRIC!G21</f>
        <v>5398000</v>
      </c>
      <c r="H21" s="428">
        <f>+COUNCIL!H21+MAYOR!H21+SPEAKER!H21+MM!H21+CORP!H21+PROP!H21+RATES!H21+THALL!H21+FIN!H21+SOCIAL!H21+CEMETERY!H21+LIBRARIES!H21+HOUSING!I21+TRAFFIC!H21+PARKS!H21+REFUSE!H21+SEWAGE!H21+PWORKS!H21+WATER!H21+ELECTRIC!H21</f>
        <v>5633688</v>
      </c>
      <c r="I21" s="428">
        <f>+COUNCIL!I21+MAYOR!I21+SPEAKER!I21+MM!I21+CORP!I21+PROP!I21+RATES!I21+THALL!I21+FIN!I21+SOCIAL!I21+CEMETERY!I21+LIBRARIES!I22+HOUSING!J21+TRAFFIC!I21+PARKS!I21+REFUSE!I21+SEWAGE!I21+PWORKS!I21+WATER!I21+ELECTRIC!I21+PLANNING!I21</f>
        <v>6144945.172478525</v>
      </c>
      <c r="J21" s="428">
        <f>+COUNCIL!J21+MAYOR!J21+SPEAKER!J21+MM!J21+CORP!J21+PROP!J21+RATES!J21+THALL!J21+FIN!J21+SOCIAL!J21+CEMETERY!J21+LIBRARIES!J22+HOUSING!K21+TRAFFIC!J21+PARKS!J21+REFUSE!J21+SEWAGE!J21+PWORKS!J21+WATER!J21+ELECTRIC!J21+PLANNING!J21</f>
        <v>6472794.4112848425</v>
      </c>
      <c r="K21" s="428">
        <f>+COUNCIL!K21+MAYOR!K21+SPEAKER!K21+MM!K21+CORP!K21+PROP!K21+RATES!K21+THALL!K21+FIN!K21+SOCIAL!K21+CEMETERY!K21+LIBRARIES!K22+HOUSING!L21+TRAFFIC!K21+PARKS!K21+REFUSE!K21+SEWAGE!K21+PWORKS!K21+WATER!K21+ELECTRIC!K21+PLANNING!K21</f>
        <v>6685472.2282902589</v>
      </c>
    </row>
    <row r="22" spans="1:11" s="285" customFormat="1" x14ac:dyDescent="0.25">
      <c r="A22" s="468"/>
      <c r="B22" s="468"/>
      <c r="C22" s="94" t="s">
        <v>43</v>
      </c>
      <c r="D22" s="428">
        <f>+COUNCIL!D22+MAYOR!D22+SPEAKER!D22+MM!D22+CORP!D22+PROP!D22+RATES!D22+THALL!D22+FIN!D22+SOCIAL!D22+CEMETERY!D22+LIBRARIES!D22+HOUSING!D22+TRAFFIC!D22+PARKS!D22+REFUSE!D22+SEWAGE!D22+PWORKS!D22+WATER!D22+ELECTRIC!D22</f>
        <v>1670823.6640000001</v>
      </c>
      <c r="E22" s="428">
        <f>+COUNCIL!E22+MAYOR!E22+SPEAKER!E22+MM!E22+CORP!E22+PROP!E22+RATES!E22+THALL!E22+FIN!E22+SOCIAL!E22+CEMETERY!E22+LIBRARIES!E22+HOUSING!E22+TRAFFIC!E22+PARKS!E22+REFUSE!E22+SEWAGE!E22+PWORKS!E22+WATER!E22+ELECTRIC!E22</f>
        <v>1480500</v>
      </c>
      <c r="F22" s="428">
        <f>+COUNCIL!F22+MAYOR!F22+SPEAKER!F22+MM!F22+CORP!F22+PROP!F22+RATES!F22+THALL!F22+FIN!F22+SOCIAL!F22+CEMETERY!F22+LIBRARIES!F22+HOUSING!F22+TRAFFIC!F22+PARKS!F22+REFUSE!F22+SEWAGE!F22+PWORKS!F22+WATER!F22+ELECTRIC!F22</f>
        <v>1480500</v>
      </c>
      <c r="G22" s="428">
        <f>+COUNCIL!G22+MAYOR!G22+SPEAKER!G22+MM!G22+CORP!G22+PROP!G22+RATES!G22+THALL!G22+FIN!G22+SOCIAL!G22+CEMETERY!G22+LIBRARIES!G22+HOUSING!G22+TRAFFIC!G22+PARKS!G22+REFUSE!G22+SEWAGE!G22+PWORKS!G22+WATER!G22+ELECTRIC!G22</f>
        <v>1480500</v>
      </c>
      <c r="H22" s="428">
        <f>+COUNCIL!H22+MAYOR!H22+SPEAKER!H22+MM!H22+CORP!H22+PROP!H22+RATES!H22+THALL!H22+FIN!H22+SOCIAL!H22+CEMETERY!H22+LIBRARIES!H22+HOUSING!I22+TRAFFIC!H22+PARKS!H22+REFUSE!H22+SEWAGE!H22+PWORKS!H22+WATER!H22+ELECTRIC!H22</f>
        <v>1534980</v>
      </c>
      <c r="I22" s="428">
        <f>+COUNCIL!I22+MAYOR!I22+SPEAKER!I22+MM!I22+CORP!I22+PROP!I22+RATES!I22+THALL!I22+FIN!I22+SOCIAL!I22+CEMETERY!I22+LIBRARIES!I23+HOUSING!J22+TRAFFIC!I22+PARKS!I22+REFUSE!I22+SEWAGE!I22+PWORKS!I22+WATER!I22+ELECTRIC!I22+PLANNING!I22</f>
        <v>1339625.6940000001</v>
      </c>
      <c r="J22" s="428">
        <f>+COUNCIL!J22+MAYOR!J22+SPEAKER!J22+MM!J22+CORP!J22+PROP!J22+RATES!J22+THALL!J22+FIN!J22+SOCIAL!J22+CEMETERY!J22+LIBRARIES!J23+HOUSING!K22+TRAFFIC!J22+PARKS!J22+REFUSE!J22+SEWAGE!J22+PWORKS!J22+WATER!J22+ELECTRIC!J22+PLANNING!J22</f>
        <v>1413244.8329099999</v>
      </c>
      <c r="K22" s="428">
        <f>+COUNCIL!K22+MAYOR!K22+SPEAKER!K22+MM!K22+CORP!K22+PROP!K22+RATES!K22+THALL!K22+FIN!K22+SOCIAL!K22+CEMETERY!K22+LIBRARIES!K23+HOUSING!L22+TRAFFIC!K22+PARKS!K22+REFUSE!K22+SEWAGE!K22+PWORKS!K22+WATER!K22+ELECTRIC!K22+PLANNING!K22</f>
        <v>1454730.4880760598</v>
      </c>
    </row>
    <row r="23" spans="1:11" s="285" customFormat="1" x14ac:dyDescent="0.25">
      <c r="A23" s="468"/>
      <c r="B23" s="468"/>
      <c r="C23" s="94" t="s">
        <v>44</v>
      </c>
      <c r="D23" s="428">
        <f>+COUNCIL!D23+MAYOR!D23+SPEAKER!D23+MM!D23+CORP!D23+PROP!D23+RATES!D23+THALL!D23+FIN!D23+SOCIAL!D23+CEMETERY!D23+LIBRARIES!D23+HOUSING!D23+TRAFFIC!D23+PARKS!D23+REFUSE!D23+SEWAGE!D23+PWORKS!D23+WATER!D23+ELECTRIC!D23</f>
        <v>0</v>
      </c>
      <c r="E23" s="428">
        <f>+COUNCIL!E23+MAYOR!E23+SPEAKER!E23+MM!E23+CORP!E23+PROP!E23+RATES!E23+THALL!E23+FIN!E23+SOCIAL!E23+CEMETERY!E23+LIBRARIES!E23+HOUSING!E23+TRAFFIC!E23+PARKS!E23+REFUSE!E23+SEWAGE!E23+PWORKS!E23+WATER!E23+ELECTRIC!E23</f>
        <v>0</v>
      </c>
      <c r="F23" s="428">
        <f>+COUNCIL!F23+MAYOR!F23+SPEAKER!F23+MM!F23+CORP!F23+PROP!F23+RATES!F23+THALL!F23+FIN!F23+SOCIAL!F23+CEMETERY!F23+LIBRARIES!F23+HOUSING!F23+TRAFFIC!F23+PARKS!F23+REFUSE!F23+SEWAGE!F23+PWORKS!F23+WATER!F23+ELECTRIC!F23</f>
        <v>0</v>
      </c>
      <c r="G23" s="428">
        <f>+COUNCIL!G23+MAYOR!G23+SPEAKER!G23+MM!G23+CORP!G23+PROP!G23+RATES!G23+THALL!G23+FIN!G23+SOCIAL!G23+CEMETERY!G23+LIBRARIES!G23+HOUSING!G23+TRAFFIC!G23+PARKS!G23+REFUSE!G23+SEWAGE!G23+PWORKS!G23+WATER!G23+ELECTRIC!G23</f>
        <v>0</v>
      </c>
      <c r="H23" s="428">
        <f>+COUNCIL!H23+MAYOR!H23+SPEAKER!H23+MM!H23+CORP!H23+PROP!H23+RATES!H23+THALL!H23+FIN!H23+SOCIAL!H23+CEMETERY!H23+LIBRARIES!H23+HOUSING!I23+TRAFFIC!H23+PARKS!H23+REFUSE!H23+SEWAGE!H23+PWORKS!H23+WATER!H23+ELECTRIC!H23</f>
        <v>0</v>
      </c>
      <c r="I23" s="428">
        <f>+COUNCIL!I23+MAYOR!I23+SPEAKER!I23+MM!I23+CORP!I23+PROP!I23+RATES!I23+THALL!I23+FIN!I23+SOCIAL!I23+CEMETERY!I23+LIBRARIES!I24+HOUSING!J23+TRAFFIC!I23+PARKS!I23+REFUSE!I23+SEWAGE!I23+PWORKS!I23+WATER!I23+ELECTRIC!I23+PLANNING!I23</f>
        <v>0</v>
      </c>
      <c r="J23" s="428">
        <f>+COUNCIL!J23+MAYOR!J23+SPEAKER!J23+MM!J23+CORP!J23+PROP!J23+RATES!J23+THALL!J23+FIN!J23+SOCIAL!J23+CEMETERY!J23+LIBRARIES!J24+HOUSING!K23+TRAFFIC!J23+PARKS!J23+REFUSE!J23+SEWAGE!J23+PWORKS!J23+WATER!J23+ELECTRIC!J23+PLANNING!J23</f>
        <v>0</v>
      </c>
      <c r="K23" s="428">
        <f>+COUNCIL!K23+MAYOR!K23+SPEAKER!K23+MM!K23+CORP!K23+PROP!K23+RATES!K23+THALL!K23+FIN!K23+SOCIAL!K23+CEMETERY!K23+LIBRARIES!K24+HOUSING!L23+TRAFFIC!K23+PARKS!K23+REFUSE!K23+SEWAGE!K23+PWORKS!K23+WATER!K23+ELECTRIC!K23+PLANNING!K23</f>
        <v>0</v>
      </c>
    </row>
    <row r="24" spans="1:11" s="285" customFormat="1" x14ac:dyDescent="0.25">
      <c r="A24" s="468"/>
      <c r="B24" s="468"/>
      <c r="C24" s="94" t="s">
        <v>45</v>
      </c>
      <c r="D24" s="428">
        <f>+COUNCIL!D24+MAYOR!D24+SPEAKER!D24+MM!D24+CORP!D24+PROP!D24+RATES!D24+THALL!D24+FIN!D24+SOCIAL!D24+CEMETERY!D24+LIBRARIES!D24+HOUSING!D24+TRAFFIC!D24+PARKS!D24+REFUSE!D24+SEWAGE!D24+PWORKS!D24+WATER!D24+ELECTRIC!D24</f>
        <v>343514</v>
      </c>
      <c r="E24" s="428">
        <f>+COUNCIL!E24+MAYOR!E24+SPEAKER!E24+MM!E24+CORP!E24+PROP!E24+RATES!E24+THALL!E24+FIN!E24+SOCIAL!E24+CEMETERY!E24+LIBRARIES!E24+HOUSING!E24+TRAFFIC!E24+PARKS!E24+REFUSE!E24+SEWAGE!E24+PWORKS!E24+WATER!E24+ELECTRIC!E24</f>
        <v>496300</v>
      </c>
      <c r="F24" s="428">
        <f>+COUNCIL!F24+MAYOR!F24+SPEAKER!F24+MM!F24+CORP!F24+PROP!F24+RATES!F24+THALL!F24+FIN!F24+SOCIAL!F24+CEMETERY!F24+LIBRARIES!F24+HOUSING!F24+TRAFFIC!F24+PARKS!F24+REFUSE!F24+SEWAGE!F24+PWORKS!F24+WATER!F24+ELECTRIC!F24</f>
        <v>496300</v>
      </c>
      <c r="G24" s="428">
        <f>+COUNCIL!G24+MAYOR!G24+SPEAKER!G24+MM!G24+CORP!G24+PROP!G24+RATES!G24+THALL!G24+FIN!G24+SOCIAL!G24+CEMETERY!G24+LIBRARIES!G24+HOUSING!G24+TRAFFIC!G24+PARKS!G24+REFUSE!G24+SEWAGE!G24+PWORKS!G24+WATER!G24+ELECTRIC!G24</f>
        <v>496300</v>
      </c>
      <c r="H24" s="428">
        <f>+COUNCIL!H24+MAYOR!H24+SPEAKER!H24+MM!H24+CORP!H24+PROP!H24+RATES!H24+THALL!H24+FIN!H24+SOCIAL!H24+CEMETERY!H24+LIBRARIES!H24+HOUSING!I24+TRAFFIC!H24+PARKS!H24+REFUSE!H24+SEWAGE!H24+PWORKS!H24+WATER!H24+ELECTRIC!H24</f>
        <v>518093.60000000003</v>
      </c>
      <c r="I24" s="428">
        <f>+COUNCIL!I24+MAYOR!I24+SPEAKER!I24+MM!I24+CORP!I24+PROP!I24+RATES!I24+THALL!I24+FIN!I24+SOCIAL!I24+CEMETERY!I24+LIBRARIES!I25+HOUSING!J24+TRAFFIC!I24+PARKS!I24+REFUSE!I24+SEWAGE!I24+PWORKS!I24+WATER!I24+ELECTRIC!I24+PLANNING!I24</f>
        <v>471643.30926103116</v>
      </c>
      <c r="J24" s="428">
        <f>+COUNCIL!J24+MAYOR!J24+SPEAKER!J24+MM!J24+CORP!J24+PROP!J24+RATES!J24+THALL!J24+FIN!J24+SOCIAL!J24+CEMETERY!J24+LIBRARIES!J25+HOUSING!K24+TRAFFIC!J24+PARKS!J24+REFUSE!J24+SEWAGE!J24+PWORKS!J24+WATER!J24+ELECTRIC!J24+PLANNING!J24</f>
        <v>496789.36367038789</v>
      </c>
      <c r="K24" s="428">
        <f>+COUNCIL!K24+MAYOR!K24+SPEAKER!K24+MM!K24+CORP!K24+PROP!K24+RATES!K24+THALL!K24+FIN!K24+SOCIAL!K24+CEMETERY!K24+LIBRARIES!K25+HOUSING!L24+TRAFFIC!K24+PARKS!K24+REFUSE!K24+SEWAGE!K24+PWORKS!K24+WATER!K24+ELECTRIC!K24+PLANNING!K24</f>
        <v>510999.42516781844</v>
      </c>
    </row>
    <row r="25" spans="1:11" s="285" customFormat="1" x14ac:dyDescent="0.25">
      <c r="A25" s="468"/>
      <c r="B25" s="468"/>
      <c r="C25" s="94"/>
      <c r="D25" s="429">
        <f t="shared" ref="D25:K25" si="1">SUM(D20:D24)</f>
        <v>7239764.5120000001</v>
      </c>
      <c r="E25" s="429">
        <f t="shared" si="1"/>
        <v>10532000</v>
      </c>
      <c r="F25" s="429">
        <f t="shared" si="1"/>
        <v>10532000</v>
      </c>
      <c r="G25" s="429">
        <f t="shared" si="1"/>
        <v>10532000</v>
      </c>
      <c r="H25" s="429">
        <f t="shared" si="1"/>
        <v>10910203.199999999</v>
      </c>
      <c r="I25" s="429">
        <f t="shared" si="1"/>
        <v>12021091.865225267</v>
      </c>
      <c r="J25" s="429">
        <f t="shared" si="1"/>
        <v>12659513.568312656</v>
      </c>
      <c r="K25" s="429">
        <f t="shared" si="1"/>
        <v>13086634.912218092</v>
      </c>
    </row>
    <row r="26" spans="1:11" s="285" customFormat="1" x14ac:dyDescent="0.25">
      <c r="A26" s="468"/>
      <c r="B26" s="468"/>
      <c r="C26" s="93" t="s">
        <v>46</v>
      </c>
      <c r="D26" s="225">
        <v>0</v>
      </c>
      <c r="E26" s="86"/>
      <c r="F26" s="86"/>
      <c r="G26" s="444">
        <v>0</v>
      </c>
      <c r="H26" s="86"/>
      <c r="I26" s="86"/>
      <c r="J26" s="86"/>
      <c r="K26" s="88"/>
    </row>
    <row r="27" spans="1:11" s="285" customFormat="1" x14ac:dyDescent="0.25">
      <c r="A27" s="468"/>
      <c r="B27" s="468"/>
      <c r="C27" s="93" t="s">
        <v>47</v>
      </c>
      <c r="D27" s="225">
        <v>0</v>
      </c>
      <c r="E27" s="86"/>
      <c r="F27" s="428"/>
      <c r="G27" s="444">
        <v>0</v>
      </c>
      <c r="H27" s="86"/>
      <c r="I27" s="86"/>
      <c r="J27" s="86"/>
      <c r="K27" s="428"/>
    </row>
    <row r="28" spans="1:11" s="285" customFormat="1" x14ac:dyDescent="0.25">
      <c r="A28" s="468"/>
      <c r="B28" s="468"/>
      <c r="C28" s="94" t="s">
        <v>48</v>
      </c>
      <c r="D28" s="428">
        <f>+COUNCIL!D28+MAYOR!D28+SPEAKER!D28+MM!D28+CORP!D28+PROP!D28+RATES!D28+THALL!D28+FIN!D28+SOCIAL!D28+CEMETERY!D28+LIBRARIES!D28+HOUSING!D28+TRAFFIC!D28+PARKS!D28+REFUSE!D28+SEWAGE!D28+PWORKS!D28+WATER!D28+ELECTRIC!D28</f>
        <v>5702754</v>
      </c>
      <c r="E28" s="428">
        <f>+COUNCIL!E28+MAYOR!E28+SPEAKER!E28+MM!E28+CORP!E28+PROP!E28+RATES!E28+THALL!E28+FIN!E28+SOCIAL!E28+CEMETERY!E28+LIBRARIES!E28+HOUSING!E28+TRAFFIC!E28+PARKS!E28+REFUSE!E28+SEWAGE!E28+PWORKS!E28+WATER!E28+ELECTRIC!E28</f>
        <v>6285000</v>
      </c>
      <c r="F28" s="428">
        <f>+COUNCIL!F28+MAYOR!F28+SPEAKER!F28+MM!F28+CORP!F28+PROP!F28+RATES!F28+THALL!F28+FIN!F28+SOCIAL!F28+CEMETERY!F28+LIBRARIES!F28+HOUSING!F28+TRAFFIC!F28+PARKS!F28+REFUSE!F28+SEWAGE!F28+PWORKS!F28+WATER!F28+ELECTRIC!F28</f>
        <v>6285000</v>
      </c>
      <c r="G28" s="428">
        <f>+COUNCIL!G28+MAYOR!G28+SPEAKER!G28+MM!G28+CORP!G28+PROP!G28+RATES!G28+THALL!G28+FIN!G28+SOCIAL!G28+CEMETERY!G28+LIBRARIES!G28+HOUSING!G28+TRAFFIC!G28+PARKS!G28+REFUSE!G28+SEWAGE!G28+PWORKS!G28+WATER!G28+ELECTRIC!G28</f>
        <v>6285000</v>
      </c>
      <c r="H28" s="428">
        <f>+COUNCIL!H28+MAYOR!H28+SPEAKER!H28+MM!H28+CORP!H28+PROP!H28+RATES!H28+THALL!H28+FIN!H28+SOCIAL!H28+CEMETERY!H28+LIBRARIES!H28+HOUSING!I28+TRAFFIC!H28+PARKS!H28+REFUSE!H28+SEWAGE!H28+PWORKS!H28+WATER!H28+ELECTRIC!H28</f>
        <v>6712380</v>
      </c>
      <c r="I28" s="428">
        <f>+COUNCIL!I28+MAYOR!I28+SPEAKER!I28+MM!I28+CORP!I28+PROP!I28+RATES!I28+THALL!I28+FIN!I28+SOCIAL!I28+CEMETERY!I28+LIBRARIES!I29+HOUSING!J28+TRAFFIC!I28+PARKS!I28+REFUSE!I28+SEWAGE!I28+PWORKS!I28+WATER!I28+ELECTRIC!I28+PLANNING!I28</f>
        <v>7101698.040000001</v>
      </c>
      <c r="J28" s="428">
        <f>+COUNCIL!J28+MAYOR!J28+SPEAKER!J28+MM!J28+CORP!J28+PROP!J28+RATES!J28+THALL!J28+FIN!J28+SOCIAL!J28+CEMETERY!J28+LIBRARIES!J29+HOUSING!K28+TRAFFIC!J28+PARKS!J28+REFUSE!J28+SEWAGE!J28+PWORKS!J28+WATER!J28+ELECTRIC!J28+PLANNING!J28</f>
        <v>7494789.738384001</v>
      </c>
      <c r="K28" s="428">
        <f>+COUNCIL!K28+MAYOR!K28+SPEAKER!K28+MM!K28+CORP!K28+PROP!K28+RATES!K28+THALL!K28+FIN!K28+SOCIAL!K28+CEMETERY!K28+LIBRARIES!K29+HOUSING!L28+TRAFFIC!K28+PARKS!K28+REFUSE!K28+SEWAGE!K28+PWORKS!K28+WATER!K28+ELECTRIC!K28+PLANNING!K28</f>
        <v>7892013.5945183514</v>
      </c>
    </row>
    <row r="29" spans="1:11" s="285" customFormat="1" x14ac:dyDescent="0.25">
      <c r="A29" s="468"/>
      <c r="B29" s="468"/>
      <c r="C29" s="94"/>
      <c r="D29" s="226">
        <f t="shared" ref="D29:K29" si="2">SUM(D28)</f>
        <v>5702754</v>
      </c>
      <c r="E29" s="226">
        <f t="shared" si="2"/>
        <v>6285000</v>
      </c>
      <c r="F29" s="226">
        <f t="shared" si="2"/>
        <v>6285000</v>
      </c>
      <c r="G29" s="226">
        <f t="shared" si="2"/>
        <v>6285000</v>
      </c>
      <c r="H29" s="226">
        <f t="shared" si="2"/>
        <v>6712380</v>
      </c>
      <c r="I29" s="226">
        <f t="shared" si="2"/>
        <v>7101698.040000001</v>
      </c>
      <c r="J29" s="226">
        <f t="shared" si="2"/>
        <v>7494789.738384001</v>
      </c>
      <c r="K29" s="226">
        <f t="shared" si="2"/>
        <v>7892013.5945183514</v>
      </c>
    </row>
    <row r="30" spans="1:11" s="285" customFormat="1" x14ac:dyDescent="0.25">
      <c r="A30" s="468"/>
      <c r="B30" s="468"/>
      <c r="C30" s="93" t="s">
        <v>49</v>
      </c>
      <c r="D30" s="225">
        <v>0</v>
      </c>
      <c r="E30" s="86"/>
      <c r="F30" s="86"/>
      <c r="G30" s="444">
        <v>0</v>
      </c>
      <c r="H30" s="86"/>
      <c r="I30" s="86"/>
      <c r="J30" s="86"/>
      <c r="K30" s="88"/>
    </row>
    <row r="31" spans="1:11" s="285" customFormat="1" x14ac:dyDescent="0.25">
      <c r="A31" s="468"/>
      <c r="B31" s="468"/>
      <c r="C31" s="94" t="s">
        <v>341</v>
      </c>
      <c r="D31" s="428">
        <v>33148250</v>
      </c>
      <c r="E31" s="428">
        <f>+COUNCIL!E31+MAYOR!E32+SPEAKER!E31+MM!E31+CORP!E31+PROP!E31+RATES!E31+THALL!E31+FIN!E31+SOCIAL!E32+CEMETERY!E31+LIBRARIES!E31+HOUSING!E31+TRAFFIC!E31+PARKS!E31+REFUSE!E31+SEWAGE!E31+PWORKS!E31+WATER!E31+ELECTRIC!E31</f>
        <v>29532802.651472002</v>
      </c>
      <c r="F31" s="428">
        <v>6578432.6514720004</v>
      </c>
      <c r="G31" s="444">
        <v>353433.65147200041</v>
      </c>
      <c r="H31" s="428">
        <f>+COUNCIL!H31+MAYOR!H32+SPEAKER!H31+MM!H31+CORP!H31+PROP!H31+RATES!H31+THALL!H31+FIN!H31+SOCIAL!H32+CEMETERY!H31+LIBRARIES!H31+HOUSING!I31+TRAFFIC!H31+PARKS!H31+REFUSE!H31+SEWAGE!H31+PWORKS!H31+WATER!H31+ELECTRIC!H31</f>
        <v>11868848.540524799</v>
      </c>
      <c r="I31" s="428">
        <f>+COUNCIL!I31+MAYOR!I31+SPEAKER!I31+MM!I31+CORP!I31+PROP!I31+RATES!I31+THALL!I31+FIN!I31+SOCIAL!I31+CEMETERY!I31+LIBRARIES!I32+HOUSING!J31+TRAFFIC!I31+PARKS!I31+REFUSE!I31+SEWAGE!I31+PWORKS!I31+WATER!I31+ELECTRIC!I31+PLANNING!I31</f>
        <v>46137985.274000004</v>
      </c>
      <c r="J31" s="428">
        <f>+COUNCIL!J31+MAYOR!J31+SPEAKER!J31+MM!J31+CORP!J31+PROP!J31+RATES!J31+THALL!J31+FIN!J31+SOCIAL!J31+CEMETERY!J31+LIBRARIES!J32+HOUSING!K31+TRAFFIC!J31+PARKS!J31+REFUSE!J31+SEWAGE!J31+PWORKS!J31+WATER!J31+ELECTRIC!J31+PLANNING!J31</f>
        <v>48675574.46407</v>
      </c>
      <c r="K31" s="428">
        <f>+COUNCIL!K31+MAYOR!K31+SPEAKER!K31+MM!K31+CORP!K31+PROP!K31+RATES!K31+THALL!K31+FIN!K31+SOCIAL!K31+CEMETERY!K31+LIBRARIES!K32+HOUSING!L31+TRAFFIC!K31+PARKS!K31+REFUSE!K31+SEWAGE!K31+PWORKS!K31+WATER!K31+ELECTRIC!K31+PLANNING!K31</f>
        <v>51255379.910665713</v>
      </c>
    </row>
    <row r="32" spans="1:11" s="285" customFormat="1" x14ac:dyDescent="0.25">
      <c r="A32" s="468"/>
      <c r="B32" s="468"/>
      <c r="C32" s="94"/>
      <c r="D32" s="226">
        <f t="shared" ref="D32:K32" si="3">SUM(D31)</f>
        <v>33148250</v>
      </c>
      <c r="E32" s="226">
        <f t="shared" si="3"/>
        <v>29532802.651472002</v>
      </c>
      <c r="F32" s="226">
        <f t="shared" si="3"/>
        <v>6578432.6514720004</v>
      </c>
      <c r="G32" s="226">
        <f t="shared" si="3"/>
        <v>353433.65147200041</v>
      </c>
      <c r="H32" s="226">
        <f t="shared" si="3"/>
        <v>11868848.540524799</v>
      </c>
      <c r="I32" s="226">
        <f t="shared" si="3"/>
        <v>46137985.274000004</v>
      </c>
      <c r="J32" s="226">
        <f t="shared" si="3"/>
        <v>48675574.46407</v>
      </c>
      <c r="K32" s="226">
        <f t="shared" si="3"/>
        <v>51255379.910665713</v>
      </c>
    </row>
    <row r="33" spans="1:11" s="285" customFormat="1" x14ac:dyDescent="0.25">
      <c r="A33" s="468"/>
      <c r="B33" s="468"/>
      <c r="C33" s="93" t="s">
        <v>50</v>
      </c>
      <c r="D33" s="225">
        <v>0</v>
      </c>
      <c r="E33" s="86"/>
      <c r="F33" s="86"/>
      <c r="G33" s="444">
        <v>0</v>
      </c>
      <c r="H33" s="86"/>
      <c r="I33" s="86"/>
      <c r="J33" s="86"/>
      <c r="K33" s="88"/>
    </row>
    <row r="34" spans="1:11" s="285" customFormat="1" x14ac:dyDescent="0.25">
      <c r="A34" s="468"/>
      <c r="B34" s="468"/>
      <c r="C34" s="94" t="s">
        <v>51</v>
      </c>
      <c r="D34" s="428">
        <f>+COUNCIL!D34+MAYOR!D34+SPEAKER!D34+MM!D34+CORP!D34+PROP!D34+RATES!D34+THALL!D34+FIN!D34+SOCIAL!D34+CEMETERY!D34+LIBRARIES!D34+HOUSING!D34+TRAFFIC!D34+PARKS!D34+REFUSE!D34+SEWAGE!D34+PWORKS!D34+WATER!D34+ELECTRIC!D34</f>
        <v>0</v>
      </c>
      <c r="E34" s="428">
        <f>+COUNCIL!E34+MAYOR!E34+SPEAKER!E34+MM!E34+CORP!E34+PROP!E34+RATES!E34+THALL!E34+FIN!E34+SOCIAL!E34+CEMETERY!E34+LIBRARIES!E34+HOUSING!E34+TRAFFIC!E34+PARKS!E34+REFUSE!E34+SEWAGE!E34+PWORKS!E34+WATER!E34+ELECTRIC!E34</f>
        <v>0</v>
      </c>
      <c r="F34" s="428">
        <f>+COUNCIL!F34+MAYOR!F34+SPEAKER!F34+MM!F34+CORP!F34+PROP!F34+RATES!F34+THALL!F34+FIN!F34+SOCIAL!F34+CEMETERY!F34+LIBRARIES!F34+HOUSING!F34+TRAFFIC!F34+PARKS!F34+REFUSE!F34+SEWAGE!F34+PWORKS!F34+WATER!F34+ELECTRIC!F34</f>
        <v>0</v>
      </c>
      <c r="G34" s="428">
        <f>+COUNCIL!G34+MAYOR!G34+SPEAKER!G34+MM!G34+CORP!G34+PROP!G34+RATES!G34+THALL!G34+FIN!G34+SOCIAL!G34+CEMETERY!G34+LIBRARIES!G34+HOUSING!G34+TRAFFIC!G34+PARKS!G34+REFUSE!G34+SEWAGE!G34+PWORKS!G34+WATER!G34+ELECTRIC!G34</f>
        <v>0</v>
      </c>
      <c r="H34" s="428">
        <f>+COUNCIL!H34+MAYOR!H34+SPEAKER!H34+MM!H34+CORP!H34+PROP!H34+RATES!H34+THALL!H34+FIN!H34+SOCIAL!H34+CEMETERY!H34+LIBRARIES!H34+HOUSING!I34+TRAFFIC!H34+PARKS!H34+REFUSE!H34+SEWAGE!H34+PWORKS!H34+WATER!H34+ELECTRIC!H34</f>
        <v>0</v>
      </c>
      <c r="I34" s="428">
        <f>+COUNCIL!I34+MAYOR!I34+SPEAKER!I34+MM!I34+CORP!I34+PROP!I34+RATES!I34+THALL!I34+FIN!I34+SOCIAL!I34+CEMETERY!I34+LIBRARIES!I34+HOUSING!J34+TRAFFIC!I34+PARKS!I34+REFUSE!I34+SEWAGE!I34+PWORKS!I34+WATER!I34+ELECTRIC!I34</f>
        <v>0</v>
      </c>
      <c r="J34" s="428">
        <f>+COUNCIL!J34+MAYOR!J34+SPEAKER!J34+MM!J34+CORP!J34+PROP!J34+RATES!J34+THALL!J34+FIN!J34+SOCIAL!J34+CEMETERY!J34+LIBRARIES!J34+HOUSING!K34+TRAFFIC!J34+PARKS!J34+REFUSE!J34+SEWAGE!J34+PWORKS!J34+WATER!J34+ELECTRIC!J34</f>
        <v>0</v>
      </c>
      <c r="K34" s="428">
        <f>+COUNCIL!K34+MAYOR!K34+SPEAKER!K34+MM!K34+CORP!K34+PROP!K34+RATES!K34+THALL!K34+FIN!K34+SOCIAL!K34+CEMETERY!K34+LIBRARIES!K34+HOUSING!L34+TRAFFIC!K34+PARKS!K34+REFUSE!K34+SEWAGE!K34+PWORKS!K34+WATER!K34+ELECTRIC!K34</f>
        <v>0</v>
      </c>
    </row>
    <row r="35" spans="1:11" s="285" customFormat="1" ht="13.8" thickBot="1" x14ac:dyDescent="0.3">
      <c r="A35" s="468"/>
      <c r="B35" s="468"/>
      <c r="C35" s="94"/>
      <c r="D35" s="226">
        <v>0</v>
      </c>
      <c r="E35" s="226">
        <f t="shared" ref="E35:K35" si="4">SUM(E34)</f>
        <v>0</v>
      </c>
      <c r="F35" s="226">
        <f t="shared" si="4"/>
        <v>0</v>
      </c>
      <c r="G35" s="565">
        <v>0</v>
      </c>
      <c r="H35" s="226">
        <f t="shared" si="4"/>
        <v>0</v>
      </c>
      <c r="I35" s="226">
        <f t="shared" si="4"/>
        <v>0</v>
      </c>
      <c r="J35" s="226">
        <f t="shared" si="4"/>
        <v>0</v>
      </c>
      <c r="K35" s="226">
        <f t="shared" si="4"/>
        <v>0</v>
      </c>
    </row>
    <row r="36" spans="1:11" s="285" customFormat="1" x14ac:dyDescent="0.25">
      <c r="A36" s="468"/>
      <c r="B36" s="468"/>
      <c r="C36" s="93" t="s">
        <v>52</v>
      </c>
      <c r="D36" s="225">
        <v>0</v>
      </c>
      <c r="E36" s="86"/>
      <c r="F36" s="86"/>
      <c r="G36" s="444">
        <v>0</v>
      </c>
      <c r="H36" s="86"/>
      <c r="I36" s="86"/>
      <c r="J36" s="86"/>
      <c r="K36" s="88"/>
    </row>
    <row r="37" spans="1:11" s="285" customFormat="1" x14ac:dyDescent="0.25">
      <c r="A37" s="468"/>
      <c r="B37" s="468"/>
      <c r="C37" s="94" t="s">
        <v>53</v>
      </c>
      <c r="D37" s="428">
        <f>+COUNCIL!D37+MAYOR!D37+SPEAKER!D37+MM!D37+CORP!D37+PROP!D37+RATES!D37+THALL!D37+FIN!D37+SOCIAL!D37+CEMETERY!D37+LIBRARIES!D37+HOUSING!D37+TRAFFIC!D37+PARKS!D37+REFUSE!D37+SEWAGE!D37+PWORKS!D37+WATER!D37+ELECTRIC!D37</f>
        <v>1900000</v>
      </c>
      <c r="E37" s="428">
        <f>+COUNCIL!E37+MAYOR!E37+SPEAKER!E37+MM!E37+CORP!E37+PROP!E37+RATES!E37+THALL!E37+FIN!E37+SOCIAL!E37+CEMETERY!E37+LIBRARIES!E37+HOUSING!E37+TRAFFIC!E37+PARKS!E37+REFUSE!E37+SEWAGE!E37+PWORKS!E37+WATER!E37+ELECTRIC!E37</f>
        <v>2006400</v>
      </c>
      <c r="F37" s="428">
        <f>+COUNCIL!F37+MAYOR!F37+SPEAKER!F37+MM!F37+CORP!F37+PROP!F37+RATES!F37+THALL!F37+FIN!F37+SOCIAL!F37+CEMETERY!F37+LIBRARIES!F37+HOUSING!F37+TRAFFIC!F37+PARKS!F37+REFUSE!F37+SEWAGE!F37+PWORKS!F37+WATER!F37+ELECTRIC!F37</f>
        <v>6400</v>
      </c>
      <c r="G37" s="428">
        <f>+COUNCIL!G37+MAYOR!G37+SPEAKER!G37+MM!G37+CORP!G37+PROP!G37+RATES!G37+THALL!G37+FIN!G37+SOCIAL!G37+CEMETERY!G37+LIBRARIES!G37+HOUSING!G37+TRAFFIC!G37+PARKS!G37+REFUSE!G37+SEWAGE!G37+PWORKS!G37+WATER!G37+ELECTRIC!G37</f>
        <v>6401</v>
      </c>
      <c r="H37" s="428">
        <f>+COUNCIL!H37+MAYOR!H37+SPEAKER!H37+MM!H37+CORP!H37+PROP!H37+RATES!H37+THALL!H37+FIN!H37+SOCIAL!H37+CEMETERY!H37+LIBRARIES!H37+HOUSING!I37+TRAFFIC!H37+PARKS!H37+REFUSE!H37+SEWAGE!H37+PWORKS!H37+WATER!H37+ELECTRIC!H37</f>
        <v>1007040</v>
      </c>
      <c r="I37" s="428">
        <f>+COUNCIL!I37+MAYOR!I37+SPEAKER!I37+MM!I37+CORP!I37+PROP!I37+RATES!I37+THALL!I37+FIN!I37+SOCIAL!I37+CEMETERY!I37+LIBRARIES!I38+HOUSING!J37+TRAFFIC!I37+PARKS!I37+REFUSE!I37+SEWAGE!I37+PWORKS!I37+WATER!I37+ELECTRIC!I37+PLANNING!I37</f>
        <v>28790069</v>
      </c>
      <c r="J37" s="428">
        <f>+COUNCIL!J37+MAYOR!J37+SPEAKER!J37+MM!J37+CORP!J37+PROP!J37+RATES!J37+THALL!J37+FIN!J37+SOCIAL!J37+CEMETERY!J37+LIBRARIES!J38+HOUSING!K37+TRAFFIC!J37+PARKS!J37+REFUSE!J37+SEWAGE!J37+PWORKS!J37+WATER!J37+ELECTRIC!J37+PLANNING!J37</f>
        <v>30373522.794999998</v>
      </c>
      <c r="K37" s="428">
        <f>+COUNCIL!K37+MAYOR!K37+SPEAKER!K37+MM!K37+CORP!K37+PROP!K37+RATES!K37+THALL!K37+FIN!K37+SOCIAL!K37+CEMETERY!K37+LIBRARIES!K38+HOUSING!L37+TRAFFIC!K37+PARKS!K37+REFUSE!K37+SEWAGE!K37+PWORKS!K37+WATER!K37+ELECTRIC!K37+PLANNING!K37</f>
        <v>31983319.503134996</v>
      </c>
    </row>
    <row r="38" spans="1:11" s="285" customFormat="1" x14ac:dyDescent="0.25">
      <c r="A38" s="468"/>
      <c r="B38" s="468"/>
      <c r="C38" s="94"/>
      <c r="D38" s="226">
        <f t="shared" ref="D38:K38" si="5">D37</f>
        <v>1900000</v>
      </c>
      <c r="E38" s="226">
        <f t="shared" si="5"/>
        <v>2006400</v>
      </c>
      <c r="F38" s="226">
        <f t="shared" si="5"/>
        <v>6400</v>
      </c>
      <c r="G38" s="226">
        <f t="shared" si="5"/>
        <v>6401</v>
      </c>
      <c r="H38" s="226">
        <f t="shared" si="5"/>
        <v>1007040</v>
      </c>
      <c r="I38" s="226">
        <f t="shared" si="5"/>
        <v>28790069</v>
      </c>
      <c r="J38" s="226">
        <f t="shared" si="5"/>
        <v>30373522.794999998</v>
      </c>
      <c r="K38" s="226">
        <f t="shared" si="5"/>
        <v>31983319.503134996</v>
      </c>
    </row>
    <row r="39" spans="1:11" s="285" customFormat="1" x14ac:dyDescent="0.25">
      <c r="A39" s="468"/>
      <c r="B39" s="468"/>
      <c r="C39" s="93" t="s">
        <v>54</v>
      </c>
      <c r="D39" s="225">
        <v>0</v>
      </c>
      <c r="E39" s="86"/>
      <c r="F39" s="86"/>
      <c r="G39" s="444">
        <v>0</v>
      </c>
      <c r="H39" s="86"/>
      <c r="I39" s="86"/>
      <c r="J39" s="86"/>
      <c r="K39" s="88"/>
    </row>
    <row r="40" spans="1:11" s="285" customFormat="1" x14ac:dyDescent="0.25">
      <c r="A40" s="468"/>
      <c r="B40" s="468"/>
      <c r="C40" s="94" t="s">
        <v>55</v>
      </c>
      <c r="D40" s="428">
        <f>+COUNCIL!D40+MAYOR!D40+SPEAKER!D40+MM!D40+CORP!D40+PROP!D40+RATES!D40+THALL!D40+FIN!D40+SOCIAL!D40+CEMETERY!D40+LIBRARIES!D40+HOUSING!D40+TRAFFIC!D40+PARKS!D40+REFUSE!D40+SEWAGE!D40+PWORKS!D40+WATER!D40+ELECTRIC!D40</f>
        <v>0</v>
      </c>
      <c r="E40" s="428">
        <f>+COUNCIL!E40+MAYOR!E40+SPEAKER!E40+MM!E40+CORP!E40+PROP!E40+RATES!E40+THALL!E40+FIN!E40+SOCIAL!E40+CEMETERY!E40+LIBRARIES!E40+HOUSING!E40+TRAFFIC!E40+PARKS!E40+REFUSE!E40+SEWAGE!E40+PWORKS!E40+WATER!E40+ELECTRIC!E40</f>
        <v>0</v>
      </c>
      <c r="F40" s="428">
        <f>+COUNCIL!F40+MAYOR!F40+SPEAKER!F40+MM!F40+CORP!F40+PROP!F40+RATES!F40+THALL!F40+FIN!F40+SOCIAL!F40+CEMETERY!F40+LIBRARIES!F40+HOUSING!F40+TRAFFIC!F40+PARKS!F40+REFUSE!F40+SEWAGE!F40+PWORKS!F40+WATER!F40+ELECTRIC!F40</f>
        <v>0</v>
      </c>
      <c r="G40" s="428">
        <f>+COUNCIL!G40+MAYOR!G40+SPEAKER!G40+MM!G40+CORP!G40+PROP!G40+RATES!G40+THALL!G40+FIN!G40+SOCIAL!G40+CEMETERY!G40+LIBRARIES!G40+HOUSING!G40+TRAFFIC!G40+PARKS!G40+REFUSE!G40+SEWAGE!G40+PWORKS!G40+WATER!G40+ELECTRIC!G40</f>
        <v>0</v>
      </c>
      <c r="H40" s="428">
        <f>+COUNCIL!H40+MAYOR!H40+SPEAKER!H40+MM!H40+CORP!H40+PROP!H40+RATES!H40+THALL!H40+FIN!H40+SOCIAL!H40+CEMETERY!H40+LIBRARIES!H40+HOUSING!I40+TRAFFIC!H40+PARKS!H40+REFUSE!H40+SEWAGE!H40+PWORKS!H40+WATER!H40+ELECTRIC!H40</f>
        <v>10000</v>
      </c>
      <c r="I40" s="428">
        <f>+COUNCIL!I40+MAYOR!I40+SPEAKER!I40+MM!I40+CORP!I40+PROP!I40+RATES!I40+THALL!I40+FIN!I40+SOCIAL!I40+CEMETERY!I40+LIBRARIES!I41+HOUSING!J40+TRAFFIC!I40+PARKS!I40+REFUSE!I40+SEWAGE!I40+PWORKS!I40+WATER!I40+ELECTRIC!I40+PLANNING!I40</f>
        <v>100000</v>
      </c>
      <c r="J40" s="428">
        <f>+COUNCIL!J40+MAYOR!J40+SPEAKER!J40+MM!J40+CORP!J40+PROP!J40+RATES!J40+THALL!J40+FIN!J40+SOCIAL!J40+CEMETERY!J40+LIBRARIES!J41+HOUSING!K40+TRAFFIC!J40+PARKS!J40+REFUSE!J40+SEWAGE!J40+PWORKS!J40+WATER!J40+ELECTRIC!J40+PLANNING!J40</f>
        <v>105500</v>
      </c>
      <c r="K40" s="428">
        <f>+COUNCIL!K40+MAYOR!K40+SPEAKER!K40+MM!K40+CORP!K40+PROP!K40+RATES!K40+THALL!K40+FIN!K40+SOCIAL!K40+CEMETERY!K40+LIBRARIES!K41+HOUSING!L40+TRAFFIC!K40+PARKS!K40+REFUSE!K40+SEWAGE!K40+PWORKS!K40+WATER!K40+ELECTRIC!K40+PLANNING!K40</f>
        <v>111091.5</v>
      </c>
    </row>
    <row r="41" spans="1:11" s="285" customFormat="1" x14ac:dyDescent="0.25">
      <c r="A41" s="468"/>
      <c r="B41" s="468"/>
      <c r="C41" s="94" t="s">
        <v>56</v>
      </c>
      <c r="D41" s="428">
        <f>+COUNCIL!D41+MAYOR!D41+SPEAKER!D41+MM!D41+CORP!D41+PROP!D41+RATES!D41+THALL!D41+FIN!D41+SOCIAL!D41+CEMETERY!D41+LIBRARIES!D41+HOUSING!D41+TRAFFIC!D41+PARKS!D41+REFUSE!D41+SEWAGE!D41+PWORKS!D41+WATER!D41+ELECTRIC!D41</f>
        <v>547390</v>
      </c>
      <c r="E41" s="428">
        <f>+COUNCIL!E41+MAYOR!E41+SPEAKER!E41+MM!E41+CORP!E41+PROP!E41+RATES!E41+THALL!E41+FIN!E41+SOCIAL!E41+CEMETERY!E41+LIBRARIES!E41+HOUSING!E41+TRAFFIC!E41+PARKS!E41+REFUSE!E41+SEWAGE!E41+PWORKS!E41+WATER!E41+ELECTRIC!E41</f>
        <v>608244.97</v>
      </c>
      <c r="F41" s="428">
        <f>+COUNCIL!F41+MAYOR!F41+SPEAKER!F41+MM!F41+CORP!F41+PROP!F41+RATES!F41+THALL!F41+FIN!F41+SOCIAL!F41+CEMETERY!F41+LIBRARIES!F41+HOUSING!F41+TRAFFIC!F41+PARKS!F41+REFUSE!F41+SEWAGE!F41+PWORKS!F41+WATER!F41+ELECTRIC!F41</f>
        <v>318244.96999999997</v>
      </c>
      <c r="G41" s="428">
        <f>+COUNCIL!G41+MAYOR!G41+SPEAKER!G41+MM!G41+CORP!G41+PROP!G41+RATES!G41+THALL!G41+FIN!G41+SOCIAL!G41+CEMETERY!G41+LIBRARIES!G41+HOUSING!G41+TRAFFIC!G41+PARKS!G41+REFUSE!G41+SEWAGE!G41+PWORKS!G41+WATER!G41+ELECTRIC!G41</f>
        <v>318244.96999999997</v>
      </c>
      <c r="H41" s="428">
        <f>+COUNCIL!H41+MAYOR!H41+SPEAKER!H41+MM!H41+CORP!H41+PROP!H41+RATES!H41+THALL!H41+FIN!H41+SOCIAL!H41+CEMETERY!H41+LIBRARIES!H41+HOUSING!I41+TRAFFIC!H41+PARKS!H41+REFUSE!H41+SEWAGE!H41+PWORKS!H41+WATER!H41+ELECTRIC!H41</f>
        <v>722253.45699999994</v>
      </c>
      <c r="I41" s="428">
        <f>+COUNCIL!I41+MAYOR!I41+SPEAKER!I41+MM!I41+CORP!I41+PROP!I41+RATES!I41+THALL!I41+FIN!I41+SOCIAL!I41+CEMETERY!I41+LIBRARIES!I42+HOUSING!J41+TRAFFIC!I41+PARKS!I41+REFUSE!I41+SEWAGE!I41+PWORKS!I41+WATER!I41+ELECTRIC!I41+PLANNING!I41</f>
        <v>1488580</v>
      </c>
      <c r="J41" s="428">
        <f>+COUNCIL!J41+MAYOR!J41+SPEAKER!J41+MM!J41+CORP!J41+PROP!J41+RATES!J41+THALL!J41+FIN!J41+SOCIAL!J41+CEMETERY!J41+LIBRARIES!J42+HOUSING!K41+TRAFFIC!J41+PARKS!J41+REFUSE!J41+SEWAGE!J41+PWORKS!J41+WATER!J41+ELECTRIC!J41+PLANNING!J41</f>
        <v>1570388.6</v>
      </c>
      <c r="K41" s="428">
        <f>+COUNCIL!K41+MAYOR!K41+SPEAKER!K41+MM!K41+CORP!K41+PROP!K41+RATES!K41+THALL!K41+FIN!K41+SOCIAL!K41+CEMETERY!K41+LIBRARIES!K42+HOUSING!L41+TRAFFIC!K41+PARKS!K41+REFUSE!K41+SEWAGE!K41+PWORKS!K41+WATER!K41+ELECTRIC!K41+PLANNING!K41</f>
        <v>1618525.3909499999</v>
      </c>
    </row>
    <row r="42" spans="1:11" s="285" customFormat="1" x14ac:dyDescent="0.25">
      <c r="A42" s="468"/>
      <c r="B42" s="468"/>
      <c r="C42" s="94" t="s">
        <v>57</v>
      </c>
      <c r="D42" s="428">
        <f>+COUNCIL!D42+MAYOR!D42+SPEAKER!D42+MM!D42+CORP!D42+PROP!D42+RATES!D42+THALL!D42+FIN!D42+SOCIAL!D42+CEMETERY!D42+LIBRARIES!D42+HOUSING!D42+TRAFFIC!D42+PARKS!D42+REFUSE!D42+SEWAGE!D42+PWORKS!D42+WATER!D42+ELECTRIC!D42</f>
        <v>72680</v>
      </c>
      <c r="E42" s="428">
        <f>+COUNCIL!E42+MAYOR!E42+SPEAKER!E42+MM!E42+CORP!E42+PROP!E42+RATES!E42+THALL!E42+FIN!E42+SOCIAL!E42+CEMETERY!E42+LIBRARIES!E42+HOUSING!E42+TRAFFIC!E42+PARKS!E42+REFUSE!E42+SEWAGE!E42+PWORKS!E42+WATER!E42+ELECTRIC!E42</f>
        <v>120650</v>
      </c>
      <c r="F42" s="428">
        <f>+COUNCIL!F42+MAYOR!F42+SPEAKER!F42+MM!F42+CORP!F42+PROP!F42+RATES!F42+THALL!F42+FIN!F42+SOCIAL!F42+CEMETERY!F42+LIBRARIES!F42+HOUSING!F42+TRAFFIC!F42+PARKS!F42+REFUSE!F42+SEWAGE!F42+PWORKS!F42+WATER!F42+ELECTRIC!F42</f>
        <v>60650</v>
      </c>
      <c r="G42" s="428">
        <f>+COUNCIL!G42+MAYOR!G42+SPEAKER!G42+MM!G42+CORP!G42+PROP!G42+RATES!G42+THALL!G42+FIN!G42+SOCIAL!G42+CEMETERY!G42+LIBRARIES!G42+HOUSING!G42+TRAFFIC!G42+PARKS!G42+REFUSE!G42+SEWAGE!G42+PWORKS!G42+WATER!G42+ELECTRIC!G42</f>
        <v>60650</v>
      </c>
      <c r="H42" s="428">
        <f>+COUNCIL!H42+MAYOR!H42+SPEAKER!H42+MM!H42+CORP!H42+PROP!H42+RATES!H42+THALL!H42+FIN!H42+SOCIAL!H42+CEMETERY!H42+LIBRARIES!H42+HOUSING!I42+TRAFFIC!H42+PARKS!H42+REFUSE!H42+SEWAGE!H42+PWORKS!H42+WATER!H42+ELECTRIC!H42</f>
        <v>95000</v>
      </c>
      <c r="I42" s="428">
        <f>+COUNCIL!I42+MAYOR!I42+SPEAKER!I42+MM!I42+CORP!I42+PROP!I42+RATES!I42+THALL!I42+FIN!I42+SOCIAL!I42+CEMETERY!I42+LIBRARIES!I43+HOUSING!J42+TRAFFIC!I42+PARKS!I42+REFUSE!I42+SEWAGE!I42+PWORKS!I42+WATER!I42+ELECTRIC!I42+PLANNING!I42</f>
        <v>41160</v>
      </c>
      <c r="J42" s="428">
        <f>+COUNCIL!J42+MAYOR!J42+SPEAKER!J42+MM!J42+CORP!J42+PROP!J42+RATES!J42+THALL!J42+FIN!J42+SOCIAL!J42+CEMETERY!J42+LIBRARIES!J43+HOUSING!K42+TRAFFIC!J42+PARKS!J42+REFUSE!J42+SEWAGE!J42+PWORKS!J42+WATER!J42+ELECTRIC!J42+PLANNING!J42</f>
        <v>42323.8</v>
      </c>
      <c r="K42" s="428">
        <f>+COUNCIL!K42+MAYOR!K42+SPEAKER!K42+MM!K42+CORP!K42+PROP!K42+RATES!K42+THALL!K42+FIN!K42+SOCIAL!K42+CEMETERY!K42+LIBRARIES!K43+HOUSING!L42+TRAFFIC!K42+PARKS!K42+REFUSE!K42+SEWAGE!K42+PWORKS!K42+WATER!K42+ELECTRIC!K42+PLANNING!K42</f>
        <v>43506.9614</v>
      </c>
    </row>
    <row r="43" spans="1:11" s="285" customFormat="1" x14ac:dyDescent="0.25">
      <c r="A43" s="468"/>
      <c r="B43" s="468"/>
      <c r="C43" s="94" t="s">
        <v>95</v>
      </c>
      <c r="D43" s="428">
        <f>+COUNCIL!D43+MAYOR!D43+SPEAKER!D43+MM!D43+CORP!D43+PROP!D43+RATES!D43+THALL!D43+FIN!D43+SOCIAL!D43+CEMETERY!D43+LIBRARIES!D43+HOUSING!D43+TRAFFIC!D43+PARKS!D43+REFUSE!D43+SEWAGE!D43+PWORKS!D43+WATER!D43+ELECTRIC!D43</f>
        <v>200987</v>
      </c>
      <c r="E43" s="428">
        <f>+COUNCIL!E43+MAYOR!E43+SPEAKER!E43+MM!E43+CORP!E43+PROP!E43+RATES!E43+THALL!E43+FIN!E43+SOCIAL!E43+CEMETERY!E43+LIBRARIES!E43+HOUSING!E43+TRAFFIC!E43+PARKS!E43+REFUSE!E43+SEWAGE!E43+PWORKS!E43+WATER!E43+ELECTRIC!E43</f>
        <v>222218.87</v>
      </c>
      <c r="F43" s="428">
        <f>+COUNCIL!F43+MAYOR!F43+SPEAKER!F43+MM!F43+CORP!F43+PROP!F43+RATES!F43+THALL!F43+FIN!F43+SOCIAL!F43+CEMETERY!F43+LIBRARIES!F43+HOUSING!F43+TRAFFIC!F43+PARKS!F43+REFUSE!F43+SEWAGE!F43+PWORKS!F43+WATER!F43+ELECTRIC!F43</f>
        <v>222218.87</v>
      </c>
      <c r="G43" s="428">
        <f>+COUNCIL!G43+MAYOR!G43+SPEAKER!G43+MM!G43+CORP!G43+PROP!G43+RATES!G43+THALL!G43+FIN!G43+SOCIAL!G43+CEMETERY!G43+LIBRARIES!G43+HOUSING!G43+TRAFFIC!G43+PARKS!G43+REFUSE!G43+SEWAGE!G43+PWORKS!G43+WATER!G43+ELECTRIC!G43</f>
        <v>222218.87</v>
      </c>
      <c r="H43" s="428">
        <f>+COUNCIL!H43+MAYOR!H43+SPEAKER!H43+MM!H43+CORP!H43+PROP!H43+RATES!H43+THALL!H43+FIN!H43+SOCIAL!H43+CEMETERY!H43+LIBRARIES!H43+HOUSING!I43+TRAFFIC!H43+PARKS!H43+REFUSE!H43+SEWAGE!H43+PWORKS!H43+WATER!H43+ELECTRIC!H43</f>
        <v>243626.81899999999</v>
      </c>
      <c r="I43" s="428">
        <f>+COUNCIL!I43+MAYOR!I43+SPEAKER!I43+MM!I43+CORP!I43+PROP!I43+RATES!I43+THALL!I43+FIN!I43+SOCIAL!I43+CEMETERY!I43+LIBRARIES!I44+HOUSING!J43+TRAFFIC!I43+PARKS!I43+REFUSE!I43+SEWAGE!I43+PWORKS!I43+WATER!I43+ELECTRIC!I43+PLANNING!I43</f>
        <v>1902300</v>
      </c>
      <c r="J43" s="428">
        <f>+COUNCIL!J43+MAYOR!J43+SPEAKER!J43+MM!J43+CORP!J43+PROP!J43+RATES!J43+THALL!J43+FIN!J43+SOCIAL!J43+CEMETERY!J43+LIBRARIES!J44+HOUSING!K43+TRAFFIC!J43+PARKS!J43+REFUSE!J43+SEWAGE!J43+PWORKS!J43+WATER!J43+ELECTRIC!J43+PLANNING!J43</f>
        <v>2006926.5</v>
      </c>
      <c r="K43" s="428">
        <f>+COUNCIL!K43+MAYOR!K43+SPEAKER!K43+MM!K43+CORP!K43+PROP!K43+RATES!K43+THALL!K43+FIN!K43+SOCIAL!K43+CEMETERY!K43+LIBRARIES!K44+HOUSING!L43+TRAFFIC!K43+PARKS!K43+REFUSE!K43+SEWAGE!K43+PWORKS!K43+WATER!K43+ELECTRIC!K43+PLANNING!K43</f>
        <v>2113293.6044999999</v>
      </c>
    </row>
    <row r="44" spans="1:11" s="285" customFormat="1" x14ac:dyDescent="0.25">
      <c r="A44" s="468"/>
      <c r="B44" s="468"/>
      <c r="C44" s="94" t="s">
        <v>58</v>
      </c>
      <c r="D44" s="428">
        <f>+COUNCIL!D44+MAYOR!D44+SPEAKER!D44+MM!D44+CORP!D44+PROP!D44+RATES!D44+THALL!D44+FIN!D44+SOCIAL!D44+CEMETERY!D44+LIBRARIES!D44+HOUSING!D44+TRAFFIC!D44+PARKS!D44+REFUSE!D44+SEWAGE!D44+PWORKS!D44+WATER!D44+ELECTRIC!D44</f>
        <v>27000</v>
      </c>
      <c r="E44" s="428">
        <f>+COUNCIL!E44+MAYOR!E44+SPEAKER!E44+MM!E44+CORP!E44+PROP!E44+RATES!E44+THALL!E44+FIN!E44+SOCIAL!E44+CEMETERY!E44+LIBRARIES!E44+HOUSING!E44+TRAFFIC!E44+PARKS!E44+REFUSE!E44+SEWAGE!E44+PWORKS!E44+WATER!E44+ELECTRIC!E44</f>
        <v>56000</v>
      </c>
      <c r="F44" s="428">
        <f>+COUNCIL!F44+MAYOR!F44+SPEAKER!F44+MM!F44+CORP!F44+PROP!F44+RATES!F44+THALL!F44+FIN!F44+SOCIAL!F44+CEMETERY!F44+LIBRARIES!F44+HOUSING!F44+TRAFFIC!F44+PARKS!F44+REFUSE!F44+SEWAGE!F44+PWORKS!F44+WATER!F44+ELECTRIC!F44</f>
        <v>116000</v>
      </c>
      <c r="G44" s="428">
        <f>+COUNCIL!G44+MAYOR!G44+SPEAKER!G44+MM!G44+CORP!G44+PROP!G44+RATES!G44+THALL!G44+FIN!G44+SOCIAL!G44+CEMETERY!G44+LIBRARIES!G44+HOUSING!G44+TRAFFIC!G44+PARKS!G44+REFUSE!G44+SEWAGE!G44+PWORKS!G44+WATER!G44+ELECTRIC!G44</f>
        <v>116000</v>
      </c>
      <c r="H44" s="428">
        <f>+COUNCIL!H44+MAYOR!H44+SPEAKER!H44+MM!H44+CORP!H44+PROP!H44+RATES!H44+THALL!H44+FIN!H44+SOCIAL!H44+CEMETERY!H44+LIBRARIES!H44+HOUSING!I44+TRAFFIC!H44+PARKS!H44+REFUSE!H44+SEWAGE!H44+PWORKS!H44+WATER!H44+ELECTRIC!H44</f>
        <v>95000</v>
      </c>
      <c r="I44" s="428">
        <f>+COUNCIL!I44+MAYOR!I44+SPEAKER!I44+MM!I44+CORP!I44+PROP!I44+RATES!I44+THALL!I44+FIN!I44+SOCIAL!I44+CEMETERY!I44+LIBRARIES!I45+HOUSING!J44+TRAFFIC!I44+PARKS!I44+REFUSE!I44+SEWAGE!I44+PWORKS!I44+WATER!I44+ELECTRIC!I44+PLANNING!I44</f>
        <v>260000</v>
      </c>
      <c r="J44" s="428">
        <f>+COUNCIL!J44+MAYOR!J44+SPEAKER!J44+MM!J44+CORP!J44+PROP!J44+RATES!J44+THALL!J44+FIN!J44+SOCIAL!J44+CEMETERY!J44+LIBRARIES!J45+HOUSING!K44+TRAFFIC!J44+PARKS!J44+REFUSE!J44+SEWAGE!J44+PWORKS!J44+WATER!J44+ELECTRIC!J44+PLANNING!J44</f>
        <v>274300</v>
      </c>
      <c r="K44" s="428">
        <f>+COUNCIL!K44+MAYOR!K44+SPEAKER!K44+MM!K44+CORP!K44+PROP!K44+RATES!K44+THALL!K44+FIN!K44+SOCIAL!K44+CEMETERY!K44+LIBRARIES!K45+HOUSING!L44+TRAFFIC!K44+PARKS!K44+REFUSE!K44+SEWAGE!K44+PWORKS!K44+WATER!K44+ELECTRIC!K44+PLANNING!K44</f>
        <v>288837.90000000002</v>
      </c>
    </row>
    <row r="45" spans="1:11" s="285" customFormat="1" x14ac:dyDescent="0.25">
      <c r="A45" s="468"/>
      <c r="B45" s="468"/>
      <c r="C45" s="94" t="s">
        <v>92</v>
      </c>
      <c r="D45" s="428">
        <f>+COUNCIL!D45+MAYOR!D45+SPEAKER!D45+MM!D45+CORP!D45+PROP!D45+RATES!D45+THALL!D45+FIN!D45+SOCIAL!D45+CEMETERY!D45+LIBRARIES!D45+HOUSING!D45+TRAFFIC!D45+PARKS!D45+REFUSE!D45+SEWAGE!D45+PWORKS!D45+WATER!D45+ELECTRIC!D45</f>
        <v>186476</v>
      </c>
      <c r="E45" s="428">
        <f>+COUNCIL!E45+MAYOR!E45+SPEAKER!E45+MM!E45+CORP!E45+PROP!E45+RATES!E45+THALL!E45+FIN!E45+SOCIAL!E45+CEMETERY!E45+LIBRARIES!E45+HOUSING!E45+TRAFFIC!E45+PARKS!E45+REFUSE!E45+SEWAGE!E45+PWORKS!E45+WATER!E45+ELECTRIC!E45</f>
        <v>350000</v>
      </c>
      <c r="F45" s="428">
        <v>206467</v>
      </c>
      <c r="G45" s="428">
        <f>+COUNCIL!G45+MAYOR!G45+SPEAKER!G45+MM!G45+CORP!G45+PROP!G45+RATES!G45+THALL!G45+FIN!G45+SOCIAL!G45+CEMETERY!G45+LIBRARIES!G45+HOUSING!G45+TRAFFIC!G45+PARKS!G45+REFUSE!G45+SEWAGE!G45+PWORKS!G45+WATER!G45+ELECTRIC!G45</f>
        <v>434000</v>
      </c>
      <c r="H45" s="428">
        <f>+COUNCIL!H45+MAYOR!H45+SPEAKER!H45+MM!H45+CORP!H45+PROP!H45+RATES!H45+THALL!H45+FIN!H45+SOCIAL!H45+CEMETERY!H45+LIBRARIES!H45+HOUSING!I45+TRAFFIC!H45+PARKS!H45+REFUSE!H45+SEWAGE!H45+PWORKS!H45+WATER!H45+ELECTRIC!H45</f>
        <v>250000</v>
      </c>
      <c r="I45" s="428">
        <f>+COUNCIL!I45+MAYOR!I45+SPEAKER!I45+MM!I45+CORP!I45+PROP!I45+RATES!I45+THALL!I45+FIN!I45+SOCIAL!I45+CEMETERY!I45+LIBRARIES!I46+HOUSING!J45+TRAFFIC!I45+PARKS!I45+REFUSE!I45+SEWAGE!I45+PWORKS!I45+WATER!I45+ELECTRIC!I45+PLANNING!I45</f>
        <v>250000</v>
      </c>
      <c r="J45" s="428">
        <f>+COUNCIL!J45+MAYOR!J45+SPEAKER!J45+MM!J45+CORP!J45+PROP!J45+RATES!J45+THALL!J45+FIN!J45+SOCIAL!J45+CEMETERY!J45+LIBRARIES!J46+HOUSING!K45+TRAFFIC!J45+PARKS!J45+REFUSE!J45+SEWAGE!J45+PWORKS!J45+WATER!J45+ELECTRIC!J45+PLANNING!J45</f>
        <v>263750</v>
      </c>
      <c r="K45" s="428">
        <f>+COUNCIL!K45+MAYOR!K45+SPEAKER!K45+MM!K45+CORP!K45+PROP!K45+RATES!K45+THALL!K45+FIN!K45+SOCIAL!K45+CEMETERY!K45+LIBRARIES!K46+HOUSING!L45+TRAFFIC!K45+PARKS!K45+REFUSE!K45+SEWAGE!K45+PWORKS!K45+WATER!K45+ELECTRIC!K45+PLANNING!K45</f>
        <v>277728.75</v>
      </c>
    </row>
    <row r="46" spans="1:11" s="285" customFormat="1" x14ac:dyDescent="0.25">
      <c r="A46" s="468"/>
      <c r="B46" s="468"/>
      <c r="C46" s="94" t="s">
        <v>86</v>
      </c>
      <c r="D46" s="428">
        <f>+COUNCIL!D46+MAYOR!D46+SPEAKER!D46+MM!D46+CORP!D46+PROP!D46+RATES!D46+THALL!D46+FIN!D46+SOCIAL!D46+CEMETERY!D46+LIBRARIES!D46+HOUSING!D46+TRAFFIC!D46+PARKS!D46+REFUSE!D46+SEWAGE!D46+PWORKS!D46+WATER!D46+ELECTRIC!D46</f>
        <v>1957948</v>
      </c>
      <c r="E46" s="428">
        <f>+COUNCIL!E46+MAYOR!E46+SPEAKER!E46+MM!E46+CORP!E46+PROP!E46+RATES!E46+THALL!E46+FIN!E46+SOCIAL!E46+CEMETERY!E46+LIBRARIES!E46+HOUSING!E46+TRAFFIC!E46+PARKS!E46+REFUSE!E46+SEWAGE!E46+PWORKS!E46+WATER!E46+ELECTRIC!E46</f>
        <v>1987742.6041199998</v>
      </c>
      <c r="F46" s="428">
        <f>+COUNCIL!F46+MAYOR!F46+SPEAKER!F46+MM!F46+CORP!F46+PROP!F46+RATES!F46+THALL!F46+FIN!F46+SOCIAL!F46+CEMETERY!F46+LIBRARIES!F46+HOUSING!F46+TRAFFIC!F46+PARKS!F46+REFUSE!F46+SEWAGE!F46+PWORKS!F46+WATER!F46+ELECTRIC!F46</f>
        <v>2082742.6041199998</v>
      </c>
      <c r="G46" s="428">
        <f>+COUNCIL!G46+MAYOR!G46+SPEAKER!G46+MM!G46+CORP!G46+PROP!G46+RATES!G46+THALL!G46+FIN!G46+SOCIAL!G46+CEMETERY!G46+LIBRARIES!G46+HOUSING!G46+TRAFFIC!G46+PARKS!G46+REFUSE!G46+SEWAGE!G46+PWORKS!G46+WATER!G46+ELECTRIC!G46</f>
        <v>2082742.6041199998</v>
      </c>
      <c r="H46" s="428">
        <f>+COUNCIL!H46+MAYOR!H46+SPEAKER!H46+MM!H46+CORP!H46+PROP!H46+RATES!H46+THALL!H46+FIN!H46+SOCIAL!H46+CEMETERY!H46+LIBRARIES!H46+HOUSING!I46+TRAFFIC!H46+PARKS!H46+REFUSE!H46+SEWAGE!H46+PWORKS!H46+WATER!H46+ELECTRIC!H46</f>
        <v>2268589.5310319997</v>
      </c>
      <c r="I46" s="428">
        <f>+COUNCIL!I46+MAYOR!I46+SPEAKER!I46+MM!I46+CORP!I46+PROP!I46+RATES!I46+THALL!I46+FIN!I46+SOCIAL!I46+CEMETERY!I46+LIBRARIES!I47+HOUSING!J46+TRAFFIC!I46+PARKS!I46+REFUSE!I46+SEWAGE!I46+PWORKS!I46+WATER!I46+ELECTRIC!I46+PLANNING!I46</f>
        <v>2055335.29</v>
      </c>
      <c r="J46" s="428">
        <f>+COUNCIL!J46+MAYOR!J46+SPEAKER!J46+MM!J46+CORP!J46+PROP!J46+RATES!J46+THALL!J46+FIN!J46+SOCIAL!J46+CEMETERY!J46+LIBRARIES!J47+HOUSING!K46+TRAFFIC!J46+PARKS!J46+REFUSE!J46+SEWAGE!J46+PWORKS!J46+WATER!J46+ELECTRIC!J46+PLANNING!J46</f>
        <v>2168378.7309499998</v>
      </c>
      <c r="K46" s="428">
        <f>+COUNCIL!K46+MAYOR!K46+SPEAKER!K46+MM!K46+CORP!K46+PROP!K46+RATES!K46+THALL!K46+FIN!K46+SOCIAL!K46+CEMETERY!K46+LIBRARIES!K47+HOUSING!L46+TRAFFIC!K46+PARKS!K46+REFUSE!K46+SEWAGE!K46+PWORKS!K46+WATER!K46+ELECTRIC!K46+PLANNING!K46</f>
        <v>2283302.8036903497</v>
      </c>
    </row>
    <row r="47" spans="1:11" s="285" customFormat="1" x14ac:dyDescent="0.25">
      <c r="A47" s="468"/>
      <c r="B47" s="468"/>
      <c r="C47" s="94" t="s">
        <v>124</v>
      </c>
      <c r="D47" s="428">
        <f>+COUNCIL!D47+MAYOR!D47+SPEAKER!D47+MM!D47+CORP!D47+PROP!D47+RATES!D47+THALL!D47+FIN!D47+SOCIAL!D47+CEMETERY!D47+LIBRARIES!D47+HOUSING!D47+TRAFFIC!D47+PARKS!D47+REFUSE!D47+SEWAGE!D47+PWORKS!D47+WATER!D47+ELECTRIC!D47</f>
        <v>1559451</v>
      </c>
      <c r="E47" s="428">
        <f>+COUNCIL!E47+MAYOR!E47+SPEAKER!E47+MM!E47+CORP!E47+PROP!E47+RATES!E47+THALL!E47+FIN!E47+SOCIAL!E47+CEMETERY!E47+LIBRARIES!E47+HOUSING!E47+TRAFFIC!E47+PARKS!E47+REFUSE!E47+SEWAGE!E47+PWORKS!E47+WATER!E47+ELECTRIC!E47</f>
        <v>1563750</v>
      </c>
      <c r="F47" s="428">
        <f>+COUNCIL!F47+MAYOR!F47+SPEAKER!F47+MM!F47+CORP!F47+PROP!F47+RATES!F47+THALL!F47+FIN!F47+SOCIAL!F47+CEMETERY!F47+LIBRARIES!F47+HOUSING!F47+TRAFFIC!F47+PARKS!F47+REFUSE!F47+SEWAGE!F47+PWORKS!F47+WATER!F47+ELECTRIC!F47</f>
        <v>5463750</v>
      </c>
      <c r="G47" s="428">
        <f>+COUNCIL!G47+MAYOR!G47+SPEAKER!G47+MM!G47+CORP!G47+PROP!G47+RATES!G47+THALL!G47+FIN!G47+SOCIAL!G47+CEMETERY!G47+LIBRARIES!G47+HOUSING!G47+TRAFFIC!G47+PARKS!G47+REFUSE!G47+SEWAGE!G47+PWORKS!G47+WATER!G47+ELECTRIC!G47</f>
        <v>5463750</v>
      </c>
      <c r="H47" s="428">
        <f>+COUNCIL!H47+MAYOR!H47+SPEAKER!H47+MM!H47+CORP!H47+PROP!H47+RATES!H47+THALL!H47+FIN!H47+SOCIAL!H47+CEMETERY!H47+LIBRARIES!H47+HOUSING!I47+TRAFFIC!H47+PARKS!H47+REFUSE!H47+SEWAGE!H47+PWORKS!H47+WATER!H47+ELECTRIC!H47</f>
        <v>2490000</v>
      </c>
      <c r="I47" s="428">
        <f>+COUNCIL!I47+MAYOR!I47+SPEAKER!I47+MM!I47+CORP!I47+PROP!I47+RATES!I47+THALL!I47+FIN!I47+SOCIAL!I47+CEMETERY!I47+LIBRARIES!I48+HOUSING!J47+TRAFFIC!I47+PARKS!I47+REFUSE!I47+SEWAGE!I47+PWORKS!I47+WATER!I47+ELECTRIC!I47+PLANNING!I47</f>
        <v>5593662.4899999965</v>
      </c>
      <c r="J47" s="428">
        <f>+COUNCIL!J47+MAYOR!J47+SPEAKER!J47+MM!J47+CORP!J47+PROP!J47+RATES!J47+THALL!J47+FIN!J47+SOCIAL!J47+CEMETERY!J47+LIBRARIES!J48+HOUSING!K47+TRAFFIC!J47+PARKS!J47+REFUSE!J47+SEWAGE!J47+PWORKS!J47+WATER!J47+ELECTRIC!J47+PLANNING!J47</f>
        <v>5901313.9269499965</v>
      </c>
      <c r="K47" s="428">
        <f>+COUNCIL!K47+MAYOR!K47+SPEAKER!K47+MM!K47+CORP!K47+PROP!K47+RATES!K47+THALL!K47+FIN!K47+SOCIAL!K47+CEMETERY!K47+LIBRARIES!K48+HOUSING!L47+TRAFFIC!K47+PARKS!K47+REFUSE!K47+SEWAGE!K47+PWORKS!K47+WATER!K47+ELECTRIC!K47+PLANNING!K47</f>
        <v>6214083.5650783461</v>
      </c>
    </row>
    <row r="48" spans="1:11" s="285" customFormat="1" x14ac:dyDescent="0.25">
      <c r="A48" s="468"/>
      <c r="B48" s="468"/>
      <c r="C48" s="94" t="s">
        <v>59</v>
      </c>
      <c r="D48" s="428">
        <f>+COUNCIL!D48+MAYOR!D48+SPEAKER!D48+MM!D48+CORP!D48+PROP!D48+RATES!D48+THALL!D48+FIN!D48+SOCIAL!D48+CEMETERY!D48+LIBRARIES!D48+HOUSING!D48+TRAFFIC!D48+PARKS!D48+REFUSE!D48+SEWAGE!D48+PWORKS!D48+WATER!D48+ELECTRIC!D48</f>
        <v>158706</v>
      </c>
      <c r="E48" s="428">
        <f>+COUNCIL!E48+MAYOR!E48+SPEAKER!E48+MM!E48+CORP!E48+PROP!E48+RATES!E48+THALL!E48+FIN!E48+SOCIAL!E48+CEMETERY!E48+LIBRARIES!E48+HOUSING!E48+TRAFFIC!E48+PARKS!E48+REFUSE!E48+SEWAGE!E48+PWORKS!E48+WATER!E48+ELECTRIC!E48</f>
        <v>169122</v>
      </c>
      <c r="F48" s="428">
        <f>+COUNCIL!F48+MAYOR!F48+SPEAKER!F48+MM!F48+CORP!F48+PROP!F48+RATES!F48+THALL!F48+FIN!F48+SOCIAL!F48+CEMETERY!F48+LIBRARIES!F48+HOUSING!F48+TRAFFIC!F48+PARKS!F48+REFUSE!F48+SEWAGE!F48+PWORKS!F48+WATER!F48+ELECTRIC!F48</f>
        <v>204122</v>
      </c>
      <c r="G48" s="428">
        <f>+COUNCIL!G48+MAYOR!G48+SPEAKER!G48+MM!G48+CORP!G48+PROP!G48+RATES!G48+THALL!G48+FIN!G48+SOCIAL!G48+CEMETERY!G48+LIBRARIES!G48+HOUSING!G48+TRAFFIC!G48+PARKS!G48+REFUSE!G48+SEWAGE!G48+PWORKS!G48+WATER!G48+ELECTRIC!G48</f>
        <v>204122</v>
      </c>
      <c r="H48" s="428">
        <f>+COUNCIL!H48+MAYOR!H48+SPEAKER!H48+MM!H48+CORP!H48+PROP!H48+RATES!H48+THALL!H48+FIN!H48+SOCIAL!H48+CEMETERY!H48+LIBRARIES!H48+HOUSING!I48+TRAFFIC!H48+PARKS!H48+REFUSE!H48+SEWAGE!H48+PWORKS!H48+WATER!H48+ELECTRIC!H48</f>
        <v>155000</v>
      </c>
      <c r="I48" s="428">
        <f>+COUNCIL!I48+MAYOR!I48+SPEAKER!I48+MM!I48+CORP!I48+PROP!I48+RATES!I48+THALL!I48+FIN!I48+SOCIAL!I48+CEMETERY!I48+LIBRARIES!I49+HOUSING!J48+TRAFFIC!I48+PARKS!I48+REFUSE!I48+SEWAGE!I48+PWORKS!I48+WATER!I48+ELECTRIC!I48+PLANNING!I48</f>
        <v>188900</v>
      </c>
      <c r="J48" s="428">
        <f>+COUNCIL!J48+MAYOR!J48+SPEAKER!J48+MM!J48+CORP!J48+PROP!J48+RATES!J48+THALL!J48+FIN!J48+SOCIAL!J48+CEMETERY!J48+LIBRARIES!J49+HOUSING!K48+TRAFFIC!J48+PARKS!J48+REFUSE!J48+SEWAGE!J48+PWORKS!J48+WATER!J48+ELECTRIC!J48+PLANNING!J48</f>
        <v>200914.5</v>
      </c>
      <c r="K48" s="428">
        <f>+COUNCIL!K48+MAYOR!K48+SPEAKER!K48+MM!K48+CORP!K48+PROP!K48+RATES!K48+THALL!K48+FIN!K48+SOCIAL!K48+CEMETERY!K48+LIBRARIES!K49+HOUSING!L48+TRAFFIC!K48+PARKS!K48+REFUSE!K48+SEWAGE!K48+PWORKS!K48+WATER!K48+ELECTRIC!K48+PLANNING!K48</f>
        <v>212078.96849999999</v>
      </c>
    </row>
    <row r="49" spans="1:11" s="285" customFormat="1" x14ac:dyDescent="0.25">
      <c r="A49" s="468"/>
      <c r="B49" s="468"/>
      <c r="C49" s="94" t="s">
        <v>91</v>
      </c>
      <c r="D49" s="428">
        <f>+COUNCIL!D49+MAYOR!D49+SPEAKER!D49+MM!D49+CORP!D49+PROP!D49+RATES!D49+THALL!D49+FIN!D49+SOCIAL!D49+CEMETERY!D49+LIBRARIES!D49+HOUSING!D49+TRAFFIC!D49+PARKS!D49+REFUSE!D49+SEWAGE!D49+PWORKS!D49+WATER!D49+ELECTRIC!D49</f>
        <v>1064390</v>
      </c>
      <c r="E49" s="428">
        <f>+COUNCIL!E49+MAYOR!E49+SPEAKER!E49+MM!E49+CORP!E49+PROP!E49+RATES!E49+THALL!E49+FIN!E49+SOCIAL!E49+CEMETERY!E49+LIBRARIES!E49+HOUSING!E49+TRAFFIC!E49+PARKS!E49+REFUSE!E49+SEWAGE!E49+PWORKS!E49+WATER!E49+ELECTRIC!E49</f>
        <v>1211250</v>
      </c>
      <c r="F49" s="428">
        <f>+COUNCIL!F49+MAYOR!F49+SPEAKER!F49+MM!F49+CORP!F49+PROP!F49+RATES!F49+THALL!F49+FIN!F49+SOCIAL!F49+CEMETERY!F49+LIBRARIES!F49+HOUSING!F49+TRAFFIC!F49+PARKS!F49+REFUSE!F49+SEWAGE!F49+PWORKS!F49+WATER!F49+ELECTRIC!F49</f>
        <v>1111250</v>
      </c>
      <c r="G49" s="428">
        <f>+COUNCIL!G49+MAYOR!G49+SPEAKER!G49+MM!G49+CORP!G49+PROP!G49+RATES!G49+THALL!G49+FIN!G49+SOCIAL!G49+CEMETERY!G49+LIBRARIES!G49+HOUSING!G49+TRAFFIC!G49+PARKS!G49+REFUSE!G49+SEWAGE!G49+PWORKS!G49+WATER!G49+ELECTRIC!G49</f>
        <v>1111250</v>
      </c>
      <c r="H49" s="428">
        <f>+COUNCIL!H49+MAYOR!H49+SPEAKER!H49+MM!H49+CORP!H49+PROP!H49+RATES!H49+THALL!H49+FIN!H49+SOCIAL!H49+CEMETERY!H49+LIBRARIES!H49+HOUSING!I49+TRAFFIC!H49+PARKS!H49+REFUSE!H49+SEWAGE!H49+PWORKS!H49+WATER!H49+ELECTRIC!H49</f>
        <v>1400000</v>
      </c>
      <c r="I49" s="428">
        <f>+COUNCIL!I49+MAYOR!I49+SPEAKER!I49+MM!I49+CORP!I49+PROP!I49+RATES!I49+THALL!I49+FIN!I49+SOCIAL!I49+CEMETERY!I49+LIBRARIES!I50+HOUSING!J49+TRAFFIC!I49+PARKS!I49+REFUSE!I49+SEWAGE!I49+PWORKS!I49+WATER!I49+ELECTRIC!I49+PLANNING!I49</f>
        <v>4576060</v>
      </c>
      <c r="J49" s="428">
        <f>+COUNCIL!J49+MAYOR!J49+SPEAKER!J49+MM!J49+CORP!J49+PROP!J49+RATES!J49+THALL!J49+FIN!J49+SOCIAL!J49+CEMETERY!J49+LIBRARIES!J50+HOUSING!K49+TRAFFIC!J49+PARKS!J49+REFUSE!J49+SEWAGE!J49+PWORKS!J49+WATER!J49+ELECTRIC!J49+PLANNING!J49</f>
        <v>4827743.3</v>
      </c>
      <c r="K49" s="428">
        <f>+COUNCIL!K49+MAYOR!K49+SPEAKER!K49+MM!K49+CORP!K49+PROP!K49+RATES!K49+THALL!K49+FIN!K49+SOCIAL!K49+CEMETERY!K49+LIBRARIES!K50+HOUSING!L49+TRAFFIC!K49+PARKS!K49+REFUSE!K49+SEWAGE!K49+PWORKS!K49+WATER!K49+ELECTRIC!K49+PLANNING!K49</f>
        <v>5083613.6948999986</v>
      </c>
    </row>
    <row r="50" spans="1:11" s="285" customFormat="1" x14ac:dyDescent="0.25">
      <c r="A50" s="468"/>
      <c r="B50" s="468"/>
      <c r="C50" s="94" t="s">
        <v>88</v>
      </c>
      <c r="D50" s="428">
        <f>+COUNCIL!D50+MAYOR!D50+SPEAKER!D50+MM!D50+CORP!D50+PROP!D50+RATES!D50+THALL!D50+FIN!D50+SOCIAL!D50+CEMETERY!D50+LIBRARIES!D50+HOUSING!D50+TRAFFIC!D50+PARKS!D50+REFUSE!D50+SEWAGE!D50+PWORKS!D50+WATER!D50+ELECTRIC!D50</f>
        <v>1052679</v>
      </c>
      <c r="E50" s="428">
        <f>+COUNCIL!E50+MAYOR!E50+SPEAKER!E50+MM!E50+CORP!E50+PROP!E50+RATES!E50+THALL!E50+FIN!E50+SOCIAL!E50+CEMETERY!E50+LIBRARIES!E50+HOUSING!E50+TRAFFIC!E50+PARKS!E50+REFUSE!E50+SEWAGE!E50+PWORKS!E50+WATER!E50+ELECTRIC!E50</f>
        <v>1388267.24398</v>
      </c>
      <c r="F50" s="428">
        <f>+COUNCIL!F50+MAYOR!F50+SPEAKER!F50+MM!F50+CORP!F50+PROP!F50+RATES!F50+THALL!F50+FIN!F50+SOCIAL!F50+CEMETERY!F50+LIBRARIES!F50+HOUSING!F50+TRAFFIC!F50+PARKS!F50+REFUSE!F50+SEWAGE!F50+PWORKS!F50+WATER!F50+ELECTRIC!F50</f>
        <v>1638267.24398</v>
      </c>
      <c r="G50" s="428">
        <f>+COUNCIL!G50+MAYOR!G50+SPEAKER!G50+MM!G50+CORP!G50+PROP!G50+RATES!G50+THALL!G50+FIN!G50+SOCIAL!G50+CEMETERY!G50+LIBRARIES!G50+HOUSING!G50+TRAFFIC!G50+PARKS!G50+REFUSE!G50+SEWAGE!G50+PWORKS!G50+WATER!G50+ELECTRIC!G50</f>
        <v>1468267.24398</v>
      </c>
      <c r="H50" s="428">
        <f>+COUNCIL!H50+MAYOR!H50+SPEAKER!H50+MM!H50+CORP!H50+PROP!H50+RATES!H50+THALL!H50+FIN!H50+SOCIAL!H50+CEMETERY!H50+LIBRARIES!H50+HOUSING!I50+TRAFFIC!H50+PARKS!H50+REFUSE!H50+SEWAGE!H50+PWORKS!H50+WATER!H50+ELECTRIC!H50</f>
        <v>1856256.498378</v>
      </c>
      <c r="I50" s="428">
        <f>COUNCIL!I50+MAYOR!I50+SPEAKER!I50+MM!I50+CORP!I50+PROP!I50+RATES!I50+THALL!I50+FIN!I50+SOCIAL!I50+CEMETERY!I50+LIBRARIES!I50+HOUSING!I50+TRAFFIC!I50+PARKS!I50+REFUSE!I50+SEWAGE!I50+PWORKS!I50+WATER!I50+ELECTRIC!I50+PLANNING!I50</f>
        <v>1575500</v>
      </c>
      <c r="J50" s="428">
        <f>+COUNCIL!J50+MAYOR!J50+SPEAKER!J50+MM!J50+CORP!J50+PROP!J50+RATES!J50+THALL!J50+FIN!J50+SOCIAL!J50+CEMETERY!J50+LIBRARIES!J51+HOUSING!K50+TRAFFIC!J50+PARKS!J50+REFUSE!J50+SEWAGE!J50+PWORKS!J50+WATER!J50+ELECTRIC!J50+PLANNING!J50</f>
        <v>1572540.8</v>
      </c>
      <c r="K50" s="428">
        <f>+COUNCIL!K50+MAYOR!K50+SPEAKER!K50+MM!K50+CORP!K50+PROP!K50+RATES!K50+THALL!K50+FIN!K50+SOCIAL!K50+CEMETERY!K50+LIBRARIES!K51+HOUSING!L50+TRAFFIC!K50+PARKS!K50+REFUSE!K50+SEWAGE!K50+PWORKS!K50+WATER!K50+ELECTRIC!K50+PLANNING!K50</f>
        <v>1632489.5925</v>
      </c>
    </row>
    <row r="51" spans="1:11" s="285" customFormat="1" x14ac:dyDescent="0.25">
      <c r="A51" s="468"/>
      <c r="B51" s="468"/>
      <c r="C51" s="94" t="s">
        <v>125</v>
      </c>
      <c r="D51" s="428">
        <f>+COUNCIL!D51+MAYOR!D51+SPEAKER!D51+MM!D51+CORP!D51+PROP!D51+RATES!D51+THALL!D51+FIN!D51+SOCIAL!D51+CEMETERY!D51+LIBRARIES!D51+HOUSING!D51+TRAFFIC!D51+PARKS!D51+REFUSE!D51+SEWAGE!D51+PWORKS!D51+WATER!D51+ELECTRIC!D51</f>
        <v>0</v>
      </c>
      <c r="E51" s="428">
        <f>+COUNCIL!E51+MAYOR!E51+SPEAKER!E51+MM!E51+CORP!E51+PROP!E51+RATES!E51+THALL!E51+FIN!E51+SOCIAL!E51+CEMETERY!E51+LIBRARIES!E51+HOUSING!E51+TRAFFIC!E51+PARKS!E51+REFUSE!E51+SEWAGE!E51+PWORKS!E51+WATER!E51+ELECTRIC!E51</f>
        <v>0</v>
      </c>
      <c r="F51" s="428">
        <f>+COUNCIL!F51+MAYOR!F51+SPEAKER!F51+MM!F51+CORP!F51+PROP!F51+RATES!F51+THALL!F51+FIN!F51+SOCIAL!F51+CEMETERY!F51+LIBRARIES!F51+HOUSING!F51+TRAFFIC!F51+PARKS!F51+REFUSE!F51+SEWAGE!F51+PWORKS!F51+WATER!F51+ELECTRIC!F51</f>
        <v>0</v>
      </c>
      <c r="G51" s="428">
        <f>+COUNCIL!G51+MAYOR!G51+SPEAKER!G51+MM!G51+CORP!G51+PROP!G51+RATES!G51+THALL!G51+FIN!G51+SOCIAL!G51+CEMETERY!G51+LIBRARIES!G51+HOUSING!G51+TRAFFIC!G51+PARKS!G51+REFUSE!G51+SEWAGE!G51+PWORKS!G51+WATER!G51+ELECTRIC!G51</f>
        <v>0</v>
      </c>
      <c r="H51" s="428">
        <f>+COUNCIL!H51+MAYOR!H51+SPEAKER!H51+MM!H51+CORP!H51+PROP!H51+RATES!H51+THALL!H51+FIN!H51+SOCIAL!H51+CEMETERY!H51+LIBRARIES!H51+HOUSING!I51+TRAFFIC!H51+PARKS!H51+REFUSE!H51+SEWAGE!H51+PWORKS!H51+WATER!H51+ELECTRIC!H51</f>
        <v>0</v>
      </c>
      <c r="I51" s="428">
        <f>+COUNCIL!I51+MAYOR!I51+SPEAKER!I51+MM!I51+CORP!I51+PROP!I51+RATES!I51+THALL!I51+FIN!I51+SOCIAL!I51+CEMETERY!I51+LIBRARIES!I52+HOUSING!I51+TRAFFIC!I51+PARKS!I51+REFUSE!I51+SEWAGE!I51+PWORKS!I51+WATER!I51+ELECTRIC!I51+PLANNING!I51</f>
        <v>0</v>
      </c>
      <c r="J51" s="428">
        <f>+COUNCIL!J51+MAYOR!J51+SPEAKER!J51+MM!J51+CORP!J51+PROP!J51+RATES!J51+THALL!J51+FIN!J51+SOCIAL!J51+CEMETERY!J51+LIBRARIES!J52+HOUSING!K51+TRAFFIC!J51+PARKS!J51+REFUSE!J51+SEWAGE!J51+PWORKS!J51+WATER!J51+ELECTRIC!J51+PLANNING!J51</f>
        <v>0</v>
      </c>
      <c r="K51" s="428">
        <f>+COUNCIL!K51+MAYOR!K51+SPEAKER!K51+MM!K51+CORP!K51+PROP!K51+RATES!K51+THALL!K51+FIN!K51+SOCIAL!K51+CEMETERY!K51+LIBRARIES!K52+HOUSING!L51+TRAFFIC!K51+PARKS!K51+REFUSE!K51+SEWAGE!K51+PWORKS!K51+WATER!K51+ELECTRIC!K51+PLANNING!K51</f>
        <v>0</v>
      </c>
    </row>
    <row r="52" spans="1:11" s="285" customFormat="1" x14ac:dyDescent="0.25">
      <c r="A52" s="468"/>
      <c r="B52" s="468"/>
      <c r="C52" s="94" t="s">
        <v>90</v>
      </c>
      <c r="D52" s="428">
        <f>+COUNCIL!D52+MAYOR!D52+SPEAKER!D52+MM!D52+CORP!D52+PROP!D52+RATES!D52+THALL!D52+FIN!D52+SOCIAL!D52+CEMETERY!D52+LIBRARIES!D52+HOUSING!D52+TRAFFIC!D52+PARKS!D52+REFUSE!D52+SEWAGE!D52+PWORKS!D52+WATER!D52+ELECTRIC!D52</f>
        <v>135000</v>
      </c>
      <c r="E52" s="428">
        <f>+COUNCIL!E52+MAYOR!E52+SPEAKER!E52+MM!E52+CORP!E52+PROP!E52+RATES!E52+THALL!E52+FIN!E52+SOCIAL!E52+CEMETERY!E52+LIBRARIES!E52+HOUSING!E52+TRAFFIC!E52+PARKS!E52+REFUSE!E52+SEWAGE!E52+PWORKS!E52+WATER!E52+ELECTRIC!E52</f>
        <v>190000</v>
      </c>
      <c r="F52" s="428">
        <f>+COUNCIL!F52+MAYOR!F52+SPEAKER!F52+MM!F52+CORP!F52+PROP!F52+RATES!F52+THALL!F52+FIN!F52+SOCIAL!F52+CEMETERY!F52+LIBRARIES!F52+HOUSING!F52+TRAFFIC!F52+PARKS!F52+REFUSE!F52+SEWAGE!F52+PWORKS!F52+WATER!F52+ELECTRIC!F52</f>
        <v>230000</v>
      </c>
      <c r="G52" s="428">
        <f>+COUNCIL!G52+MAYOR!G52+SPEAKER!G52+MM!G52+CORP!G52+PROP!G52+RATES!G52+THALL!G52+FIN!G52+SOCIAL!G52+CEMETERY!G52+LIBRARIES!G52+HOUSING!G52+TRAFFIC!G52+PARKS!G52+REFUSE!G52+SEWAGE!G52+PWORKS!G52+WATER!G52+ELECTRIC!G52</f>
        <v>230000</v>
      </c>
      <c r="H52" s="428">
        <f>+COUNCIL!H52+MAYOR!H52+SPEAKER!H52+MM!H52+CORP!H52+PROP!H52+RATES!H52+THALL!H52+FIN!H52+SOCIAL!H52+CEMETERY!H52+LIBRARIES!H52+HOUSING!I52+TRAFFIC!H52+PARKS!H52+REFUSE!H52+SEWAGE!H52+PWORKS!H52+WATER!H52+ELECTRIC!H52</f>
        <v>220000</v>
      </c>
      <c r="I52" s="428">
        <f>+COUNCIL!I52+MAYOR!I52+SPEAKER!I52+MM!I52+CORP!I52+PROP!I52+RATES!I52+THALL!I52+FIN!I52+SOCIAL!I52+CEMETERY!I52+LIBRARIES!I53+HOUSING!J52+TRAFFIC!I52+PARKS!I52+REFUSE!I52+SEWAGE!I52+PWORKS!I52+WATER!I52+ELECTRIC!I52+PLANNING!I52</f>
        <v>500000</v>
      </c>
      <c r="J52" s="428">
        <f>+COUNCIL!J52+MAYOR!J52+SPEAKER!J52+MM!J52+CORP!J52+PROP!J52+RATES!J52+THALL!J52+FIN!J52+SOCIAL!J52+CEMETERY!J52+LIBRARIES!J53+HOUSING!K52+TRAFFIC!J52+PARKS!J52+REFUSE!J52+SEWAGE!J52+PWORKS!J52+WATER!J52+ELECTRIC!J52+PLANNING!J52</f>
        <v>527500</v>
      </c>
      <c r="K52" s="428">
        <f>+COUNCIL!K52+MAYOR!K52+SPEAKER!K52+MM!K52+CORP!K52+PROP!K52+RATES!K52+THALL!K52+FIN!K52+SOCIAL!K52+CEMETERY!K52+LIBRARIES!K53+HOUSING!L52+TRAFFIC!K52+PARKS!K52+REFUSE!K52+SEWAGE!K52+PWORKS!K52+WATER!K52+ELECTRIC!K52+PLANNING!K52</f>
        <v>555457.5</v>
      </c>
    </row>
    <row r="53" spans="1:11" s="285" customFormat="1" x14ac:dyDescent="0.25">
      <c r="A53" s="468"/>
      <c r="B53" s="468"/>
      <c r="C53" s="94" t="s">
        <v>87</v>
      </c>
      <c r="D53" s="428">
        <f>+COUNCIL!D53+MAYOR!D53+SPEAKER!D53+MM!D53+CORP!D53+PROP!D53+RATES!D53+THALL!D53+FIN!D53+SOCIAL!D53+CEMETERY!D53+LIBRARIES!D53+HOUSING!D53+TRAFFIC!D53+PARKS!D53+REFUSE!D53+SEWAGE!D53+PWORKS!D53+WATER!D53+ELECTRIC!D53</f>
        <v>559234</v>
      </c>
      <c r="E53" s="428">
        <f>+COUNCIL!E53+MAYOR!E53+SPEAKER!E53+MM!E53+CORP!E53+PROP!E53+RATES!E53+THALL!E53+FIN!E53+SOCIAL!E53+CEMETERY!E53+LIBRARIES!E53+HOUSING!E53+TRAFFIC!E53+PARKS!E53+REFUSE!E53+SEWAGE!E53+PWORKS!E53+WATER!E53+ELECTRIC!E53</f>
        <v>1071350</v>
      </c>
      <c r="F53" s="428">
        <f>+COUNCIL!F53+MAYOR!F53+SPEAKER!F53+MM!F53+CORP!F53+PROP!F53+RATES!F53+THALL!F53+FIN!F53+SOCIAL!F53+CEMETERY!F53+LIBRARIES!F53+HOUSING!F53+TRAFFIC!F53+PARKS!F53+REFUSE!F53+SEWAGE!F53+PWORKS!F53+WATER!F53+ELECTRIC!F53</f>
        <v>1811350</v>
      </c>
      <c r="G53" s="428">
        <f>+COUNCIL!G53+MAYOR!G53+SPEAKER!G53+MM!G53+CORP!G53+PROP!G53+RATES!G53+THALL!G53+FIN!G53+SOCIAL!G53+CEMETERY!G53+LIBRARIES!G53+HOUSING!G53+TRAFFIC!G53+PARKS!G53+REFUSE!G53+SEWAGE!G53+PWORKS!G53+WATER!G53+ELECTRIC!G53</f>
        <v>1811350</v>
      </c>
      <c r="H53" s="428">
        <f>+COUNCIL!H53+MAYOR!H53+SPEAKER!H53+MM!H53+CORP!H53+PROP!H53+RATES!H53+THALL!H53+FIN!H53+SOCIAL!H53+CEMETERY!H53+LIBRARIES!H53+HOUSING!I53+TRAFFIC!H53+PARKS!H53+REFUSE!H53+SEWAGE!H53+PWORKS!H53+WATER!H53+ELECTRIC!H53</f>
        <v>1407000</v>
      </c>
      <c r="I53" s="428">
        <f>+COUNCIL!I53+MAYOR!I53+SPEAKER!I53+MM!I53+CORP!I53+PROP!I53+RATES!I53+THALL!I53+FIN!I53+SOCIAL!I53+CEMETERY!I53+LIBRARIES!I54+HOUSING!J53+TRAFFIC!I53+PARKS!I53+REFUSE!I53+SEWAGE!I53+PWORKS!I53+WATER!I53+ELECTRIC!I53+PLANNING!I53</f>
        <v>2747735.419999999</v>
      </c>
      <c r="J53" s="428">
        <f>+COUNCIL!J53+MAYOR!J53+SPEAKER!J53+MM!J53+CORP!J53+PROP!J53+RATES!J53+THALL!J53+FIN!J53+SOCIAL!J53+CEMETERY!J53+LIBRARIES!J54+HOUSING!K53+TRAFFIC!J53+PARKS!J53+REFUSE!J53+SEWAGE!J53+PWORKS!J53+WATER!J53+ELECTRIC!J53+PLANNING!J53</f>
        <v>2898860.8680999987</v>
      </c>
      <c r="K53" s="428">
        <f>+COUNCIL!K53+MAYOR!K53+SPEAKER!K53+MM!K53+CORP!K53+PROP!K53+RATES!K53+THALL!K53+FIN!K53+SOCIAL!K53+CEMETERY!K53+LIBRARIES!K54+HOUSING!L53+TRAFFIC!K53+PARKS!K53+REFUSE!K53+SEWAGE!K53+PWORKS!K53+WATER!K53+ELECTRIC!K53+PLANNING!K53</f>
        <v>3052500.4941092986</v>
      </c>
    </row>
    <row r="54" spans="1:11" s="285" customFormat="1" x14ac:dyDescent="0.25">
      <c r="A54" s="468"/>
      <c r="B54" s="468"/>
      <c r="C54" s="94" t="s">
        <v>89</v>
      </c>
      <c r="D54" s="428">
        <f>+COUNCIL!D54+MAYOR!D54+SPEAKER!D54+MM!D54+CORP!D54+PROP!D54+RATES!D54+THALL!D54+FIN!D54+SOCIAL!D54+CEMETERY!D54+LIBRARIES!D54+HOUSING!D54+TRAFFIC!D54+PARKS!D54+REFUSE!D54+SEWAGE!D54+PWORKS!D54+WATER!D54+ELECTRIC!D54</f>
        <v>10800</v>
      </c>
      <c r="E54" s="428">
        <f>+COUNCIL!E54+MAYOR!E54+SPEAKER!E54+MM!E54+CORP!E54+PROP!E54+RATES!E54+THALL!E54+FIN!E54+SOCIAL!E54+CEMETERY!E54+LIBRARIES!E54+HOUSING!E54+TRAFFIC!E54+PARKS!E54+REFUSE!E54+SEWAGE!E54+PWORKS!E54+WATER!E54+ELECTRIC!E54</f>
        <v>14000</v>
      </c>
      <c r="F54" s="428">
        <f>+COUNCIL!F54+MAYOR!F54+SPEAKER!F54+MM!F54+CORP!F54+PROP!F54+RATES!F54+THALL!F54+FIN!F54+SOCIAL!F54+CEMETERY!F54+LIBRARIES!F54+HOUSING!F54+TRAFFIC!F54+PARKS!F54+REFUSE!F54+SEWAGE!F54+PWORKS!F54+WATER!F54+ELECTRIC!F54</f>
        <v>14000</v>
      </c>
      <c r="G54" s="428">
        <f>+COUNCIL!G54+MAYOR!G54+SPEAKER!G54+MM!G54+CORP!G54+PROP!G54+RATES!G54+THALL!G54+FIN!G54+SOCIAL!G54+CEMETERY!G54+LIBRARIES!G54+HOUSING!G54+TRAFFIC!G54+PARKS!G54+REFUSE!G54+SEWAGE!G54+PWORKS!G54+WATER!G54+ELECTRIC!G54</f>
        <v>14000</v>
      </c>
      <c r="H54" s="428">
        <f>+COUNCIL!H54+MAYOR!H54+SPEAKER!H54+MM!H54+CORP!H54+PROP!H54+RATES!H54+THALL!H54+FIN!H54+SOCIAL!H54+CEMETERY!H54+LIBRARIES!H54+HOUSING!I54+TRAFFIC!H54+PARKS!H54+REFUSE!H54+SEWAGE!H54+PWORKS!H54+WATER!H54+ELECTRIC!H54</f>
        <v>14000</v>
      </c>
      <c r="I54" s="428">
        <f>+COUNCIL!I54+MAYOR!I54+SPEAKER!I54+MM!I54+CORP!I54+PROP!I54+RATES!I54+THALL!I54+FIN!I54+SOCIAL!I54+CEMETERY!I54+LIBRARIES!I55+HOUSING!J54+TRAFFIC!I54+PARKS!I54+REFUSE!I54+SEWAGE!I54+PWORKS!I54+WATER!I54+ELECTRIC!I54+PLANNING!I54</f>
        <v>14000</v>
      </c>
      <c r="J54" s="428">
        <f>+COUNCIL!J54+MAYOR!J54+SPEAKER!J54+MM!J54+CORP!J54+PROP!J54+RATES!J54+THALL!J54+FIN!J54+SOCIAL!J54+CEMETERY!J54+LIBRARIES!J55+HOUSING!K54+TRAFFIC!J54+PARKS!J54+REFUSE!J54+SEWAGE!J54+PWORKS!J54+WATER!J54+ELECTRIC!J54+PLANNING!J54</f>
        <v>14770</v>
      </c>
      <c r="K54" s="428">
        <f>+COUNCIL!K54+MAYOR!K54+SPEAKER!K54+MM!K54+CORP!K54+PROP!K54+RATES!K54+THALL!K54+FIN!K54+SOCIAL!K54+CEMETERY!K54+LIBRARIES!K55+HOUSING!L54+TRAFFIC!K54+PARKS!K54+REFUSE!K54+SEWAGE!K54+PWORKS!K54+WATER!K54+ELECTRIC!K54+PLANNING!K54</f>
        <v>15552.81</v>
      </c>
    </row>
    <row r="55" spans="1:11" s="285" customFormat="1" x14ac:dyDescent="0.25">
      <c r="A55" s="468"/>
      <c r="B55" s="468"/>
      <c r="C55" s="94" t="s">
        <v>93</v>
      </c>
      <c r="D55" s="428">
        <f>+COUNCIL!D55+MAYOR!D55+SPEAKER!D55+MM!D55+CORP!D55+PROP!D55+RATES!D55+THALL!D55+FIN!D55+SOCIAL!D55+CEMETERY!D55+LIBRARIES!D55+HOUSING!D55+TRAFFIC!D55+PARKS!D55+REFUSE!D55+SEWAGE!D55+PWORKS!D55+WATER!D55+ELECTRIC!D55</f>
        <v>210000</v>
      </c>
      <c r="E55" s="428">
        <f>+COUNCIL!E55+MAYOR!E55+SPEAKER!E55+MM!E55+CORP!E55+PROP!E55+RATES!E55+THALL!E55+FIN!E55+SOCIAL!E55+CEMETERY!E55+LIBRARIES!E55+HOUSING!E55+TRAFFIC!E55+PARKS!E55+REFUSE!E55+SEWAGE!E55+PWORKS!E55+WATER!E55+ELECTRIC!E55</f>
        <v>527500</v>
      </c>
      <c r="F55" s="428">
        <f>+COUNCIL!F55+MAYOR!F55+SPEAKER!F55+MM!F55+CORP!F55+PROP!F55+RATES!F55+THALL!F55+FIN!F55+SOCIAL!F55+CEMETERY!F55+LIBRARIES!F55+HOUSING!F55+TRAFFIC!F55+PARKS!F55+REFUSE!F55+SEWAGE!F55+PWORKS!F55+WATER!F55+ELECTRIC!F55</f>
        <v>627500</v>
      </c>
      <c r="G55" s="428">
        <f>+COUNCIL!G55+MAYOR!G55+SPEAKER!G55+MM!G55+CORP!G55+PROP!G55+RATES!G55+THALL!G55+FIN!G55+SOCIAL!G55+CEMETERY!G55+LIBRARIES!G55+HOUSING!G55+TRAFFIC!G55+PARKS!G55+REFUSE!G55+SEWAGE!G55+PWORKS!G55+WATER!G55+ELECTRIC!G55</f>
        <v>627500</v>
      </c>
      <c r="H55" s="428">
        <f>+COUNCIL!H55+MAYOR!H55+SPEAKER!H55+MM!H55+CORP!H55+PROP!H55+RATES!H55+THALL!H55+FIN!H55+SOCIAL!H55+CEMETERY!H55+LIBRARIES!H55+HOUSING!I55+TRAFFIC!H55+PARKS!H55+REFUSE!H55+SEWAGE!H55+PWORKS!H55+WATER!H55+ELECTRIC!H55</f>
        <v>600000</v>
      </c>
      <c r="I55" s="428">
        <f>+COUNCIL!I55+MAYOR!I55+SPEAKER!I55+MM!I55+CORP!I55+PROP!I55+RATES!I55+THALL!I55+FIN!I55+SOCIAL!I55+CEMETERY!I55+LIBRARIES!I56+HOUSING!J55+TRAFFIC!I55+PARKS!I55+REFUSE!I55+SEWAGE!I55+PWORKS!I55+WATER!I55+ELECTRIC!I55+PLANNING!I55</f>
        <v>660000</v>
      </c>
      <c r="J55" s="428">
        <f>+COUNCIL!J55+MAYOR!J55+SPEAKER!J55+MM!J55+CORP!J55+PROP!J55+RATES!J55+THALL!J55+FIN!J55+SOCIAL!J55+CEMETERY!J55+LIBRARIES!J56+HOUSING!K55+TRAFFIC!J55+PARKS!J55+REFUSE!J55+SEWAGE!J55+PWORKS!J55+WATER!J55+ELECTRIC!J55+PLANNING!J55</f>
        <v>696300</v>
      </c>
      <c r="K55" s="428">
        <f>+COUNCIL!K55+MAYOR!K55+SPEAKER!K55+MM!K55+CORP!K55+PROP!K55+RATES!K55+THALL!K55+FIN!K55+SOCIAL!K55+CEMETERY!K55+LIBRARIES!K56+HOUSING!L55+TRAFFIC!K55+PARKS!K55+REFUSE!K55+SEWAGE!K55+PWORKS!K55+WATER!K55+ELECTRIC!K55+PLANNING!K55</f>
        <v>733203.89999999991</v>
      </c>
    </row>
    <row r="56" spans="1:11" s="285" customFormat="1" x14ac:dyDescent="0.25">
      <c r="A56" s="468"/>
      <c r="B56" s="468"/>
      <c r="C56" s="94" t="s">
        <v>94</v>
      </c>
      <c r="D56" s="428">
        <f>+COUNCIL!D56+MAYOR!D56+SPEAKER!D56+MM!D56+CORP!D56+PROP!D56+RATES!D56+THALL!D56+FIN!D56+SOCIAL!D56+CEMETERY!D56+LIBRARIES!D56+HOUSING!D56+TRAFFIC!D56+PARKS!D56+REFUSE!D56+SEWAGE!D56+PWORKS!D56+WATER!D56+ELECTRIC!D56</f>
        <v>455278</v>
      </c>
      <c r="E56" s="428">
        <f>+COUNCIL!E56+MAYOR!E56+SPEAKER!E56+MM!E56+CORP!E56+PROP!E56+RATES!E56+THALL!E56+FIN!E56+SOCIAL!E56+CEMETERY!E56+LIBRARIES!E56+HOUSING!E56+TRAFFIC!E56+PARKS!E56+REFUSE!E56+SEWAGE!E56+PWORKS!E56+WATER!E56+ELECTRIC!E56</f>
        <v>860395</v>
      </c>
      <c r="F56" s="428">
        <f>+COUNCIL!F56+MAYOR!F56+SPEAKER!F56+MM!F56+CORP!F56+PROP!F56+RATES!F56+THALL!F56+FIN!F56+SOCIAL!F56+CEMETERY!F56+LIBRARIES!F56+HOUSING!F56+TRAFFIC!F56+PARKS!F56+REFUSE!F56+SEWAGE!F56+PWORKS!F56+WATER!F56+ELECTRIC!F56</f>
        <v>870395</v>
      </c>
      <c r="G56" s="428">
        <f>+COUNCIL!G56+MAYOR!G56+SPEAKER!G56+MM!G56+CORP!G56+PROP!G56+RATES!G56+THALL!G56+FIN!G56+SOCIAL!G56+CEMETERY!G56+LIBRARIES!G56+HOUSING!G56+TRAFFIC!G56+PARKS!G56+REFUSE!G56+SEWAGE!G56+PWORKS!G56+WATER!G56+ELECTRIC!G56</f>
        <v>870395</v>
      </c>
      <c r="H56" s="428">
        <f>+COUNCIL!H56+MAYOR!H56+SPEAKER!H56+MM!H56+CORP!H56+PROP!H56+RATES!H56+THALL!H56+FIN!H56+SOCIAL!H56+CEMETERY!H56+LIBRARIES!H56+HOUSING!I56+TRAFFIC!H56+PARKS!H56+REFUSE!H56+SEWAGE!H56+PWORKS!H56+WATER!H56+ELECTRIC!H56</f>
        <v>895000</v>
      </c>
      <c r="I56" s="428">
        <f>+COUNCIL!I56+MAYOR!I56+SPEAKER!I56+MM!I56+CORP!I56+PROP!I56+RATES!I56+THALL!I56+FIN!I56+SOCIAL!I56+CEMETERY!I56+LIBRARIES!I57+HOUSING!J56+TRAFFIC!I56+PARKS!I56+REFUSE!I56+SEWAGE!I56+PWORKS!I56+WATER!I56+ELECTRIC!I56+PLANNING!I56</f>
        <v>440000</v>
      </c>
      <c r="J56" s="428">
        <f>+COUNCIL!J56+MAYOR!J56+SPEAKER!J56+MM!J56+CORP!J56+PROP!J56+RATES!J56+THALL!J56+FIN!J56+SOCIAL!J56+CEMETERY!J56+LIBRARIES!J57+HOUSING!K56+TRAFFIC!J56+PARKS!J56+REFUSE!J56+SEWAGE!J56+PWORKS!J56+WATER!J56+ELECTRIC!J56+PLANNING!J56</f>
        <v>464200</v>
      </c>
      <c r="K56" s="428">
        <f>+COUNCIL!K56+MAYOR!K56+SPEAKER!K56+MM!K56+CORP!K56+PROP!K56+RATES!K56+THALL!K56+FIN!K56+SOCIAL!K56+CEMETERY!K56+LIBRARIES!K57+HOUSING!L56+TRAFFIC!K56+PARKS!K56+REFUSE!K56+SEWAGE!K56+PWORKS!K56+WATER!K56+ELECTRIC!K56+PLANNING!K56</f>
        <v>488802.6</v>
      </c>
    </row>
    <row r="57" spans="1:11" s="285" customFormat="1" x14ac:dyDescent="0.25">
      <c r="A57" s="468"/>
      <c r="B57" s="468"/>
      <c r="C57" s="94" t="s">
        <v>60</v>
      </c>
      <c r="D57" s="428">
        <f>+COUNCIL!D57+MAYOR!D57+SPEAKER!D57+MM!D57+CORP!D57+PROP!D57+RATES!D57+THALL!D57+FIN!D57+SOCIAL!D57+CEMETERY!D57+LIBRARIES!D57+HOUSING!D57+TRAFFIC!D57+PARKS!D57+REFUSE!D57+SEWAGE!D57+PWORKS!D57+WATER!D57+ELECTRIC!D57</f>
        <v>1533829</v>
      </c>
      <c r="E57" s="428">
        <f>+COUNCIL!E57+MAYOR!E57+SPEAKER!E57+MM!E57+CORP!E57+PROP!E57+RATES!E57+THALL!E57+FIN!E57+SOCIAL!E57+CEMETERY!E57+LIBRARIES!E57+HOUSING!E57+TRAFFIC!E57+PARKS!E57+REFUSE!E57+SEWAGE!E57+PWORKS!E57+WATER!E57+ELECTRIC!E57</f>
        <v>1769742.9956999999</v>
      </c>
      <c r="F57" s="428">
        <f>+COUNCIL!F57+MAYOR!F57+SPEAKER!F57+MM!F57+CORP!F57+PROP!F57+RATES!F57+THALL!F57+FIN!F57+SOCIAL!F57+CEMETERY!F57+LIBRARIES!F57+HOUSING!F57+TRAFFIC!F57+PARKS!F57+REFUSE!F57+SEWAGE!F57+PWORKS!F57+WATER!F57+ELECTRIC!F57</f>
        <v>1099742.9956999999</v>
      </c>
      <c r="G57" s="428">
        <f>+COUNCIL!G57+MAYOR!G57+SPEAKER!G57+MM!G57+CORP!G57+PROP!G57+RATES!G57+THALL!G57+FIN!G57+SOCIAL!G57+CEMETERY!G57+LIBRARIES!G57+HOUSING!G57+TRAFFIC!G57+PARKS!G57+REFUSE!G57+SEWAGE!G57+PWORKS!G57+WATER!G57+ELECTRIC!G57</f>
        <v>1099743.9956999999</v>
      </c>
      <c r="H57" s="428">
        <f>+COUNCIL!H57+MAYOR!H57+SPEAKER!H57+MM!H57+CORP!H57+PROP!H57+RATES!H57+THALL!H57+FIN!H57+SOCIAL!H57+CEMETERY!H57+LIBRARIES!H57+HOUSING!I57+TRAFFIC!H57+PARKS!H57+REFUSE!H57+SEWAGE!H57+PWORKS!H57+WATER!H57+ELECTRIC!H57</f>
        <v>1391890.1147699999</v>
      </c>
      <c r="I57" s="428">
        <f>+COUNCIL!I57+MAYOR!I57+SPEAKER!I57+MM!I57+CORP!I57+PROP!I57+RATES!I57+THALL!I57+FIN!I57+SOCIAL!I57+CEMETERY!I57+LIBRARIES!I58+HOUSING!J57+TRAFFIC!I57+PARKS!I57+REFUSE!I57+SEWAGE!I57+PWORKS!I57+WATER!I57+ELECTRIC!I57+PLANNING!I57</f>
        <v>1984560</v>
      </c>
      <c r="J57" s="428">
        <f>+COUNCIL!J57+MAYOR!J57+SPEAKER!J57+MM!J57+CORP!J57+PROP!J57+RATES!J57+THALL!J57+FIN!J57+SOCIAL!J57+CEMETERY!J57+LIBRARIES!J58+HOUSING!K57+TRAFFIC!J57+PARKS!J57+REFUSE!J57+SEWAGE!J57+PWORKS!J57+WATER!J57+ELECTRIC!J57+PLANNING!J57</f>
        <v>2093710.8</v>
      </c>
      <c r="K57" s="428">
        <f>+COUNCIL!K57+MAYOR!K57+SPEAKER!K57+MM!K57+CORP!K57+PROP!K57+RATES!K57+THALL!K57+FIN!K57+SOCIAL!K57+CEMETERY!K57+LIBRARIES!K58+HOUSING!L57+TRAFFIC!K57+PARKS!K57+REFUSE!K57+SEWAGE!K57+PWORKS!K57+WATER!K57+ELECTRIC!K57+PLANNING!K57</f>
        <v>2204677.4724000003</v>
      </c>
    </row>
    <row r="58" spans="1:11" s="285" customFormat="1" x14ac:dyDescent="0.25">
      <c r="A58" s="468"/>
      <c r="B58" s="468"/>
      <c r="C58" s="94" t="s">
        <v>186</v>
      </c>
      <c r="D58" s="428">
        <f>+COUNCIL!D58+MAYOR!D58+SPEAKER!D58+MM!D58+CORP!D58+PROP!D58+RATES!D58+THALL!D58+FIN!D58+SOCIAL!D58+CEMETERY!D58+LIBRARIES!D58+HOUSING!D58+TRAFFIC!D58+PARKS!D58+REFUSE!D58+SEWAGE!D58+PWORKS!D58+WATER!D58+ELECTRIC!D58</f>
        <v>0</v>
      </c>
      <c r="E58" s="428">
        <f>+COUNCIL!E58+MAYOR!E58+SPEAKER!E58+MM!E58+CORP!E58+PROP!E58+RATES!E58+THALL!E58+FIN!E58+SOCIAL!E58+CEMETERY!E58+LIBRARIES!E58+HOUSING!E58+TRAFFIC!E58+PARKS!E58+REFUSE!E58+SEWAGE!E58+PWORKS!E58+WATER!E58+ELECTRIC!E58</f>
        <v>0</v>
      </c>
      <c r="F58" s="428">
        <f>+COUNCIL!F58+MAYOR!F58+SPEAKER!F58+MM!F58+CORP!F58+PROP!F58+RATES!F58+THALL!F58+FIN!F58+SOCIAL!F58+CEMETERY!F58+LIBRARIES!F58+HOUSING!F58+TRAFFIC!F58+PARKS!F58+REFUSE!F58+SEWAGE!F58+PWORKS!F58+WATER!F58+ELECTRIC!F58</f>
        <v>0</v>
      </c>
      <c r="G58" s="428">
        <f>+COUNCIL!G58+MAYOR!G58+SPEAKER!G58+MM!G58+CORP!G58+PROP!G58+RATES!G58+THALL!G58+FIN!G58+SOCIAL!G58+CEMETERY!G58+LIBRARIES!G58+HOUSING!G58+TRAFFIC!G58+PARKS!G58+REFUSE!G58+SEWAGE!G58+PWORKS!G58+WATER!G58+ELECTRIC!G58</f>
        <v>0</v>
      </c>
      <c r="H58" s="428">
        <f>+COUNCIL!H58+MAYOR!H58+SPEAKER!H58+MM!H58+CORP!H58+PROP!H58+RATES!H58+THALL!H58+FIN!H58+SOCIAL!H58+CEMETERY!H58+LIBRARIES!H58+HOUSING!I58+TRAFFIC!H58+PARKS!H58+REFUSE!H58+SEWAGE!H58+PWORKS!H58+WATER!H58+ELECTRIC!H58</f>
        <v>0</v>
      </c>
      <c r="I58" s="428">
        <f>+COUNCIL!I58+MAYOR!I58+SPEAKER!I58+MM!I58+CORP!I58+PROP!I58+RATES!I58+THALL!I58+FIN!I58+SOCIAL!I58+CEMETERY!I58+LIBRARIES!I58+HOUSING!J58+TRAFFIC!I58+PARKS!I58+REFUSE!I58+SEWAGE!I58+PWORKS!I58+WATER!I58+ELECTRIC!I58</f>
        <v>0</v>
      </c>
      <c r="J58" s="428">
        <f>+COUNCIL!J58+MAYOR!J58+SPEAKER!J58+MM!J58+CORP!J58+PROP!J58+RATES!J58+THALL!J58+FIN!J58+SOCIAL!J58+CEMETERY!J58+LIBRARIES!J58+HOUSING!K58+TRAFFIC!J58+PARKS!J58+REFUSE!J58+SEWAGE!J58+PWORKS!J58+WATER!J58+ELECTRIC!J58</f>
        <v>0</v>
      </c>
      <c r="K58" s="428">
        <f>+COUNCIL!K58+MAYOR!K58+SPEAKER!K58+MM!K58+CORP!K58+PROP!K58+RATES!K58+THALL!K58+FIN!K58+SOCIAL!K58+CEMETERY!K58+LIBRARIES!K58+HOUSING!L58+TRAFFIC!K58+PARKS!K58+REFUSE!K58+SEWAGE!K58+PWORKS!K58+WATER!K58+ELECTRIC!K58</f>
        <v>0</v>
      </c>
    </row>
    <row r="59" spans="1:11" s="285" customFormat="1" ht="13.8" thickBot="1" x14ac:dyDescent="0.3">
      <c r="A59" s="468"/>
      <c r="B59" s="468"/>
      <c r="C59" s="106"/>
      <c r="D59" s="227">
        <f>SUM(D40:D58)</f>
        <v>9731848</v>
      </c>
      <c r="E59" s="227">
        <f>SUM(E40:E58)</f>
        <v>12110233.683799999</v>
      </c>
      <c r="F59" s="227">
        <f>SUM(F40:F58)</f>
        <v>16076700.683799999</v>
      </c>
      <c r="G59" s="565">
        <v>16133077.683800001</v>
      </c>
      <c r="H59" s="227">
        <f>SUM(H40:H58)</f>
        <v>14113616.42018</v>
      </c>
      <c r="I59" s="227">
        <f>SUM(I40:I58)</f>
        <v>24377793.199999996</v>
      </c>
      <c r="J59" s="227">
        <f>SUM(J40:J58)</f>
        <v>25629421.825999998</v>
      </c>
      <c r="K59" s="227">
        <f>SUM(K40:K58)</f>
        <v>26928747.508027993</v>
      </c>
    </row>
    <row r="60" spans="1:11" s="285" customFormat="1" x14ac:dyDescent="0.25">
      <c r="A60" s="468"/>
      <c r="B60" s="468"/>
      <c r="C60" s="332" t="s">
        <v>198</v>
      </c>
      <c r="D60" s="228">
        <v>0</v>
      </c>
      <c r="E60" s="373"/>
      <c r="F60" s="373"/>
      <c r="G60" s="444">
        <v>0</v>
      </c>
      <c r="H60" s="373"/>
      <c r="I60" s="373"/>
      <c r="J60" s="373"/>
      <c r="K60" s="335"/>
    </row>
    <row r="61" spans="1:11" s="285" customFormat="1" x14ac:dyDescent="0.25">
      <c r="A61" s="468"/>
      <c r="B61" s="468"/>
      <c r="C61" s="94" t="s">
        <v>334</v>
      </c>
      <c r="D61" s="428">
        <f>+COUNCIL!D61+MAYOR!D61+SPEAKER!D61+MM!D61+CORP!D61+PROP!D61+RATES!D61+THALL!D61+FIN!D61+SOCIAL!D61+CEMETERY!D61+LIBRARIES!D61+HOUSING!D61+TRAFFIC!D61+PARKS!D61+REFUSE!D61+SEWAGE!D61+PWORKS!D61+WATER!D61+ELECTRIC!D61</f>
        <v>0</v>
      </c>
      <c r="E61" s="428">
        <f>+COUNCIL!E61+MAYOR!E61+SPEAKER!E61+MM!E61+CORP!E61+PROP!E61+RATES!E61+THALL!E61+FIN!E61+SOCIAL!E61+CEMETERY!E61+LIBRARIES!E61+HOUSING!E61+TRAFFIC!E61+PARKS!E61+REFUSE!E61+SEWAGE!E61+PWORKS!E61+WATER!E61+ELECTRIC!E61</f>
        <v>0</v>
      </c>
      <c r="F61" s="428">
        <f>+COUNCIL!F61+MAYOR!F61+SPEAKER!F61+MM!F61+CORP!F61+PROP!F61+RATES!F61+THALL!F61+FIN!F61+SOCIAL!F61+CEMETERY!F61+LIBRARIES!F61+HOUSING!F61+TRAFFIC!F61+PARKS!F61+REFUSE!F61+SEWAGE!F61+PWORKS!F61+WATER!F61+ELECTRIC!F61</f>
        <v>0</v>
      </c>
      <c r="G61" s="428">
        <f>+COUNCIL!G61+MAYOR!G61+SPEAKER!G61+MM!G61+CORP!G61+PROP!G61+RATES!G61+THALL!G61+FIN!G61+SOCIAL!G61+CEMETERY!G61+LIBRARIES!G61+HOUSING!G61+TRAFFIC!G61+PARKS!G61+REFUSE!G61+SEWAGE!G61+PWORKS!G61+WATER!G61+ELECTRIC!G61</f>
        <v>0</v>
      </c>
      <c r="H61" s="428">
        <f>+COUNCIL!H61+MAYOR!H61+SPEAKER!H61+MM!H61+CORP!H61+PROP!H61+RATES!H61+THALL!H61+FIN!H61+SOCIAL!H61+CEMETERY!H61+LIBRARIES!H61+HOUSING!I61+TRAFFIC!H61+PARKS!H61+REFUSE!H61+SEWAGE!H61+PWORKS!H61+WATER!H61+ELECTRIC!H61</f>
        <v>0</v>
      </c>
      <c r="I61" s="428"/>
      <c r="J61" s="428"/>
      <c r="K61" s="428"/>
    </row>
    <row r="62" spans="1:11" s="285" customFormat="1" x14ac:dyDescent="0.25">
      <c r="A62" s="468"/>
      <c r="B62" s="468"/>
      <c r="C62" s="94" t="s">
        <v>335</v>
      </c>
      <c r="D62" s="428">
        <f>+COUNCIL!D62+MAYOR!D62+SPEAKER!D62+MM!D62+CORP!D62+PROP!D62+RATES!D62+THALL!D62+FIN!D62+SOCIAL!D62+CEMETERY!D62+LIBRARIES!D62+HOUSING!D62+TRAFFIC!D62+PARKS!D62+REFUSE!D62+SEWAGE!D62+PWORKS!D62+WATER!D62+ELECTRIC!D62</f>
        <v>352016</v>
      </c>
      <c r="E62" s="428">
        <f>+COUNCIL!E62+MAYOR!E62+SPEAKER!E62+MM!E62+CORP!E62+PROP!E62+RATES!E62+THALL!E62+FIN!E62+SOCIAL!E62+CEMETERY!E62+LIBRARIES!E62+HOUSING!E62+TRAFFIC!E62+PARKS!E62+REFUSE!E62+SEWAGE!E62+PWORKS!E62+WATER!E62+ELECTRIC!E62</f>
        <v>424200</v>
      </c>
      <c r="F62" s="428">
        <f>+COUNCIL!F62+MAYOR!F62+SPEAKER!F62+MM!F62+CORP!F62+PROP!F62+RATES!F62+THALL!F62+FIN!F62+SOCIAL!F62+CEMETERY!F62+LIBRARIES!F62+HOUSING!F62+TRAFFIC!F62+PARKS!F62+REFUSE!F62+SEWAGE!F62+PWORKS!F62+WATER!F62+ELECTRIC!F62</f>
        <v>1324200</v>
      </c>
      <c r="G62" s="428">
        <f>+COUNCIL!G62+MAYOR!G62+SPEAKER!G62+MM!G62+CORP!G62+PROP!G62+RATES!G62+THALL!G62+FIN!G62+SOCIAL!G62+CEMETERY!G62+LIBRARIES!G62+HOUSING!G62+TRAFFIC!G62+PARKS!G62+REFUSE!G62+SEWAGE!G62+PWORKS!G62+WATER!G62+ELECTRIC!G62</f>
        <v>2639919</v>
      </c>
      <c r="H62" s="428">
        <f>+COUNCIL!H62+MAYOR!H62+SPEAKER!H62+MM!H62+CORP!H62+PROP!H62+RATES!H62+THALL!H62+FIN!H62+SOCIAL!H62+CEMETERY!H62+LIBRARIES!H62+HOUSING!I62+TRAFFIC!H62+PARKS!H62+REFUSE!H62+SEWAGE!H62+PWORKS!H62+WATER!H62+ELECTRIC!H62</f>
        <v>1024201</v>
      </c>
      <c r="I62" s="428">
        <f>+COUNCIL!I62+MAYOR!I62+SPEAKER!I62+MM!I62+CORP!I62+PROP!I62+RATES!I62+THALL!I62+FIN!I62+SOCIAL!I62+CEMETERY!I62+LIBRARIES!I62+HOUSING!J62+TRAFFIC!I62+PARKS!I62+REFUSE!I62+SEWAGE!I62+PWORKS!I62+WATER!I62+ELECTRIC!I62</f>
        <v>745000</v>
      </c>
      <c r="J62" s="428">
        <f>+COUNCIL!J62+MAYOR!J62+SPEAKER!J62+MM!J62+CORP!J62+PROP!J62+RATES!J62+THALL!J62+FIN!J62+SOCIAL!J62+CEMETERY!J62+LIBRARIES!J62+HOUSING!K62+TRAFFIC!J62+PARKS!J62+REFUSE!J62+SEWAGE!J62+PWORKS!J62+WATER!J62+ELECTRIC!J62</f>
        <v>785975</v>
      </c>
      <c r="K62" s="428">
        <f>+COUNCIL!K62+MAYOR!K62+SPEAKER!K62+MM!K62+CORP!K62+PROP!K62+RATES!K62+THALL!K62+FIN!K62+SOCIAL!K62+CEMETERY!K62+LIBRARIES!K62+HOUSING!L62+TRAFFIC!K62+PARKS!K62+REFUSE!K62+SEWAGE!K62+PWORKS!K62+WATER!K62+ELECTRIC!K62</f>
        <v>827631.67499999993</v>
      </c>
    </row>
    <row r="63" spans="1:11" s="285" customFormat="1" ht="13.8" thickBot="1" x14ac:dyDescent="0.3">
      <c r="A63" s="468"/>
      <c r="B63" s="468"/>
      <c r="C63" s="94"/>
      <c r="D63" s="226">
        <v>352016</v>
      </c>
      <c r="E63" s="226">
        <f>E62</f>
        <v>424200</v>
      </c>
      <c r="F63" s="226">
        <f>F62</f>
        <v>1324200</v>
      </c>
      <c r="G63" s="565">
        <v>2537909</v>
      </c>
      <c r="H63" s="226">
        <f>H62</f>
        <v>1024201</v>
      </c>
      <c r="I63" s="226">
        <f>I62</f>
        <v>745000</v>
      </c>
      <c r="J63" s="226">
        <f>J62</f>
        <v>785975</v>
      </c>
      <c r="K63" s="226">
        <f>K62</f>
        <v>827631.67499999993</v>
      </c>
    </row>
    <row r="64" spans="1:11" s="285" customFormat="1" x14ac:dyDescent="0.25">
      <c r="A64" s="468"/>
      <c r="B64" s="468"/>
      <c r="C64" s="93" t="s">
        <v>61</v>
      </c>
      <c r="D64" s="225">
        <v>0</v>
      </c>
      <c r="E64" s="86"/>
      <c r="F64" s="86"/>
      <c r="G64" s="444">
        <v>0</v>
      </c>
      <c r="H64" s="86"/>
      <c r="I64" s="86"/>
      <c r="J64" s="86"/>
      <c r="K64" s="88"/>
    </row>
    <row r="65" spans="1:11" s="285" customFormat="1" x14ac:dyDescent="0.25">
      <c r="A65" s="468"/>
      <c r="B65" s="468"/>
      <c r="C65" s="94" t="s">
        <v>351</v>
      </c>
      <c r="D65" s="428">
        <f>+COUNCIL!D65+MAYOR!D65+SPEAKER!D65+MM!D65+CORP!D65+PROP!D65+RATES!D65+THALL!D65+FIN!D65+SOCIAL!D65+CEMETERY!D65+LIBRARIES!D65+HOUSING!D65+TRAFFIC!D65+PARKS!D65+REFUSE!D65+SEWAGE!D65+PWORKS!D65+WATER!D65+ELECTRIC!D65</f>
        <v>715000</v>
      </c>
      <c r="E65" s="428">
        <f>+COUNCIL!E65+MAYOR!E65+SPEAKER!E65+MM!E65+CORP!E65+PROP!E65+RATES!E65+THALL!E65+FIN!E65+SOCIAL!E65+CEMETERY!E65+LIBRARIES!E65+HOUSING!E65+TRAFFIC!E65+PARKS!E65+REFUSE!E65+SEWAGE!E65+PWORKS!E65+WATER!E65+ELECTRIC!E65</f>
        <v>0</v>
      </c>
      <c r="F65" s="428">
        <f>+COUNCIL!F65+MAYOR!F65+SPEAKER!F65+MM!F65+CORP!F65+PROP!F65+RATES!F65+THALL!F65+FIN!F65+SOCIAL!F65+CEMETERY!F65+LIBRARIES!F65+HOUSING!F65+TRAFFIC!F65+PARKS!F65+REFUSE!F65+SEWAGE!F65+PWORKS!F65+WATER!F65+ELECTRIC!F65</f>
        <v>0</v>
      </c>
      <c r="G65" s="428">
        <f>+COUNCIL!G65+MAYOR!G65+SPEAKER!G65+MM!G65+CORP!G65+PROP!G65+RATES!G65+THALL!G65+FIN!G65+SOCIAL!G65+CEMETERY!G65+LIBRARIES!G65+HOUSING!G65+TRAFFIC!G65+PARKS!G65+REFUSE!G65+SEWAGE!G65+PWORKS!G65+WATER!G65+ELECTRIC!G65</f>
        <v>0</v>
      </c>
      <c r="H65" s="428">
        <f>+COUNCIL!H65+MAYOR!H65+SPEAKER!H65+MM!H65+CORP!H65+PROP!H65+RATES!H65+THALL!H65+FIN!H65+SOCIAL!H65+CEMETERY!H65+LIBRARIES!H65+HOUSING!I65+TRAFFIC!H65+PARKS!H65+REFUSE!H65+SEWAGE!H65+PWORKS!H65+WATER!H65+ELECTRIC!H65</f>
        <v>30000</v>
      </c>
      <c r="I65" s="428">
        <f>+COUNCIL!I65+MAYOR!I65+SPEAKER!I65+MM!I65+CORP!I65+PROP!I65+RATES!I65+THALL!I65+FIN!I65+SOCIAL!I65+CEMETERY!I65+LIBRARIES!I66+HOUSING!J65+TRAFFIC!I65+PARKS!I65+REFUSE!I65+SEWAGE!I65+PWORKS!I65+WATER!I65+ELECTRIC!I65+PLANNING!I65</f>
        <v>930000</v>
      </c>
      <c r="J65" s="428">
        <f>+COUNCIL!J65+MAYOR!J65+SPEAKER!J65+MM!J65+CORP!J65+PROP!J65+RATES!J65+THALL!J65+FIN!J65+SOCIAL!J65+CEMETERY!J65+LIBRARIES!J66+HOUSING!K65+TRAFFIC!J65+PARKS!J65+REFUSE!J65+SEWAGE!J65+PWORKS!J65+WATER!J65+ELECTRIC!J65+PLANNING!J65</f>
        <v>938300</v>
      </c>
      <c r="K65" s="428">
        <f>+COUNCIL!K65+MAYOR!K65+SPEAKER!K65+MM!K65+CORP!K65+PROP!K65+RATES!K65+THALL!K65+FIN!K65+SOCIAL!K65+CEMETERY!K65+LIBRARIES!K66+HOUSING!L65+TRAFFIC!K65+PARKS!K65+REFUSE!K65+SEWAGE!K65+PWORKS!K65+WATER!K65+ELECTRIC!K65+PLANNING!K65</f>
        <v>946654.9</v>
      </c>
    </row>
    <row r="66" spans="1:11" s="285" customFormat="1" ht="13.8" thickBot="1" x14ac:dyDescent="0.3">
      <c r="A66" s="468"/>
      <c r="B66" s="468"/>
      <c r="C66" s="94"/>
      <c r="D66" s="226">
        <v>715000</v>
      </c>
      <c r="E66" s="226">
        <f>E65</f>
        <v>0</v>
      </c>
      <c r="F66" s="226">
        <f>F65</f>
        <v>0</v>
      </c>
      <c r="G66" s="565">
        <v>0</v>
      </c>
      <c r="H66" s="226">
        <f>H65</f>
        <v>30000</v>
      </c>
      <c r="I66" s="226">
        <f>I65</f>
        <v>930000</v>
      </c>
      <c r="J66" s="226">
        <f>J65</f>
        <v>938300</v>
      </c>
      <c r="K66" s="226">
        <f>K65</f>
        <v>946654.9</v>
      </c>
    </row>
    <row r="67" spans="1:11" s="285" customFormat="1" x14ac:dyDescent="0.25">
      <c r="A67" s="468"/>
      <c r="B67" s="468"/>
      <c r="C67" s="93" t="s">
        <v>96</v>
      </c>
      <c r="D67" s="225">
        <v>0</v>
      </c>
      <c r="E67" s="86"/>
      <c r="F67" s="86"/>
      <c r="G67" s="444">
        <v>0</v>
      </c>
      <c r="H67" s="86"/>
      <c r="I67" s="86"/>
      <c r="J67" s="86"/>
      <c r="K67" s="88"/>
    </row>
    <row r="68" spans="1:11" s="285" customFormat="1" x14ac:dyDescent="0.25">
      <c r="A68" s="468"/>
      <c r="B68" s="468"/>
      <c r="C68" s="94" t="s">
        <v>97</v>
      </c>
      <c r="D68" s="428">
        <f>+COUNCIL!D68+MAYOR!D68+SPEAKER!D68+MM!D68+CORP!D68+PROP!D68+RATES!D68+THALL!D68+FIN!D68+SOCIAL!D68+CEMETERY!D68+LIBRARIES!D68+HOUSING!D68+TRAFFIC!D68+PARKS!D68+REFUSE!D68+SEWAGE!D68+PWORKS!D68+WATER!D68+ELECTRIC!D68</f>
        <v>24229431</v>
      </c>
      <c r="E68" s="428">
        <f>+COUNCIL!E68+MAYOR!E68+SPEAKER!E68+MM!E68+CORP!E68+PROP!E68+RATES!E68+THALL!E68+FIN!E68+SOCIAL!E68+CEMETERY!E68+LIBRARIES!E68+HOUSING!E68+TRAFFIC!E68+PARKS!E68+REFUSE!E68+SEWAGE!E68+PWORKS!E68+WATER!E68+ELECTRIC!E68</f>
        <v>25272000</v>
      </c>
      <c r="F68" s="428">
        <f>+COUNCIL!F68+MAYOR!F68+SPEAKER!F68+MM!F68+CORP!F68+PROP!F68+RATES!F68+THALL!F68+FIN!F68+SOCIAL!F68+CEMETERY!F68+LIBRARIES!F68+HOUSING!F68+TRAFFIC!F68+PARKS!F68+REFUSE!F68+SEWAGE!F68+PWORKS!F68+WATER!F68+ELECTRIC!F68</f>
        <v>33272000</v>
      </c>
      <c r="G68" s="428">
        <f>+COUNCIL!G68+MAYOR!G68+SPEAKER!G68+MM!G68+CORP!G68+PROP!G68+RATES!G68+THALL!G68+FIN!G68+SOCIAL!G68+CEMETERY!G68+LIBRARIES!G68+HOUSING!G68+TRAFFIC!G68+PARKS!G68+REFUSE!G68+SEWAGE!G68+PWORKS!G68+WATER!G68+ELECTRIC!G68</f>
        <v>33272001</v>
      </c>
      <c r="H68" s="428">
        <f>+COUNCIL!H68+MAYOR!H68+SPEAKER!H68+MM!H68+CORP!H68+PROP!H68+RATES!H68+THALL!H68+FIN!H68+SOCIAL!H68+CEMETERY!H68+LIBRARIES!H68+HOUSING!I68+TRAFFIC!H68+PARKS!H68+REFUSE!H68+SEWAGE!H68+PWORKS!H68+WATER!H68+ELECTRIC!H68</f>
        <v>31599200</v>
      </c>
      <c r="I68" s="428">
        <f>+COUNCIL!I68+MAYOR!I68+SPEAKER!I68+MM!I68+CORP!I68+PROP!I68+RATES!I68+THALL!I68+FIN!I68+SOCIAL!I68+CEMETERY!I68+LIBRARIES!I69+HOUSING!J68+TRAFFIC!I68+PARKS!I68+REFUSE!I68+SEWAGE!I68+PWORKS!I68+WATER!I68+ELECTRIC!I68+PLANNING!I68</f>
        <v>33000000</v>
      </c>
      <c r="J68" s="428">
        <f>+COUNCIL!J68+MAYOR!J68+SPEAKER!J68+MM!J68+CORP!J68+PROP!J68+RATES!J68+THALL!J68+FIN!J68+SOCIAL!J68+CEMETERY!J68+LIBRARIES!J69+HOUSING!K68+TRAFFIC!J68+PARKS!J68+REFUSE!J68+SEWAGE!J68+PWORKS!J68+WATER!J68+ELECTRIC!J68+PLANNING!J68</f>
        <v>34815000</v>
      </c>
      <c r="K68" s="428">
        <f>+COUNCIL!K68+MAYOR!K68+SPEAKER!K68+MM!K68+CORP!K68+PROP!K68+RATES!K68+THALL!K68+FIN!K68+SOCIAL!K68+CEMETERY!K68+LIBRARIES!K69+HOUSING!L68+TRAFFIC!K68+PARKS!K68+REFUSE!K68+SEWAGE!K68+PWORKS!K68+WATER!K68+ELECTRIC!K68+PLANNING!K68</f>
        <v>36660195</v>
      </c>
    </row>
    <row r="69" spans="1:11" s="285" customFormat="1" x14ac:dyDescent="0.25">
      <c r="A69" s="468"/>
      <c r="B69" s="468"/>
      <c r="C69" s="94" t="s">
        <v>134</v>
      </c>
      <c r="D69" s="428">
        <f>+COUNCIL!D69+MAYOR!D69+SPEAKER!D69+MM!D69+CORP!D69+PROP!D69+RATES!D69+THALL!D69+FIN!D69+SOCIAL!D69+CEMETERY!D69+LIBRARIES!D69+HOUSING!D69+TRAFFIC!D69+PARKS!D69+REFUSE!D69+SEWAGE!D69+PWORKS!D69+WATER!D69+ELECTRIC!D69</f>
        <v>1836263</v>
      </c>
      <c r="E69" s="428">
        <f>+COUNCIL!E69+MAYOR!E69+SPEAKER!E69+MM!E69+CORP!E69+PROP!E69+RATES!E69+THALL!E69+FIN!E69+SOCIAL!E69+CEMETERY!E69+LIBRARIES!E69+HOUSING!E69+TRAFFIC!E69+PARKS!E69+REFUSE!E69+SEWAGE!E69+PWORKS!E69+WATER!E69+ELECTRIC!E69</f>
        <v>2162750</v>
      </c>
      <c r="F69" s="428">
        <f>+COUNCIL!F69+MAYOR!F69+SPEAKER!F69+MM!F69+CORP!F69+PROP!F69+RATES!F69+THALL!F69+FIN!F69+SOCIAL!F69+CEMETERY!F69+LIBRARIES!F69+HOUSING!F69+TRAFFIC!F69+PARKS!F69+REFUSE!F69+SEWAGE!F69+PWORKS!F69+WATER!F69+ELECTRIC!F69</f>
        <v>3362750</v>
      </c>
      <c r="G69" s="428">
        <f>+COUNCIL!G69+MAYOR!G69+SPEAKER!G69+MM!G69+CORP!G69+PROP!G69+RATES!G69+THALL!G69+FIN!G69+SOCIAL!G69+CEMETERY!G69+LIBRARIES!G69+HOUSING!G69+TRAFFIC!G69+PARKS!G69+REFUSE!G69+SEWAGE!G69+PWORKS!G69+WATER!G69+ELECTRIC!G69</f>
        <v>3362750</v>
      </c>
      <c r="H69" s="428">
        <f>+COUNCIL!H69+MAYOR!H69+SPEAKER!H69+MM!H69+CORP!H69+PROP!H69+RATES!H69+THALL!H69+FIN!H69+SOCIAL!H69+CEMETERY!H69+LIBRARIES!H69+HOUSING!I69+TRAFFIC!H69+PARKS!H69+REFUSE!H69+SEWAGE!H69+PWORKS!H69+WATER!H69+ELECTRIC!H69</f>
        <v>3699025</v>
      </c>
      <c r="I69" s="428">
        <f>+COUNCIL!I69+MAYOR!I69+SPEAKER!I69+MM!I69+CORP!I69+PROP!I69+RATES!I69+THALL!I69+FIN!I69+SOCIAL!I69+CEMETERY!I69+LIBRARIES!I70+HOUSING!J69+TRAFFIC!I69+PARKS!I69+REFUSE!I69+SEWAGE!I69+PWORKS!I69+WATER!I69+ELECTRIC!I69+PLANNING!I69</f>
        <v>5360200</v>
      </c>
      <c r="J69" s="428">
        <f>+COUNCIL!J69+MAYOR!J69+SPEAKER!J69+MM!J69+CORP!J69+PROP!J69+RATES!J69+THALL!J69+FIN!J69+SOCIAL!J69+CEMETERY!J69+LIBRARIES!J70+HOUSING!K69+TRAFFIC!J69+PARKS!J69+REFUSE!J69+SEWAGE!J69+PWORKS!J69+WATER!J69+ELECTRIC!J69+PLANNING!J69</f>
        <v>5655011</v>
      </c>
      <c r="K69" s="428">
        <f>+COUNCIL!K69+MAYOR!K69+SPEAKER!K69+MM!K69+CORP!K69+PROP!K69+RATES!K69+THALL!K69+FIN!K69+SOCIAL!K69+CEMETERY!K69+LIBRARIES!K70+HOUSING!L69+TRAFFIC!K69+PARKS!K69+REFUSE!K69+SEWAGE!K69+PWORKS!K69+WATER!K69+ELECTRIC!K69+PLANNING!K69</f>
        <v>5954726.5829999996</v>
      </c>
    </row>
    <row r="70" spans="1:11" s="285" customFormat="1" ht="13.8" thickBot="1" x14ac:dyDescent="0.3">
      <c r="A70" s="468"/>
      <c r="B70" s="468"/>
      <c r="C70" s="94"/>
      <c r="D70" s="227">
        <v>26065694</v>
      </c>
      <c r="E70" s="227">
        <f>SUM(E68:E69)</f>
        <v>27434750</v>
      </c>
      <c r="F70" s="227">
        <f>SUM(F68:F69)</f>
        <v>36634750</v>
      </c>
      <c r="G70" s="565">
        <v>36634751</v>
      </c>
      <c r="H70" s="227">
        <f>SUM(H68:H69)</f>
        <v>35298225</v>
      </c>
      <c r="I70" s="227">
        <f>SUM(I68:I69)</f>
        <v>38360200</v>
      </c>
      <c r="J70" s="227">
        <f>SUM(J68:J69)</f>
        <v>40470011</v>
      </c>
      <c r="K70" s="227">
        <f>SUM(K68:K69)</f>
        <v>42614921.582999997</v>
      </c>
    </row>
    <row r="71" spans="1:11" s="285" customFormat="1" x14ac:dyDescent="0.25">
      <c r="A71" s="468"/>
      <c r="B71" s="468"/>
      <c r="C71" s="93" t="s">
        <v>62</v>
      </c>
      <c r="D71" s="228">
        <v>0</v>
      </c>
      <c r="E71" s="113"/>
      <c r="F71" s="113"/>
      <c r="G71" s="444">
        <v>0</v>
      </c>
      <c r="H71" s="113"/>
      <c r="I71" s="113"/>
      <c r="J71" s="113"/>
      <c r="K71" s="336"/>
    </row>
    <row r="72" spans="1:11" s="285" customFormat="1" x14ac:dyDescent="0.25">
      <c r="A72" s="468"/>
      <c r="B72" s="468"/>
      <c r="C72" s="94" t="s">
        <v>259</v>
      </c>
      <c r="D72" s="428">
        <f>+COUNCIL!D72+MAYOR!D72+SPEAKER!D72+MM!D72+CORP!D72+PROP!D72+RATES!D72+THALL!D72+FIN!D72+SOCIAL!D72+CEMETERY!D72+LIBRARIES!D72+HOUSING!D72+TRAFFIC!D72+PARKS!D72+REFUSE!D72+SEWAGE!D72+PWORKS!D72+WATER!D72+ELECTRIC!D72</f>
        <v>1511241</v>
      </c>
      <c r="E72" s="428">
        <f>+COUNCIL!E72+MAYOR!E72+SPEAKER!E72+MM!E72+CORP!E72+PROP!E72+RATES!E72+THALL!E72+FIN!E72+SOCIAL!E72+CEMETERY!E72+LIBRARIES!E72+HOUSING!E72+TRAFFIC!E72+PARKS!E72+REFUSE!E72+SEWAGE!E72+PWORKS!E72+WATER!E72+ELECTRIC!E72</f>
        <v>1917720</v>
      </c>
      <c r="F72" s="428">
        <f>+COUNCIL!F72+MAYOR!F72+SPEAKER!F72+MM!F72+CORP!F72+PROP!F72+RATES!F72+THALL!F72+FIN!F72+SOCIAL!F72+CEMETERY!F72+LIBRARIES!F72+HOUSING!F72+TRAFFIC!F72+PARKS!F72+REFUSE!F72+SEWAGE!F72+PWORKS!F72+WATER!F72+ELECTRIC!F72</f>
        <v>2017720</v>
      </c>
      <c r="G72" s="428">
        <f>+COUNCIL!G72+MAYOR!G72+SPEAKER!G72+MM!G72+CORP!G72+PROP!G72+RATES!G72+THALL!G72+FIN!G72+SOCIAL!G72+CEMETERY!G72+LIBRARIES!G72+HOUSING!G72+TRAFFIC!G72+PARKS!G72+REFUSE!G72+SEWAGE!G72+PWORKS!G72+WATER!G72+ELECTRIC!G72</f>
        <v>2017720</v>
      </c>
      <c r="H72" s="428">
        <f>+COUNCIL!H72+MAYOR!H72+SPEAKER!H72+MM!H72+CORP!H72+PROP!H72+RATES!H72+THALL!H72+FIN!H72+SOCIAL!H72+CEMETERY!H72+LIBRARIES!H72+HOUSING!I72+TRAFFIC!H72+PARKS!H72+REFUSE!H72+SEWAGE!H72+PWORKS!H72+WATER!H72+ELECTRIC!H72</f>
        <v>2548300</v>
      </c>
      <c r="I72" s="428">
        <f>+COUNCIL!I72+MAYOR!I72+SPEAKER!I72+MM!I72+CORP!I72+PROP!I72+RATES!I72+THALL!I72+FIN!I72+SOCIAL!I72+CEMETERY!I72+LIBRARIES!I73+HOUSING!J72+TRAFFIC!I72+PARKS!I72+REFUSE!I72+SEWAGE!I72+PWORKS!I72+WATER!I72+ELECTRIC!I72+PLANNING!I72</f>
        <v>2753487</v>
      </c>
      <c r="J72" s="428">
        <f>+COUNCIL!J72+MAYOR!J72+SPEAKER!J72+MM!J72+CORP!J72+PROP!J72+RATES!J72+THALL!J72+FIN!J72+SOCIAL!J72+CEMETERY!J72+LIBRARIES!J73+HOUSING!K72+TRAFFIC!J72+PARKS!J72+REFUSE!J72+SEWAGE!J72+PWORKS!J72+WATER!J72+ELECTRIC!J72+PLANNING!J72</f>
        <v>2952928.7850000001</v>
      </c>
      <c r="K72" s="428">
        <f>+COUNCIL!K72+MAYOR!K72+SPEAKER!K72+MM!K72+CORP!K72+PROP!K72+RATES!K72+THALL!K72+FIN!K72+SOCIAL!K72+CEMETERY!K72+LIBRARIES!K73+HOUSING!L72+TRAFFIC!K72+PARKS!K72+REFUSE!K72+SEWAGE!K72+PWORKS!K72+WATER!K72+ELECTRIC!K72+PLANNING!K72</f>
        <v>3106890.010605</v>
      </c>
    </row>
    <row r="73" spans="1:11" s="285" customFormat="1" x14ac:dyDescent="0.25">
      <c r="A73" s="468"/>
      <c r="B73" s="468"/>
      <c r="C73" s="94" t="s">
        <v>63</v>
      </c>
      <c r="D73" s="428">
        <f>+COUNCIL!D73+MAYOR!D73+SPEAKER!D73+MM!D73+CORP!D73+PROP!D73+RATES!D73+THALL!D73+FIN!D73+SOCIAL!D73+CEMETERY!D73+LIBRARIES!D73+HOUSING!D73+TRAFFIC!D73+PARKS!D73+REFUSE!D73+SEWAGE!D73+PWORKS!D73+WATER!D73+ELECTRIC!D73</f>
        <v>308956</v>
      </c>
      <c r="E73" s="428">
        <f>+COUNCIL!E73+MAYOR!E73+SPEAKER!E73+MM!E73+CORP!E73+PROP!E73+RATES!E73+THALL!E73+FIN!E73+SOCIAL!E73+CEMETERY!E73+LIBRARIES!E73+HOUSING!E73+TRAFFIC!E73+PARKS!E73+REFUSE!E73+SEWAGE!E73+PWORKS!E73+WATER!E73+ELECTRIC!E73</f>
        <v>280561</v>
      </c>
      <c r="F73" s="428">
        <f>+COUNCIL!F73+MAYOR!F73+SPEAKER!F73+MM!F73+CORP!F73+PROP!F73+RATES!F73+THALL!F73+FIN!F73+SOCIAL!F73+CEMETERY!F73+LIBRARIES!F73+HOUSING!F73+TRAFFIC!F73+PARKS!F73+REFUSE!F73+SEWAGE!F73+PWORKS!F73+WATER!F73+ELECTRIC!F73</f>
        <v>182921</v>
      </c>
      <c r="G73" s="428">
        <f>+COUNCIL!G73+MAYOR!G73+SPEAKER!G73+MM!G73+CORP!G73+PROP!G73+RATES!G73+THALL!G73+FIN!G73+SOCIAL!G73+CEMETERY!G73+LIBRARIES!G73+HOUSING!G73+TRAFFIC!G73+PARKS!G73+REFUSE!G73+SEWAGE!G73+PWORKS!G73+WATER!G73+ELECTRIC!G73</f>
        <v>182921</v>
      </c>
      <c r="H73" s="428">
        <f>+COUNCIL!H73+MAYOR!H73+SPEAKER!H73+MM!H73+CORP!H73+PROP!H73+RATES!H73+THALL!H73+FIN!H73+SOCIAL!H73+CEMETERY!H73+LIBRARIES!H73+HOUSING!I73+TRAFFIC!H73+PARKS!H73+REFUSE!H73+SEWAGE!H73+PWORKS!H73+WATER!H73+ELECTRIC!H73</f>
        <v>995610.40000000014</v>
      </c>
      <c r="I73" s="428">
        <f>+COUNCIL!I73+MAYOR!I73+SPEAKER!I73+MM!I73+CORP!I73+PROP!I73+RATES!I73+THALL!I73+FIN!I73+SOCIAL!I73+CEMETERY!I73+LIBRARIES!I74+HOUSING!J73+TRAFFIC!I73+PARKS!I73+REFUSE!I73+SEWAGE!I73+PWORKS!I73+WATER!I73+ELECTRIC!I73+PLANNING!I73</f>
        <v>515000</v>
      </c>
      <c r="J73" s="428">
        <f>+COUNCIL!J73+MAYOR!J73+SPEAKER!J73+MM!J73+CORP!J73+PROP!J73+RATES!J73+THALL!J73+FIN!J73+SOCIAL!J73+CEMETERY!J73+LIBRARIES!J74+HOUSING!K73+TRAFFIC!J73+PARKS!J73+REFUSE!J73+SEWAGE!J73+PWORKS!J73+WATER!J73+ELECTRIC!J73+PLANNING!J73</f>
        <v>543325</v>
      </c>
      <c r="K73" s="428">
        <f>+COUNCIL!K73+MAYOR!K73+SPEAKER!K73+MM!K73+CORP!K73+PROP!K73+RATES!K73+THALL!K73+FIN!K73+SOCIAL!K73+CEMETERY!K73+LIBRARIES!K74+HOUSING!L73+TRAFFIC!K73+PARKS!K73+REFUSE!K73+SEWAGE!K73+PWORKS!K73+WATER!K73+ELECTRIC!K73+PLANNING!K73</f>
        <v>572121.22499999998</v>
      </c>
    </row>
    <row r="74" spans="1:11" s="285" customFormat="1" x14ac:dyDescent="0.25">
      <c r="A74" s="468"/>
      <c r="B74" s="468"/>
      <c r="C74" s="94" t="s">
        <v>260</v>
      </c>
      <c r="D74" s="428">
        <f>+COUNCIL!D74+MAYOR!D74+SPEAKER!D74+MM!D74+CORP!D74+PROP!D74+RATES!D74+THALL!D74+FIN!D74+SOCIAL!D74+CEMETERY!D74+LIBRARIES!D74+HOUSING!D74+TRAFFIC!D74+PARKS!D74+REFUSE!D74+SEWAGE!D74+PWORKS!D74+WATER!D74+ELECTRIC!D74</f>
        <v>3031844</v>
      </c>
      <c r="E74" s="428">
        <f>+COUNCIL!E74+MAYOR!E74+SPEAKER!E74+MM!E74+CORP!E74+PROP!E74+RATES!E74+THALL!E74+FIN!E74+SOCIAL!E74+CEMETERY!E74+LIBRARIES!E74+HOUSING!E74+TRAFFIC!E74+PARKS!E74+REFUSE!E74+SEWAGE!E74+PWORKS!E74+WATER!E74+ELECTRIC!E74</f>
        <v>3259634.5150000001</v>
      </c>
      <c r="F74" s="428">
        <f>+COUNCIL!F74+MAYOR!F74+SPEAKER!F74+MM!F74+CORP!F74+PROP!F74+RATES!F74+THALL!F74+FIN!F74+SOCIAL!F74+CEMETERY!F74+LIBRARIES!F74+HOUSING!F74+TRAFFIC!F74+PARKS!F74+REFUSE!F74+SEWAGE!F74+PWORKS!F74+WATER!F74+ELECTRIC!F74</f>
        <v>3281634.5150000001</v>
      </c>
      <c r="G74" s="428">
        <f>+COUNCIL!G74+MAYOR!G74+SPEAKER!G74+MM!G74+CORP!G74+PROP!G74+RATES!G74+THALL!G74+FIN!G74+SOCIAL!G74+CEMETERY!G74+LIBRARIES!G74+HOUSING!G74+TRAFFIC!G74+PARKS!G74+REFUSE!G74+SEWAGE!G74+PWORKS!G74+WATER!G74+ELECTRIC!G74</f>
        <v>3281634.5150000001</v>
      </c>
      <c r="H74" s="428">
        <f>+COUNCIL!H74+MAYOR!H74+SPEAKER!H74+MM!H74+CORP!H74+PROP!H74+RATES!H74+THALL!H74+FIN!H74+SOCIAL!H74+CEMETERY!H74+LIBRARIES!H74+HOUSING!I74+TRAFFIC!H74+PARKS!H74+REFUSE!H74+SEWAGE!H74+PWORKS!H74+WATER!H74+ELECTRIC!H74</f>
        <v>3591686.9665000001</v>
      </c>
      <c r="I74" s="428">
        <f>+COUNCIL!I74+MAYOR!I74+SPEAKER!I74+MM!I74+CORP!I74+PROP!I74+RATES!I74+THALL!I74+FIN!I74+SOCIAL!I74+CEMETERY!I74+LIBRARIES!I75+HOUSING!J74+TRAFFIC!I74+PARKS!I74+REFUSE!I74+SEWAGE!I74+PWORKS!I74+WATER!I74+ELECTRIC!I74+PLANNING!I74</f>
        <v>3466486</v>
      </c>
      <c r="J74" s="428">
        <f>+COUNCIL!J74+MAYOR!J74+SPEAKER!J74+MM!J74+CORP!J74+PROP!J74+RATES!J74+THALL!J74+FIN!J74+SOCIAL!J74+CEMETERY!J74+LIBRARIES!J75+HOUSING!K74+TRAFFIC!J74+PARKS!J74+REFUSE!J74+SEWAGE!J74+PWORKS!J74+WATER!J74+ELECTRIC!J74+PLANNING!J74</f>
        <v>3657142.73</v>
      </c>
      <c r="K74" s="428">
        <f>+COUNCIL!K74+MAYOR!K74+SPEAKER!K74+MM!K74+CORP!K74+PROP!K74+RATES!K74+THALL!K74+FIN!K74+SOCIAL!K74+CEMETERY!K74+LIBRARIES!K75+HOUSING!L74+TRAFFIC!K74+PARKS!K74+REFUSE!K74+SEWAGE!K74+PWORKS!K74+WATER!K74+ELECTRIC!K74+PLANNING!K74</f>
        <v>3850971.2946899999</v>
      </c>
    </row>
    <row r="75" spans="1:11" s="285" customFormat="1" x14ac:dyDescent="0.25">
      <c r="A75" s="468"/>
      <c r="B75" s="468"/>
      <c r="C75" s="94" t="s">
        <v>261</v>
      </c>
      <c r="D75" s="428">
        <f>+COUNCIL!D75+MAYOR!D75+SPEAKER!D75+MM!D75+CORP!D75+PROP!D75+RATES!D75+THALL!D75+FIN!D75+SOCIAL!D75+CEMETERY!D75+LIBRARIES!D75+HOUSING!D75+TRAFFIC!D75+PARKS!D75+REFUSE!D75+SEWAGE!D75+PWORKS!D75+WATER!D75+ELECTRIC!D75</f>
        <v>129438</v>
      </c>
      <c r="E75" s="428">
        <f>+COUNCIL!E75+MAYOR!E75+SPEAKER!E75+MM!E75+CORP!E75+PROP!E75+RATES!E75+THALL!E75+FIN!E75+SOCIAL!E75+CEMETERY!E75+LIBRARIES!E75+HOUSING!E75+TRAFFIC!E75+PARKS!E75+REFUSE!E75+SEWAGE!E75+PWORKS!E75+WATER!E75+ELECTRIC!E75</f>
        <v>271747.40500000003</v>
      </c>
      <c r="F75" s="428">
        <f>+COUNCIL!F75+MAYOR!F75+SPEAKER!F75+MM!F75+CORP!F75+PROP!F75+RATES!F75+THALL!F75+FIN!F75+SOCIAL!F75+CEMETERY!F75+LIBRARIES!F75+HOUSING!F75+TRAFFIC!F75+PARKS!F75+REFUSE!F75+SEWAGE!F75+PWORKS!F75+WATER!F75+ELECTRIC!F75</f>
        <v>351394</v>
      </c>
      <c r="G75" s="428">
        <f>+COUNCIL!G75+MAYOR!G75+SPEAKER!G75+MM!G75+CORP!G75+PROP!G75+RATES!G75+THALL!G75+FIN!G75+SOCIAL!G75+CEMETERY!G75+LIBRARIES!G75+HOUSING!G75+TRAFFIC!G75+PARKS!G75+REFUSE!G75+SEWAGE!G75+PWORKS!G75+WATER!G75+ELECTRIC!G75</f>
        <v>351394</v>
      </c>
      <c r="H75" s="428">
        <f>+COUNCIL!H75+MAYOR!H75+SPEAKER!H75+MM!H75+CORP!H75+PROP!H75+RATES!H75+THALL!H75+FIN!H75+SOCIAL!H75+CEMETERY!H75+LIBRARIES!H75+HOUSING!I75+TRAFFIC!H75+PARKS!H75+REFUSE!H75+SEWAGE!H75+PWORKS!H75+WATER!H75+ELECTRIC!H75</f>
        <v>570000</v>
      </c>
      <c r="I75" s="428">
        <f>+COUNCIL!I75+MAYOR!I75+SPEAKER!I75+MM!I75+CORP!I75+PROP!I75+RATES!I75+THALL!I75+FIN!I75+SOCIAL!I75+CEMETERY!I75+LIBRARIES!I76+HOUSING!J75+TRAFFIC!I75+PARKS!I75+REFUSE!I75+SEWAGE!I75+PWORKS!I75+WATER!I75+ELECTRIC!I75+PLANNING!I75</f>
        <v>256300</v>
      </c>
      <c r="J75" s="428">
        <f>+COUNCIL!J75+MAYOR!J75+SPEAKER!J75+MM!J75+CORP!J75+PROP!J75+RATES!J75+THALL!J75+FIN!J75+SOCIAL!J75+CEMETERY!J75+LIBRARIES!J76+HOUSING!K75+TRAFFIC!J75+PARKS!J75+REFUSE!J75+SEWAGE!J75+PWORKS!J75+WATER!J75+ELECTRIC!J75+PLANNING!J75</f>
        <v>270396.5</v>
      </c>
      <c r="K75" s="428">
        <f>+COUNCIL!K75+MAYOR!K75+SPEAKER!K75+MM!K75+CORP!K75+PROP!K75+RATES!K75+THALL!K75+FIN!K75+SOCIAL!K75+CEMETERY!K75+LIBRARIES!K76+HOUSING!L75+TRAFFIC!K75+PARKS!K75+REFUSE!K75+SEWAGE!K75+PWORKS!K75+WATER!K75+ELECTRIC!K75+PLANNING!K75</f>
        <v>284727.51449999999</v>
      </c>
    </row>
    <row r="76" spans="1:11" s="285" customFormat="1" x14ac:dyDescent="0.25">
      <c r="A76" s="468"/>
      <c r="B76" s="468"/>
      <c r="C76" s="94" t="s">
        <v>262</v>
      </c>
      <c r="D76" s="428">
        <f>+COUNCIL!D76+MAYOR!D76+SPEAKER!D76+MM!D76+CORP!D76+PROP!D76+RATES!D76+THALL!D76+FIN!D76+SOCIAL!D76+CEMETERY!D76+LIBRARIES!D76+HOUSING!D76+TRAFFIC!D76+PARKS!D76+REFUSE!D76+SEWAGE!D76+PWORKS!D76+WATER!D76+ELECTRIC!D76</f>
        <v>0</v>
      </c>
      <c r="E76" s="428">
        <f>+COUNCIL!E76+MAYOR!E76+SPEAKER!E76+MM!E76+CORP!E76+PROP!E76+RATES!E76+THALL!E76+FIN!E76+SOCIAL!E76+CEMETERY!E76+LIBRARIES!E76+HOUSING!E76+TRAFFIC!E76+PARKS!E76+REFUSE!E76+SEWAGE!E76+PWORKS!E76+WATER!E76+ELECTRIC!E76</f>
        <v>0</v>
      </c>
      <c r="F76" s="428">
        <f>+COUNCIL!F76+MAYOR!F76+SPEAKER!F76+MM!F76+CORP!F76+PROP!F76+RATES!F76+THALL!F76+FIN!F76+SOCIAL!F76+CEMETERY!F76+LIBRARIES!F76+HOUSING!F76+TRAFFIC!F76+PARKS!F76+REFUSE!F76+SEWAGE!F76+PWORKS!F76+WATER!F76+ELECTRIC!F76</f>
        <v>0</v>
      </c>
      <c r="G76" s="428">
        <f>+COUNCIL!G76+MAYOR!G76+SPEAKER!G76+MM!G76+CORP!G76+PROP!G76+RATES!G76+THALL!G76+FIN!G76+SOCIAL!G76+CEMETERY!G76+LIBRARIES!G76+HOUSING!G76+TRAFFIC!G76+PARKS!G76+REFUSE!G76+SEWAGE!G76+PWORKS!G76+WATER!G76+ELECTRIC!G76</f>
        <v>0</v>
      </c>
      <c r="H76" s="428">
        <f>+COUNCIL!H76+MAYOR!H76+SPEAKER!H76+MM!H76+CORP!H76+PROP!H76+RATES!H76+THALL!H76+FIN!H76+SOCIAL!H76+CEMETERY!H76+LIBRARIES!H76+HOUSING!I76+TRAFFIC!H76+PARKS!H76+REFUSE!H76+SEWAGE!H76+PWORKS!H76+WATER!H76+ELECTRIC!H76</f>
        <v>0</v>
      </c>
      <c r="I76" s="428">
        <f>+COUNCIL!I76+MAYOR!I76+SPEAKER!I76+MM!I76+CORP!I76+PROP!I76+RATES!I76+THALL!I76+FIN!I76+SOCIAL!I76+CEMETERY!I76+LIBRARIES!I77+HOUSING!J76+TRAFFIC!I76+PARKS!I76+REFUSE!I76+SEWAGE!I76+PWORKS!I76+WATER!I76+ELECTRIC!I76+PLANNING!I76</f>
        <v>0</v>
      </c>
      <c r="J76" s="428">
        <f>+COUNCIL!J76+MAYOR!J76+SPEAKER!J76+MM!J76+CORP!J76+PROP!J76+RATES!J76+THALL!J76+FIN!J76+SOCIAL!J76+CEMETERY!J76+LIBRARIES!J77+HOUSING!K76+TRAFFIC!J76+PARKS!J76+REFUSE!J76+SEWAGE!J76+PWORKS!J76+WATER!J76+ELECTRIC!J76+PLANNING!J76</f>
        <v>0</v>
      </c>
      <c r="K76" s="428">
        <f>+COUNCIL!K76+MAYOR!K76+SPEAKER!K76+MM!K76+CORP!K76+PROP!K76+RATES!K76+THALL!K76+FIN!K76+SOCIAL!K76+CEMETERY!K76+LIBRARIES!K77+HOUSING!L76+TRAFFIC!K76+PARKS!K76+REFUSE!K76+SEWAGE!K76+PWORKS!K76+WATER!K76+ELECTRIC!K76+PLANNING!K76</f>
        <v>0</v>
      </c>
    </row>
    <row r="77" spans="1:11" s="285" customFormat="1" x14ac:dyDescent="0.25">
      <c r="A77" s="468"/>
      <c r="B77" s="468"/>
      <c r="C77" s="94" t="s">
        <v>263</v>
      </c>
      <c r="D77" s="428">
        <f>+COUNCIL!D77+MAYOR!D77+SPEAKER!D77+MM!D77+CORP!D77+PROP!D77+RATES!D77+THALL!D77+FIN!D77+SOCIAL!D77+CEMETERY!D77+LIBRARIES!D77+HOUSING!D77+TRAFFIC!D77+PARKS!D77+REFUSE!D77+SEWAGE!D77+PWORKS!D77+WATER!D77+ELECTRIC!D77</f>
        <v>19460</v>
      </c>
      <c r="E77" s="428">
        <f>+COUNCIL!E77+MAYOR!E77+SPEAKER!E77+MM!E77+CORP!E77+PROP!E77+RATES!E77+THALL!E77+FIN!E77+SOCIAL!E77+CEMETERY!E77+LIBRARIES!E77+HOUSING!E77+TRAFFIC!E77+PARKS!E77+REFUSE!E77+SEWAGE!E77+PWORKS!E77+WATER!E77+ELECTRIC!E77</f>
        <v>150000</v>
      </c>
      <c r="F77" s="428">
        <f>+COUNCIL!F77+MAYOR!F77+SPEAKER!F77+MM!F77+CORP!F77+PROP!F77+RATES!F77+THALL!F77+FIN!F77+SOCIAL!F77+CEMETERY!F77+LIBRARIES!F77+HOUSING!F77+TRAFFIC!F77+PARKS!F77+REFUSE!F77+SEWAGE!F77+PWORKS!F77+WATER!F77+ELECTRIC!F77</f>
        <v>127000</v>
      </c>
      <c r="G77" s="428">
        <f>+COUNCIL!G77+MAYOR!G77+SPEAKER!G77+MM!G77+CORP!G77+PROP!G77+RATES!G77+THALL!G77+FIN!G77+SOCIAL!G77+CEMETERY!G77+LIBRARIES!G77+HOUSING!G77+TRAFFIC!G77+PARKS!G77+REFUSE!G77+SEWAGE!G77+PWORKS!G77+WATER!G77+ELECTRIC!G77</f>
        <v>127000</v>
      </c>
      <c r="H77" s="428">
        <f>+COUNCIL!H77+MAYOR!H77+SPEAKER!H77+MM!H77+CORP!H77+PROP!H77+RATES!H77+THALL!H77+FIN!H77+SOCIAL!H77+CEMETERY!H77+LIBRARIES!H77+HOUSING!I77+TRAFFIC!H77+PARKS!H77+REFUSE!H77+SEWAGE!H77+PWORKS!H77+WATER!H77+ELECTRIC!H77</f>
        <v>133100</v>
      </c>
      <c r="I77" s="428">
        <f>+COUNCIL!I77+MAYOR!I77+SPEAKER!I77+MM!I77+CORP!I77+PROP!I77+RATES!I77+THALL!I77+FIN!I77+SOCIAL!I77+CEMETERY!I77+LIBRARIES!I78+HOUSING!J77+TRAFFIC!I77+PARKS!I77+REFUSE!I77+SEWAGE!I77+PWORKS!I77+WATER!I77+ELECTRIC!I77+PLANNING!I77</f>
        <v>162025.11428571423</v>
      </c>
      <c r="J77" s="428">
        <f>+COUNCIL!J77+MAYOR!J77+SPEAKER!J77+MM!J77+CORP!J77+PROP!J77+RATES!J77+THALL!J77+FIN!J77+SOCIAL!J77+CEMETERY!J77+LIBRARIES!J78+HOUSING!K77+TRAFFIC!J77+PARKS!J77+REFUSE!J77+SEWAGE!J77+PWORKS!J77+WATER!J77+ELECTRIC!J77+PLANNING!J77</f>
        <v>170936.4955714285</v>
      </c>
      <c r="K77" s="428">
        <f>+COUNCIL!K77+MAYOR!K77+SPEAKER!K77+MM!K77+CORP!K77+PROP!K77+RATES!K77+THALL!K77+FIN!K77+SOCIAL!K77+CEMETERY!K77+LIBRARIES!K78+HOUSING!L77+TRAFFIC!K77+PARKS!K77+REFUSE!K77+SEWAGE!K77+PWORKS!K77+WATER!K77+ELECTRIC!K77+PLANNING!K77</f>
        <v>179996.12983671422</v>
      </c>
    </row>
    <row r="78" spans="1:11" s="285" customFormat="1" x14ac:dyDescent="0.25">
      <c r="A78" s="468"/>
      <c r="B78" s="468"/>
      <c r="C78" s="94" t="s">
        <v>264</v>
      </c>
      <c r="D78" s="428">
        <f>+COUNCIL!D78+MAYOR!D78+SPEAKER!D78+MM!D78+CORP!D78+PROP!D78+RATES!D78+THALL!D78+FIN!D78+SOCIAL!D78+CEMETERY!D78+LIBRARIES!D78+HOUSING!D78+TRAFFIC!D78+PARKS!D78+REFUSE!D78+SEWAGE!D78+PWORKS!D78+WATER!D78+ELECTRIC!D78</f>
        <v>689201</v>
      </c>
      <c r="E78" s="428">
        <f>+COUNCIL!E78+MAYOR!E78+SPEAKER!E78+MM!E78+CORP!E78+PROP!E78+RATES!E78+THALL!E78+FIN!E78+SOCIAL!E78+CEMETERY!E78+LIBRARIES!E78+HOUSING!E78+TRAFFIC!E78+PARKS!E78+REFUSE!E78+SEWAGE!E78+PWORKS!E78+WATER!E78+ELECTRIC!E78</f>
        <v>3425365</v>
      </c>
      <c r="F78" s="428">
        <f>+COUNCIL!F78+MAYOR!F78+SPEAKER!F78+MM!F78+CORP!F78+PROP!F78+RATES!F78+THALL!F78+FIN!F78+SOCIAL!F78+CEMETERY!F78+LIBRARIES!F78+HOUSING!F78+TRAFFIC!F78+PARKS!F78+REFUSE!F78+SEWAGE!F78+PWORKS!F78+WATER!F78+ELECTRIC!F78</f>
        <v>3035365</v>
      </c>
      <c r="G78" s="428">
        <f>+COUNCIL!G78+MAYOR!G78+SPEAKER!G78+MM!G78+CORP!G78+PROP!G78+RATES!G78+THALL!G78+FIN!G78+SOCIAL!G78+CEMETERY!G78+LIBRARIES!G78+HOUSING!G78+TRAFFIC!G78+PARKS!G78+REFUSE!G78+SEWAGE!G78+PWORKS!G78+WATER!G78+ELECTRIC!G78</f>
        <v>3035365</v>
      </c>
      <c r="H78" s="428">
        <f>+COUNCIL!H78+MAYOR!H78+SPEAKER!H78+MM!H78+CORP!H78+PROP!H78+RATES!H78+THALL!H78+FIN!H78+SOCIAL!H78+CEMETERY!H78+LIBRARIES!H78+HOUSING!I78+TRAFFIC!H78+PARKS!H78+REFUSE!H78+SEWAGE!H78+PWORKS!H78+WATER!H78+ELECTRIC!H78</f>
        <v>2179986.7000000002</v>
      </c>
      <c r="I78" s="428">
        <f>+COUNCIL!I78+MAYOR!I78+SPEAKER!I78+MM!I78+CORP!I78+PROP!I78+RATES!I78+THALL!I78+FIN!I78+SOCIAL!I78+CEMETERY!I78+LIBRARIES!I79+HOUSING!J78+TRAFFIC!I78+PARKS!I78+REFUSE!I78+SEWAGE!I78+PWORKS!I78+WATER!I78+ELECTRIC!I78+PLANNING!I78</f>
        <v>1086578</v>
      </c>
      <c r="J78" s="428">
        <f>+COUNCIL!J78+MAYOR!J78+SPEAKER!J78+MM!J78+CORP!J78+PROP!J78+RATES!J78+THALL!J78+FIN!J78+SOCIAL!J78+CEMETERY!J78+LIBRARIES!J79+HOUSING!K78+TRAFFIC!J78+PARKS!J78+REFUSE!J78+SEWAGE!J78+PWORKS!J78+WATER!J78+ELECTRIC!J78+PLANNING!J78</f>
        <v>1145699.79</v>
      </c>
      <c r="K78" s="428">
        <f>+COUNCIL!K78+MAYOR!K78+SPEAKER!K78+MM!K78+CORP!K78+PROP!K78+RATES!K78+THALL!K78+FIN!K78+SOCIAL!K78+CEMETERY!K78+LIBRARIES!K79+HOUSING!L78+TRAFFIC!K78+PARKS!K78+REFUSE!K78+SEWAGE!K78+PWORKS!K78+WATER!K78+ELECTRIC!K78+PLANNING!K78</f>
        <v>1203771.8788700001</v>
      </c>
    </row>
    <row r="79" spans="1:11" s="285" customFormat="1" x14ac:dyDescent="0.25">
      <c r="A79" s="468"/>
      <c r="B79" s="468"/>
      <c r="C79" s="94" t="s">
        <v>265</v>
      </c>
      <c r="D79" s="428">
        <f>+COUNCIL!D79+MAYOR!D79+SPEAKER!D79+MM!D79+CORP!D79+PROP!D79+RATES!D79+THALL!D79+FIN!D79+SOCIAL!D79+CEMETERY!D79+LIBRARIES!D79+HOUSING!D79+TRAFFIC!D79+PARKS!D79+REFUSE!D79+SEWAGE!D79+PWORKS!D79+WATER!D79+ELECTRIC!D79</f>
        <v>192316</v>
      </c>
      <c r="E79" s="428">
        <f>+COUNCIL!E79+MAYOR!E79+SPEAKER!E79+MM!E79+CORP!E79+PROP!E79+RATES!E79+THALL!E79+FIN!E79+SOCIAL!E79+CEMETERY!E79+LIBRARIES!E79+HOUSING!E79+TRAFFIC!E79+PARKS!E79+REFUSE!E79+SEWAGE!E79+PWORKS!E79+WATER!E79+ELECTRIC!E79</f>
        <v>199807.47500000001</v>
      </c>
      <c r="F79" s="428">
        <f>+COUNCIL!F79+MAYOR!F79+SPEAKER!F79+MM!F79+CORP!F79+PROP!F79+RATES!F79+THALL!F79+FIN!F79+SOCIAL!F79+CEMETERY!F79+LIBRARIES!F79+HOUSING!F79+TRAFFIC!F79+PARKS!F79+REFUSE!F79+SEWAGE!F79+PWORKS!F79+WATER!F79+ELECTRIC!F79</f>
        <v>75807.475000000006</v>
      </c>
      <c r="G79" s="428">
        <f>+COUNCIL!G79+MAYOR!G79+SPEAKER!G79+MM!G79+CORP!G79+PROP!G79+RATES!G79+THALL!G79+FIN!G79+SOCIAL!G79+CEMETERY!G79+LIBRARIES!G79+HOUSING!G79+TRAFFIC!G79+PARKS!G79+REFUSE!G79+SEWAGE!G79+PWORKS!G79+WATER!G79+ELECTRIC!G79</f>
        <v>75807.475000000006</v>
      </c>
      <c r="H79" s="428">
        <f>+COUNCIL!H79+MAYOR!H79+SPEAKER!H79+MM!H79+CORP!H79+PROP!H79+RATES!H79+THALL!H79+FIN!H79+SOCIAL!H79+CEMETERY!H79+LIBRARIES!H79+HOUSING!I79+TRAFFIC!H79+PARKS!H79+REFUSE!H79+SEWAGE!H79+PWORKS!H79+WATER!H79+ELECTRIC!H79</f>
        <v>164185.5</v>
      </c>
      <c r="I79" s="428">
        <f>+COUNCIL!I79+MAYOR!I79+SPEAKER!I79+MM!I79+CORP!I79+PROP!I79+RATES!I79+THALL!I79+FIN!I79+SOCIAL!I79+CEMETERY!I79+LIBRARIES!I80+HOUSING!J79+TRAFFIC!I79+PARKS!I79+REFUSE!I79+SEWAGE!I79+PWORKS!I79+WATER!I79+ELECTRIC!I79+PLANNING!I79</f>
        <v>286846</v>
      </c>
      <c r="J79" s="428">
        <f>+COUNCIL!J79+MAYOR!J79+SPEAKER!J79+MM!J79+CORP!J79+PROP!J79+RATES!J79+THALL!J79+FIN!J79+SOCIAL!J79+CEMETERY!J79+LIBRARIES!J80+HOUSING!K79+TRAFFIC!J79+PARKS!J79+REFUSE!J79+SEWAGE!J79+PWORKS!J79+WATER!J79+ELECTRIC!J79+PLANNING!J79</f>
        <v>302622.52999999997</v>
      </c>
      <c r="K79" s="428">
        <f>+COUNCIL!K79+MAYOR!K79+SPEAKER!K79+MM!K79+CORP!K79+PROP!K79+RATES!K79+THALL!K79+FIN!K79+SOCIAL!K79+CEMETERY!K79+LIBRARIES!K80+HOUSING!L79+TRAFFIC!K79+PARKS!K79+REFUSE!K79+SEWAGE!K79+PWORKS!K79+WATER!K79+ELECTRIC!K79+PLANNING!K79</f>
        <v>318661.52408999996</v>
      </c>
    </row>
    <row r="80" spans="1:11" s="285" customFormat="1" x14ac:dyDescent="0.25">
      <c r="A80" s="468"/>
      <c r="B80" s="468"/>
      <c r="C80" s="94" t="s">
        <v>267</v>
      </c>
      <c r="D80" s="428">
        <f>+COUNCIL!D80+MAYOR!D80+SPEAKER!D80+MM!D80+CORP!D80+PROP!D80+RATES!D80+THALL!D80+FIN!D80+SOCIAL!D80+CEMETERY!D80+LIBRARIES!D80+HOUSING!D80+TRAFFIC!D80+PARKS!D80+REFUSE!D80+SEWAGE!D80+PWORKS!D80+WATER!D80+ELECTRIC!D80</f>
        <v>0</v>
      </c>
      <c r="E80" s="428">
        <f>+COUNCIL!E80+MAYOR!E80+SPEAKER!E80+MM!E80+CORP!E80+PROP!E80+RATES!E80+THALL!E80+FIN!E80+SOCIAL!E80+CEMETERY!E80+LIBRARIES!E80+HOUSING!E80+TRAFFIC!E80+PARKS!E80+REFUSE!E80+SEWAGE!E80+PWORKS!E80+WATER!E80+ELECTRIC!E80</f>
        <v>0</v>
      </c>
      <c r="F80" s="428">
        <f>+COUNCIL!F80+MAYOR!F80+SPEAKER!F80+MM!F80+CORP!F80+PROP!F80+RATES!F80+THALL!F80+FIN!F80+SOCIAL!F80+CEMETERY!F80+LIBRARIES!F80+HOUSING!F80+TRAFFIC!F80+PARKS!F80+REFUSE!F80+SEWAGE!F80+PWORKS!F80+WATER!F80+ELECTRIC!F80</f>
        <v>0</v>
      </c>
      <c r="G80" s="428">
        <f>+COUNCIL!G80+MAYOR!G80+SPEAKER!G80+MM!G80+CORP!G80+PROP!G80+RATES!G80+THALL!G80+FIN!G80+SOCIAL!G80+CEMETERY!G80+LIBRARIES!G80+HOUSING!G80+TRAFFIC!G80+PARKS!G80+REFUSE!G80+SEWAGE!G80+PWORKS!G80+WATER!G80+ELECTRIC!G80</f>
        <v>0</v>
      </c>
      <c r="H80" s="428">
        <f>+COUNCIL!H80+MAYOR!H80+SPEAKER!H80+MM!H80+CORP!H80+PROP!H80+RATES!H80+THALL!H80+FIN!H80+SOCIAL!H80+CEMETERY!H80+LIBRARIES!H80+HOUSING!I80+TRAFFIC!H80+PARKS!H80+REFUSE!H80+SEWAGE!H80+PWORKS!H80+WATER!H80+ELECTRIC!H80</f>
        <v>0</v>
      </c>
      <c r="I80" s="428">
        <f>+COUNCIL!I80+MAYOR!I80+SPEAKER!I80+MM!I80+CORP!I80+PROP!I80+RATES!I80+THALL!I80+FIN!I80+SOCIAL!I80+CEMETERY!I80+LIBRARIES!I81+HOUSING!J80+TRAFFIC!I80+PARKS!I80+REFUSE!I80+SEWAGE!I80+PWORKS!I80+WATER!I80+ELECTRIC!I80+PLANNING!I80</f>
        <v>0</v>
      </c>
      <c r="J80" s="428">
        <f>+COUNCIL!J80+MAYOR!J80+SPEAKER!J80+MM!J80+CORP!J80+PROP!J80+RATES!J80+THALL!J80+FIN!J80+SOCIAL!J80+CEMETERY!J80+LIBRARIES!J81+HOUSING!K80+TRAFFIC!J80+PARKS!J80+REFUSE!J80+SEWAGE!J80+PWORKS!J80+WATER!J80+ELECTRIC!J80+PLANNING!J80</f>
        <v>0</v>
      </c>
      <c r="K80" s="428">
        <f>+COUNCIL!K80+MAYOR!K80+SPEAKER!K80+MM!K80+CORP!K80+PROP!K80+RATES!K80+THALL!K80+FIN!K80+SOCIAL!K80+CEMETERY!K80+LIBRARIES!K81+HOUSING!L80+TRAFFIC!K80+PARKS!K80+REFUSE!K80+SEWAGE!K80+PWORKS!K80+WATER!K80+ELECTRIC!K80+PLANNING!K80</f>
        <v>0</v>
      </c>
    </row>
    <row r="81" spans="1:11" s="285" customFormat="1" x14ac:dyDescent="0.25">
      <c r="A81" s="468"/>
      <c r="B81" s="468"/>
      <c r="C81" s="94" t="s">
        <v>268</v>
      </c>
      <c r="D81" s="428">
        <f>+COUNCIL!D81+MAYOR!D81+SPEAKER!D81+MM!D81+CORP!D81+PROP!D81+RATES!D81+THALL!D81+FIN!D81+SOCIAL!D81+CEMETERY!D81+LIBRARIES!D81+HOUSING!D81+TRAFFIC!D81+PARKS!D81+REFUSE!D81+SEWAGE!D81+PWORKS!D81+WATER!D81+ELECTRIC!D81</f>
        <v>537144</v>
      </c>
      <c r="E81" s="428">
        <f>+COUNCIL!E81+MAYOR!E81+SPEAKER!E81+MM!E81+CORP!E81+PROP!E81+RATES!E81+THALL!E81+FIN!E81+SOCIAL!E81+CEMETERY!E81+LIBRARIES!E81+HOUSING!E81+TRAFFIC!E81+PARKS!E81+REFUSE!E81+SEWAGE!E81+PWORKS!E81+WATER!E81+ELECTRIC!E81</f>
        <v>609488</v>
      </c>
      <c r="F81" s="428">
        <f>+COUNCIL!F81+MAYOR!F81+SPEAKER!F81+MM!F81+CORP!F81+PROP!F81+RATES!F81+THALL!F81+FIN!F81+SOCIAL!F81+CEMETERY!F81+LIBRARIES!F81+HOUSING!F81+TRAFFIC!F81+PARKS!F81+REFUSE!F81+SEWAGE!F81+PWORKS!F81+WATER!F81+ELECTRIC!F81</f>
        <v>405488</v>
      </c>
      <c r="G81" s="428">
        <f>+COUNCIL!G81+MAYOR!G81+SPEAKER!G81+MM!G81+CORP!G81+PROP!G81+RATES!G81+THALL!G81+FIN!G81+SOCIAL!G81+CEMETERY!G81+LIBRARIES!G81+HOUSING!G81+TRAFFIC!G81+PARKS!G81+REFUSE!G81+SEWAGE!G81+PWORKS!G81+WATER!G81+ELECTRIC!G81</f>
        <v>405488</v>
      </c>
      <c r="H81" s="428">
        <f>+COUNCIL!H81+MAYOR!H81+SPEAKER!H81+MM!H81+CORP!H81+PROP!H81+RATES!H81+THALL!H81+FIN!H81+SOCIAL!H81+CEMETERY!H81+LIBRARIES!H81+HOUSING!I81+TRAFFIC!H81+PARKS!H81+REFUSE!H81+SEWAGE!H81+PWORKS!H81+WATER!H81+ELECTRIC!H81</f>
        <v>309437.80000000005</v>
      </c>
      <c r="I81" s="428">
        <f>+COUNCIL!I81+MAYOR!I81+SPEAKER!I81+MM!I81+CORP!I81+PROP!I81+RATES!I81+THALL!I81+FIN!I81+SOCIAL!I81+CEMETERY!I81+LIBRARIES!I82+HOUSING!J81+TRAFFIC!I81+PARKS!I81+REFUSE!I81+SEWAGE!I81+PWORKS!I81+WATER!I81+ELECTRIC!I81+PLANNING!I81</f>
        <v>1333904.1000000001</v>
      </c>
      <c r="J81" s="428">
        <f>+COUNCIL!J81+MAYOR!J81+SPEAKER!J81+MM!J81+CORP!J81+PROP!J81+RATES!J81+THALL!J81+FIN!J81+SOCIAL!J81+CEMETERY!J81+LIBRARIES!J82+HOUSING!K81+TRAFFIC!J81+PARKS!J81+REFUSE!J81+SEWAGE!J81+PWORKS!J81+WATER!J81+ELECTRIC!J81+PLANNING!J81</f>
        <v>1407268.8255</v>
      </c>
      <c r="K81" s="428">
        <f>+COUNCIL!K81+MAYOR!K81+SPEAKER!K81+MM!K81+CORP!K81+PROP!K81+RATES!K81+THALL!K81+FIN!K81+SOCIAL!K81+CEMETERY!K81+LIBRARIES!K82+HOUSING!L81+TRAFFIC!K81+PARKS!K81+REFUSE!K81+SEWAGE!K81+PWORKS!K81+WATER!K81+ELECTRIC!K81+PLANNING!K81</f>
        <v>1481854.0732514998</v>
      </c>
    </row>
    <row r="82" spans="1:11" s="285" customFormat="1" x14ac:dyDescent="0.25">
      <c r="A82" s="468"/>
      <c r="B82" s="468"/>
      <c r="C82" s="94" t="s">
        <v>269</v>
      </c>
      <c r="D82" s="428">
        <f>+COUNCIL!D82+MAYOR!D82+SPEAKER!D82+MM!D82+CORP!D82+PROP!D82+RATES!D82+THALL!D82+FIN!D82+SOCIAL!D82+CEMETERY!D82+LIBRARIES!D82+HOUSING!D82+TRAFFIC!D82+PARKS!D82+REFUSE!D82+SEWAGE!D82+PWORKS!D82+WATER!D82+ELECTRIC!D82</f>
        <v>149348</v>
      </c>
      <c r="E82" s="428">
        <f>+COUNCIL!E82+MAYOR!E82+SPEAKER!E82+MM!E82+CORP!E82+PROP!E82+RATES!E82+THALL!E82+FIN!E82+SOCIAL!E82+CEMETERY!E82+LIBRARIES!E82+HOUSING!E82+TRAFFIC!E82+PARKS!E82+REFUSE!E82+SEWAGE!E82+PWORKS!E82+WATER!E82+ELECTRIC!E82</f>
        <v>175629</v>
      </c>
      <c r="F82" s="428">
        <f>+COUNCIL!F82+MAYOR!F82+SPEAKER!F82+MM!F82+CORP!F82+PROP!F82+RATES!F82+THALL!F82+FIN!F82+SOCIAL!F82+CEMETERY!F82+LIBRARIES!F82+HOUSING!F82+TRAFFIC!F82+PARKS!F82+REFUSE!F82+SEWAGE!F82+PWORKS!F82+WATER!F82+ELECTRIC!F82</f>
        <v>700629</v>
      </c>
      <c r="G82" s="428">
        <f>+COUNCIL!G82+MAYOR!G82+SPEAKER!G82+MM!G82+CORP!G82+PROP!G82+RATES!G82+THALL!G82+FIN!G82+SOCIAL!G82+CEMETERY!G82+LIBRARIES!G82+HOUSING!G82+TRAFFIC!G82+PARKS!G82+REFUSE!G82+SEWAGE!G82+PWORKS!G82+WATER!G82+ELECTRIC!G82</f>
        <v>700629</v>
      </c>
      <c r="H82" s="428">
        <f>+COUNCIL!H82+MAYOR!H82+SPEAKER!H82+MM!H82+CORP!H82+PROP!H82+RATES!H82+THALL!H82+FIN!H82+SOCIAL!H82+CEMETERY!H82+LIBRARIES!H82+HOUSING!I82+TRAFFIC!H82+PARKS!H82+REFUSE!H82+SEWAGE!H82+PWORKS!H82+WATER!H82+ELECTRIC!H82</f>
        <v>312715.8</v>
      </c>
      <c r="I82" s="428">
        <f>+COUNCIL!I82+MAYOR!I82+SPEAKER!I82+MM!I82+CORP!I82+PROP!I82+RATES!I82+THALL!I82+FIN!I82+SOCIAL!I82+CEMETERY!I82+LIBRARIES!I83+HOUSING!J82+TRAFFIC!I82+PARKS!I82+REFUSE!I82+SEWAGE!I82+PWORKS!I82+WATER!I82+ELECTRIC!I82+PLANNING!I82</f>
        <v>1002428</v>
      </c>
      <c r="J82" s="428">
        <f>+COUNCIL!J82+MAYOR!J82+SPEAKER!J82+MM!J82+CORP!J82+PROP!J82+RATES!J82+THALL!J82+FIN!J82+SOCIAL!J82+CEMETERY!J82+LIBRARIES!J83+HOUSING!K82+TRAFFIC!J82+PARKS!J82+REFUSE!J82+SEWAGE!J82+PWORKS!J82+WATER!J82+ELECTRIC!J82+PLANNING!J82</f>
        <v>1057561.54</v>
      </c>
      <c r="K82" s="428">
        <f>+COUNCIL!K82+MAYOR!K82+SPEAKER!K82+MM!K82+CORP!K82+PROP!K82+RATES!K82+THALL!K82+FIN!K82+SOCIAL!K82+CEMETERY!K82+LIBRARIES!K83+HOUSING!L82+TRAFFIC!K82+PARKS!K82+REFUSE!K82+SEWAGE!K82+PWORKS!K82+WATER!K82+ELECTRIC!K82+PLANNING!K82</f>
        <v>1113612.3016199998</v>
      </c>
    </row>
    <row r="83" spans="1:11" s="285" customFormat="1" x14ac:dyDescent="0.25">
      <c r="A83" s="468"/>
      <c r="B83" s="468"/>
      <c r="C83" s="94" t="s">
        <v>246</v>
      </c>
      <c r="D83" s="428">
        <f>+COUNCIL!D83+MAYOR!D83+SPEAKER!D83+MM!D83+CORP!D83+PROP!D83+RATES!D83+THALL!D83+FIN!D83+SOCIAL!D83+CEMETERY!D83+LIBRARIES!D83+HOUSING!D83+TRAFFIC!D83+PARKS!D83+REFUSE!D83+SEWAGE!D83+PWORKS!D83+WATER!D83+ELECTRIC!D83</f>
        <v>606508</v>
      </c>
      <c r="E83" s="428">
        <f>+COUNCIL!E83+MAYOR!E83+SPEAKER!E83+MM!E83+CORP!E83+PROP!E83+RATES!E83+THALL!E83+FIN!E83+SOCIAL!E83+CEMETERY!E83+LIBRARIES!E83+HOUSING!E83+TRAFFIC!E83+PARKS!E83+REFUSE!E83+SEWAGE!E83+PWORKS!E83+WATER!E83+ELECTRIC!E83</f>
        <v>719866</v>
      </c>
      <c r="F83" s="428">
        <f>+COUNCIL!F83+MAYOR!F83+SPEAKER!F83+MM!F83+CORP!F83+PROP!F83+RATES!F83+THALL!F83+FIN!F83+SOCIAL!F83+CEMETERY!F83+LIBRARIES!F83+HOUSING!F83+TRAFFIC!F83+PARKS!F83+REFUSE!F83+SEWAGE!F83+PWORKS!F83+WATER!F83+ELECTRIC!F83</f>
        <v>719866</v>
      </c>
      <c r="G83" s="428">
        <f>+COUNCIL!G83+MAYOR!G83+SPEAKER!G83+MM!G83+CORP!G83+PROP!G83+RATES!G83+THALL!G83+FIN!G83+SOCIAL!G83+CEMETERY!G83+LIBRARIES!G83+HOUSING!G83+TRAFFIC!G83+PARKS!G83+REFUSE!G83+SEWAGE!G83+PWORKS!G83+WATER!G83+ELECTRIC!G83</f>
        <v>719866</v>
      </c>
      <c r="H83" s="428">
        <f>+COUNCIL!H83+MAYOR!H83+SPEAKER!H83+MM!H83+CORP!H83+PROP!H83+RATES!H83+THALL!H83+FIN!H83+SOCIAL!H83+CEMETERY!H83+LIBRARIES!H83+HOUSING!I83+TRAFFIC!H83+PARKS!H83+REFUSE!H83+SEWAGE!H83+PWORKS!H83+WATER!H83+ELECTRIC!H83</f>
        <v>125000</v>
      </c>
      <c r="I83" s="428">
        <f>+COUNCIL!I83+MAYOR!I83+SPEAKER!I83+MM!I83+CORP!I83+PROP!I83+RATES!I83+THALL!I83+FIN!I83+SOCIAL!I83+CEMETERY!I83+LIBRARIES!I84+HOUSING!J83+TRAFFIC!I83+PARKS!I83+REFUSE!I83+SEWAGE!I83+PWORKS!I83+WATER!I83+ELECTRIC!I83+PLANNING!I83</f>
        <v>547000</v>
      </c>
      <c r="J83" s="428">
        <f>+COUNCIL!J83+MAYOR!J83+SPEAKER!J83+MM!J83+CORP!J83+PROP!J83+RATES!J83+THALL!J83+FIN!J83+SOCIAL!J83+CEMETERY!J83+LIBRARIES!J84+HOUSING!K83+TRAFFIC!J83+PARKS!J83+REFUSE!J83+SEWAGE!J83+PWORKS!J83+WATER!J83+ELECTRIC!J83+PLANNING!J83</f>
        <v>577085</v>
      </c>
      <c r="K83" s="428">
        <f>+COUNCIL!K83+MAYOR!K83+SPEAKER!K83+MM!K83+CORP!K83+PROP!K83+RATES!K83+THALL!K83+FIN!K83+SOCIAL!K83+CEMETERY!K83+LIBRARIES!K84+HOUSING!L83+TRAFFIC!K83+PARKS!K83+REFUSE!K83+SEWAGE!K83+PWORKS!K83+WATER!K83+ELECTRIC!K83+PLANNING!K83</f>
        <v>607670.505</v>
      </c>
    </row>
    <row r="84" spans="1:11" s="285" customFormat="1" x14ac:dyDescent="0.25">
      <c r="A84" s="468"/>
      <c r="B84" s="468"/>
      <c r="C84" s="94" t="s">
        <v>270</v>
      </c>
      <c r="D84" s="428">
        <f>+COUNCIL!D84+MAYOR!D84+SPEAKER!D84+MM!D84+CORP!D84+PROP!D84+RATES!D84+THALL!D84+FIN!D84+SOCIAL!D84+CEMETERY!D84+LIBRARIES!D84+HOUSING!D84+TRAFFIC!D84+PARKS!D84+REFUSE!D84+SEWAGE!D84+PWORKS!D84+WATER!D84+ELECTRIC!D84</f>
        <v>145975</v>
      </c>
      <c r="E84" s="428">
        <f>+COUNCIL!E84+MAYOR!E84+SPEAKER!E84+MM!E84+CORP!E84+PROP!E84+RATES!E84+THALL!E84+FIN!E84+SOCIAL!E84+CEMETERY!E84+LIBRARIES!E84+HOUSING!E84+TRAFFIC!E84+PARKS!E84+REFUSE!E84+SEWAGE!E84+PWORKS!E84+WATER!E84+ELECTRIC!E84</f>
        <v>90311.424999999988</v>
      </c>
      <c r="F84" s="428">
        <f>+COUNCIL!F84+MAYOR!F84+SPEAKER!F84+MM!F84+CORP!F84+PROP!F84+RATES!F84+THALL!F84+FIN!F84+SOCIAL!F84+CEMETERY!F84+LIBRARIES!F84+HOUSING!F84+TRAFFIC!F84+PARKS!F84+REFUSE!F84+SEWAGE!F84+PWORKS!F84+WATER!F84+ELECTRIC!F84</f>
        <v>418311.42500000005</v>
      </c>
      <c r="G84" s="428">
        <f>+COUNCIL!G84+MAYOR!G84+SPEAKER!G84+MM!G84+CORP!G84+PROP!G84+RATES!G84+THALL!G84+FIN!G84+SOCIAL!G84+CEMETERY!G84+LIBRARIES!G84+HOUSING!G84+TRAFFIC!G84+PARKS!G84+REFUSE!G84+SEWAGE!G84+PWORKS!G84+WATER!G84+ELECTRIC!G84</f>
        <v>418311.42500000005</v>
      </c>
      <c r="H84" s="428">
        <f>+COUNCIL!H84+MAYOR!H84+SPEAKER!H84+MM!H84+CORP!H84+PROP!H84+RATES!H84+THALL!H84+FIN!H84+SOCIAL!H84+CEMETERY!H84+LIBRARIES!H84+HOUSING!I84+TRAFFIC!H84+PARKS!H84+REFUSE!H84+SEWAGE!H84+PWORKS!H84+WATER!H84+ELECTRIC!H84</f>
        <v>437235.7</v>
      </c>
      <c r="I84" s="428">
        <f>+COUNCIL!I84+MAYOR!I84+SPEAKER!I84+MM!I84+CORP!I84+PROP!I84+RATES!I84+THALL!I84+FIN!I84+SOCIAL!I84+CEMETERY!I84+LIBRARIES!I85+HOUSING!J84+TRAFFIC!I84+PARKS!I84+REFUSE!I84+SEWAGE!I84+PWORKS!I84+WATER!I84+ELECTRIC!I84+PLANNING!I84</f>
        <v>388045.64685714192</v>
      </c>
      <c r="J84" s="428">
        <f>+COUNCIL!J84+MAYOR!J84+SPEAKER!J84+MM!J84+CORP!J84+PROP!J84+RATES!J84+THALL!J84+FIN!J84+SOCIAL!J84+CEMETERY!J84+LIBRARIES!J85+HOUSING!K84+TRAFFIC!J84+PARKS!J84+REFUSE!J84+SEWAGE!J84+PWORKS!J84+WATER!J84+ELECTRIC!J84+PLANNING!J84</f>
        <v>409388.15743428469</v>
      </c>
      <c r="K84" s="428">
        <f>+COUNCIL!K84+MAYOR!K84+SPEAKER!K84+MM!K84+CORP!K84+PROP!K84+RATES!K84+THALL!K84+FIN!K84+SOCIAL!K84+CEMETERY!K84+LIBRARIES!K85+HOUSING!L84+TRAFFIC!K84+PARKS!K84+REFUSE!K84+SEWAGE!K84+PWORKS!K84+WATER!K84+ELECTRIC!K84+PLANNING!K84</f>
        <v>431085.72977830179</v>
      </c>
    </row>
    <row r="85" spans="1:11" s="285" customFormat="1" x14ac:dyDescent="0.25">
      <c r="A85" s="468"/>
      <c r="B85" s="468"/>
      <c r="C85" s="94" t="s">
        <v>271</v>
      </c>
      <c r="D85" s="428">
        <f>+COUNCIL!D85+MAYOR!D85+SPEAKER!D85+MM!D85+CORP!D85+PROP!D85+RATES!D85+THALL!D85+FIN!D85+SOCIAL!D85+CEMETERY!D85+LIBRARIES!D85+HOUSING!D85+TRAFFIC!D85+PARKS!D85+REFUSE!D85+SEWAGE!D85+PWORKS!D85+WATER!D85+ELECTRIC!D85</f>
        <v>2384669</v>
      </c>
      <c r="E85" s="428">
        <f>+COUNCIL!E85+MAYOR!E85+SPEAKER!E85+MM!E85+CORP!E85+PROP!E85+RATES!E85+THALL!E85+FIN!E85+SOCIAL!E85+CEMETERY!E85+LIBRARIES!E85+HOUSING!E85+TRAFFIC!E85+PARKS!E85+REFUSE!E85+SEWAGE!E85+PWORKS!E85+WATER!E85+ELECTRIC!E85</f>
        <v>1470000</v>
      </c>
      <c r="F85" s="428">
        <f>+COUNCIL!F85+MAYOR!F85+SPEAKER!F85+MM!F85+CORP!F85+PROP!F85+RATES!F85+THALL!F85+FIN!F85+SOCIAL!F85+CEMETERY!F85+LIBRARIES!F85+HOUSING!F85+TRAFFIC!F85+PARKS!F85+REFUSE!F85+SEWAGE!F85+PWORKS!F85+WATER!F85+ELECTRIC!F85</f>
        <v>2530000</v>
      </c>
      <c r="G85" s="428">
        <f>+COUNCIL!G85+MAYOR!G85+SPEAKER!G85+MM!G85+CORP!G85+PROP!G85+RATES!G85+THALL!G85+FIN!G85+SOCIAL!G85+CEMETERY!G85+LIBRARIES!G85+HOUSING!G85+TRAFFIC!G85+PARKS!G85+REFUSE!G85+SEWAGE!G85+PWORKS!G85+WATER!G85+ELECTRIC!G85</f>
        <v>2530000</v>
      </c>
      <c r="H85" s="428">
        <f>+COUNCIL!H85+MAYOR!H85+SPEAKER!H85+MM!H85+CORP!H85+PROP!H85+RATES!H85+THALL!H85+FIN!H85+SOCIAL!H85+CEMETERY!H85+LIBRARIES!H85+HOUSING!I85+TRAFFIC!H85+PARKS!H85+REFUSE!H85+SEWAGE!H85+PWORKS!H85+WATER!H85+ELECTRIC!H85</f>
        <v>1875500</v>
      </c>
      <c r="I85" s="428">
        <f>+COUNCIL!I85+MAYOR!I85+SPEAKER!I85+MM!I85+CORP!I85+PROP!I85+RATES!I85+THALL!I85+FIN!I85+SOCIAL!I85+CEMETERY!I85+LIBRARIES!I86+HOUSING!J85+TRAFFIC!I85+PARKS!I85+REFUSE!I85+SEWAGE!I85+PWORKS!I85+WATER!I85+ELECTRIC!I85+PLANNING!I85</f>
        <v>1050000</v>
      </c>
      <c r="J85" s="428">
        <f>+COUNCIL!J85+MAYOR!J85+SPEAKER!J85+MM!J85+CORP!J85+PROP!J85+RATES!J85+THALL!J85+FIN!J85+SOCIAL!J85+CEMETERY!J85+LIBRARIES!J86+HOUSING!K85+TRAFFIC!J85+PARKS!J85+REFUSE!J85+SEWAGE!J85+PWORKS!J85+WATER!J85+ELECTRIC!J85+PLANNING!J85</f>
        <v>1107750</v>
      </c>
      <c r="K85" s="428">
        <f>+COUNCIL!K85+MAYOR!K85+SPEAKER!K85+MM!K85+CORP!K85+PROP!K85+RATES!K85+THALL!K85+FIN!K85+SOCIAL!K85+CEMETERY!K85+LIBRARIES!K86+HOUSING!L85+TRAFFIC!K85+PARKS!K85+REFUSE!K85+SEWAGE!K85+PWORKS!K85+WATER!K85+ELECTRIC!K85+PLANNING!K85</f>
        <v>1166460.75</v>
      </c>
    </row>
    <row r="86" spans="1:11" s="285" customFormat="1" x14ac:dyDescent="0.25">
      <c r="A86" s="468"/>
      <c r="B86" s="468"/>
      <c r="C86" s="94" t="s">
        <v>272</v>
      </c>
      <c r="D86" s="428">
        <f>+COUNCIL!D86+MAYOR!D86+SPEAKER!D86+MM!D86+CORP!D86+PROP!D86+RATES!D86+THALL!D86+FIN!D86+SOCIAL!D86+CEMETERY!D86+LIBRARIES!D86+HOUSING!D86+TRAFFIC!D86+PARKS!D86+REFUSE!D86+SEWAGE!D86+PWORKS!D86+WATER!D86+ELECTRIC!D86</f>
        <v>12237</v>
      </c>
      <c r="E86" s="428">
        <f>+COUNCIL!E86+MAYOR!E86+SPEAKER!E86+MM!E86+CORP!E86+PROP!E86+RATES!E86+THALL!E86+FIN!E86+SOCIAL!E86+CEMETERY!E86+LIBRARIES!E86+HOUSING!E86+TRAFFIC!E86+PARKS!E86+REFUSE!E86+SEWAGE!E86+PWORKS!E86+WATER!E86+ELECTRIC!E86</f>
        <v>120000</v>
      </c>
      <c r="F86" s="428">
        <f>+COUNCIL!F86+MAYOR!F86+SPEAKER!F86+MM!F86+CORP!F86+PROP!F86+RATES!F86+THALL!F86+FIN!F86+SOCIAL!F86+CEMETERY!F86+LIBRARIES!F86+HOUSING!F86+TRAFFIC!F86+PARKS!F86+REFUSE!F86+SEWAGE!F86+PWORKS!F86+WATER!F86+ELECTRIC!F86</f>
        <v>70000</v>
      </c>
      <c r="G86" s="428">
        <f>+COUNCIL!G86+MAYOR!G86+SPEAKER!G86+MM!G86+CORP!G86+PROP!G86+RATES!G86+THALL!G86+FIN!G86+SOCIAL!G86+CEMETERY!G86+LIBRARIES!G86+HOUSING!G86+TRAFFIC!G86+PARKS!G86+REFUSE!G86+SEWAGE!G86+PWORKS!G86+WATER!G86+ELECTRIC!G86</f>
        <v>70000</v>
      </c>
      <c r="H86" s="428">
        <f>+COUNCIL!H86+MAYOR!H86+SPEAKER!H86+MM!H86+CORP!H86+PROP!H86+RATES!H86+THALL!H86+FIN!H86+SOCIAL!H86+CEMETERY!H86+LIBRARIES!H86+HOUSING!I86+TRAFFIC!H86+PARKS!H86+REFUSE!H86+SEWAGE!H86+PWORKS!H86+WATER!H86+ELECTRIC!H86</f>
        <v>133000</v>
      </c>
      <c r="I86" s="428">
        <f>+COUNCIL!I86+MAYOR!I86+SPEAKER!I86+MM!I86+CORP!I86+PROP!I86+RATES!I86+THALL!I86+FIN!I86+SOCIAL!I86+CEMETERY!I86+LIBRARIES!I87+HOUSING!J86+TRAFFIC!I86+PARKS!I86+REFUSE!I86+SEWAGE!I86+PWORKS!I86+WATER!I86+ELECTRIC!I86+PLANNING!I86</f>
        <v>5000</v>
      </c>
      <c r="J86" s="428">
        <f>+COUNCIL!J86+MAYOR!J86+SPEAKER!J86+MM!J86+CORP!J86+PROP!J86+RATES!J86+THALL!J86+FIN!J86+SOCIAL!J86+CEMETERY!J86+LIBRARIES!J87+HOUSING!K86+TRAFFIC!J86+PARKS!J86+REFUSE!J86+SEWAGE!J86+PWORKS!J86+WATER!J86+ELECTRIC!J86+PLANNING!J86</f>
        <v>5275</v>
      </c>
      <c r="K86" s="428">
        <f>+COUNCIL!K86+MAYOR!K86+SPEAKER!K86+MM!K86+CORP!K86+PROP!K86+RATES!K86+THALL!K86+FIN!K86+SOCIAL!K86+CEMETERY!K86+LIBRARIES!K87+HOUSING!L86+TRAFFIC!K86+PARKS!K86+REFUSE!K86+SEWAGE!K86+PWORKS!K86+WATER!K86+ELECTRIC!K86+PLANNING!K86</f>
        <v>5554.5749999999998</v>
      </c>
    </row>
    <row r="87" spans="1:11" s="285" customFormat="1" x14ac:dyDescent="0.25">
      <c r="A87" s="468"/>
      <c r="B87" s="468"/>
      <c r="C87" s="94" t="s">
        <v>273</v>
      </c>
      <c r="D87" s="428">
        <f>+COUNCIL!D87+MAYOR!D87+SPEAKER!D87+MM!D87+CORP!D87+PROP!D87+RATES!D87+THALL!D87+FIN!D87+SOCIAL!D87+CEMETERY!D87+LIBRARIES!D87+HOUSING!D87+TRAFFIC!D87+PARKS!D87+REFUSE!D87+SEWAGE!D87+PWORKS!D87+WATER!D87+ELECTRIC!D87</f>
        <v>245420</v>
      </c>
      <c r="E87" s="428">
        <f>+COUNCIL!E87+MAYOR!E87+SPEAKER!E87+MM!E87+CORP!E87+PROP!E87+RATES!E87+THALL!E87+FIN!E87+SOCIAL!E87+CEMETERY!E87+LIBRARIES!E87+HOUSING!E87+TRAFFIC!E87+PARKS!E87+REFUSE!E87+SEWAGE!E87+PWORKS!E87+WATER!E87+ELECTRIC!E87</f>
        <v>270784</v>
      </c>
      <c r="F87" s="428">
        <f>+COUNCIL!F87+MAYOR!F87+SPEAKER!F87+MM!F87+CORP!F87+PROP!F87+RATES!F87+THALL!F87+FIN!F87+SOCIAL!F87+CEMETERY!F87+LIBRARIES!F87+HOUSING!F87+TRAFFIC!F87+PARKS!F87+REFUSE!F87+SEWAGE!F87+PWORKS!F87+WATER!F87+ELECTRIC!F87</f>
        <v>300784</v>
      </c>
      <c r="G87" s="428">
        <f>+COUNCIL!G87+MAYOR!G87+SPEAKER!G87+MM!G87+CORP!G87+PROP!G87+RATES!G87+THALL!G87+FIN!G87+SOCIAL!G87+CEMETERY!G87+LIBRARIES!G87+HOUSING!G87+TRAFFIC!G87+PARKS!G87+REFUSE!G87+SEWAGE!G87+PWORKS!G87+WATER!G87+ELECTRIC!G87</f>
        <v>300784</v>
      </c>
      <c r="H87" s="428">
        <f>+COUNCIL!H87+MAYOR!H87+SPEAKER!H87+MM!H87+CORP!H87+PROP!H87+RATES!H87+THALL!H87+FIN!H87+SOCIAL!H87+CEMETERY!H87+LIBRARIES!H87+HOUSING!I87+TRAFFIC!H87+PARKS!H87+REFUSE!H87+SEWAGE!H87+PWORKS!H87+WATER!H87+ELECTRIC!H87</f>
        <v>333381.2</v>
      </c>
      <c r="I87" s="428">
        <f>+COUNCIL!I87+MAYOR!I87+SPEAKER!I87+MM!I87+CORP!I87+PROP!I87+RATES!I87+THALL!I87+FIN!I87+SOCIAL!I87+CEMETERY!I87+LIBRARIES!I88+HOUSING!J87+TRAFFIC!I87+PARKS!I87+REFUSE!I87+SEWAGE!I87+PWORKS!I87+WATER!I87+ELECTRIC!I87+PLANNING!I87</f>
        <v>270000</v>
      </c>
      <c r="J87" s="428">
        <f>+COUNCIL!J87+MAYOR!J87+SPEAKER!J87+MM!J87+CORP!J87+PROP!J87+RATES!J87+THALL!J87+FIN!J87+SOCIAL!J87+CEMETERY!J87+LIBRARIES!J88+HOUSING!K87+TRAFFIC!J87+PARKS!J87+REFUSE!J87+SEWAGE!J87+PWORKS!J87+WATER!J87+ELECTRIC!J87+PLANNING!J87</f>
        <v>233250</v>
      </c>
      <c r="K87" s="428">
        <f>+COUNCIL!K87+MAYOR!K87+SPEAKER!K87+MM!K87+CORP!K87+PROP!K87+RATES!K87+THALL!K87+FIN!K87+SOCIAL!K87+CEMETERY!K87+LIBRARIES!K88+HOUSING!L87+TRAFFIC!K87+PARKS!K87+REFUSE!K87+SEWAGE!K87+PWORKS!K87+WATER!K87+ELECTRIC!K87+PLANNING!K87</f>
        <v>241637.25</v>
      </c>
    </row>
    <row r="88" spans="1:11" s="285" customFormat="1" x14ac:dyDescent="0.25">
      <c r="A88" s="468"/>
      <c r="B88" s="468"/>
      <c r="C88" s="94" t="s">
        <v>274</v>
      </c>
      <c r="D88" s="428">
        <f>+COUNCIL!D88+MAYOR!D88+SPEAKER!D88+MM!D88+CORP!D88+PROP!D88+RATES!D88+THALL!D88+FIN!D88+SOCIAL!D88+CEMETERY!D88+LIBRARIES!D88+HOUSING!D88+TRAFFIC!D88+PARKS!D88+REFUSE!D88+SEWAGE!D88+PWORKS!D88+WATER!D88+ELECTRIC!D88</f>
        <v>755754</v>
      </c>
      <c r="E88" s="428">
        <f>+COUNCIL!E88+MAYOR!E88+SPEAKER!E88+MM!E88+CORP!E88+PROP!E88+RATES!E88+THALL!E88+FIN!E88+SOCIAL!E88+CEMETERY!E88+LIBRARIES!E88+HOUSING!E88+TRAFFIC!E88+PARKS!E88+REFUSE!E88+SEWAGE!E88+PWORKS!E88+WATER!E88+ELECTRIC!E88</f>
        <v>461784</v>
      </c>
      <c r="F88" s="428">
        <f>+COUNCIL!F88+MAYOR!F88+SPEAKER!F88+MM!F88+CORP!F88+PROP!F88+RATES!F88+THALL!F88+FIN!F88+SOCIAL!F88+CEMETERY!F88+LIBRARIES!F88+HOUSING!F88+TRAFFIC!F88+PARKS!F88+REFUSE!F88+SEWAGE!F88+PWORKS!F88+WATER!F88+ELECTRIC!F88</f>
        <v>1141784</v>
      </c>
      <c r="G88" s="428">
        <f>+COUNCIL!G88+MAYOR!G88+SPEAKER!G88+MM!G88+CORP!G88+PROP!G88+RATES!G88+THALL!G88+FIN!G88+SOCIAL!G88+CEMETERY!G88+LIBRARIES!G88+HOUSING!G88+TRAFFIC!G88+PARKS!G88+REFUSE!G88+SEWAGE!G88+PWORKS!G88+WATER!G88+ELECTRIC!G88</f>
        <v>1141784</v>
      </c>
      <c r="H88" s="428">
        <f>+COUNCIL!H88+MAYOR!H88+SPEAKER!H88+MM!H88+CORP!H88+PROP!H88+RATES!H88+THALL!H88+FIN!H88+SOCIAL!H88+CEMETERY!H88+LIBRARIES!H88+HOUSING!I88+TRAFFIC!H88+PARKS!H88+REFUSE!H88+SEWAGE!H88+PWORKS!H88+WATER!H88+ELECTRIC!H88</f>
        <v>971000</v>
      </c>
      <c r="I88" s="428">
        <f>+COUNCIL!I88+MAYOR!I88+SPEAKER!I88+MM!I88+CORP!I88+PROP!I88+RATES!I88+THALL!I88+FIN!I88+SOCIAL!I88+CEMETERY!I88+LIBRARIES!I89+HOUSING!J88+TRAFFIC!I88+PARKS!I88+REFUSE!I88+SEWAGE!I88+PWORKS!I88+WATER!I88+ELECTRIC!I88+PLANNING!I88</f>
        <v>1596444.5051428559</v>
      </c>
      <c r="J88" s="428">
        <f>+COUNCIL!J88+MAYOR!J88+SPEAKER!J88+MM!J88+CORP!J88+PROP!J88+RATES!J88+THALL!J88+FIN!J88+SOCIAL!J88+CEMETERY!J88+LIBRARIES!J89+HOUSING!K88+TRAFFIC!J88+PARKS!J88+REFUSE!J88+SEWAGE!J88+PWORKS!J88+WATER!J88+ELECTRIC!J88+PLANNING!J88</f>
        <v>1679623.9529257128</v>
      </c>
      <c r="K88" s="428">
        <f>+COUNCIL!K88+MAYOR!K88+SPEAKER!K88+MM!K88+CORP!K88+PROP!K88+RATES!K88+THALL!K88+FIN!K88+SOCIAL!K88+CEMETERY!K88+LIBRARIES!K89+HOUSING!L88+TRAFFIC!K88+PARKS!K88+REFUSE!K88+SEWAGE!K88+PWORKS!K88+WATER!K88+ELECTRIC!K88+PLANNING!K88</f>
        <v>1597104.0224307757</v>
      </c>
    </row>
    <row r="89" spans="1:11" s="285" customFormat="1" x14ac:dyDescent="0.25">
      <c r="A89" s="468"/>
      <c r="B89" s="468"/>
      <c r="C89" s="94" t="s">
        <v>275</v>
      </c>
      <c r="D89" s="428">
        <f>+COUNCIL!D89+MAYOR!D89+SPEAKER!D89+MM!D89+CORP!D89+PROP!D89+RATES!D89+THALL!D89+FIN!D89+SOCIAL!D89+CEMETERY!D89+LIBRARIES!D89+HOUSING!D89+TRAFFIC!D89+PARKS!D89+REFUSE!D89+SEWAGE!D89+PWORKS!D89+WATER!D89+ELECTRIC!D89</f>
        <v>1422122</v>
      </c>
      <c r="E89" s="428">
        <f>+COUNCIL!E89+MAYOR!E89+SPEAKER!E89+MM!E89+CORP!E89+PROP!E89+RATES!E89+THALL!E89+FIN!E89+SOCIAL!E89+CEMETERY!E89+LIBRARIES!E89+HOUSING!E89+TRAFFIC!E89+PARKS!E89+REFUSE!E89+SEWAGE!E89+PWORKS!E89+WATER!E89+ELECTRIC!E89</f>
        <v>980000</v>
      </c>
      <c r="F89" s="428">
        <f>+COUNCIL!F89+MAYOR!F89+SPEAKER!F89+MM!F89+CORP!F89+PROP!F89+RATES!F89+THALL!F89+FIN!F89+SOCIAL!F89+CEMETERY!F89+LIBRARIES!F89+HOUSING!F89+TRAFFIC!F89+PARKS!F89+REFUSE!F89+SEWAGE!F89+PWORKS!F89+WATER!F89+ELECTRIC!F89</f>
        <v>1180000</v>
      </c>
      <c r="G89" s="428">
        <f>+COUNCIL!G89+MAYOR!G89+SPEAKER!G89+MM!G89+CORP!G89+PROP!G89+RATES!G89+THALL!G89+FIN!G89+SOCIAL!G89+CEMETERY!G89+LIBRARIES!G89+HOUSING!G89+TRAFFIC!G89+PARKS!G89+REFUSE!G89+SEWAGE!G89+PWORKS!G89+WATER!G89+ELECTRIC!G89</f>
        <v>1180000</v>
      </c>
      <c r="H89" s="428">
        <f>+COUNCIL!H89+MAYOR!H89+SPEAKER!H89+MM!H89+CORP!H89+PROP!H89+RATES!H89+THALL!H89+FIN!H89+SOCIAL!H89+CEMETERY!H89+LIBRARIES!H89+HOUSING!I89+TRAFFIC!H89+PARKS!H89+REFUSE!H89+SEWAGE!H89+PWORKS!H89+WATER!H89+ELECTRIC!H89</f>
        <v>1314000</v>
      </c>
      <c r="I89" s="428">
        <f>+COUNCIL!I89+MAYOR!I89+SPEAKER!I89+MM!I89+CORP!I89+PROP!I89+RATES!I89+THALL!I89+FIN!I89+SOCIAL!I89+CEMETERY!I89+LIBRARIES!I90+HOUSING!J89+TRAFFIC!I89+PARKS!I89+REFUSE!I89+SEWAGE!I89+PWORKS!I89+WATER!I89+ELECTRIC!I89+PLANNING!I89</f>
        <v>1579803.4285714284</v>
      </c>
      <c r="J89" s="428">
        <f>+COUNCIL!J89+MAYOR!J89+SPEAKER!J89+MM!J89+CORP!J89+PROP!J89+RATES!J89+THALL!J89+FIN!J89+SOCIAL!J89+CEMETERY!J89+LIBRARIES!J90+HOUSING!K89+TRAFFIC!J89+PARKS!J89+REFUSE!J89+SEWAGE!J89+PWORKS!J89+WATER!J89+ELECTRIC!J89+PLANNING!J89</f>
        <v>1666692.6171428571</v>
      </c>
      <c r="K89" s="428">
        <f>+COUNCIL!K89+MAYOR!K89+SPEAKER!K89+MM!K89+CORP!K89+PROP!K89+RATES!K89+THALL!K89+FIN!K89+SOCIAL!K89+CEMETERY!K89+LIBRARIES!K90+HOUSING!L89+TRAFFIC!K89+PARKS!K89+REFUSE!K89+SEWAGE!K89+PWORKS!K89+WATER!K89+ELECTRIC!K89+PLANNING!K89</f>
        <v>1755027.3258514283</v>
      </c>
    </row>
    <row r="90" spans="1:11" s="285" customFormat="1" x14ac:dyDescent="0.25">
      <c r="A90" s="468"/>
      <c r="B90" s="468"/>
      <c r="C90" s="159" t="s">
        <v>276</v>
      </c>
      <c r="D90" s="428">
        <f>+COUNCIL!D90+MAYOR!D90+SPEAKER!D90+MM!D90+CORP!D90+PROP!D90+RATES!D90+THALL!D90+FIN!D90+SOCIAL!D90+CEMETERY!D90+LIBRARIES!D90+HOUSING!D90+TRAFFIC!D90+PARKS!D90+REFUSE!D90+SEWAGE!D90+PWORKS!D90+WATER!D90+ELECTRIC!D90</f>
        <v>2322338</v>
      </c>
      <c r="E90" s="428">
        <f>+COUNCIL!E90+MAYOR!E90+SPEAKER!E90+MM!E90+CORP!E90+PROP!E90+RATES!E90+THALL!E90+FIN!E90+SOCIAL!E90+CEMETERY!E90+LIBRARIES!E90+HOUSING!E90+TRAFFIC!E90+PARKS!E90+REFUSE!E90+SEWAGE!E90+PWORKS!E90+WATER!E90+ELECTRIC!E90</f>
        <v>2479250</v>
      </c>
      <c r="F90" s="428">
        <f>+COUNCIL!F90+MAYOR!F90+SPEAKER!F90+MM!F90+CORP!F90+PROP!F90+RATES!F90+THALL!F90+FIN!F90+SOCIAL!F90+CEMETERY!F90+LIBRARIES!F90+HOUSING!F90+TRAFFIC!F90+PARKS!F90+REFUSE!F90+SEWAGE!F90+PWORKS!F90+WATER!F90+ELECTRIC!F90</f>
        <v>3810214</v>
      </c>
      <c r="G90" s="428">
        <f>+COUNCIL!G90+MAYOR!G90+SPEAKER!G90+MM!G90+CORP!G90+PROP!G90+RATES!G90+THALL!G90+FIN!G90+SOCIAL!G90+CEMETERY!G90+LIBRARIES!G90+HOUSING!G90+TRAFFIC!G90+PARKS!G90+REFUSE!G90+SEWAGE!G90+PWORKS!G90+WATER!G90+ELECTRIC!G90</f>
        <v>3810214</v>
      </c>
      <c r="H90" s="428">
        <f>+COUNCIL!H90+MAYOR!H90+SPEAKER!H90+MM!H90+CORP!H90+PROP!H90+RATES!H90+THALL!H90+FIN!H90+SOCIAL!H90+CEMETERY!H90+LIBRARIES!H90+HOUSING!I90+TRAFFIC!H90+PARKS!H90+REFUSE!H90+SEWAGE!H90+PWORKS!H90+WATER!H90+ELECTRIC!H90</f>
        <v>2500000</v>
      </c>
      <c r="I90" s="428">
        <f>+COUNCIL!I90+MAYOR!I90+SPEAKER!I90+MM!I90+CORP!I90+PROP!I90+RATES!I90+THALL!I90+FIN!I90+SOCIAL!I90+CEMETERY!I90+LIBRARIES!I91+HOUSING!J90+TRAFFIC!I90+PARKS!I90+REFUSE!I90+SEWAGE!I90+PWORKS!I90+WATER!I90+ELECTRIC!I90+PLANNING!I90</f>
        <v>2597227.8499999996</v>
      </c>
      <c r="J90" s="428">
        <f>+COUNCIL!J90+MAYOR!J90+SPEAKER!J90+MM!J90+CORP!J90+PROP!J90+RATES!J90+THALL!J90+FIN!J90+SOCIAL!J90+CEMETERY!J90+LIBRARIES!J91+HOUSING!K90+TRAFFIC!J90+PARKS!J90+REFUSE!J90+SEWAGE!J90+PWORKS!J90+WATER!J90+ELECTRIC!J90+PLANNING!J90</f>
        <v>2740075.3817499992</v>
      </c>
      <c r="K90" s="428">
        <f>+COUNCIL!K90+MAYOR!K90+SPEAKER!K90+MM!K90+CORP!K90+PROP!K90+RATES!K90+THALL!K90+FIN!K90+SOCIAL!K90+CEMETERY!K90+LIBRARIES!K91+HOUSING!L90+TRAFFIC!K90+PARKS!K90+REFUSE!K90+SEWAGE!K90+PWORKS!K90+WATER!K90+ELECTRIC!K90+PLANNING!K90</f>
        <v>2885299.376982749</v>
      </c>
    </row>
    <row r="91" spans="1:11" s="285" customFormat="1" x14ac:dyDescent="0.25">
      <c r="A91" s="468"/>
      <c r="B91" s="468"/>
      <c r="C91" s="159" t="s">
        <v>277</v>
      </c>
      <c r="D91" s="428">
        <f>+COUNCIL!D91+MAYOR!D91+SPEAKER!D91+MM!D91+CORP!D91+PROP!D91+RATES!D91+THALL!D91+FIN!D91+SOCIAL!D91+CEMETERY!D91+LIBRARIES!D91+HOUSING!D91+TRAFFIC!D91+PARKS!D91+REFUSE!D91+SEWAGE!D91+PWORKS!D91+WATER!D91+ELECTRIC!D91</f>
        <v>141592</v>
      </c>
      <c r="E91" s="428">
        <f>+COUNCIL!E91+MAYOR!E91+SPEAKER!E91+MM!E91+CORP!E91+PROP!E91+RATES!E91+THALL!E91+FIN!E91+SOCIAL!E91+CEMETERY!E91+LIBRARIES!E91+HOUSING!E91+TRAFFIC!E91+PARKS!E91+REFUSE!E91+SEWAGE!E91+PWORKS!E91+WATER!E91+ELECTRIC!E91</f>
        <v>201000</v>
      </c>
      <c r="F91" s="428">
        <f>+COUNCIL!F91+MAYOR!F91+SPEAKER!F91+MM!F91+CORP!F91+PROP!F91+RATES!F91+THALL!F91+FIN!F91+SOCIAL!F91+CEMETERY!F91+LIBRARIES!F91+HOUSING!F91+TRAFFIC!F91+PARKS!F91+REFUSE!F91+SEWAGE!F91+PWORKS!F91+WATER!F91+ELECTRIC!F91</f>
        <v>1000000</v>
      </c>
      <c r="G91" s="428">
        <f>+COUNCIL!G91+MAYOR!G91+SPEAKER!G91+MM!G91+CORP!G91+PROP!G91+RATES!G91+THALL!G91+FIN!G91+SOCIAL!G91+CEMETERY!G91+LIBRARIES!G91+HOUSING!G91+TRAFFIC!G91+PARKS!G91+REFUSE!G91+SEWAGE!G91+PWORKS!G91+WATER!G91+ELECTRIC!G91</f>
        <v>1000000</v>
      </c>
      <c r="H91" s="428">
        <f>+COUNCIL!H91+MAYOR!H91+SPEAKER!H91+MM!H91+CORP!H91+PROP!H91+RATES!H91+THALL!H91+FIN!H91+SOCIAL!H91+CEMETERY!H91+LIBRARIES!H91+HOUSING!I91+TRAFFIC!H91+PARKS!H91+REFUSE!H91+SEWAGE!H91+PWORKS!H91+WATER!H91+ELECTRIC!H91</f>
        <v>500000</v>
      </c>
      <c r="I91" s="428">
        <f>+COUNCIL!I91+MAYOR!I91+SPEAKER!I91+MM!I91+CORP!I91+PROP!I91+RATES!I91+THALL!I91+FIN!I91+SOCIAL!I91+CEMETERY!I91+LIBRARIES!I92+HOUSING!J91+TRAFFIC!I91+PARKS!I91+REFUSE!I91+SEWAGE!I91+PWORKS!I91+WATER!I91+ELECTRIC!I91+PLANNING!I91</f>
        <v>133641.7234285711</v>
      </c>
      <c r="J91" s="428">
        <f>+COUNCIL!J91+MAYOR!J91+SPEAKER!J91+MM!J91+CORP!J91+PROP!J91+RATES!J91+THALL!J91+FIN!J91+SOCIAL!J91+CEMETERY!J91+LIBRARIES!J92+HOUSING!K91+TRAFFIC!J91+PARKS!J91+REFUSE!J91+SEWAGE!J91+PWORKS!J91+WATER!J91+ELECTRIC!J91+PLANNING!J91</f>
        <v>140992.0182171425</v>
      </c>
      <c r="K91" s="428">
        <f>+COUNCIL!K91+MAYOR!K91+SPEAKER!K91+MM!K91+CORP!K91+PROP!K91+RATES!K91+THALL!K91+FIN!K91+SOCIAL!K91+CEMETERY!K91+LIBRARIES!K92+HOUSING!L91+TRAFFIC!K91+PARKS!K91+REFUSE!K91+SEWAGE!K91+PWORKS!K91+WATER!K91+ELECTRIC!K91+PLANNING!K91</f>
        <v>148464.59518265104</v>
      </c>
    </row>
    <row r="92" spans="1:11" s="285" customFormat="1" x14ac:dyDescent="0.25">
      <c r="A92" s="468"/>
      <c r="B92" s="468"/>
      <c r="C92" s="159" t="s">
        <v>278</v>
      </c>
      <c r="D92" s="428">
        <f>+COUNCIL!D92+MAYOR!D92+SPEAKER!D92+MM!D92+CORP!D92+PROP!D92+RATES!D92+THALL!D92+FIN!D92+SOCIAL!D92+CEMETERY!D92+LIBRARIES!D92+HOUSING!D92+TRAFFIC!D92+PARKS!D92+REFUSE!D92+SEWAGE!D92+PWORKS!D92+WATER!D92+ELECTRIC!D92</f>
        <v>39500</v>
      </c>
      <c r="E92" s="428">
        <f>+COUNCIL!E92+MAYOR!E92+SPEAKER!E92+MM!E92+CORP!E92+PROP!E92+RATES!E92+THALL!E92+FIN!E92+SOCIAL!E92+CEMETERY!E92+LIBRARIES!E92+HOUSING!E92+TRAFFIC!E92+PARKS!E92+REFUSE!E92+SEWAGE!E92+PWORKS!E92+WATER!E92+ELECTRIC!E92</f>
        <v>150000</v>
      </c>
      <c r="F92" s="428">
        <f>+COUNCIL!F92+MAYOR!F92+SPEAKER!F92+MM!F92+CORP!F92+PROP!F92+RATES!F92+THALL!F92+FIN!F92+SOCIAL!F92+CEMETERY!F92+LIBRARIES!F92+HOUSING!F92+TRAFFIC!F92+PARKS!F92+REFUSE!F92+SEWAGE!F92+PWORKS!F92+WATER!F92+ELECTRIC!F92</f>
        <v>150000</v>
      </c>
      <c r="G92" s="428">
        <f>+COUNCIL!G92+MAYOR!G92+SPEAKER!G92+MM!G92+CORP!G92+PROP!G92+RATES!G92+THALL!G92+FIN!G92+SOCIAL!G92+CEMETERY!G92+LIBRARIES!G92+HOUSING!G92+TRAFFIC!G92+PARKS!G92+REFUSE!G92+SEWAGE!G92+PWORKS!G92+WATER!G92+ELECTRIC!G92</f>
        <v>150000</v>
      </c>
      <c r="H92" s="428">
        <f>+COUNCIL!H92+MAYOR!H92+SPEAKER!H92+MM!H92+CORP!H92+PROP!H92+RATES!H92+THALL!H92+FIN!H92+SOCIAL!H92+CEMETERY!H92+LIBRARIES!H92+HOUSING!I92+TRAFFIC!H92+PARKS!H92+REFUSE!H92+SEWAGE!H92+PWORKS!H92+WATER!H92+ELECTRIC!H92</f>
        <v>165000</v>
      </c>
      <c r="I92" s="428">
        <f>+COUNCIL!I92+MAYOR!I92+SPEAKER!I92+MM!I92+CORP!I92+PROP!I92+RATES!I92+THALL!I92+FIN!I92+SOCIAL!I92+CEMETERY!I92+LIBRARIES!I93+HOUSING!J92+TRAFFIC!I92+PARKS!I92+REFUSE!I92+SEWAGE!I92+PWORKS!I92+WATER!I92+ELECTRIC!I92+PLANNING!I92</f>
        <v>75000</v>
      </c>
      <c r="J92" s="428">
        <f>+COUNCIL!J92+MAYOR!J92+SPEAKER!J92+MM!J92+CORP!J92+PROP!J92+RATES!J92+THALL!J92+FIN!J92+SOCIAL!J92+CEMETERY!J92+LIBRARIES!J93+HOUSING!K92+TRAFFIC!J92+PARKS!J92+REFUSE!J92+SEWAGE!J92+PWORKS!J92+WATER!J92+ELECTRIC!J92+PLANNING!J92</f>
        <v>79125</v>
      </c>
      <c r="K92" s="428">
        <f>+COUNCIL!K92+MAYOR!K92+SPEAKER!K92+MM!K92+CORP!K92+PROP!K92+RATES!K92+THALL!K92+FIN!K92+SOCIAL!K92+CEMETERY!K92+LIBRARIES!K93+HOUSING!L92+TRAFFIC!K92+PARKS!K92+REFUSE!K92+SEWAGE!K92+PWORKS!K92+WATER!K92+ELECTRIC!K92+PLANNING!K92</f>
        <v>83318.625</v>
      </c>
    </row>
    <row r="93" spans="1:11" s="285" customFormat="1" x14ac:dyDescent="0.25">
      <c r="A93" s="468"/>
      <c r="B93" s="468"/>
      <c r="C93" s="159" t="s">
        <v>279</v>
      </c>
      <c r="D93" s="428">
        <f>+COUNCIL!D93+MAYOR!D93+SPEAKER!D93+MM!D93+CORP!D93+PROP!D93+RATES!D93+THALL!D93+FIN!D93+SOCIAL!D93+CEMETERY!D93+LIBRARIES!D93+HOUSING!D93+TRAFFIC!D93+PARKS!D93+REFUSE!D93+SEWAGE!D93+PWORKS!D93+WATER!D93+ELECTRIC!D93</f>
        <v>18980</v>
      </c>
      <c r="E93" s="428">
        <f>+COUNCIL!E93+MAYOR!E93+SPEAKER!E93+MM!E93+CORP!E93+PROP!E93+RATES!E93+THALL!E93+FIN!E93+SOCIAL!E93+CEMETERY!E93+LIBRARIES!E93+HOUSING!E93+TRAFFIC!E93+PARKS!E93+REFUSE!E93+SEWAGE!E93+PWORKS!E93+WATER!E93+ELECTRIC!E93</f>
        <v>30000</v>
      </c>
      <c r="F93" s="428">
        <f>+COUNCIL!F93+MAYOR!F93+SPEAKER!F93+MM!F93+CORP!F93+PROP!F93+RATES!F93+THALL!F93+FIN!F93+SOCIAL!F93+CEMETERY!F93+LIBRARIES!F93+HOUSING!F93+TRAFFIC!F93+PARKS!F93+REFUSE!F93+SEWAGE!F93+PWORKS!F93+WATER!F93+ELECTRIC!F93</f>
        <v>30000</v>
      </c>
      <c r="G93" s="428">
        <f>+COUNCIL!G93+MAYOR!G93+SPEAKER!G93+MM!G93+CORP!G93+PROP!G93+RATES!G93+THALL!G93+FIN!G93+SOCIAL!G93+CEMETERY!G93+LIBRARIES!G93+HOUSING!G93+TRAFFIC!G93+PARKS!G93+REFUSE!G93+SEWAGE!G93+PWORKS!G93+WATER!G93+ELECTRIC!G93</f>
        <v>30000</v>
      </c>
      <c r="H93" s="428">
        <f>+COUNCIL!H93+MAYOR!H93+SPEAKER!H93+MM!H93+CORP!H93+PROP!H93+RATES!H93+THALL!H93+FIN!H93+SOCIAL!H93+CEMETERY!H93+LIBRARIES!H93+HOUSING!I93+TRAFFIC!H93+PARKS!H93+REFUSE!H93+SEWAGE!H93+PWORKS!H93+WATER!H93+ELECTRIC!H93</f>
        <v>500000</v>
      </c>
      <c r="I93" s="428">
        <f>+COUNCIL!I93+MAYOR!I93+SPEAKER!I93+MM!I93+CORP!I93+PROP!I93+RATES!I93+THALL!I93+FIN!I93+SOCIAL!I93+CEMETERY!I93+LIBRARIES!I94+HOUSING!J93+TRAFFIC!I93+PARKS!I93+REFUSE!I93+SEWAGE!I93+PWORKS!I93+WATER!I93+ELECTRIC!I93+PLANNING!I93</f>
        <v>0</v>
      </c>
      <c r="J93" s="428">
        <f>+COUNCIL!J93+MAYOR!J93+SPEAKER!J93+MM!J93+CORP!J93+PROP!J93+RATES!J93+THALL!J93+FIN!J93+SOCIAL!J93+CEMETERY!J93+LIBRARIES!J94+HOUSING!K93+TRAFFIC!J93+PARKS!J93+REFUSE!J93+SEWAGE!J93+PWORKS!J93+WATER!J93+ELECTRIC!J93+PLANNING!J93</f>
        <v>0</v>
      </c>
      <c r="K93" s="428">
        <f>+COUNCIL!K93+MAYOR!K93+SPEAKER!K93+MM!K93+CORP!K93+PROP!K93+RATES!K93+THALL!K93+FIN!K93+SOCIAL!K93+CEMETERY!K93+LIBRARIES!K94+HOUSING!L93+TRAFFIC!K93+PARKS!K93+REFUSE!K93+SEWAGE!K93+PWORKS!K93+WATER!K93+ELECTRIC!K93+PLANNING!K93</f>
        <v>0</v>
      </c>
    </row>
    <row r="94" spans="1:11" s="285" customFormat="1" x14ac:dyDescent="0.25">
      <c r="A94" s="468"/>
      <c r="B94" s="468"/>
      <c r="C94" s="159" t="s">
        <v>280</v>
      </c>
      <c r="D94" s="428">
        <f>+COUNCIL!D94+MAYOR!D94+SPEAKER!D94+MM!D94+CORP!D94+PROP!D94+RATES!D94+THALL!D94+FIN!D94+SOCIAL!D94+CEMETERY!D94+LIBRARIES!D94+HOUSING!D94+TRAFFIC!D94+PARKS!D94+REFUSE!D94+SEWAGE!D94+PWORKS!D94+WATER!D94+ELECTRIC!D94</f>
        <v>305019</v>
      </c>
      <c r="E94" s="428">
        <f>+COUNCIL!E94+MAYOR!E94+SPEAKER!E94+MM!E94+CORP!E94+PROP!E94+RATES!E94+THALL!E94+FIN!E94+SOCIAL!E94+CEMETERY!E94+LIBRARIES!E94+HOUSING!E94+TRAFFIC!E94+PARKS!E94+REFUSE!E94+SEWAGE!E94+PWORKS!E94+WATER!E94+ELECTRIC!E94</f>
        <v>620000</v>
      </c>
      <c r="F94" s="428">
        <f>+COUNCIL!F94+MAYOR!F94+SPEAKER!F94+MM!F94+CORP!F94+PROP!F94+RATES!F94+THALL!F94+FIN!F94+SOCIAL!F94+CEMETERY!F94+LIBRARIES!F94+HOUSING!F94+TRAFFIC!F94+PARKS!F94+REFUSE!F94+SEWAGE!F94+PWORKS!F94+WATER!F94+ELECTRIC!F94</f>
        <v>620000</v>
      </c>
      <c r="G94" s="428">
        <f>+COUNCIL!G94+MAYOR!G94+SPEAKER!G94+MM!G94+CORP!G94+PROP!G94+RATES!G94+THALL!G94+FIN!G94+SOCIAL!G94+CEMETERY!G94+LIBRARIES!G94+HOUSING!G94+TRAFFIC!G94+PARKS!G94+REFUSE!G94+SEWAGE!G94+PWORKS!G94+WATER!G94+ELECTRIC!G94</f>
        <v>620000</v>
      </c>
      <c r="H94" s="428">
        <f>+COUNCIL!H94+MAYOR!H94+SPEAKER!H94+MM!H94+CORP!H94+PROP!H94+RATES!H94+THALL!H94+FIN!H94+SOCIAL!H94+CEMETERY!H94+LIBRARIES!H94+HOUSING!I94+TRAFFIC!H94+PARKS!H94+REFUSE!H94+SEWAGE!H94+PWORKS!H94+WATER!H94+ELECTRIC!H94</f>
        <v>712000</v>
      </c>
      <c r="I94" s="428">
        <f>+COUNCIL!I94+MAYOR!I94+SPEAKER!I94+MM!I94+CORP!I94+PROP!I94+RATES!I94+THALL!I94+FIN!I94+SOCIAL!I94+CEMETERY!I94+LIBRARIES!I95+HOUSING!J94+TRAFFIC!I94+PARKS!I94+REFUSE!I94+SEWAGE!I94+PWORKS!I94+WATER!I94+ELECTRIC!I94+PLANNING!I94</f>
        <v>666348</v>
      </c>
      <c r="J94" s="428">
        <f>+COUNCIL!J94+MAYOR!J94+SPEAKER!J94+MM!J94+CORP!J94+PROP!J94+RATES!J94+THALL!J94+FIN!J94+SOCIAL!J94+CEMETERY!J94+LIBRARIES!J95+HOUSING!K94+TRAFFIC!J94+PARKS!J94+REFUSE!J94+SEWAGE!J94+PWORKS!J94+WATER!J94+ELECTRIC!J94+PLANNING!J94</f>
        <v>702997.14</v>
      </c>
      <c r="K94" s="428">
        <f>+COUNCIL!K94+MAYOR!K94+SPEAKER!K94+MM!K94+CORP!K94+PROP!K94+RATES!K94+THALL!K94+FIN!K94+SOCIAL!K94+CEMETERY!K94+LIBRARIES!K95+HOUSING!L94+TRAFFIC!K94+PARKS!K94+REFUSE!K94+SEWAGE!K94+PWORKS!K94+WATER!K94+ELECTRIC!K94+PLANNING!K94</f>
        <v>740255.98841999995</v>
      </c>
    </row>
    <row r="95" spans="1:11" s="285" customFormat="1" x14ac:dyDescent="0.25">
      <c r="A95" s="468"/>
      <c r="B95" s="468"/>
      <c r="C95" s="159" t="s">
        <v>281</v>
      </c>
      <c r="D95" s="428">
        <f>+COUNCIL!D95+MAYOR!D95+SPEAKER!D95+MM!D95+CORP!D95+PROP!D95+RATES!D95+THALL!D95+FIN!D95+SOCIAL!D95+CEMETERY!D95+LIBRARIES!D95+HOUSING!D95+TRAFFIC!D95+PARKS!D95+REFUSE!D95+SEWAGE!D95+PWORKS!D95+WATER!D95+ELECTRIC!D95</f>
        <v>0</v>
      </c>
      <c r="E95" s="428">
        <f>+COUNCIL!E95+MAYOR!E95+SPEAKER!E95+MM!E95+CORP!E95+PROP!E95+RATES!E95+THALL!E95+FIN!E95+SOCIAL!E95+CEMETERY!E95+LIBRARIES!E95+HOUSING!E95+TRAFFIC!E95+PARKS!E95+REFUSE!E95+SEWAGE!E95+PWORKS!E95+WATER!E95+ELECTRIC!E95</f>
        <v>0</v>
      </c>
      <c r="F95" s="428">
        <f>+COUNCIL!F95+MAYOR!F95+SPEAKER!F95+MM!F95+CORP!F95+PROP!F95+RATES!F95+THALL!F95+FIN!F95+SOCIAL!F95+CEMETERY!F95+LIBRARIES!F95+HOUSING!F95+TRAFFIC!F95+PARKS!F95+REFUSE!F95+SEWAGE!F95+PWORKS!F95+WATER!F95+ELECTRIC!F95</f>
        <v>0</v>
      </c>
      <c r="G95" s="428">
        <f>+COUNCIL!G95+MAYOR!G95+SPEAKER!G95+MM!G95+CORP!G95+PROP!G95+RATES!G95+THALL!G95+FIN!G95+SOCIAL!G95+CEMETERY!G95+LIBRARIES!G95+HOUSING!G95+TRAFFIC!G95+PARKS!G95+REFUSE!G95+SEWAGE!G95+PWORKS!G95+WATER!G95+ELECTRIC!G95</f>
        <v>0</v>
      </c>
      <c r="H95" s="428">
        <f>+COUNCIL!H95+MAYOR!H95+SPEAKER!H95+MM!H95+CORP!H95+PROP!H95+RATES!H95+THALL!H95+FIN!H95+SOCIAL!H95+CEMETERY!H95+LIBRARIES!H95+HOUSING!I95+TRAFFIC!H95+PARKS!H95+REFUSE!H95+SEWAGE!H95+PWORKS!H95+WATER!H95+ELECTRIC!H95</f>
        <v>0</v>
      </c>
      <c r="I95" s="428">
        <f>+COUNCIL!I95+MAYOR!I95+SPEAKER!I95+MM!I95+CORP!I95+PROP!I95+RATES!I95+THALL!I95+FIN!I95+SOCIAL!I95+CEMETERY!I95+LIBRARIES!I96+HOUSING!J95+TRAFFIC!I95+PARKS!I95+REFUSE!I95+SEWAGE!I95+PWORKS!I95+WATER!I95+ELECTRIC!I95+PLANNING!I95</f>
        <v>80000</v>
      </c>
      <c r="J95" s="428">
        <f>+COUNCIL!J95+MAYOR!J95+SPEAKER!J95+MM!J95+CORP!J95+PROP!J95+RATES!J95+THALL!J95+FIN!J95+SOCIAL!J95+CEMETERY!J95+LIBRARIES!J96+HOUSING!K95+TRAFFIC!J95+PARKS!J95+REFUSE!J95+SEWAGE!J95+PWORKS!J95+WATER!J95+ELECTRIC!J95+PLANNING!J95</f>
        <v>84400</v>
      </c>
      <c r="K95" s="428">
        <f>+COUNCIL!K95+MAYOR!K95+SPEAKER!K95+MM!K95+CORP!K95+PROP!K95+RATES!K95+THALL!K95+FIN!K95+SOCIAL!K95+CEMETERY!K95+LIBRARIES!K96+HOUSING!L95+TRAFFIC!K95+PARKS!K95+REFUSE!K95+SEWAGE!K95+PWORKS!K95+WATER!K95+ELECTRIC!K95+PLANNING!K95</f>
        <v>88873.2</v>
      </c>
    </row>
    <row r="96" spans="1:11" s="285" customFormat="1" x14ac:dyDescent="0.25">
      <c r="A96" s="468"/>
      <c r="B96" s="468"/>
      <c r="C96" s="159" t="s">
        <v>282</v>
      </c>
      <c r="D96" s="428">
        <f>+COUNCIL!D96+MAYOR!D96+SPEAKER!D96+MM!D96+CORP!D96+PROP!D96+RATES!D96+THALL!D96+FIN!D96+SOCIAL!D96+CEMETERY!D96+LIBRARIES!D96+HOUSING!D96+TRAFFIC!D96+PARKS!D96+REFUSE!D96+SEWAGE!D96+PWORKS!D96+WATER!D96+ELECTRIC!D96</f>
        <v>0</v>
      </c>
      <c r="E96" s="428">
        <f>+COUNCIL!E96+MAYOR!E96+SPEAKER!E96+MM!E96+CORP!E96+PROP!E96+RATES!E96+THALL!E96+FIN!E96+SOCIAL!E96+CEMETERY!E96+LIBRARIES!E96+HOUSING!E96+TRAFFIC!E96+PARKS!E96+REFUSE!E96+SEWAGE!E96+PWORKS!E96+WATER!E96+ELECTRIC!E96</f>
        <v>0</v>
      </c>
      <c r="F96" s="428">
        <f>+COUNCIL!F96+MAYOR!F96+SPEAKER!F96+MM!F96+CORP!F96+PROP!F96+RATES!F96+THALL!F96+FIN!F96+SOCIAL!F96+CEMETERY!F96+LIBRARIES!F96+HOUSING!F96+TRAFFIC!F96+PARKS!F96+REFUSE!F96+SEWAGE!F96+PWORKS!F96+WATER!F96+ELECTRIC!F96</f>
        <v>0</v>
      </c>
      <c r="G96" s="428">
        <f>+COUNCIL!G96+MAYOR!G96+SPEAKER!G96+MM!G96+CORP!G96+PROP!G96+RATES!G96+THALL!G96+FIN!G96+SOCIAL!G96+CEMETERY!G96+LIBRARIES!G96+HOUSING!G96+TRAFFIC!G96+PARKS!G96+REFUSE!G96+SEWAGE!G96+PWORKS!G96+WATER!G96+ELECTRIC!G96</f>
        <v>0</v>
      </c>
      <c r="H96" s="428">
        <f>+COUNCIL!H96+MAYOR!H96+SPEAKER!H96+MM!H96+CORP!H96+PROP!H96+RATES!H96+THALL!H96+FIN!H96+SOCIAL!H96+CEMETERY!H96+LIBRARIES!H96+HOUSING!I96+TRAFFIC!H96+PARKS!H96+REFUSE!H96+SEWAGE!H96+PWORKS!H96+WATER!H96+ELECTRIC!H96</f>
        <v>100000</v>
      </c>
      <c r="I96" s="428">
        <f>+COUNCIL!I96+MAYOR!I96+SPEAKER!I96+MM!I96+CORP!I96+PROP!I96+RATES!I96+THALL!I96+FIN!I96+SOCIAL!I96+CEMETERY!I96+LIBRARIES!I97+HOUSING!J96+TRAFFIC!I96+PARKS!I96+REFUSE!I96+SEWAGE!I96+PWORKS!I96+WATER!I96+ELECTRIC!I96+PLANNING!I96</f>
        <v>1024000</v>
      </c>
      <c r="J96" s="428">
        <f>+COUNCIL!J96+MAYOR!J96+SPEAKER!J96+MM!J96+CORP!J96+PROP!J96+RATES!J96+THALL!J96+FIN!J96+SOCIAL!J96+CEMETERY!J96+LIBRARIES!J97+HOUSING!K96+TRAFFIC!J96+PARKS!J96+REFUSE!J96+SEWAGE!J96+PWORKS!J96+WATER!J96+ELECTRIC!J96+PLANNING!J96</f>
        <v>1080320</v>
      </c>
      <c r="K96" s="428">
        <f>+COUNCIL!K96+MAYOR!K96+SPEAKER!K96+MM!K96+CORP!K96+PROP!K96+RATES!K96+THALL!K96+FIN!K96+SOCIAL!K96+CEMETERY!K96+LIBRARIES!K97+HOUSING!L96+TRAFFIC!K96+PARKS!K96+REFUSE!K96+SEWAGE!K96+PWORKS!K96+WATER!K96+ELECTRIC!K96+PLANNING!K96</f>
        <v>1137576.96</v>
      </c>
    </row>
    <row r="97" spans="1:11" s="285" customFormat="1" x14ac:dyDescent="0.25">
      <c r="A97" s="468"/>
      <c r="B97" s="468"/>
      <c r="C97" s="159" t="s">
        <v>283</v>
      </c>
      <c r="D97" s="428">
        <f>+COUNCIL!D97+MAYOR!D97+SPEAKER!D97+MM!D97+CORP!D97+PROP!D97+RATES!D97+THALL!D97+FIN!D97+SOCIAL!D97+CEMETERY!D97+LIBRARIES!D97+HOUSING!D97+TRAFFIC!D97+PARKS!D97+REFUSE!D97+SEWAGE!D97+PWORKS!D97+WATER!D97+ELECTRIC!D97</f>
        <v>0</v>
      </c>
      <c r="E97" s="428">
        <f>+COUNCIL!E97+MAYOR!E97+SPEAKER!E97+MM!E97+CORP!E97+PROP!E97+RATES!E97+THALL!E97+FIN!E97+SOCIAL!E97+CEMETERY!E97+LIBRARIES!E97+HOUSING!E97+TRAFFIC!E97+PARKS!E97+REFUSE!E97+SEWAGE!E97+PWORKS!E97+WATER!E97+ELECTRIC!E97</f>
        <v>0</v>
      </c>
      <c r="F97" s="428">
        <f>+COUNCIL!F97+MAYOR!F97+SPEAKER!F97+MM!F97+CORP!F97+PROP!F97+RATES!F97+THALL!F97+FIN!F97+SOCIAL!F97+CEMETERY!F97+LIBRARIES!F97+HOUSING!F97+TRAFFIC!F97+PARKS!F97+REFUSE!F97+SEWAGE!F97+PWORKS!F97+WATER!F97+ELECTRIC!F97</f>
        <v>0</v>
      </c>
      <c r="G97" s="428">
        <f>+COUNCIL!G97+MAYOR!G97+SPEAKER!G97+MM!G97+CORP!G97+PROP!G97+RATES!G97+THALL!G97+FIN!G97+SOCIAL!G97+CEMETERY!G97+LIBRARIES!G97+HOUSING!G97+TRAFFIC!G97+PARKS!G97+REFUSE!G97+SEWAGE!G97+PWORKS!G97+WATER!G97+ELECTRIC!G97</f>
        <v>0</v>
      </c>
      <c r="H97" s="428">
        <f>+COUNCIL!H97+MAYOR!H97+SPEAKER!H97+MM!H97+CORP!H97+PROP!H97+RATES!H97+THALL!H97+FIN!H97+SOCIAL!H97+CEMETERY!H97+LIBRARIES!H97+HOUSING!I97+TRAFFIC!H97+PARKS!H97+REFUSE!H97+SEWAGE!H97+PWORKS!H97+WATER!H97+ELECTRIC!H97</f>
        <v>0</v>
      </c>
      <c r="I97" s="428">
        <f>+COUNCIL!I97+MAYOR!I97+SPEAKER!I97+MM!I97+CORP!I97+PROP!I97+RATES!I97+THALL!I97+FIN!I97+SOCIAL!I97+CEMETERY!I97+LIBRARIES!I98+HOUSING!J97+TRAFFIC!I97+PARKS!I97+REFUSE!I97+SEWAGE!I97+PWORKS!I97+WATER!I97+ELECTRIC!I97+PLANNING!I97</f>
        <v>0</v>
      </c>
      <c r="J97" s="428">
        <f>+COUNCIL!J97+MAYOR!J97+SPEAKER!J97+MM!J97+CORP!J97+PROP!J97+RATES!J97+THALL!J97+FIN!J97+SOCIAL!J97+CEMETERY!J97+LIBRARIES!J98+HOUSING!K97+TRAFFIC!J97+PARKS!J97+REFUSE!J97+SEWAGE!J97+PWORKS!J97+WATER!J97+ELECTRIC!J97+PLANNING!J97</f>
        <v>0</v>
      </c>
      <c r="K97" s="428">
        <f>+COUNCIL!K97+MAYOR!K97+SPEAKER!K97+MM!K97+CORP!K97+PROP!K97+RATES!K97+THALL!K97+FIN!K97+SOCIAL!K97+CEMETERY!K97+LIBRARIES!K98+HOUSING!L97+TRAFFIC!K97+PARKS!K97+REFUSE!K97+SEWAGE!K97+PWORKS!K97+WATER!K97+ELECTRIC!K97+PLANNING!K97</f>
        <v>0</v>
      </c>
    </row>
    <row r="98" spans="1:11" s="285" customFormat="1" x14ac:dyDescent="0.25">
      <c r="A98" s="468"/>
      <c r="B98" s="468"/>
      <c r="C98" s="159" t="s">
        <v>284</v>
      </c>
      <c r="D98" s="428">
        <f>+COUNCIL!D98+MAYOR!D98+SPEAKER!D98+MM!D98+CORP!D98+PROP!D98+RATES!D98+THALL!D98+FIN!D98+SOCIAL!D98+CEMETERY!D98+LIBRARIES!D98+HOUSING!D98+TRAFFIC!D98+PARKS!D98+REFUSE!D98+SEWAGE!D98+PWORKS!D98+WATER!D98+ELECTRIC!D98</f>
        <v>442796</v>
      </c>
      <c r="E98" s="428">
        <f>+COUNCIL!E98+MAYOR!E98+SPEAKER!E98+MM!E98+CORP!E98+PROP!E98+RATES!E98+THALL!E98+FIN!E98+SOCIAL!E98+CEMETERY!E98+LIBRARIES!E98+HOUSING!E98+TRAFFIC!E98+PARKS!E98+REFUSE!E98+SEWAGE!E98+PWORKS!E98+WATER!E98+ELECTRIC!E98</f>
        <v>319513</v>
      </c>
      <c r="F98" s="428">
        <f>+COUNCIL!F98+MAYOR!F98+SPEAKER!F98+MM!F98+CORP!F98+PROP!F98+RATES!F98+THALL!F98+FIN!F98+SOCIAL!F98+CEMETERY!F98+LIBRARIES!F98+HOUSING!F98+TRAFFIC!F98+PARKS!F98+REFUSE!F98+SEWAGE!F98+PWORKS!F98+WATER!F98+ELECTRIC!F98</f>
        <v>319513</v>
      </c>
      <c r="G98" s="428">
        <f>+COUNCIL!G98+MAYOR!G98+SPEAKER!G98+MM!G98+CORP!G98+PROP!G98+RATES!G98+THALL!G98+FIN!G98+SOCIAL!G98+CEMETERY!G98+LIBRARIES!G98+HOUSING!G98+TRAFFIC!G98+PARKS!G98+REFUSE!G98+SEWAGE!G98+PWORKS!G98+WATER!G98+ELECTRIC!G98</f>
        <v>319513</v>
      </c>
      <c r="H98" s="428">
        <f>+COUNCIL!H98+MAYOR!H98+SPEAKER!H98+MM!H98+CORP!H98+PROP!H98+RATES!H98+THALL!H98+FIN!H98+SOCIAL!H98+CEMETERY!H98+LIBRARIES!H98+HOUSING!I98+TRAFFIC!H98+PARKS!H98+REFUSE!H98+SEWAGE!H98+PWORKS!H98+WATER!H98+ELECTRIC!H98</f>
        <v>576000</v>
      </c>
      <c r="I98" s="428">
        <f>+COUNCIL!I98+MAYOR!I98+SPEAKER!I98+MM!I98+CORP!I98+PROP!I98+RATES!I98+THALL!I98+FIN!I98+SOCIAL!I98+CEMETERY!I98+LIBRARIES!I99+HOUSING!J98+TRAFFIC!I98+PARKS!I98+REFUSE!I98+SEWAGE!I98+PWORKS!I98+WATER!I98+ELECTRIC!I98+PLANNING!I98</f>
        <v>299828</v>
      </c>
      <c r="J98" s="428">
        <f>+COUNCIL!J98+MAYOR!J98+SPEAKER!J98+MM!J98+CORP!J98+PROP!J98+RATES!J98+THALL!J98+FIN!J98+SOCIAL!J98+CEMETERY!J98+LIBRARIES!J99+HOUSING!K98+TRAFFIC!J98+PARKS!J98+REFUSE!J98+SEWAGE!J98+PWORKS!J98+WATER!J98+ELECTRIC!J98+PLANNING!J98</f>
        <v>316318.53999999998</v>
      </c>
      <c r="K98" s="428">
        <f>+COUNCIL!K98+MAYOR!K98+SPEAKER!K98+MM!K98+CORP!K98+PROP!K98+RATES!K98+THALL!K98+FIN!K98+SOCIAL!K98+CEMETERY!K98+LIBRARIES!K99+HOUSING!L98+TRAFFIC!K98+PARKS!K98+REFUSE!K98+SEWAGE!K98+PWORKS!K98+WATER!K98+ELECTRIC!K98+PLANNING!K98</f>
        <v>333083.42261999997</v>
      </c>
    </row>
    <row r="99" spans="1:11" s="285" customFormat="1" x14ac:dyDescent="0.25">
      <c r="A99" s="468"/>
      <c r="B99" s="468"/>
      <c r="C99" s="159" t="s">
        <v>285</v>
      </c>
      <c r="D99" s="428">
        <f>+COUNCIL!D99+MAYOR!D99+SPEAKER!D99+MM!D99+CORP!D99+PROP!D99+RATES!D99+THALL!D99+FIN!D99+SOCIAL!D99+CEMETERY!D99+LIBRARIES!D99+HOUSING!D99+TRAFFIC!D99+PARKS!D99+REFUSE!D99+SEWAGE!D99+PWORKS!D99+WATER!D99+ELECTRIC!D99</f>
        <v>0</v>
      </c>
      <c r="E99" s="428">
        <f>+COUNCIL!E99+MAYOR!E99+SPEAKER!E99+MM!E99+CORP!E99+PROP!E99+RATES!E99+THALL!E99+FIN!E99+SOCIAL!E99+CEMETERY!E99+LIBRARIES!E99+HOUSING!E99+TRAFFIC!E99+PARKS!E99+REFUSE!E99+SEWAGE!E99+PWORKS!E99+WATER!E99+ELECTRIC!E99</f>
        <v>0</v>
      </c>
      <c r="F99" s="428">
        <f>+COUNCIL!F99+MAYOR!F99+SPEAKER!F99+MM!F99+CORP!F99+PROP!F99+RATES!F99+THALL!F99+FIN!F99+SOCIAL!F99+CEMETERY!F99+LIBRARIES!F99+HOUSING!F99+TRAFFIC!F99+PARKS!F99+REFUSE!F99+SEWAGE!F99+PWORKS!F99+WATER!F99+ELECTRIC!F99</f>
        <v>0</v>
      </c>
      <c r="G99" s="428">
        <f>+COUNCIL!G99+MAYOR!G99+SPEAKER!G99+MM!G99+CORP!G99+PROP!G99+RATES!G99+THALL!G99+FIN!G99+SOCIAL!G99+CEMETERY!G99+LIBRARIES!G99+HOUSING!G99+TRAFFIC!G99+PARKS!G99+REFUSE!G99+SEWAGE!G99+PWORKS!G99+WATER!G99+ELECTRIC!G99</f>
        <v>0</v>
      </c>
      <c r="H99" s="428">
        <f>+COUNCIL!H99+MAYOR!H99+SPEAKER!H99+MM!H99+CORP!H99+PROP!H99+RATES!H99+THALL!H99+FIN!H99+SOCIAL!H99+CEMETERY!H99+LIBRARIES!H99+HOUSING!I99+TRAFFIC!H99+PARKS!H99+REFUSE!H99+SEWAGE!H99+PWORKS!H99+WATER!H99+ELECTRIC!H99</f>
        <v>0</v>
      </c>
      <c r="I99" s="428">
        <f>+COUNCIL!I99+MAYOR!I99+SPEAKER!I99+MM!I99+CORP!I99+PROP!I99+RATES!I99+THALL!I99+FIN!I99+SOCIAL!I99+CEMETERY!I99+LIBRARIES!I100+HOUSING!J99+TRAFFIC!I99+PARKS!I99+REFUSE!I99+SEWAGE!I99+PWORKS!I99+WATER!I99+ELECTRIC!I99+PLANNING!I99</f>
        <v>0</v>
      </c>
      <c r="J99" s="428">
        <f>+COUNCIL!J99+MAYOR!J99+SPEAKER!J99+MM!J99+CORP!J99+PROP!J99+RATES!J99+THALL!J99+FIN!J99+SOCIAL!J99+CEMETERY!J99+LIBRARIES!J100+HOUSING!K99+TRAFFIC!J99+PARKS!J99+REFUSE!J99+SEWAGE!J99+PWORKS!J99+WATER!J99+ELECTRIC!J99+PLANNING!J99</f>
        <v>0</v>
      </c>
      <c r="K99" s="428">
        <f>+COUNCIL!K99+MAYOR!K99+SPEAKER!K99+MM!K99+CORP!K99+PROP!K99+RATES!K99+THALL!K99+FIN!K99+SOCIAL!K99+CEMETERY!K99+LIBRARIES!K100+HOUSING!L99+TRAFFIC!K99+PARKS!K99+REFUSE!K99+SEWAGE!K99+PWORKS!K99+WATER!K99+ELECTRIC!K99+PLANNING!K99</f>
        <v>0</v>
      </c>
    </row>
    <row r="100" spans="1:11" s="285" customFormat="1" x14ac:dyDescent="0.25">
      <c r="A100" s="468"/>
      <c r="B100" s="468"/>
      <c r="C100" s="159" t="s">
        <v>286</v>
      </c>
      <c r="D100" s="428">
        <f>+COUNCIL!D100+MAYOR!D100+SPEAKER!D100+MM!D100+CORP!D100+PROP!D100+RATES!D100+THALL!D100+FIN!D100+SOCIAL!D100+CEMETERY!D100+LIBRARIES!D100+HOUSING!D100+TRAFFIC!D100+PARKS!D100+REFUSE!D100+SEWAGE!D100+PWORKS!D100+WATER!D100+ELECTRIC!D100</f>
        <v>6292321</v>
      </c>
      <c r="E100" s="428">
        <f>+COUNCIL!E100+MAYOR!E100+SPEAKER!E100+MM!E100+CORP!E100+PROP!E100+RATES!E100+THALL!E100+FIN!E100+SOCIAL!E100+CEMETERY!E100+LIBRARIES!E100+HOUSING!E100+TRAFFIC!E100+PARKS!E100+REFUSE!E100+SEWAGE!E100+PWORKS!E100+WATER!E100+ELECTRIC!E100</f>
        <v>867000</v>
      </c>
      <c r="F100" s="428">
        <f>+COUNCIL!F100+MAYOR!F100+SPEAKER!F100+MM!F100+CORP!F100+PROP!F100+RATES!F100+THALL!F100+FIN!F100+SOCIAL!F100+CEMETERY!F100+LIBRARIES!F100+HOUSING!F100+TRAFFIC!F100+PARKS!F100+REFUSE!F100+SEWAGE!F100+PWORKS!F100+WATER!F100+ELECTRIC!F100</f>
        <v>1117000</v>
      </c>
      <c r="G100" s="428">
        <f>+COUNCIL!G100+MAYOR!G100+SPEAKER!G100+MM!G100+CORP!G100+PROP!G100+RATES!G100+THALL!G100+FIN!G100+SOCIAL!G100+CEMETERY!G100+LIBRARIES!G100+HOUSING!G100+TRAFFIC!G100+PARKS!G100+REFUSE!G100+SEWAGE!G100+PWORKS!G100+WATER!G100+ELECTRIC!G100</f>
        <v>1117000</v>
      </c>
      <c r="H100" s="428">
        <f>+COUNCIL!H100+MAYOR!H100+SPEAKER!H100+MM!H100+CORP!H100+PROP!H100+RATES!H100+THALL!H100+FIN!H100+SOCIAL!H100+CEMETERY!H100+LIBRARIES!H100+HOUSING!I100+TRAFFIC!H100+PARKS!H100+REFUSE!H100+SEWAGE!H100+PWORKS!H100+WATER!H100+ELECTRIC!H100</f>
        <v>1067000</v>
      </c>
      <c r="I100" s="428">
        <f>+COUNCIL!I100+MAYOR!I100+SPEAKER!I100+MM!I100+CORP!I100+PROP!I100+RATES!I100+THALL!I100+FIN!I100+SOCIAL!I100+CEMETERY!I100+LIBRARIES!I101+HOUSING!J100+TRAFFIC!I100+PARKS!I100+REFUSE!I100+SEWAGE!I100+PWORKS!I100+WATER!I100+ELECTRIC!I100+PLANNING!I100</f>
        <v>2099580</v>
      </c>
      <c r="J100" s="428">
        <f>+COUNCIL!J100+MAYOR!J100+SPEAKER!J100+MM!J100+CORP!J100+PROP!J100+RATES!J100+THALL!J100+FIN!J100+SOCIAL!J100+CEMETERY!J100+LIBRARIES!J101+HOUSING!K100+TRAFFIC!J100+PARKS!J100+REFUSE!J100+SEWAGE!J100+PWORKS!J100+WATER!J100+ELECTRIC!J100+PLANNING!J100</f>
        <v>2215056.9</v>
      </c>
      <c r="K100" s="428">
        <f>+COUNCIL!K100+MAYOR!K100+SPEAKER!K100+MM!K100+CORP!K100+PROP!K100+RATES!K100+THALL!K100+FIN!K100+SOCIAL!K100+CEMETERY!K100+LIBRARIES!K101+HOUSING!L100+TRAFFIC!K100+PARKS!K100+REFUSE!K100+SEWAGE!K100+PWORKS!K100+WATER!K100+ELECTRIC!K100+PLANNING!K100</f>
        <v>2332454.9156999998</v>
      </c>
    </row>
    <row r="101" spans="1:11" s="285" customFormat="1" x14ac:dyDescent="0.25">
      <c r="A101" s="468"/>
      <c r="B101" s="468"/>
      <c r="C101" s="159" t="s">
        <v>287</v>
      </c>
      <c r="D101" s="428">
        <f>+COUNCIL!D101+MAYOR!D101+SPEAKER!D101+MM!D101+CORP!D101+PROP!D101+RATES!D101+THALL!D101+FIN!D101+SOCIAL!D101+CEMETERY!D101+LIBRARIES!D101+HOUSING!D101+TRAFFIC!D101+PARKS!D101+REFUSE!D101+SEWAGE!D101+PWORKS!D101+WATER!D101+ELECTRIC!D101</f>
        <v>1250000</v>
      </c>
      <c r="E101" s="428">
        <f>+COUNCIL!E101+MAYOR!E101+SPEAKER!E101+MM!E101+CORP!E101+PROP!E101+RATES!E101+THALL!E101+FIN!E101+SOCIAL!E101+CEMETERY!E101+LIBRARIES!E101+HOUSING!E101+TRAFFIC!E101+PARKS!E101+REFUSE!E101+SEWAGE!E101+PWORKS!E101+WATER!E101+ELECTRIC!E101</f>
        <v>480000</v>
      </c>
      <c r="F101" s="428">
        <f>+COUNCIL!F101+MAYOR!F101+SPEAKER!F101+MM!F101+CORP!F101+PROP!F101+RATES!F101+THALL!F101+FIN!F101+SOCIAL!F101+CEMETERY!F101+LIBRARIES!F101+HOUSING!F101+TRAFFIC!F101+PARKS!F101+REFUSE!F101+SEWAGE!F101+PWORKS!F101+WATER!F101+ELECTRIC!F101</f>
        <v>510000</v>
      </c>
      <c r="G101" s="428">
        <f>+COUNCIL!G101+MAYOR!G101+SPEAKER!G101+MM!G101+CORP!G101+PROP!G101+RATES!G101+THALL!G101+FIN!G101+SOCIAL!G101+CEMETERY!G101+LIBRARIES!G101+HOUSING!G101+TRAFFIC!G101+PARKS!G101+REFUSE!G101+SEWAGE!G101+PWORKS!G101+WATER!G101+ELECTRIC!G101</f>
        <v>510000</v>
      </c>
      <c r="H101" s="428">
        <f>+COUNCIL!H101+MAYOR!H101+SPEAKER!H101+MM!H101+CORP!H101+PROP!H101+RATES!H101+THALL!H101+FIN!H101+SOCIAL!H101+CEMETERY!H101+LIBRARIES!H101+HOUSING!I101+TRAFFIC!H101+PARKS!H101+REFUSE!H101+SEWAGE!H101+PWORKS!H101+WATER!H101+ELECTRIC!H101</f>
        <v>250000</v>
      </c>
      <c r="I101" s="428">
        <f>+COUNCIL!I101+MAYOR!I101+SPEAKER!I101+MM!I101+CORP!I101+PROP!I101+RATES!I101+THALL!I101+FIN!I101+SOCIAL!I101+CEMETERY!I101+LIBRARIES!I102+HOUSING!J101+TRAFFIC!I101+PARKS!I101+REFUSE!I101+SEWAGE!I101+PWORKS!I101+WATER!I101+ELECTRIC!I101+PLANNING!I101</f>
        <v>0</v>
      </c>
      <c r="J101" s="428">
        <f>+COUNCIL!J101+MAYOR!J101+SPEAKER!J101+MM!J101+CORP!J101+PROP!J101+RATES!J101+THALL!J101+FIN!J101+SOCIAL!J101+CEMETERY!J101+LIBRARIES!J102+HOUSING!K101+TRAFFIC!J101+PARKS!J101+REFUSE!J101+SEWAGE!J101+PWORKS!J101+WATER!J101+ELECTRIC!J101+PLANNING!J101</f>
        <v>0</v>
      </c>
      <c r="K101" s="428">
        <f>+COUNCIL!K101+MAYOR!K101+SPEAKER!K101+MM!K101+CORP!K101+PROP!K101+RATES!K101+THALL!K101+FIN!K101+SOCIAL!K101+CEMETERY!K101+LIBRARIES!K102+HOUSING!L101+TRAFFIC!K101+PARKS!K101+REFUSE!K101+SEWAGE!K101+PWORKS!K101+WATER!K101+ELECTRIC!K101+PLANNING!K101</f>
        <v>0</v>
      </c>
    </row>
    <row r="102" spans="1:11" s="285" customFormat="1" x14ac:dyDescent="0.25">
      <c r="A102" s="468"/>
      <c r="B102" s="468"/>
      <c r="C102" s="159" t="s">
        <v>288</v>
      </c>
      <c r="D102" s="428">
        <f>+COUNCIL!D102+MAYOR!D102+SPEAKER!D102+MM!D102+CORP!D102+PROP!D102+RATES!D102+THALL!D102+FIN!D102+SOCIAL!D102+CEMETERY!D102+LIBRARIES!D102+HOUSING!D102+TRAFFIC!D102+PARKS!D102+REFUSE!D102+SEWAGE!D102+PWORKS!D102+WATER!D102+ELECTRIC!D102</f>
        <v>0</v>
      </c>
      <c r="E102" s="428">
        <f>+COUNCIL!E102+MAYOR!E102+SPEAKER!E102+MM!E102+CORP!E102+PROP!E102+RATES!E102+THALL!E102+FIN!E102+SOCIAL!E102+CEMETERY!E102+LIBRARIES!E102+HOUSING!E102+TRAFFIC!E102+PARKS!E102+REFUSE!E102+SEWAGE!E102+PWORKS!E102+WATER!E102+ELECTRIC!E102</f>
        <v>0</v>
      </c>
      <c r="F102" s="428">
        <f>+COUNCIL!F102+MAYOR!F102+SPEAKER!F102+MM!F102+CORP!F102+PROP!F102+RATES!F102+THALL!F102+FIN!F102+SOCIAL!F102+CEMETERY!F102+LIBRARIES!F102+HOUSING!F102+TRAFFIC!F102+PARKS!F102+REFUSE!F102+SEWAGE!F102+PWORKS!F102+WATER!F102+ELECTRIC!F102</f>
        <v>0</v>
      </c>
      <c r="G102" s="428">
        <f>+COUNCIL!G102+MAYOR!G102+SPEAKER!G102+MM!G102+CORP!G102+PROP!G102+RATES!G102+THALL!G102+FIN!G102+SOCIAL!G102+CEMETERY!G102+LIBRARIES!G102+HOUSING!G102+TRAFFIC!G102+PARKS!G102+REFUSE!G102+SEWAGE!G102+PWORKS!G102+WATER!G102+ELECTRIC!G102</f>
        <v>0</v>
      </c>
      <c r="H102" s="428">
        <f>+COUNCIL!H102+MAYOR!H102+SPEAKER!H102+MM!H102+CORP!H102+PROP!H102+RATES!H102+THALL!H102+FIN!H102+SOCIAL!H102+CEMETERY!H102+LIBRARIES!H102+HOUSING!I102+TRAFFIC!H102+PARKS!H102+REFUSE!H102+SEWAGE!H102+PWORKS!H102+WATER!H102+ELECTRIC!H102</f>
        <v>0</v>
      </c>
      <c r="I102" s="428">
        <f>+COUNCIL!I102+MAYOR!I102+SPEAKER!I102+MM!I102+CORP!I102+PROP!I102+RATES!I102+THALL!I102+FIN!I102+SOCIAL!I102+CEMETERY!I102+LIBRARIES!I103+HOUSING!J102+TRAFFIC!I102+PARKS!I102+REFUSE!I102+SEWAGE!I102+PWORKS!I102+WATER!I102+ELECTRIC!I102+PLANNING!I102</f>
        <v>0</v>
      </c>
      <c r="J102" s="428">
        <f>+COUNCIL!J102+MAYOR!J102+SPEAKER!J102+MM!J102+CORP!J102+PROP!J102+RATES!J102+THALL!J102+FIN!J102+SOCIAL!J102+CEMETERY!J102+LIBRARIES!J103+HOUSING!K102+TRAFFIC!J102+PARKS!J102+REFUSE!J102+SEWAGE!J102+PWORKS!J102+WATER!J102+ELECTRIC!J102+PLANNING!J102</f>
        <v>0</v>
      </c>
      <c r="K102" s="428">
        <f>+COUNCIL!K102+MAYOR!K102+SPEAKER!K102+MM!K102+CORP!K102+PROP!K102+RATES!K102+THALL!K102+FIN!K102+SOCIAL!K102+CEMETERY!K102+LIBRARIES!K103+HOUSING!L102+TRAFFIC!K102+PARKS!K102+REFUSE!K102+SEWAGE!K102+PWORKS!K102+WATER!K102+ELECTRIC!K102+PLANNING!K102</f>
        <v>0</v>
      </c>
    </row>
    <row r="103" spans="1:11" s="285" customFormat="1" x14ac:dyDescent="0.25">
      <c r="A103" s="468"/>
      <c r="B103" s="468"/>
      <c r="C103" s="94" t="s">
        <v>501</v>
      </c>
      <c r="D103" s="428">
        <f>+COUNCIL!D103+MAYOR!D103+SPEAKER!D103+MM!D103+CORP!D103+PROP!D103+RATES!D103+THALL!D103+FIN!D103+SOCIAL!D103+CEMETERY!D103+LIBRARIES!D103+HOUSING!D103+TRAFFIC!D103+PARKS!D103+REFUSE!D103+SEWAGE!D103+PWORKS!D103+WATER!D103+ELECTRIC!D103</f>
        <v>0</v>
      </c>
      <c r="E103" s="428">
        <f>+COUNCIL!E103+MAYOR!E103+SPEAKER!E103+MM!E103+CORP!E103+PROP!E103+RATES!E103+THALL!E103+FIN!E103+SOCIAL!E103+CEMETERY!E103+LIBRARIES!E103+HOUSING!E103+TRAFFIC!E103+PARKS!E103+REFUSE!E103+SEWAGE!E103+PWORKS!E103+WATER!E103+ELECTRIC!E103</f>
        <v>520000</v>
      </c>
      <c r="F103" s="428">
        <f>+COUNCIL!F103+MAYOR!F103+SPEAKER!F103+MM!F103+CORP!F103+PROP!F103+RATES!F103+THALL!F103+FIN!F103+SOCIAL!F103+CEMETERY!F103+LIBRARIES!F103+HOUSING!F103+TRAFFIC!F103+PARKS!F103+REFUSE!F103+SEWAGE!F103+PWORKS!F103+WATER!F103+ELECTRIC!F103</f>
        <v>20000</v>
      </c>
      <c r="G103" s="428">
        <f>+COUNCIL!G103+MAYOR!G103+SPEAKER!G103+MM!G103+CORP!G103+PROP!G103+RATES!G103+THALL!G103+FIN!G103+SOCIAL!G103+CEMETERY!G103+LIBRARIES!G103+HOUSING!G103+TRAFFIC!G103+PARKS!G103+REFUSE!G103+SEWAGE!G103+PWORKS!G103+WATER!G103+ELECTRIC!G103</f>
        <v>20001</v>
      </c>
      <c r="H103" s="428">
        <f>+COUNCIL!H103+MAYOR!H103+SPEAKER!H103+MM!H103+CORP!H103+PROP!H103+RATES!H103+THALL!H103+FIN!H103+SOCIAL!H103+CEMETERY!H103+LIBRARIES!H103+HOUSING!I103+TRAFFIC!H103+PARKS!H103+REFUSE!H103+SEWAGE!H103+PWORKS!H103+WATER!H103+ELECTRIC!H103</f>
        <v>20001</v>
      </c>
      <c r="I103" s="428">
        <f>+COUNCIL!I103+MAYOR!I103+SPEAKER!I103+MM!I103+CORP!I103+PROP!I103+RATES!I103+THALL!I103+FIN!I103+SOCIAL!I103+CEMETERY!I103+LIBRARIES!I104+HOUSING!J103+TRAFFIC!I103+PARKS!I103+REFUSE!I103+SEWAGE!I103+PWORKS!I103+WATER!I103+ELECTRIC!I103+PLANNING!I103</f>
        <v>0</v>
      </c>
      <c r="J103" s="428">
        <f>+COUNCIL!J103+MAYOR!J103+SPEAKER!J103+MM!J103+CORP!J103+PROP!J103+RATES!J103+THALL!J103+FIN!J103+SOCIAL!J103+CEMETERY!J103+LIBRARIES!J104+HOUSING!K103+TRAFFIC!J103+PARKS!J103+REFUSE!J103+SEWAGE!J103+PWORKS!J103+WATER!J103+ELECTRIC!J103+PLANNING!J103</f>
        <v>0</v>
      </c>
      <c r="K103" s="428">
        <f>+COUNCIL!K103+MAYOR!K103+SPEAKER!K103+MM!K103+CORP!K103+PROP!K103+RATES!K103+THALL!K103+FIN!K103+SOCIAL!K103+CEMETERY!K103+LIBRARIES!K104+HOUSING!L103+TRAFFIC!K103+PARKS!K103+REFUSE!K103+SEWAGE!K103+PWORKS!K103+WATER!K103+ELECTRIC!K103+PLANNING!K103</f>
        <v>0</v>
      </c>
    </row>
    <row r="104" spans="1:11" s="285" customFormat="1" x14ac:dyDescent="0.25">
      <c r="A104" s="468"/>
      <c r="B104" s="468"/>
      <c r="C104" s="94" t="s">
        <v>290</v>
      </c>
      <c r="D104" s="428">
        <f>+COUNCIL!D104+MAYOR!D104+SPEAKER!D104+MM!D104+CORP!D104+PROP!D104+RATES!D104+THALL!D104+FIN!D104+SOCIAL!D104+CEMETERY!D104+LIBRARIES!D104+HOUSING!D104+TRAFFIC!D104+PARKS!D104+REFUSE!D104+SEWAGE!D104+PWORKS!D104+WATER!D104+ELECTRIC!D104</f>
        <v>0</v>
      </c>
      <c r="E104" s="428">
        <f>+COUNCIL!E104+MAYOR!E104+SPEAKER!E104+MM!E104+CORP!E104+PROP!E104+RATES!E104+THALL!E104+FIN!E104+SOCIAL!E104+CEMETERY!E104+LIBRARIES!E104+HOUSING!E104+TRAFFIC!E104+PARKS!E104+REFUSE!E104+SEWAGE!E104+PWORKS!E104+WATER!E104+ELECTRIC!E104</f>
        <v>0</v>
      </c>
      <c r="F104" s="428">
        <f>+COUNCIL!F104+MAYOR!F104+SPEAKER!F104+MM!F104+CORP!F104+PROP!F104+RATES!F104+THALL!F104+FIN!F104+SOCIAL!F104+CEMETERY!F104+LIBRARIES!F104+HOUSING!F104+TRAFFIC!F104+PARKS!F104+REFUSE!F104+SEWAGE!F104+PWORKS!F104+WATER!F104+ELECTRIC!F104</f>
        <v>0</v>
      </c>
      <c r="G104" s="428">
        <f>+COUNCIL!G104+MAYOR!G104+SPEAKER!G104+MM!G104+CORP!G104+PROP!G104+RATES!G104+THALL!G104+FIN!G104+SOCIAL!G104+CEMETERY!G104+LIBRARIES!G104+HOUSING!G104+TRAFFIC!G104+PARKS!G104+REFUSE!G104+SEWAGE!G104+PWORKS!G104+WATER!G104+ELECTRIC!G104</f>
        <v>0</v>
      </c>
      <c r="H104" s="428">
        <f>+COUNCIL!H104+MAYOR!H104+SPEAKER!H104+MM!H104+CORP!H104+PROP!H104+RATES!H104+THALL!H104+FIN!H104+SOCIAL!H104+CEMETERY!H104+LIBRARIES!H104+HOUSING!I104+TRAFFIC!H104+PARKS!H104+REFUSE!H104+SEWAGE!H104+PWORKS!H104+WATER!H104+ELECTRIC!H104</f>
        <v>0</v>
      </c>
      <c r="I104" s="428">
        <f>+COUNCIL!I104+MAYOR!I104+SPEAKER!I104+MM!I104+CORP!I104+PROP!I104+RATES!I104+THALL!I104+FIN!I104+SOCIAL!I104+CEMETERY!I104+LIBRARIES!I105+HOUSING!J104+TRAFFIC!I104+PARKS!I104+REFUSE!I104+SEWAGE!I104+PWORKS!I104+WATER!I104+ELECTRIC!I104+PLANNING!I104</f>
        <v>0</v>
      </c>
      <c r="J104" s="428">
        <f>+COUNCIL!J104+MAYOR!J104+SPEAKER!J104+MM!J104+CORP!J104+PROP!J104+RATES!J104+THALL!J104+FIN!J104+SOCIAL!J104+CEMETERY!J104+LIBRARIES!J105+HOUSING!K104+TRAFFIC!J104+PARKS!J104+REFUSE!J104+SEWAGE!J104+PWORKS!J104+WATER!J104+ELECTRIC!J104+PLANNING!J104</f>
        <v>0</v>
      </c>
      <c r="K104" s="428">
        <f>+COUNCIL!K104+MAYOR!K104+SPEAKER!K104+MM!K104+CORP!K104+PROP!K104+RATES!K104+THALL!K104+FIN!K104+SOCIAL!K104+CEMETERY!K104+LIBRARIES!K105+HOUSING!L104+TRAFFIC!K104+PARKS!K104+REFUSE!K104+SEWAGE!K104+PWORKS!K104+WATER!K104+ELECTRIC!K104+PLANNING!K104</f>
        <v>0</v>
      </c>
    </row>
    <row r="105" spans="1:11" s="285" customFormat="1" x14ac:dyDescent="0.25">
      <c r="A105" s="468"/>
      <c r="B105" s="468"/>
      <c r="C105" s="94" t="s">
        <v>291</v>
      </c>
      <c r="D105" s="428">
        <f>+COUNCIL!D105+MAYOR!D105+SPEAKER!D105+MM!D105+CORP!D105+PROP!D105+RATES!D105+THALL!D105+FIN!D105+SOCIAL!D105+CEMETERY!D105+LIBRARIES!D105+HOUSING!D105+TRAFFIC!D105+PARKS!D105+REFUSE!D105+SEWAGE!D105+PWORKS!D105+WATER!D105+ELECTRIC!D105</f>
        <v>0</v>
      </c>
      <c r="E105" s="428">
        <f>+COUNCIL!E105+MAYOR!E105+SPEAKER!E105+MM!E105+CORP!E105+PROP!E105+RATES!E105+THALL!E105+FIN!E105+SOCIAL!E105+CEMETERY!E105+LIBRARIES!E105+HOUSING!E105+TRAFFIC!E105+PARKS!E105+REFUSE!E105+SEWAGE!E105+PWORKS!E105+WATER!E105+ELECTRIC!E105</f>
        <v>0</v>
      </c>
      <c r="F105" s="428">
        <f>+COUNCIL!F105+MAYOR!F105+SPEAKER!F105+MM!F105+CORP!F105+PROP!F105+RATES!F105+THALL!F105+FIN!F105+SOCIAL!F105+CEMETERY!F105+LIBRARIES!F105+HOUSING!F105+TRAFFIC!F105+PARKS!F105+REFUSE!F105+SEWAGE!F105+PWORKS!F105+WATER!F105+ELECTRIC!F105</f>
        <v>0</v>
      </c>
      <c r="G105" s="428">
        <f>+COUNCIL!G105+MAYOR!G105+SPEAKER!G105+MM!G105+CORP!G105+PROP!G105+RATES!G105+THALL!G105+FIN!G105+SOCIAL!G105+CEMETERY!G105+LIBRARIES!G105+HOUSING!G105+TRAFFIC!G105+PARKS!G105+REFUSE!G105+SEWAGE!G105+PWORKS!G105+WATER!G105+ELECTRIC!G105</f>
        <v>0</v>
      </c>
      <c r="H105" s="428">
        <f>+COUNCIL!H105+MAYOR!H105+SPEAKER!H105+MM!H105+CORP!H105+PROP!H105+RATES!H105+THALL!H105+FIN!H105+SOCIAL!H105+CEMETERY!H105+LIBRARIES!H105+HOUSING!I105+TRAFFIC!H105+PARKS!H105+REFUSE!H105+SEWAGE!H105+PWORKS!H105+WATER!H105+ELECTRIC!H105</f>
        <v>0</v>
      </c>
      <c r="I105" s="428">
        <f>+COUNCIL!I105+MAYOR!I105+SPEAKER!I105+MM!I105+CORP!I105+PROP!I105+RATES!I105+THALL!I105+FIN!I105+SOCIAL!I105+CEMETERY!I105+LIBRARIES!I106+HOUSING!J105+TRAFFIC!I105+PARKS!I105+REFUSE!I105+SEWAGE!I105+PWORKS!I105+WATER!I105+ELECTRIC!I105+PLANNING!I105</f>
        <v>0</v>
      </c>
      <c r="J105" s="428">
        <f>+COUNCIL!J105+MAYOR!J105+SPEAKER!J105+MM!J105+CORP!J105+PROP!J105+RATES!J105+THALL!J105+FIN!J105+SOCIAL!J105+CEMETERY!J105+LIBRARIES!J106+HOUSING!K105+TRAFFIC!J105+PARKS!J105+REFUSE!J105+SEWAGE!J105+PWORKS!J105+WATER!J105+ELECTRIC!J105+PLANNING!J105</f>
        <v>0</v>
      </c>
      <c r="K105" s="428">
        <f>+COUNCIL!K105+MAYOR!K105+SPEAKER!K105+MM!K105+CORP!K105+PROP!K105+RATES!K105+THALL!K105+FIN!K105+SOCIAL!K105+CEMETERY!K105+LIBRARIES!K106+HOUSING!L105+TRAFFIC!K105+PARKS!K105+REFUSE!K105+SEWAGE!K105+PWORKS!K105+WATER!K105+ELECTRIC!K105+PLANNING!K105</f>
        <v>0</v>
      </c>
    </row>
    <row r="106" spans="1:11" s="285" customFormat="1" x14ac:dyDescent="0.25">
      <c r="A106" s="468"/>
      <c r="B106" s="468"/>
      <c r="C106" s="94" t="s">
        <v>292</v>
      </c>
      <c r="D106" s="428">
        <f>+COUNCIL!D106+MAYOR!D106+SPEAKER!D106+MM!D106+CORP!D106+PROP!D106+RATES!D106+THALL!D106+FIN!D106+SOCIAL!D106+CEMETERY!D106+LIBRARIES!D106+HOUSING!D106+TRAFFIC!D106+PARKS!D106+REFUSE!D106+SEWAGE!D106+PWORKS!D106+WATER!D106+ELECTRIC!D106</f>
        <v>0</v>
      </c>
      <c r="E106" s="428">
        <f>+COUNCIL!E106+MAYOR!E106+SPEAKER!E106+MM!E106+CORP!E106+PROP!E106+RATES!E106+THALL!E106+FIN!E106+SOCIAL!E106+CEMETERY!E106+LIBRARIES!E106+HOUSING!E106+TRAFFIC!E106+PARKS!E106+REFUSE!E106+SEWAGE!E106+PWORKS!E106+WATER!E106+ELECTRIC!E106</f>
        <v>0</v>
      </c>
      <c r="F106" s="428">
        <f>+COUNCIL!F106+MAYOR!F106+SPEAKER!F106+MM!F106+CORP!F106+PROP!F106+RATES!F106+THALL!F106+FIN!F106+SOCIAL!F106+CEMETERY!F106+LIBRARIES!F106+HOUSING!F106+TRAFFIC!F106+PARKS!F106+REFUSE!F106+SEWAGE!F106+PWORKS!F106+WATER!F106+ELECTRIC!F106</f>
        <v>0</v>
      </c>
      <c r="G106" s="428">
        <f>+COUNCIL!G106+MAYOR!G106+SPEAKER!G106+MM!G106+CORP!G106+PROP!G106+RATES!G106+THALL!G106+FIN!G106+SOCIAL!G106+CEMETERY!G106+LIBRARIES!G106+HOUSING!G106+TRAFFIC!G106+PARKS!G106+REFUSE!G106+SEWAGE!G106+PWORKS!G106+WATER!G106+ELECTRIC!G106</f>
        <v>0</v>
      </c>
      <c r="H106" s="428">
        <f>+COUNCIL!H106+MAYOR!H106+SPEAKER!H106+MM!H106+CORP!H106+PROP!H106+RATES!H106+THALL!H106+FIN!H106+SOCIAL!H106+CEMETERY!H106+LIBRARIES!H106+HOUSING!I106+TRAFFIC!H106+PARKS!H106+REFUSE!H106+SEWAGE!H106+PWORKS!H106+WATER!H106+ELECTRIC!H106</f>
        <v>0</v>
      </c>
      <c r="I106" s="428">
        <f>+COUNCIL!I106+MAYOR!I106+SPEAKER!I106+MM!I106+CORP!I106+PROP!I106+RATES!I106+THALL!I106+FIN!I106+SOCIAL!I106+CEMETERY!I106+LIBRARIES!I107+HOUSING!J106+TRAFFIC!I106+PARKS!I106+REFUSE!I106+SEWAGE!I106+PWORKS!I106+WATER!I106+ELECTRIC!I106+PLANNING!I106</f>
        <v>5000</v>
      </c>
      <c r="J106" s="428">
        <f>+COUNCIL!J106+MAYOR!J106+SPEAKER!J106+MM!J106+CORP!J106+PROP!J106+RATES!J106+THALL!J106+FIN!J106+SOCIAL!J106+CEMETERY!J106+LIBRARIES!J107+HOUSING!K106+TRAFFIC!J106+PARKS!J106+REFUSE!J106+SEWAGE!J106+PWORKS!J106+WATER!J106+ELECTRIC!J106+PLANNING!J106</f>
        <v>5275</v>
      </c>
      <c r="K106" s="428">
        <f>+COUNCIL!K106+MAYOR!K106+SPEAKER!K106+MM!K106+CORP!K106+PROP!K106+RATES!K106+THALL!K106+FIN!K106+SOCIAL!K106+CEMETERY!K106+LIBRARIES!K107+HOUSING!L106+TRAFFIC!K106+PARKS!K106+REFUSE!K106+SEWAGE!K106+PWORKS!K106+WATER!K106+ELECTRIC!K106+PLANNING!K106</f>
        <v>5554.5749999999998</v>
      </c>
    </row>
    <row r="107" spans="1:11" s="285" customFormat="1" x14ac:dyDescent="0.25">
      <c r="A107" s="468"/>
      <c r="B107" s="468"/>
      <c r="C107" s="94" t="s">
        <v>293</v>
      </c>
      <c r="D107" s="428">
        <f>+COUNCIL!D107+MAYOR!D107+SPEAKER!D107+MM!D107+CORP!D107+PROP!D107+RATES!D107+THALL!D107+FIN!D107+SOCIAL!D107+CEMETERY!D107+LIBRARIES!D107+HOUSING!D107+TRAFFIC!D107+PARKS!D107+REFUSE!D107+SEWAGE!D107+PWORKS!D107+WATER!D107+ELECTRIC!D107</f>
        <v>0</v>
      </c>
      <c r="E107" s="428">
        <f>+COUNCIL!E107+MAYOR!E107+SPEAKER!E107+MM!E107+CORP!E107+PROP!E107+RATES!E107+THALL!E107+FIN!E107+SOCIAL!E107+CEMETERY!E107+LIBRARIES!E107+HOUSING!E107+TRAFFIC!E107+PARKS!E107+REFUSE!E107+SEWAGE!E107+PWORKS!E107+WATER!E107+ELECTRIC!E107</f>
        <v>0</v>
      </c>
      <c r="F107" s="428">
        <f>+COUNCIL!F107+MAYOR!F107+SPEAKER!F107+MM!F107+CORP!F107+PROP!F107+RATES!F107+THALL!F107+FIN!F107+SOCIAL!F107+CEMETERY!F107+LIBRARIES!F107+HOUSING!F107+TRAFFIC!F107+PARKS!F107+REFUSE!F107+SEWAGE!F107+PWORKS!F107+WATER!F107+ELECTRIC!F107</f>
        <v>0</v>
      </c>
      <c r="G107" s="428">
        <f>+COUNCIL!G107+MAYOR!G107+SPEAKER!G107+MM!G107+CORP!G107+PROP!G107+RATES!G107+THALL!G107+FIN!G107+SOCIAL!G107+CEMETERY!G107+LIBRARIES!G107+HOUSING!G107+TRAFFIC!G107+PARKS!G107+REFUSE!G107+SEWAGE!G107+PWORKS!G107+WATER!G107+ELECTRIC!G107</f>
        <v>0</v>
      </c>
      <c r="H107" s="428">
        <f>+COUNCIL!H107+MAYOR!H107+SPEAKER!H107+MM!H107+CORP!H107+PROP!H107+RATES!H107+THALL!H107+FIN!H107+SOCIAL!H107+CEMETERY!H107+LIBRARIES!H107+HOUSING!I107+TRAFFIC!H107+PARKS!H107+REFUSE!H107+SEWAGE!H107+PWORKS!H107+WATER!H107+ELECTRIC!H107</f>
        <v>0</v>
      </c>
      <c r="I107" s="428">
        <f>+COUNCIL!I107+MAYOR!I107+SPEAKER!I107+MM!I107+CORP!I107+PROP!I107+RATES!I107+THALL!I107+FIN!I107+SOCIAL!I107+CEMETERY!I107+LIBRARIES!I108+HOUSING!J107+TRAFFIC!I107+PARKS!I107+REFUSE!I107+SEWAGE!I107+PWORKS!I107+WATER!I107+ELECTRIC!I107+PLANNING!I107</f>
        <v>0</v>
      </c>
      <c r="J107" s="428">
        <f>+COUNCIL!J107+MAYOR!J107+SPEAKER!J107+MM!J107+CORP!J107+PROP!J107+RATES!J107+THALL!J107+FIN!J107+SOCIAL!J107+CEMETERY!J107+LIBRARIES!J108+HOUSING!K107+TRAFFIC!J107+PARKS!J107+REFUSE!J107+SEWAGE!J107+PWORKS!J107+WATER!J107+ELECTRIC!J107+PLANNING!J107</f>
        <v>0</v>
      </c>
      <c r="K107" s="428">
        <f>+COUNCIL!K107+MAYOR!K107+SPEAKER!K107+MM!K107+CORP!K107+PROP!K107+RATES!K107+THALL!K107+FIN!K107+SOCIAL!K107+CEMETERY!K107+LIBRARIES!K108+HOUSING!L107+TRAFFIC!K107+PARKS!K107+REFUSE!K107+SEWAGE!K107+PWORKS!K107+WATER!K107+ELECTRIC!K107+PLANNING!K107</f>
        <v>0</v>
      </c>
    </row>
    <row r="108" spans="1:11" s="285" customFormat="1" x14ac:dyDescent="0.25">
      <c r="A108" s="468"/>
      <c r="B108" s="468"/>
      <c r="C108" s="94" t="s">
        <v>247</v>
      </c>
      <c r="D108" s="428">
        <f>+COUNCIL!D108+MAYOR!D108+SPEAKER!D108+MM!D108+CORP!D108+PROP!D108+RATES!D108+THALL!D108+FIN!D108+SOCIAL!D108+CEMETERY!D108+LIBRARIES!D108+HOUSING!D108+TRAFFIC!D108+PARKS!D108+REFUSE!D108+SEWAGE!D108+PWORKS!D108+WATER!D108+ELECTRIC!D108</f>
        <v>0</v>
      </c>
      <c r="E108" s="428">
        <f>+COUNCIL!E108+MAYOR!E108+SPEAKER!E108+MM!E108+CORP!E108+PROP!E108+RATES!E108+THALL!E108+FIN!E108+SOCIAL!E108+CEMETERY!E108+LIBRARIES!E108+HOUSING!E108+TRAFFIC!E108+PARKS!E108+REFUSE!E108+SEWAGE!E108+PWORKS!E108+WATER!E108+ELECTRIC!E108</f>
        <v>0</v>
      </c>
      <c r="F108" s="428">
        <f>+COUNCIL!F108+MAYOR!F108+SPEAKER!F108+MM!F108+CORP!F108+PROP!F108+RATES!F108+THALL!F108+FIN!F108+SOCIAL!F108+CEMETERY!F108+LIBRARIES!F108+HOUSING!F108+TRAFFIC!F108+PARKS!F108+REFUSE!F108+SEWAGE!F108+PWORKS!F108+WATER!F108+ELECTRIC!F108</f>
        <v>0</v>
      </c>
      <c r="G108" s="428">
        <f>+COUNCIL!G108+MAYOR!G108+SPEAKER!G108+MM!G108+CORP!G108+PROP!G108+RATES!G108+THALL!G108+FIN!G108+SOCIAL!G108+CEMETERY!G108+LIBRARIES!G108+HOUSING!G108+TRAFFIC!G108+PARKS!G108+REFUSE!G108+SEWAGE!G108+PWORKS!G108+WATER!G108+ELECTRIC!G108</f>
        <v>0</v>
      </c>
      <c r="H108" s="428">
        <f>+COUNCIL!H108+MAYOR!H108+SPEAKER!H108+MM!H108+CORP!H108+PROP!H108+RATES!H108+THALL!H108+FIN!H108+SOCIAL!H108+CEMETERY!H108+LIBRARIES!H108+HOUSING!I108+TRAFFIC!H108+PARKS!H108+REFUSE!H108+SEWAGE!H108+PWORKS!H108+WATER!H108+ELECTRIC!H108</f>
        <v>0</v>
      </c>
      <c r="I108" s="428">
        <f>+COUNCIL!I108+MAYOR!I108+SPEAKER!I108+MM!I108+CORP!I108+PROP!I108+RATES!I108+THALL!I108+FIN!I108+SOCIAL!I108+CEMETERY!I108+LIBRARIES!I109+HOUSING!J108+TRAFFIC!I108+PARKS!I108+REFUSE!I108+SEWAGE!I108+PWORKS!I108+WATER!I108+ELECTRIC!I108+PLANNING!I108</f>
        <v>0</v>
      </c>
      <c r="J108" s="428">
        <f>+COUNCIL!J108+MAYOR!J108+SPEAKER!J108+MM!J108+CORP!J108+PROP!J108+RATES!J108+THALL!J108+FIN!J108+SOCIAL!J108+CEMETERY!J108+LIBRARIES!J109+HOUSING!K108+TRAFFIC!J108+PARKS!J108+REFUSE!J108+SEWAGE!J108+PWORKS!J108+WATER!J108+ELECTRIC!J108+PLANNING!J108</f>
        <v>0</v>
      </c>
      <c r="K108" s="428">
        <f>+COUNCIL!K108+MAYOR!K108+SPEAKER!K108+MM!K108+CORP!K108+PROP!K108+RATES!K108+THALL!K108+FIN!K108+SOCIAL!K108+CEMETERY!K108+LIBRARIES!K109+HOUSING!L108+TRAFFIC!K108+PARKS!K108+REFUSE!K108+SEWAGE!K108+PWORKS!K108+WATER!K108+ELECTRIC!K108+PLANNING!K108</f>
        <v>0</v>
      </c>
    </row>
    <row r="109" spans="1:11" s="285" customFormat="1" x14ac:dyDescent="0.25">
      <c r="A109" s="468"/>
      <c r="B109" s="468"/>
      <c r="C109" s="94" t="s">
        <v>294</v>
      </c>
      <c r="D109" s="428">
        <f>+COUNCIL!D109+MAYOR!D109+SPEAKER!D109+MM!D109+CORP!D109+PROP!D109+RATES!D109+THALL!D109+FIN!D109+SOCIAL!D109+CEMETERY!D109+LIBRARIES!D109+HOUSING!D109+TRAFFIC!D109+PARKS!D109+REFUSE!D109+SEWAGE!D109+PWORKS!D109+WATER!D109+ELECTRIC!D109</f>
        <v>217395</v>
      </c>
      <c r="E109" s="428">
        <f>+COUNCIL!E109+MAYOR!E109+SPEAKER!E109+MM!E109+CORP!E109+PROP!E109+RATES!E109+THALL!E109+FIN!E109+SOCIAL!E109+CEMETERY!E109+LIBRARIES!E109+HOUSING!E109+TRAFFIC!E109+PARKS!E109+REFUSE!E109+SEWAGE!E109+PWORKS!E109+WATER!E109+ELECTRIC!E109</f>
        <v>190000</v>
      </c>
      <c r="F109" s="428">
        <f>+COUNCIL!F109+MAYOR!F109+SPEAKER!F109+MM!F109+CORP!F109+PROP!F109+RATES!F109+THALL!F109+FIN!F109+SOCIAL!F109+CEMETERY!F109+LIBRARIES!F109+HOUSING!F109+TRAFFIC!F109+PARKS!F109+REFUSE!F109+SEWAGE!F109+PWORKS!F109+WATER!F109+ELECTRIC!F109</f>
        <v>290000</v>
      </c>
      <c r="G109" s="428">
        <f>+COUNCIL!G109+MAYOR!G109+SPEAKER!G109+MM!G109+CORP!G109+PROP!G109+RATES!G109+THALL!G109+FIN!G109+SOCIAL!G109+CEMETERY!G109+LIBRARIES!G109+HOUSING!G109+TRAFFIC!G109+PARKS!G109+REFUSE!G109+SEWAGE!G109+PWORKS!G109+WATER!G109+ELECTRIC!G109</f>
        <v>290000</v>
      </c>
      <c r="H109" s="428">
        <f>+COUNCIL!H109+MAYOR!H109+SPEAKER!H109+MM!H109+CORP!H109+PROP!H109+RATES!H109+THALL!H109+FIN!H109+SOCIAL!H109+CEMETERY!H109+LIBRARIES!H109+HOUSING!I109+TRAFFIC!H109+PARKS!H109+REFUSE!H109+SEWAGE!H109+PWORKS!H109+WATER!H109+ELECTRIC!H109</f>
        <v>290000</v>
      </c>
      <c r="I109" s="428">
        <f>+COUNCIL!I109+MAYOR!I109+SPEAKER!I109+MM!I109+CORP!I109+PROP!I109+RATES!I109+THALL!I109+FIN!I109+SOCIAL!I109+CEMETERY!I109+LIBRARIES!I110+HOUSING!J109+TRAFFIC!I109+PARKS!I109+REFUSE!I109+SEWAGE!I109+PWORKS!I109+WATER!I109+ELECTRIC!I109+PLANNING!I109</f>
        <v>1500</v>
      </c>
      <c r="J109" s="428">
        <f>+COUNCIL!J109+MAYOR!J109+SPEAKER!J109+MM!J109+CORP!J109+PROP!J109+RATES!J109+THALL!J109+FIN!J109+SOCIAL!J109+CEMETERY!J109+LIBRARIES!J110+HOUSING!K109+TRAFFIC!J109+PARKS!J109+REFUSE!J109+SEWAGE!J109+PWORKS!J109+WATER!J109+ELECTRIC!J109+PLANNING!J109</f>
        <v>1582.5</v>
      </c>
      <c r="K109" s="428">
        <f>+COUNCIL!K109+MAYOR!K109+SPEAKER!K109+MM!K109+CORP!K109+PROP!K109+RATES!K109+THALL!K109+FIN!K109+SOCIAL!K109+CEMETERY!K109+LIBRARIES!K110+HOUSING!L109+TRAFFIC!K109+PARKS!K109+REFUSE!K109+SEWAGE!K109+PWORKS!K109+WATER!K109+ELECTRIC!K109+PLANNING!K109</f>
        <v>1666.3724999999999</v>
      </c>
    </row>
    <row r="110" spans="1:11" s="285" customFormat="1" x14ac:dyDescent="0.25">
      <c r="A110" s="468"/>
      <c r="B110" s="468"/>
      <c r="C110" s="94" t="s">
        <v>295</v>
      </c>
      <c r="D110" s="428">
        <f>+COUNCIL!D110+MAYOR!D110+SPEAKER!D110+MM!D110+CORP!D110+PROP!D110+RATES!D110+THALL!D110+FIN!D110+SOCIAL!D110+CEMETERY!D110+LIBRARIES!D110+HOUSING!D110+TRAFFIC!D110+PARKS!D110+REFUSE!D110+SEWAGE!D110+PWORKS!D110+WATER!D110+ELECTRIC!D110</f>
        <v>461194</v>
      </c>
      <c r="E110" s="428">
        <f>+COUNCIL!E110+MAYOR!E110+SPEAKER!E110+MM!E110+CORP!E110+PROP!E110+RATES!E110+THALL!E110+FIN!E110+SOCIAL!E110+CEMETERY!E110+LIBRARIES!E110+HOUSING!E110+TRAFFIC!E110+PARKS!E110+REFUSE!E110+SEWAGE!E110+PWORKS!E110+WATER!E110+ELECTRIC!E110</f>
        <v>930975</v>
      </c>
      <c r="F110" s="428">
        <f>+COUNCIL!F110+MAYOR!F110+SPEAKER!F110+MM!F110+CORP!F110+PROP!F110+RATES!F110+THALL!F110+FIN!F110+SOCIAL!F110+CEMETERY!F110+LIBRARIES!F110+HOUSING!F110+TRAFFIC!F110+PARKS!F110+REFUSE!F110+SEWAGE!F110+PWORKS!F110+WATER!F110+ELECTRIC!F110</f>
        <v>592885</v>
      </c>
      <c r="G110" s="428">
        <f>+COUNCIL!G110+MAYOR!G110+SPEAKER!G110+MM!G110+CORP!G110+PROP!G110+RATES!G110+THALL!G110+FIN!G110+SOCIAL!G110+CEMETERY!G110+LIBRARIES!G110+HOUSING!G110+TRAFFIC!G110+PARKS!G110+REFUSE!G110+SEWAGE!G110+PWORKS!G110+WATER!G110+ELECTRIC!G110</f>
        <v>592885</v>
      </c>
      <c r="H110" s="428">
        <f>+COUNCIL!H110+MAYOR!H110+SPEAKER!H110+MM!H110+CORP!H110+PROP!H110+RATES!H110+THALL!H110+FIN!H110+SOCIAL!H110+CEMETERY!H110+LIBRARIES!H110+HOUSING!I110+TRAFFIC!H110+PARKS!H110+REFUSE!H110+SEWAGE!H110+PWORKS!H110+WATER!H110+ELECTRIC!H110</f>
        <v>850892.5</v>
      </c>
      <c r="I110" s="428">
        <f>+COUNCIL!I110+MAYOR!I110+SPEAKER!I110+MM!I110+CORP!I110+PROP!I110+RATES!I110+THALL!I110+FIN!I110+SOCIAL!I110+CEMETERY!I110+LIBRARIES!I111+HOUSING!J110+TRAFFIC!I110+PARKS!I110+REFUSE!I110+SEWAGE!I110+PWORKS!I110+WATER!I110+ELECTRIC!I110+PLANNING!I110</f>
        <v>530093</v>
      </c>
      <c r="J110" s="428">
        <f>+COUNCIL!J110+MAYOR!J110+SPEAKER!J110+MM!J110+CORP!J110+PROP!J110+RATES!J110+THALL!J110+FIN!J110+SOCIAL!J110+CEMETERY!J110+LIBRARIES!J111+HOUSING!K110+TRAFFIC!J110+PARKS!J110+REFUSE!J110+SEWAGE!J110+PWORKS!J110+WATER!J110+ELECTRIC!J110+PLANNING!J110</f>
        <v>556498.11499999999</v>
      </c>
      <c r="K110" s="428">
        <f>+COUNCIL!K110+MAYOR!K110+SPEAKER!K110+MM!K110+CORP!K110+PROP!K110+RATES!K110+THALL!K110+FIN!K110+SOCIAL!K110+CEMETERY!K110+LIBRARIES!K111+HOUSING!L110+TRAFFIC!K110+PARKS!K110+REFUSE!K110+SEWAGE!K110+PWORKS!K110+WATER!K110+ELECTRIC!K110+PLANNING!K110</f>
        <v>583342.51509500004</v>
      </c>
    </row>
    <row r="111" spans="1:11" s="285" customFormat="1" x14ac:dyDescent="0.25">
      <c r="A111" s="468"/>
      <c r="B111" s="468"/>
      <c r="C111" s="94" t="s">
        <v>297</v>
      </c>
      <c r="D111" s="428">
        <f>+COUNCIL!D111+MAYOR!D111+SPEAKER!D111+MM!D111+CORP!D111+PROP!D111+RATES!D111+THALL!D111+FIN!D111+SOCIAL!D111+CEMETERY!D111+LIBRARIES!D111+HOUSING!D111+TRAFFIC!D111+PARKS!D111+REFUSE!D111+SEWAGE!D111+PWORKS!D111+WATER!D111+ELECTRIC!D111</f>
        <v>0</v>
      </c>
      <c r="E111" s="428">
        <f>+COUNCIL!E111+MAYOR!E111+SPEAKER!E111+MM!E111+CORP!E111+PROP!E111+RATES!E111+THALL!E111+FIN!E111+SOCIAL!E111+CEMETERY!E111+LIBRARIES!E111+HOUSING!E111+TRAFFIC!E111+PARKS!E111+REFUSE!E111+SEWAGE!E111+PWORKS!E111+WATER!E111+ELECTRIC!E111</f>
        <v>0</v>
      </c>
      <c r="F111" s="428">
        <f>+COUNCIL!F111+MAYOR!F111+SPEAKER!F111+MM!F111+CORP!F111+PROP!F111+RATES!F111+THALL!F111+FIN!F111+SOCIAL!F111+CEMETERY!F111+LIBRARIES!F111+HOUSING!F111+TRAFFIC!F111+PARKS!F111+REFUSE!F111+SEWAGE!F111+PWORKS!F111+WATER!F111+ELECTRIC!F111</f>
        <v>0</v>
      </c>
      <c r="G111" s="428">
        <f>+COUNCIL!G111+MAYOR!G111+SPEAKER!G111+MM!G111+CORP!G111+PROP!G111+RATES!G111+THALL!G111+FIN!G111+SOCIAL!G111+CEMETERY!G111+LIBRARIES!G111+HOUSING!G111+TRAFFIC!G111+PARKS!G111+REFUSE!G111+SEWAGE!G111+PWORKS!G111+WATER!G111+ELECTRIC!G111</f>
        <v>0</v>
      </c>
      <c r="H111" s="428">
        <f>+COUNCIL!H111+MAYOR!H111+SPEAKER!H111+MM!H111+CORP!H111+PROP!H111+RATES!H111+THALL!H111+FIN!H111+SOCIAL!H111+CEMETERY!H111+LIBRARIES!H111+HOUSING!I111+TRAFFIC!H111+PARKS!H111+REFUSE!H111+SEWAGE!H111+PWORKS!H111+WATER!H111+ELECTRIC!H111</f>
        <v>0</v>
      </c>
      <c r="I111" s="428">
        <f>+COUNCIL!I111+MAYOR!I111+SPEAKER!I111+MM!I111+CORP!I111+PROP!I111+RATES!I111+THALL!I111+FIN!I111+SOCIAL!I111+CEMETERY!I111+LIBRARIES!I112+HOUSING!J111+TRAFFIC!I111+PARKS!I111+REFUSE!I111+SEWAGE!I111+PWORKS!I111+WATER!I111+ELECTRIC!I111+PLANNING!I111</f>
        <v>0</v>
      </c>
      <c r="J111" s="428">
        <f>+COUNCIL!J111+MAYOR!J111+SPEAKER!J111+MM!J111+CORP!J111+PROP!J111+RATES!J111+THALL!J111+FIN!J111+SOCIAL!J111+CEMETERY!J111+LIBRARIES!J112+HOUSING!K111+TRAFFIC!J111+PARKS!J111+REFUSE!J111+SEWAGE!J111+PWORKS!J111+WATER!J111+ELECTRIC!J111+PLANNING!J111</f>
        <v>0</v>
      </c>
      <c r="K111" s="428">
        <f>+COUNCIL!K111+MAYOR!K111+SPEAKER!K111+MM!K111+CORP!K111+PROP!K111+RATES!K111+THALL!K111+FIN!K111+SOCIAL!K111+CEMETERY!K111+LIBRARIES!K112+HOUSING!L111+TRAFFIC!K111+PARKS!K111+REFUSE!K111+SEWAGE!K111+PWORKS!K111+WATER!K111+ELECTRIC!K111+PLANNING!K111</f>
        <v>0</v>
      </c>
    </row>
    <row r="112" spans="1:11" s="285" customFormat="1" x14ac:dyDescent="0.25">
      <c r="A112" s="468"/>
      <c r="B112" s="468"/>
      <c r="C112" s="94" t="s">
        <v>298</v>
      </c>
      <c r="D112" s="428">
        <f>+COUNCIL!D112+MAYOR!D112+SPEAKER!D112+MM!D112+CORP!D112+PROP!D112+RATES!D112+THALL!D112+FIN!D112+SOCIAL!D112+CEMETERY!D112+LIBRARIES!D112+HOUSING!D112+TRAFFIC!D112+PARKS!D112+REFUSE!D112+SEWAGE!D112+PWORKS!D112+WATER!D112+ELECTRIC!D112</f>
        <v>7200</v>
      </c>
      <c r="E112" s="428">
        <f>+COUNCIL!E112+MAYOR!E112+SPEAKER!E112+MM!E112+CORP!E112+PROP!E112+RATES!E112+THALL!E112+FIN!E112+SOCIAL!E112+CEMETERY!E112+LIBRARIES!E112+HOUSING!E112+TRAFFIC!E112+PARKS!E112+REFUSE!E112+SEWAGE!E112+PWORKS!E112+WATER!E112+ELECTRIC!E112</f>
        <v>8000</v>
      </c>
      <c r="F112" s="428">
        <f>+COUNCIL!F112+MAYOR!F112+SPEAKER!F112+MM!F112+CORP!F112+PROP!F112+RATES!F112+THALL!F112+FIN!F112+SOCIAL!F112+CEMETERY!F112+LIBRARIES!F112+HOUSING!F112+TRAFFIC!F112+PARKS!F112+REFUSE!F112+SEWAGE!F112+PWORKS!F112+WATER!F112+ELECTRIC!F112</f>
        <v>8000</v>
      </c>
      <c r="G112" s="428">
        <f>+COUNCIL!G112+MAYOR!G112+SPEAKER!G112+MM!G112+CORP!G112+PROP!G112+RATES!G112+THALL!G112+FIN!G112+SOCIAL!G112+CEMETERY!G112+LIBRARIES!G112+HOUSING!G112+TRAFFIC!G112+PARKS!G112+REFUSE!G112+SEWAGE!G112+PWORKS!G112+WATER!G112+ELECTRIC!G112</f>
        <v>8000</v>
      </c>
      <c r="H112" s="428">
        <f>+COUNCIL!H112+MAYOR!H112+SPEAKER!H112+MM!H112+CORP!H112+PROP!H112+RATES!H112+THALL!H112+FIN!H112+SOCIAL!H112+CEMETERY!H112+LIBRARIES!H112+HOUSING!I112+TRAFFIC!H112+PARKS!H112+REFUSE!H112+SEWAGE!H112+PWORKS!H112+WATER!H112+ELECTRIC!H112</f>
        <v>229000</v>
      </c>
      <c r="I112" s="428">
        <f>+COUNCIL!I112+MAYOR!I112+SPEAKER!I112+MM!I112+CORP!I112+PROP!I112+RATES!I112+THALL!I112+FIN!I112+SOCIAL!I112+CEMETERY!I112+LIBRARIES!I113+HOUSING!J112+TRAFFIC!I112+PARKS!I112+REFUSE!I112+SEWAGE!I112+PWORKS!I112+WATER!I112+ELECTRIC!I112+PLANNING!I112</f>
        <v>146000</v>
      </c>
      <c r="J112" s="428">
        <f>+COUNCIL!J112+MAYOR!J112+SPEAKER!J112+MM!J112+CORP!J112+PROP!J112+RATES!J112+THALL!J112+FIN!J112+SOCIAL!J112+CEMETERY!J112+LIBRARIES!J113+HOUSING!K112+TRAFFIC!J112+PARKS!J112+REFUSE!J112+SEWAGE!J112+PWORKS!J112+WATER!J112+ELECTRIC!J112+PLANNING!J112</f>
        <v>154030</v>
      </c>
      <c r="K112" s="428">
        <f>+COUNCIL!K112+MAYOR!K112+SPEAKER!K112+MM!K112+CORP!K112+PROP!K112+RATES!K112+THALL!K112+FIN!K112+SOCIAL!K112+CEMETERY!K112+LIBRARIES!K113+HOUSING!L112+TRAFFIC!K112+PARKS!K112+REFUSE!K112+SEWAGE!K112+PWORKS!K112+WATER!K112+ELECTRIC!K112+PLANNING!K112</f>
        <v>162193.59</v>
      </c>
    </row>
    <row r="113" spans="1:11" s="285" customFormat="1" x14ac:dyDescent="0.25">
      <c r="A113" s="468"/>
      <c r="B113" s="468"/>
      <c r="C113" s="94" t="s">
        <v>299</v>
      </c>
      <c r="D113" s="428">
        <f>+COUNCIL!D113+MAYOR!D113+SPEAKER!D113+MM!D113+CORP!D113+PROP!D113+RATES!D113+THALL!D113+FIN!D113+SOCIAL!D113+CEMETERY!D113+LIBRARIES!D113+HOUSING!D113+TRAFFIC!D113+PARKS!D113+REFUSE!D113+SEWAGE!D113+PWORKS!D113+WATER!D113+ELECTRIC!D113</f>
        <v>34500</v>
      </c>
      <c r="E113" s="428">
        <f>+COUNCIL!E113+MAYOR!E113+SPEAKER!E113+MM!E113+CORP!E113+PROP!E113+RATES!E113+THALL!E113+FIN!E113+SOCIAL!E113+CEMETERY!E113+LIBRARIES!E113+HOUSING!E113+TRAFFIC!E113+PARKS!E113+REFUSE!E113+SEWAGE!E113+PWORKS!E113+WATER!E113+ELECTRIC!E113</f>
        <v>180000</v>
      </c>
      <c r="F113" s="428">
        <f>+COUNCIL!F113+MAYOR!F113+SPEAKER!F113+MM!F113+CORP!F113+PROP!F113+RATES!F113+THALL!F113+FIN!F113+SOCIAL!F113+CEMETERY!F113+LIBRARIES!F113+HOUSING!F113+TRAFFIC!F113+PARKS!F113+REFUSE!F113+SEWAGE!F113+PWORKS!F113+WATER!F113+ELECTRIC!F113</f>
        <v>80000</v>
      </c>
      <c r="G113" s="428">
        <f>+COUNCIL!G113+MAYOR!G113+SPEAKER!G113+MM!G113+CORP!G113+PROP!G113+RATES!G113+THALL!G113+FIN!G113+SOCIAL!G113+CEMETERY!G113+LIBRARIES!G113+HOUSING!G113+TRAFFIC!G113+PARKS!G113+REFUSE!G113+SEWAGE!G113+PWORKS!G113+WATER!G113+ELECTRIC!G113</f>
        <v>80000</v>
      </c>
      <c r="H113" s="428">
        <f>+COUNCIL!H113+MAYOR!H113+SPEAKER!H113+MM!H113+CORP!H113+PROP!H113+RATES!H113+THALL!H113+FIN!H113+SOCIAL!H113+CEMETERY!H113+LIBRARIES!H113+HOUSING!I113+TRAFFIC!H113+PARKS!H113+REFUSE!H113+SEWAGE!H113+PWORKS!H113+WATER!H113+ELECTRIC!H113</f>
        <v>150000</v>
      </c>
      <c r="I113" s="428">
        <f>+COUNCIL!I113+MAYOR!I113+SPEAKER!I113+MM!I113+CORP!I113+PROP!I113+RATES!I113+THALL!I113+FIN!I113+SOCIAL!I113+CEMETERY!I113+LIBRARIES!I114+HOUSING!J113+TRAFFIC!I113+PARKS!I113+REFUSE!I113+SEWAGE!I113+PWORKS!I113+WATER!I113+ELECTRIC!I113+PLANNING!I113</f>
        <v>420000</v>
      </c>
      <c r="J113" s="428">
        <f>+COUNCIL!J113+MAYOR!J113+SPEAKER!J113+MM!J113+CORP!J113+PROP!J113+RATES!J113+THALL!J113+FIN!J113+SOCIAL!J113+CEMETERY!J113+LIBRARIES!J114+HOUSING!K113+TRAFFIC!J113+PARKS!J113+REFUSE!J113+SEWAGE!J113+PWORKS!J113+WATER!J113+ELECTRIC!J113+PLANNING!J113</f>
        <v>443100</v>
      </c>
      <c r="K113" s="428">
        <f>+COUNCIL!K113+MAYOR!K113+SPEAKER!K113+MM!K113+CORP!K113+PROP!K113+RATES!K113+THALL!K113+FIN!K113+SOCIAL!K113+CEMETERY!K113+LIBRARIES!K114+HOUSING!L113+TRAFFIC!K113+PARKS!K113+REFUSE!K113+SEWAGE!K113+PWORKS!K113+WATER!K113+ELECTRIC!K113+PLANNING!K113</f>
        <v>466584.3</v>
      </c>
    </row>
    <row r="114" spans="1:11" s="285" customFormat="1" x14ac:dyDescent="0.25">
      <c r="A114" s="468"/>
      <c r="B114" s="468"/>
      <c r="C114" s="94" t="s">
        <v>300</v>
      </c>
      <c r="D114" s="428">
        <f>+COUNCIL!D114+MAYOR!D114+SPEAKER!D114+MM!D114+CORP!D114+PROP!D114+RATES!D114+THALL!D114+FIN!D114+SOCIAL!D114+CEMETERY!D114+LIBRARIES!D114+HOUSING!D114+TRAFFIC!D114+PARKS!D114+REFUSE!D114+SEWAGE!D114+PWORKS!D114+WATER!D114+ELECTRIC!D114</f>
        <v>146258</v>
      </c>
      <c r="E114" s="428">
        <f>+COUNCIL!E114+MAYOR!E114+SPEAKER!E114+MM!E114+CORP!E114+PROP!E114+RATES!E114+THALL!E114+FIN!E114+SOCIAL!E114+CEMETERY!E114+LIBRARIES!E114+HOUSING!E114+TRAFFIC!E114+PARKS!E114+REFUSE!E114+SEWAGE!E114+PWORKS!E114+WATER!E114+ELECTRIC!E114</f>
        <v>156034.5</v>
      </c>
      <c r="F114" s="428">
        <f>+COUNCIL!F114+MAYOR!F114+SPEAKER!F114+MM!F114+CORP!F114+PROP!F114+RATES!F114+THALL!F114+FIN!F114+SOCIAL!F114+CEMETERY!F114+LIBRARIES!F114+HOUSING!F114+TRAFFIC!F114+PARKS!F114+REFUSE!F114+SEWAGE!F114+PWORKS!F114+WATER!F114+ELECTRIC!F114</f>
        <v>156034.5</v>
      </c>
      <c r="G114" s="428">
        <f>+COUNCIL!G114+MAYOR!G114+SPEAKER!G114+MM!G114+CORP!G114+PROP!G114+RATES!G114+THALL!G114+FIN!G114+SOCIAL!G114+CEMETERY!G114+LIBRARIES!G114+HOUSING!G114+TRAFFIC!G114+PARKS!G114+REFUSE!G114+SEWAGE!G114+PWORKS!G114+WATER!G114+ELECTRIC!G114</f>
        <v>156034.5</v>
      </c>
      <c r="H114" s="428">
        <f>+COUNCIL!H114+MAYOR!H114+SPEAKER!H114+MM!H114+CORP!H114+PROP!H114+RATES!H114+THALL!H114+FIN!H114+SOCIAL!H114+CEMETERY!H114+LIBRARIES!H114+HOUSING!I114+TRAFFIC!H114+PARKS!H114+REFUSE!H114+SEWAGE!H114+PWORKS!H114+WATER!H114+ELECTRIC!H114</f>
        <v>171803.25</v>
      </c>
      <c r="I114" s="428">
        <f>+COUNCIL!I114+MAYOR!I114+SPEAKER!I114+MM!I114+CORP!I114+PROP!I114+RATES!I114+THALL!I114+FIN!I114+SOCIAL!I114+CEMETERY!I114+LIBRARIES!I115+HOUSING!J114+TRAFFIC!I114+PARKS!I114+REFUSE!I114+SEWAGE!I114+PWORKS!I114+WATER!I114+ELECTRIC!I114+PLANNING!I114</f>
        <v>64117.625</v>
      </c>
      <c r="J114" s="428">
        <f>+COUNCIL!J114+MAYOR!J114+SPEAKER!J114+MM!J114+CORP!J114+PROP!J114+RATES!J114+THALL!J114+FIN!J114+SOCIAL!J114+CEMETERY!J114+LIBRARIES!J115+HOUSING!K114+TRAFFIC!J114+PARKS!J114+REFUSE!J114+SEWAGE!J114+PWORKS!J114+WATER!J114+ELECTRIC!J114+PLANNING!J114</f>
        <v>67644.094374999986</v>
      </c>
      <c r="K114" s="428">
        <f>+COUNCIL!K114+MAYOR!K114+SPEAKER!K114+MM!K114+CORP!K114+PROP!K114+RATES!K114+THALL!K114+FIN!K114+SOCIAL!K114+CEMETERY!K114+LIBRARIES!K115+HOUSING!L114+TRAFFIC!K114+PARKS!K114+REFUSE!K114+SEWAGE!K114+PWORKS!K114+WATER!K114+ELECTRIC!K114+PLANNING!K114</f>
        <v>71229.231376874988</v>
      </c>
    </row>
    <row r="115" spans="1:11" s="285" customFormat="1" x14ac:dyDescent="0.25">
      <c r="A115" s="468"/>
      <c r="B115" s="468"/>
      <c r="C115" s="94" t="s">
        <v>301</v>
      </c>
      <c r="D115" s="428">
        <f>+COUNCIL!D115+MAYOR!D115+SPEAKER!D115+MM!D115+CORP!D115+PROP!D115+RATES!D115+THALL!D115+FIN!D115+SOCIAL!D115+CEMETERY!D115+LIBRARIES!D115+HOUSING!D115+TRAFFIC!D115+PARKS!D115+REFUSE!D115+SEWAGE!D115+PWORKS!D115+WATER!D115+ELECTRIC!D115</f>
        <v>1920000</v>
      </c>
      <c r="E115" s="428">
        <f>+COUNCIL!E115+MAYOR!E115+SPEAKER!E115+MM!E115+CORP!E115+PROP!E115+RATES!E115+THALL!E115+FIN!E115+SOCIAL!E115+CEMETERY!E115+LIBRARIES!E115+HOUSING!E115+TRAFFIC!E115+PARKS!E115+REFUSE!E115+SEWAGE!E115+PWORKS!E115+WATER!E115+ELECTRIC!E115</f>
        <v>2025599.9999999998</v>
      </c>
      <c r="F115" s="428">
        <f>+COUNCIL!F115+MAYOR!F115+SPEAKER!F115+MM!F115+CORP!F115+PROP!F115+RATES!F115+THALL!F115+FIN!F115+SOCIAL!F115+CEMETERY!F115+LIBRARIES!F115+HOUSING!F115+TRAFFIC!F115+PARKS!F115+REFUSE!F115+SEWAGE!F115+PWORKS!F115+WATER!F115+ELECTRIC!F115</f>
        <v>3225600</v>
      </c>
      <c r="G115" s="428">
        <f>+COUNCIL!G115+MAYOR!G115+SPEAKER!G115+MM!G115+CORP!G115+PROP!G115+RATES!G115+THALL!G115+FIN!G115+SOCIAL!G115+CEMETERY!G115+LIBRARIES!G115+HOUSING!G115+TRAFFIC!G115+PARKS!G115+REFUSE!G115+SEWAGE!G115+PWORKS!G115+WATER!G115+ELECTRIC!G115</f>
        <v>3225600</v>
      </c>
      <c r="H115" s="428">
        <f>+COUNCIL!H115+MAYOR!H115+SPEAKER!H115+MM!H115+CORP!H115+PROP!H115+RATES!H115+THALL!H115+FIN!H115+SOCIAL!H115+CEMETERY!H115+LIBRARIES!H115+HOUSING!I115+TRAFFIC!H115+PARKS!H115+REFUSE!H115+SEWAGE!H115+PWORKS!H115+WATER!H115+ELECTRIC!H115</f>
        <v>2600000</v>
      </c>
      <c r="I115" s="428">
        <f>+COUNCIL!I115+MAYOR!I115+SPEAKER!I115+MM!I115+CORP!I115+PROP!I115+RATES!I115+THALL!I115+FIN!I115+SOCIAL!I115+CEMETERY!I115+LIBRARIES!I116+HOUSING!J115+TRAFFIC!I115+PARKS!I115+REFUSE!I115+SEWAGE!I115+PWORKS!I115+WATER!I115+ELECTRIC!I115+PLANNING!I115</f>
        <v>2400000</v>
      </c>
      <c r="J115" s="428">
        <f>+COUNCIL!J115+MAYOR!J115+SPEAKER!J115+MM!J115+CORP!J115+PROP!J115+RATES!J115+THALL!J115+FIN!J115+SOCIAL!J115+CEMETERY!J115+LIBRARIES!J116+HOUSING!K115+TRAFFIC!J115+PARKS!J115+REFUSE!J115+SEWAGE!J115+PWORKS!J115+WATER!J115+ELECTRIC!J115+PLANNING!J115</f>
        <v>2532000</v>
      </c>
      <c r="K115" s="428">
        <f>+COUNCIL!K115+MAYOR!K115+SPEAKER!K115+MM!K115+CORP!K115+PROP!K115+RATES!K115+THALL!K115+FIN!K115+SOCIAL!K115+CEMETERY!K115+LIBRARIES!K116+HOUSING!L115+TRAFFIC!K115+PARKS!K115+REFUSE!K115+SEWAGE!K115+PWORKS!K115+WATER!K115+ELECTRIC!K115+PLANNING!K115</f>
        <v>2666196</v>
      </c>
    </row>
    <row r="116" spans="1:11" s="285" customFormat="1" x14ac:dyDescent="0.25">
      <c r="A116" s="468"/>
      <c r="B116" s="468"/>
      <c r="C116" s="94" t="s">
        <v>302</v>
      </c>
      <c r="D116" s="428">
        <f>+COUNCIL!D116+MAYOR!D116+SPEAKER!D116+MM!D116+CORP!D116+PROP!D116+RATES!D116+THALL!D116+FIN!D116+SOCIAL!D116+CEMETERY!D116+LIBRARIES!D116+HOUSING!D116+TRAFFIC!D116+PARKS!D116+REFUSE!D116+SEWAGE!D116+PWORKS!D116+WATER!D116+ELECTRIC!D116</f>
        <v>3008950</v>
      </c>
      <c r="E116" s="428">
        <f>+COUNCIL!E116+MAYOR!E116+SPEAKER!E116+MM!E116+CORP!E116+PROP!E116+RATES!E116+THALL!E116+FIN!E116+SOCIAL!E116+CEMETERY!E116+LIBRARIES!E116+HOUSING!E116+TRAFFIC!E116+PARKS!E116+REFUSE!E116+SEWAGE!E116+PWORKS!E116+WATER!E116+ELECTRIC!E116</f>
        <v>350000</v>
      </c>
      <c r="F116" s="428">
        <f>+COUNCIL!F116+MAYOR!F116+SPEAKER!F116+MM!F116+CORP!F116+PROP!F116+RATES!F116+THALL!F116+FIN!F116+SOCIAL!F116+CEMETERY!F116+LIBRARIES!F116+HOUSING!F116+TRAFFIC!F116+PARKS!F116+REFUSE!F116+SEWAGE!F116+PWORKS!F116+WATER!F116+ELECTRIC!F116</f>
        <v>1550000</v>
      </c>
      <c r="G116" s="428">
        <f>+COUNCIL!G116+MAYOR!G116+SPEAKER!G116+MM!G116+CORP!G116+PROP!G116+RATES!G116+THALL!G116+FIN!G116+SOCIAL!G116+CEMETERY!G116+LIBRARIES!G116+HOUSING!G116+TRAFFIC!G116+PARKS!G116+REFUSE!G116+SEWAGE!G116+PWORKS!G116+WATER!G116+ELECTRIC!G116</f>
        <v>1550000</v>
      </c>
      <c r="H116" s="428">
        <f>+COUNCIL!H116+MAYOR!H116+SPEAKER!H116+MM!H116+CORP!H116+PROP!H116+RATES!H116+THALL!H116+FIN!H116+SOCIAL!H116+CEMETERY!H116+LIBRARIES!H116+HOUSING!I116+TRAFFIC!H116+PARKS!H116+REFUSE!H116+SEWAGE!H116+PWORKS!H116+WATER!H116+ELECTRIC!H116</f>
        <v>500000</v>
      </c>
      <c r="I116" s="428">
        <f>+COUNCIL!I116+MAYOR!I116+SPEAKER!I116+MM!I116+CORP!I116+PROP!I116+RATES!I116+THALL!I116+FIN!I116+SOCIAL!I116+CEMETERY!I116+LIBRARIES!I117+HOUSING!J116+TRAFFIC!I116+PARKS!I116+REFUSE!I116+SEWAGE!I116+PWORKS!I116+WATER!I116+ELECTRIC!I116+PLANNING!I116</f>
        <v>7607250</v>
      </c>
      <c r="J116" s="428">
        <f>+COUNCIL!J116+MAYOR!J116+SPEAKER!J116+MM!J116+CORP!J116+PROP!J116+RATES!J116+THALL!J116+FIN!J116+SOCIAL!J116+CEMETERY!J116+LIBRARIES!J117+HOUSING!K116+TRAFFIC!J116+PARKS!J116+REFUSE!J116+SEWAGE!J116+PWORKS!J116+WATER!J116+ELECTRIC!J116+PLANNING!J116</f>
        <v>8025648.7499999991</v>
      </c>
      <c r="K116" s="428">
        <f>+COUNCIL!K116+MAYOR!K116+SPEAKER!K116+MM!K116+CORP!K116+PROP!K116+RATES!K116+THALL!K116+FIN!K116+SOCIAL!K116+CEMETERY!K116+LIBRARIES!K117+HOUSING!L116+TRAFFIC!K116+PARKS!K116+REFUSE!K116+SEWAGE!K116+PWORKS!K116+WATER!K116+ELECTRIC!K116+PLANNING!K116</f>
        <v>8451008.1337499991</v>
      </c>
    </row>
    <row r="117" spans="1:11" s="285" customFormat="1" x14ac:dyDescent="0.25">
      <c r="A117" s="468"/>
      <c r="B117" s="468"/>
      <c r="C117" s="94" t="s">
        <v>303</v>
      </c>
      <c r="D117" s="428">
        <f>+COUNCIL!D117+MAYOR!D117+SPEAKER!D117+MM!D117+CORP!D117+PROP!D117+RATES!D117+THALL!D117+FIN!D117+SOCIAL!D117+CEMETERY!D117+LIBRARIES!D117+HOUSING!D117+TRAFFIC!D117+PARKS!D117+REFUSE!D117+SEWAGE!D117+PWORKS!D117+WATER!D117+ELECTRIC!D117</f>
        <v>0</v>
      </c>
      <c r="E117" s="428">
        <f>+COUNCIL!E117+MAYOR!E117+SPEAKER!E117+MM!E117+CORP!E117+PROP!E117+RATES!E117+THALL!E117+FIN!E117+SOCIAL!E117+CEMETERY!E117+LIBRARIES!E117+HOUSING!E117+TRAFFIC!E117+PARKS!E117+REFUSE!E117+SEWAGE!E117+PWORKS!E117+WATER!E117+ELECTRIC!E117</f>
        <v>0</v>
      </c>
      <c r="F117" s="428">
        <f>+COUNCIL!F117+MAYOR!F117+SPEAKER!F117+MM!F117+CORP!F117+PROP!F117+RATES!F117+THALL!F117+FIN!F117+SOCIAL!F117+CEMETERY!F117+LIBRARIES!F117+HOUSING!F117+TRAFFIC!F117+PARKS!F117+REFUSE!F117+SEWAGE!F117+PWORKS!F117+WATER!F117+ELECTRIC!F117</f>
        <v>0</v>
      </c>
      <c r="G117" s="428">
        <f>+COUNCIL!G117+MAYOR!G117+SPEAKER!G117+MM!G117+CORP!G117+PROP!G117+RATES!G117+THALL!G117+FIN!G117+SOCIAL!G117+CEMETERY!G117+LIBRARIES!G117+HOUSING!G117+TRAFFIC!G117+PARKS!G117+REFUSE!G117+SEWAGE!G117+PWORKS!G117+WATER!G117+ELECTRIC!G117</f>
        <v>0</v>
      </c>
      <c r="H117" s="428">
        <f>+COUNCIL!H117+MAYOR!H117+SPEAKER!H117+MM!H117+CORP!H117+PROP!H117+RATES!H117+THALL!H117+FIN!H117+SOCIAL!H117+CEMETERY!H117+LIBRARIES!H117+HOUSING!I117+TRAFFIC!H117+PARKS!H117+REFUSE!H117+SEWAGE!H117+PWORKS!H117+WATER!H117+ELECTRIC!H117</f>
        <v>0</v>
      </c>
      <c r="I117" s="428">
        <f>+COUNCIL!I117+MAYOR!I117+SPEAKER!I117+MM!I117+CORP!I117+PROP!I117+RATES!I117+THALL!I117+FIN!I117+SOCIAL!I117+CEMETERY!I117+LIBRARIES!I118+HOUSING!J117+TRAFFIC!I117+PARKS!I117+REFUSE!I117+SEWAGE!I117+PWORKS!I117+WATER!I117+ELECTRIC!I117+PLANNING!I117</f>
        <v>0</v>
      </c>
      <c r="J117" s="428">
        <f>+COUNCIL!J117+MAYOR!J117+SPEAKER!J117+MM!J117+CORP!J117+PROP!J117+RATES!J117+THALL!J117+FIN!J117+SOCIAL!J117+CEMETERY!J117+LIBRARIES!J118+HOUSING!K117+TRAFFIC!J117+PARKS!J117+REFUSE!J117+SEWAGE!J117+PWORKS!J117+WATER!J117+ELECTRIC!J117+PLANNING!J117</f>
        <v>0</v>
      </c>
      <c r="K117" s="428">
        <f>+COUNCIL!K117+MAYOR!K117+SPEAKER!K117+MM!K117+CORP!K117+PROP!K117+RATES!K117+THALL!K117+FIN!K117+SOCIAL!K117+CEMETERY!K117+LIBRARIES!K118+HOUSING!L117+TRAFFIC!K117+PARKS!K117+REFUSE!K117+SEWAGE!K117+PWORKS!K117+WATER!K117+ELECTRIC!K117+PLANNING!K117</f>
        <v>0</v>
      </c>
    </row>
    <row r="118" spans="1:11" s="285" customFormat="1" x14ac:dyDescent="0.25">
      <c r="A118" s="468"/>
      <c r="B118" s="468"/>
      <c r="C118" s="106" t="s">
        <v>304</v>
      </c>
      <c r="D118" s="428">
        <f>+COUNCIL!D118+MAYOR!D118+SPEAKER!D118+MM!D118+CORP!D118+PROP!D118+RATES!D118+THALL!D118+FIN!D118+SOCIAL!D118+CEMETERY!D118+LIBRARIES!D118+HOUSING!D118+TRAFFIC!D118+PARKS!D118+REFUSE!D118+SEWAGE!D118+PWORKS!D118+WATER!D118+ELECTRIC!D118</f>
        <v>11101</v>
      </c>
      <c r="E118" s="428">
        <f>+COUNCIL!E118+MAYOR!E118+SPEAKER!E118+MM!E118+CORP!E118+PROP!E118+RATES!E118+THALL!E118+FIN!E118+SOCIAL!E118+CEMETERY!E118+LIBRARIES!E118+HOUSING!E118+TRAFFIC!E118+PARKS!E118+REFUSE!E118+SEWAGE!E118+PWORKS!E118+WATER!E118+ELECTRIC!E118</f>
        <v>34911</v>
      </c>
      <c r="F118" s="428">
        <f>+COUNCIL!F118+MAYOR!F118+SPEAKER!F118+MM!F118+CORP!F118+PROP!F118+RATES!F118+THALL!F118+FIN!F118+SOCIAL!F118+CEMETERY!F118+LIBRARIES!F118+HOUSING!F118+TRAFFIC!F118+PARKS!F118+REFUSE!F118+SEWAGE!F118+PWORKS!F118+WATER!F118+ELECTRIC!F118</f>
        <v>34911</v>
      </c>
      <c r="G118" s="428">
        <f>+COUNCIL!G118+MAYOR!G118+SPEAKER!G118+MM!G118+CORP!G118+PROP!G118+RATES!G118+THALL!G118+FIN!G118+SOCIAL!G118+CEMETERY!G118+LIBRARIES!G118+HOUSING!G118+TRAFFIC!G118+PARKS!G118+REFUSE!G118+SEWAGE!G118+PWORKS!G118+WATER!G118+ELECTRIC!G118</f>
        <v>34911</v>
      </c>
      <c r="H118" s="428">
        <f>+COUNCIL!H118+MAYOR!H118+SPEAKER!H118+MM!H118+CORP!H118+PROP!H118+RATES!H118+THALL!H118+FIN!H118+SOCIAL!H118+CEMETERY!H118+LIBRARIES!H118+HOUSING!I118+TRAFFIC!H118+PARKS!H118+REFUSE!H118+SEWAGE!H118+PWORKS!H118+WATER!H118+ELECTRIC!H118</f>
        <v>34231.1</v>
      </c>
      <c r="I118" s="428">
        <f>+COUNCIL!I118+MAYOR!I118+SPEAKER!I118+MM!I118+CORP!I118+PROP!I118+RATES!I118+THALL!I118+FIN!I118+SOCIAL!I118+CEMETERY!I118+LIBRARIES!I119+HOUSING!J118+TRAFFIC!I118+PARKS!I118+REFUSE!I118+SEWAGE!I118+PWORKS!I118+WATER!I118+ELECTRIC!I118+PLANNING!I118</f>
        <v>24306.134742857139</v>
      </c>
      <c r="J118" s="428">
        <f>+COUNCIL!J118+MAYOR!J118+SPEAKER!J118+MM!J118+CORP!J118+PROP!J118+RATES!J118+THALL!J118+FIN!J118+SOCIAL!J118+CEMETERY!J118+LIBRARIES!J119+HOUSING!K118+TRAFFIC!J118+PARKS!J118+REFUSE!J118+SEWAGE!J118+PWORKS!J118+WATER!J118+ELECTRIC!J118+PLANNING!J118</f>
        <v>25642.97215371428</v>
      </c>
      <c r="K118" s="428">
        <f>+COUNCIL!K118+MAYOR!K118+SPEAKER!K118+MM!K118+CORP!K118+PROP!K118+RATES!K118+THALL!K118+FIN!K118+SOCIAL!K118+CEMETERY!K118+LIBRARIES!K119+HOUSING!L118+TRAFFIC!K118+PARKS!K118+REFUSE!K118+SEWAGE!K118+PWORKS!K118+WATER!K118+ELECTRIC!K118+PLANNING!K118</f>
        <v>27002.049677861134</v>
      </c>
    </row>
    <row r="119" spans="1:11" s="285" customFormat="1" x14ac:dyDescent="0.25">
      <c r="A119" s="468"/>
      <c r="B119" s="468"/>
      <c r="C119" s="97" t="s">
        <v>305</v>
      </c>
      <c r="D119" s="428">
        <f>+COUNCIL!D119+MAYOR!D119+SPEAKER!D119+MM!D119+CORP!D119+PROP!D119+RATES!D119+THALL!D119+FIN!D119+SOCIAL!D119+CEMETERY!D119+LIBRARIES!D119+HOUSING!D119+TRAFFIC!D119+PARKS!D119+REFUSE!D119+SEWAGE!D119+PWORKS!D119+WATER!D119+ELECTRIC!D119</f>
        <v>245428</v>
      </c>
      <c r="E119" s="428">
        <f>+COUNCIL!E119+MAYOR!E119+SPEAKER!E119+MM!E119+CORP!E119+PROP!E119+RATES!E119+THALL!E119+FIN!E119+SOCIAL!E119+CEMETERY!E119+LIBRARIES!E119+HOUSING!E119+TRAFFIC!E119+PARKS!E119+REFUSE!E119+SEWAGE!E119+PWORKS!E119+WATER!E119+ELECTRIC!E119</f>
        <v>544750</v>
      </c>
      <c r="F119" s="428">
        <f>+COUNCIL!F119+MAYOR!F119+SPEAKER!F119+MM!F119+CORP!F119+PROP!F119+RATES!F119+THALL!F119+FIN!F119+SOCIAL!F119+CEMETERY!F119+LIBRARIES!F119+HOUSING!F119+TRAFFIC!F119+PARKS!F119+REFUSE!F119+SEWAGE!F119+PWORKS!F119+WATER!F119+ELECTRIC!F119</f>
        <v>544750</v>
      </c>
      <c r="G119" s="428">
        <f>+COUNCIL!G119+MAYOR!G119+SPEAKER!G119+MM!G119+CORP!G119+PROP!G119+RATES!G119+THALL!G119+FIN!G119+SOCIAL!G119+CEMETERY!G119+LIBRARIES!G119+HOUSING!G119+TRAFFIC!G119+PARKS!G119+REFUSE!G119+SEWAGE!G119+PWORKS!G119+WATER!G119+ELECTRIC!G119</f>
        <v>544750</v>
      </c>
      <c r="H119" s="428">
        <f>+COUNCIL!H119+MAYOR!H119+SPEAKER!H119+MM!H119+CORP!H119+PROP!H119+RATES!H119+THALL!H119+FIN!H119+SOCIAL!H119+CEMETERY!H119+LIBRARIES!H119+HOUSING!I119+TRAFFIC!H119+PARKS!H119+REFUSE!H119+SEWAGE!H119+PWORKS!H119+WATER!H119+ELECTRIC!H119</f>
        <v>457690</v>
      </c>
      <c r="I119" s="428">
        <f>+COUNCIL!I119+MAYOR!I119+SPEAKER!I119+MM!I119+CORP!I119+PROP!I119+RATES!I119+THALL!I119+FIN!I119+SOCIAL!I119+CEMETERY!I119+LIBRARIES!I120+HOUSING!J119+TRAFFIC!I119+PARKS!I119+REFUSE!I119+SEWAGE!I119+PWORKS!I119+WATER!I119+ELECTRIC!I119+PLANNING!I119</f>
        <v>272331.70639999979</v>
      </c>
      <c r="J119" s="428">
        <f>+COUNCIL!J119+MAYOR!J119+SPEAKER!J119+MM!J119+CORP!J119+PROP!J119+RATES!J119+THALL!J119+FIN!J119+SOCIAL!J119+CEMETERY!J119+LIBRARIES!J120+HOUSING!K119+TRAFFIC!J119+PARKS!J119+REFUSE!J119+SEWAGE!J119+PWORKS!J119+WATER!J119+ELECTRIC!J119+PLANNING!J119</f>
        <v>287309.95025199984</v>
      </c>
      <c r="K119" s="428">
        <f>+COUNCIL!K119+MAYOR!K119+SPEAKER!K119+MM!K119+CORP!K119+PROP!K119+RATES!K119+THALL!K119+FIN!K119+SOCIAL!K119+CEMETERY!K119+LIBRARIES!K120+HOUSING!L119+TRAFFIC!K119+PARKS!K119+REFUSE!K119+SEWAGE!K119+PWORKS!K119+WATER!K119+ELECTRIC!K119+PLANNING!K119</f>
        <v>302537.37761535577</v>
      </c>
    </row>
    <row r="120" spans="1:11" s="285" customFormat="1" x14ac:dyDescent="0.25">
      <c r="A120" s="468"/>
      <c r="B120" s="468"/>
      <c r="C120" s="94" t="s">
        <v>384</v>
      </c>
      <c r="D120" s="428">
        <f>+COUNCIL!D120+MAYOR!D120+SPEAKER!D120+MM!D120+CORP!D120+PROP!D120+RATES!D120+THALL!D120+FIN!D120+SOCIAL!D120+CEMETERY!D120+LIBRARIES!D120+HOUSING!D120+TRAFFIC!D120+PARKS!D120+REFUSE!D120+SEWAGE!D120+PWORKS!D120+WATER!D120+ELECTRIC!D120</f>
        <v>150000</v>
      </c>
      <c r="E120" s="428">
        <f>+COUNCIL!E120+MAYOR!E120+SPEAKER!E120+MM!E120+CORP!E120+PROP!E120+RATES!E120+THALL!E120+FIN!E120+SOCIAL!E120+CEMETERY!E120+LIBRARIES!E120+HOUSING!E120+TRAFFIC!E120+PARKS!E120+REFUSE!E120+SEWAGE!E120+PWORKS!E120+WATER!E120+ELECTRIC!E120</f>
        <v>80000</v>
      </c>
      <c r="F120" s="428">
        <f>+COUNCIL!F120+MAYOR!F120+SPEAKER!F120+MM!F120+CORP!F120+PROP!F120+RATES!F120+THALL!F120+FIN!F120+SOCIAL!F120+CEMETERY!F120+LIBRARIES!F120+HOUSING!F120+TRAFFIC!F120+PARKS!F120+REFUSE!F120+SEWAGE!F120+PWORKS!F120+WATER!F120+ELECTRIC!F120</f>
        <v>80000</v>
      </c>
      <c r="G120" s="428">
        <f>+COUNCIL!G120+MAYOR!G120+SPEAKER!G120+MM!G120+CORP!G120+PROP!G120+RATES!G120+THALL!G120+FIN!G120+SOCIAL!G120+CEMETERY!G120+LIBRARIES!G120+HOUSING!G120+TRAFFIC!G120+PARKS!G120+REFUSE!G120+SEWAGE!G120+PWORKS!G120+WATER!G120+ELECTRIC!G120</f>
        <v>80000</v>
      </c>
      <c r="H120" s="428">
        <f>+COUNCIL!H120+MAYOR!H120+SPEAKER!H120+MM!H120+CORP!H120+PROP!H120+RATES!H120+THALL!H120+FIN!H120+SOCIAL!H120+CEMETERY!H120+LIBRARIES!H120+HOUSING!I120+TRAFFIC!H120+PARKS!H120+REFUSE!H120+SEWAGE!H120+PWORKS!H120+WATER!H120+ELECTRIC!H120</f>
        <v>0</v>
      </c>
      <c r="I120" s="428">
        <f>+COUNCIL!I120+MAYOR!I120+SPEAKER!I120+MM!I120+CORP!I120+PROP!I120+RATES!I120+THALL!I120+FIN!I120+SOCIAL!I120+CEMETERY!I120+LIBRARIES!I121+HOUSING!J120+TRAFFIC!I120+PARKS!I120+REFUSE!I120+SEWAGE!I120+PWORKS!I120+WATER!I120+ELECTRIC!I120+PLANNING!I120</f>
        <v>500000</v>
      </c>
      <c r="J120" s="428">
        <f>+COUNCIL!J120+MAYOR!J120+SPEAKER!J120+MM!J120+CORP!J120+PROP!J120+RATES!J120+THALL!J120+FIN!J120+SOCIAL!J120+CEMETERY!J120+LIBRARIES!J121+HOUSING!K120+TRAFFIC!J120+PARKS!J120+REFUSE!J120+SEWAGE!J120+PWORKS!J120+WATER!J120+ELECTRIC!J120+PLANNING!J120</f>
        <v>527500</v>
      </c>
      <c r="K120" s="428">
        <f>+COUNCIL!K120+MAYOR!K120+SPEAKER!K120+MM!K120+CORP!K120+PROP!K120+RATES!K120+THALL!K120+FIN!K120+SOCIAL!K120+CEMETERY!K120+LIBRARIES!K121+HOUSING!L120+TRAFFIC!K120+PARKS!K120+REFUSE!K120+SEWAGE!K120+PWORKS!K120+WATER!K120+ELECTRIC!K120+PLANNING!K120</f>
        <v>555458</v>
      </c>
    </row>
    <row r="121" spans="1:11" s="285" customFormat="1" x14ac:dyDescent="0.25">
      <c r="A121" s="468"/>
      <c r="B121" s="468"/>
      <c r="C121" s="94" t="s">
        <v>307</v>
      </c>
      <c r="D121" s="428">
        <f>+COUNCIL!D121+MAYOR!D121+SPEAKER!D121+MM!D121+CORP!D121+PROP!D121+RATES!D121+THALL!D121+FIN!D121+SOCIAL!D121+CEMETERY!D121+LIBRARIES!D121+HOUSING!D121+TRAFFIC!D121+PARKS!D121+REFUSE!D121+SEWAGE!D121+PWORKS!D121+WATER!D121+ELECTRIC!D121</f>
        <v>1138968</v>
      </c>
      <c r="E121" s="428">
        <f>+COUNCIL!E121+MAYOR!E121+SPEAKER!E121+MM!E121+CORP!E121+PROP!E121+RATES!E121+THALL!E121+FIN!E121+SOCIAL!E121+CEMETERY!E121+LIBRARIES!E121+HOUSING!E121+TRAFFIC!E121+PARKS!E121+REFUSE!E121+SEWAGE!E121+PWORKS!E121+WATER!E121+ELECTRIC!E121</f>
        <v>1134000</v>
      </c>
      <c r="F121" s="428">
        <f>+COUNCIL!F121+MAYOR!F121+SPEAKER!F121+MM!F121+CORP!F121+PROP!F121+RATES!F121+THALL!F121+FIN!F121+SOCIAL!F121+CEMETERY!F121+LIBRARIES!F121+HOUSING!F121+TRAFFIC!F121+PARKS!F121+REFUSE!F121+SEWAGE!F121+PWORKS!F121+WATER!F121+ELECTRIC!F121</f>
        <v>634000</v>
      </c>
      <c r="G121" s="428">
        <f>+COUNCIL!G121+MAYOR!G121+SPEAKER!G121+MM!G121+CORP!G121+PROP!G121+RATES!G121+THALL!G121+FIN!G121+SOCIAL!G121+CEMETERY!G121+LIBRARIES!G121+HOUSING!G121+TRAFFIC!G121+PARKS!G121+REFUSE!G121+SEWAGE!G121+PWORKS!G121+WATER!G121+ELECTRIC!G121</f>
        <v>634000</v>
      </c>
      <c r="H121" s="428">
        <f>+COUNCIL!H121+MAYOR!H121+SPEAKER!H121+MM!H121+CORP!H121+PROP!H121+RATES!H121+THALL!H121+FIN!H121+SOCIAL!H121+CEMETERY!H121+LIBRARIES!H121+HOUSING!I121+TRAFFIC!H121+PARKS!H121+REFUSE!H121+SEWAGE!H121+PWORKS!H121+WATER!H121+ELECTRIC!H121</f>
        <v>250000</v>
      </c>
      <c r="I121" s="428">
        <f>+COUNCIL!I121+MAYOR!I121+SPEAKER!I121+MM!I121+CORP!I121+PROP!I121+RATES!I121+THALL!I121+FIN!I121+SOCIAL!I121+CEMETERY!I121+LIBRARIES!I122+HOUSING!J121+TRAFFIC!I121+PARKS!I121+REFUSE!I121+SEWAGE!I121+PWORKS!I121+WATER!I121+ELECTRIC!I121+PLANNING!I121</f>
        <v>433480.7</v>
      </c>
      <c r="J121" s="428">
        <f>+COUNCIL!J121+MAYOR!J121+SPEAKER!J121+MM!J121+CORP!J121+PROP!J121+RATES!J121+THALL!J121+FIN!J121+SOCIAL!J121+CEMETERY!J121+LIBRARIES!J122+HOUSING!K121+TRAFFIC!J121+PARKS!J121+REFUSE!J121+SEWAGE!J121+PWORKS!J121+WATER!J121+ELECTRIC!J121+PLANNING!J121</f>
        <v>457322.1385</v>
      </c>
      <c r="K121" s="428">
        <f>+COUNCIL!K121+MAYOR!K121+SPEAKER!K121+MM!K121+CORP!K121+PROP!K121+RATES!K121+THALL!K121+FIN!K121+SOCIAL!K121+CEMETERY!K121+LIBRARIES!K122+HOUSING!L121+TRAFFIC!K121+PARKS!K121+REFUSE!K121+SEWAGE!K121+PWORKS!K121+WATER!K121+ELECTRIC!K121+PLANNING!K121</f>
        <v>481560.21184049995</v>
      </c>
    </row>
    <row r="122" spans="1:11" s="285" customFormat="1" x14ac:dyDescent="0.25">
      <c r="A122" s="468"/>
      <c r="B122" s="468"/>
      <c r="C122" s="94" t="s">
        <v>308</v>
      </c>
      <c r="D122" s="428">
        <f>+COUNCIL!D122+MAYOR!D122+SPEAKER!D122+MM!D122+CORP!D122+PROP!D122+RATES!D122+THALL!D122+FIN!D122+SOCIAL!D122+CEMETERY!D122+LIBRARIES!D122+HOUSING!D122+TRAFFIC!D122+PARKS!D122+REFUSE!D122+SEWAGE!D122+PWORKS!D122+WATER!D122+ELECTRIC!D122</f>
        <v>143522</v>
      </c>
      <c r="E122" s="428">
        <f>+COUNCIL!E122+MAYOR!E122+SPEAKER!E122+MM!E122+CORP!E122+PROP!E122+RATES!E122+THALL!E122+FIN!E122+SOCIAL!E122+CEMETERY!E122+LIBRARIES!E122+HOUSING!E122+TRAFFIC!E122+PARKS!E122+REFUSE!E122+SEWAGE!E122+PWORKS!E122+WATER!E122+ELECTRIC!E122</f>
        <v>123193.55499999999</v>
      </c>
      <c r="F122" s="428">
        <f>+COUNCIL!F122+MAYOR!F122+SPEAKER!F122+MM!F122+CORP!F122+PROP!F122+RATES!F122+THALL!F122+FIN!F122+SOCIAL!F122+CEMETERY!F122+LIBRARIES!F122+HOUSING!F122+TRAFFIC!F122+PARKS!F122+REFUSE!F122+SEWAGE!F122+PWORKS!F122+WATER!F122+ELECTRIC!F122</f>
        <v>109263.55499999999</v>
      </c>
      <c r="G122" s="428">
        <f>+COUNCIL!G122+MAYOR!G122+SPEAKER!G122+MM!G122+CORP!G122+PROP!G122+RATES!G122+THALL!G122+FIN!G122+SOCIAL!G122+CEMETERY!G122+LIBRARIES!G122+HOUSING!G122+TRAFFIC!G122+PARKS!G122+REFUSE!G122+SEWAGE!G122+PWORKS!G122+WATER!G122+ELECTRIC!G122</f>
        <v>109263.55499999999</v>
      </c>
      <c r="H122" s="428">
        <f>+COUNCIL!H122+MAYOR!H122+SPEAKER!H122+MM!H122+CORP!H122+PROP!H122+RATES!H122+THALL!H122+FIN!H122+SOCIAL!H122+CEMETERY!H122+LIBRARIES!H122+HOUSING!I122+TRAFFIC!H122+PARKS!H122+REFUSE!H122+SEWAGE!H122+PWORKS!H122+WATER!H122+ELECTRIC!H122</f>
        <v>129090.6</v>
      </c>
      <c r="I122" s="428">
        <f>+COUNCIL!I122+MAYOR!I122+SPEAKER!I122+MM!I122+CORP!I122+PROP!I122+RATES!I122+THALL!I122+FIN!I122+SOCIAL!I122+CEMETERY!I122+LIBRARIES!I123+HOUSING!J122+TRAFFIC!I122+PARKS!I122+REFUSE!I122+SEWAGE!I122+PWORKS!I122+WATER!I122+ELECTRIC!I122+PLANNING!I122</f>
        <v>136840</v>
      </c>
      <c r="J122" s="428">
        <f>+COUNCIL!J122+MAYOR!J122+SPEAKER!J122+MM!J122+CORP!J122+PROP!J122+RATES!J122+THALL!J122+FIN!J122+SOCIAL!J122+CEMETERY!J122+LIBRARIES!J123+HOUSING!K122+TRAFFIC!J122+PARKS!J122+REFUSE!J122+SEWAGE!J122+PWORKS!J122+WATER!J122+ELECTRIC!J122+PLANNING!J122</f>
        <v>144366.20000000001</v>
      </c>
      <c r="K122" s="428">
        <f>+COUNCIL!K122+MAYOR!K122+SPEAKER!K122+MM!K122+CORP!K122+PROP!K122+RATES!K122+THALL!K122+FIN!K122+SOCIAL!K122+CEMETERY!K122+LIBRARIES!K123+HOUSING!L122+TRAFFIC!K122+PARKS!K122+REFUSE!K122+SEWAGE!K122+PWORKS!K122+WATER!K122+ELECTRIC!K122+PLANNING!K122</f>
        <v>152017.60859999998</v>
      </c>
    </row>
    <row r="123" spans="1:11" s="285" customFormat="1" x14ac:dyDescent="0.25">
      <c r="A123" s="468"/>
      <c r="B123" s="468"/>
      <c r="C123" s="94" t="s">
        <v>309</v>
      </c>
      <c r="D123" s="428">
        <f>+COUNCIL!D123+MAYOR!D123+SPEAKER!D123+MM!D123+CORP!D123+PROP!D123+RATES!D123+THALL!D123+FIN!D123+SOCIAL!D123+CEMETERY!D123+LIBRARIES!D123+HOUSING!D123+TRAFFIC!D123+PARKS!D123+REFUSE!D123+SEWAGE!D123+PWORKS!D123+WATER!D123+ELECTRIC!D123</f>
        <v>415000</v>
      </c>
      <c r="E123" s="428">
        <f>+COUNCIL!E123+MAYOR!E123+SPEAKER!E123+MM!E123+CORP!E123+PROP!E123+RATES!E123+THALL!E123+FIN!E123+SOCIAL!E123+CEMETERY!E123+LIBRARIES!E123+HOUSING!E123+TRAFFIC!E123+PARKS!E123+REFUSE!E123+SEWAGE!E123+PWORKS!E123+WATER!E123+ELECTRIC!E123</f>
        <v>437825</v>
      </c>
      <c r="F123" s="428">
        <f>+COUNCIL!F123+MAYOR!F123+SPEAKER!F123+MM!F123+CORP!F123+PROP!F123+RATES!F123+THALL!F123+FIN!F123+SOCIAL!F123+CEMETERY!F123+LIBRARIES!F123+HOUSING!F123+TRAFFIC!F123+PARKS!F123+REFUSE!F123+SEWAGE!F123+PWORKS!F123+WATER!F123+ELECTRIC!F123</f>
        <v>907825</v>
      </c>
      <c r="G123" s="428">
        <f>+COUNCIL!G123+MAYOR!G123+SPEAKER!G123+MM!G123+CORP!G123+PROP!G123+RATES!G123+THALL!G123+FIN!G123+SOCIAL!G123+CEMETERY!G123+LIBRARIES!G123+HOUSING!G123+TRAFFIC!G123+PARKS!G123+REFUSE!G123+SEWAGE!G123+PWORKS!G123+WATER!G123+ELECTRIC!G123</f>
        <v>907825</v>
      </c>
      <c r="H123" s="428">
        <f>+COUNCIL!H123+MAYOR!H123+SPEAKER!H123+MM!H123+CORP!H123+PROP!H123+RATES!H123+THALL!H123+FIN!H123+SOCIAL!H123+CEMETERY!H123+LIBRARIES!H123+HOUSING!I123+TRAFFIC!H123+PARKS!H123+REFUSE!H123+SEWAGE!H123+PWORKS!H123+WATER!H123+ELECTRIC!H123</f>
        <v>500000</v>
      </c>
      <c r="I123" s="428">
        <f>+COUNCIL!I123+MAYOR!I123+SPEAKER!I123+MM!I123+CORP!I123+PROP!I123+RATES!I123+THALL!I123+FIN!I123+SOCIAL!I123+CEMETERY!I123+LIBRARIES!I124+HOUSING!J123+TRAFFIC!I123+PARKS!I123+REFUSE!I123+SEWAGE!I123+PWORKS!I123+WATER!I123+ELECTRIC!I123+PLANNING!I123</f>
        <v>120000</v>
      </c>
      <c r="J123" s="428">
        <f>+COUNCIL!J123+MAYOR!J123+SPEAKER!J123+MM!J123+CORP!J123+PROP!J123+RATES!J123+THALL!J123+FIN!J123+SOCIAL!J123+CEMETERY!J123+LIBRARIES!J124+HOUSING!K123+TRAFFIC!J123+PARKS!J123+REFUSE!J123+SEWAGE!J123+PWORKS!J123+WATER!J123+ELECTRIC!J123+PLANNING!J123</f>
        <v>126599.99999999999</v>
      </c>
      <c r="K123" s="428">
        <f>+COUNCIL!K123+MAYOR!K123+SPEAKER!K123+MM!K123+CORP!K123+PROP!K123+RATES!K123+THALL!K123+FIN!K123+SOCIAL!K123+CEMETERY!K123+LIBRARIES!K124+HOUSING!L123+TRAFFIC!K123+PARKS!K123+REFUSE!K123+SEWAGE!K123+PWORKS!K123+WATER!K123+ELECTRIC!K123+PLANNING!K123</f>
        <v>133309.79999999999</v>
      </c>
    </row>
    <row r="124" spans="1:11" s="285" customFormat="1" x14ac:dyDescent="0.25">
      <c r="A124" s="468"/>
      <c r="B124" s="468"/>
      <c r="C124" s="94" t="s">
        <v>310</v>
      </c>
      <c r="D124" s="428">
        <f>+COUNCIL!D124+MAYOR!D124+SPEAKER!D124+MM!D124+CORP!D124+PROP!D124+RATES!D124+THALL!D124+FIN!D124+SOCIAL!D124+CEMETERY!D124+LIBRARIES!D124+HOUSING!D124+TRAFFIC!D124+PARKS!D124+REFUSE!D124+SEWAGE!D124+PWORKS!D124+WATER!D124+ELECTRIC!D124</f>
        <v>0</v>
      </c>
      <c r="E124" s="428">
        <f>+COUNCIL!E124+MAYOR!E124+SPEAKER!E124+MM!E124+CORP!E124+PROP!E124+RATES!E124+THALL!E124+FIN!E124+SOCIAL!E124+CEMETERY!E124+LIBRARIES!E124+HOUSING!E124+TRAFFIC!E124+PARKS!E124+REFUSE!E124+SEWAGE!E124+PWORKS!E124+WATER!E124+ELECTRIC!E124</f>
        <v>0</v>
      </c>
      <c r="F124" s="428">
        <f>+COUNCIL!F124+MAYOR!F124+SPEAKER!F124+MM!F124+CORP!F124+PROP!F124+RATES!F124+THALL!F124+FIN!F124+SOCIAL!F124+CEMETERY!F124+LIBRARIES!F124+HOUSING!F124+TRAFFIC!F124+PARKS!F124+REFUSE!F124+SEWAGE!F124+PWORKS!F124+WATER!F124+ELECTRIC!F124</f>
        <v>0</v>
      </c>
      <c r="G124" s="428">
        <f>+COUNCIL!G124+MAYOR!G124+SPEAKER!G124+MM!G124+CORP!G124+PROP!G124+RATES!G124+THALL!G124+FIN!G124+SOCIAL!G124+CEMETERY!G124+LIBRARIES!G124+HOUSING!G124+TRAFFIC!G124+PARKS!G124+REFUSE!G124+SEWAGE!G124+PWORKS!G124+WATER!G124+ELECTRIC!G124</f>
        <v>0</v>
      </c>
      <c r="H124" s="428">
        <f>+COUNCIL!H124+MAYOR!H124+SPEAKER!H124+MM!H124+CORP!H124+PROP!H124+RATES!H124+THALL!H124+FIN!H124+SOCIAL!H124+CEMETERY!H124+LIBRARIES!H124+HOUSING!I124+TRAFFIC!H124+PARKS!H124+REFUSE!H124+SEWAGE!H124+PWORKS!H124+WATER!H124+ELECTRIC!H124</f>
        <v>0</v>
      </c>
      <c r="I124" s="428">
        <f>+COUNCIL!I124+MAYOR!I124+SPEAKER!I124+MM!I124+CORP!I124+PROP!I124+RATES!I124+THALL!I124+FIN!I124+SOCIAL!I124+CEMETERY!I124+LIBRARIES!I125+HOUSING!J124+TRAFFIC!I124+PARKS!I124+REFUSE!I124+SEWAGE!I124+PWORKS!I124+WATER!I124+ELECTRIC!I124+PLANNING!I124</f>
        <v>0</v>
      </c>
      <c r="J124" s="428">
        <f>+COUNCIL!J124+MAYOR!J124+SPEAKER!J124+MM!J124+CORP!J124+PROP!J124+RATES!J124+THALL!J124+FIN!J124+SOCIAL!J124+CEMETERY!J124+LIBRARIES!J125+HOUSING!K124+TRAFFIC!J124+PARKS!J124+REFUSE!J124+SEWAGE!J124+PWORKS!J124+WATER!J124+ELECTRIC!J124+PLANNING!J124</f>
        <v>0</v>
      </c>
      <c r="K124" s="428">
        <f>+COUNCIL!K124+MAYOR!K124+SPEAKER!K124+MM!K124+CORP!K124+PROP!K124+RATES!K124+THALL!K124+FIN!K124+SOCIAL!K124+CEMETERY!K124+LIBRARIES!K125+HOUSING!L124+TRAFFIC!K124+PARKS!K124+REFUSE!K124+SEWAGE!K124+PWORKS!K124+WATER!K124+ELECTRIC!K124+PLANNING!K124</f>
        <v>0</v>
      </c>
    </row>
    <row r="125" spans="1:11" s="285" customFormat="1" x14ac:dyDescent="0.25">
      <c r="A125" s="468"/>
      <c r="B125" s="468"/>
      <c r="C125" s="94" t="s">
        <v>311</v>
      </c>
      <c r="D125" s="428">
        <f>+COUNCIL!D125+MAYOR!D125+SPEAKER!D125+MM!D125+CORP!D125+PROP!D125+RATES!D125+THALL!D125+FIN!D125+SOCIAL!D125+CEMETERY!D125+LIBRARIES!D125+HOUSING!D125+TRAFFIC!D125+PARKS!D125+REFUSE!D125+SEWAGE!D125+PWORKS!D125+WATER!D125+ELECTRIC!D125</f>
        <v>88316</v>
      </c>
      <c r="E125" s="428">
        <f>+COUNCIL!E125+MAYOR!E125+SPEAKER!E125+MM!E125+CORP!E125+PROP!E125+RATES!E125+THALL!E125+FIN!E125+SOCIAL!E125+CEMETERY!E125+LIBRARIES!E125+HOUSING!E125+TRAFFIC!E125+PARKS!E125+REFUSE!E125+SEWAGE!E125+PWORKS!E125+WATER!E125+ELECTRIC!E125</f>
        <v>97646</v>
      </c>
      <c r="F125" s="428">
        <f>+COUNCIL!F125+MAYOR!F125+SPEAKER!F125+MM!F125+CORP!F125+PROP!F125+RATES!F125+THALL!F125+FIN!F125+SOCIAL!F125+CEMETERY!F125+LIBRARIES!F125+HOUSING!F125+TRAFFIC!F125+PARKS!F125+REFUSE!F125+SEWAGE!F125+PWORKS!F125+WATER!F125+ELECTRIC!F125</f>
        <v>111646</v>
      </c>
      <c r="G125" s="428">
        <f>+COUNCIL!G125+MAYOR!G125+SPEAKER!G125+MM!G125+CORP!G125+PROP!G125+RATES!G125+THALL!G125+FIN!G125+SOCIAL!G125+CEMETERY!G125+LIBRARIES!G125+HOUSING!G125+TRAFFIC!G125+PARKS!G125+REFUSE!G125+SEWAGE!G125+PWORKS!G125+WATER!G125+ELECTRIC!G125</f>
        <v>111646</v>
      </c>
      <c r="H125" s="428">
        <f>+COUNCIL!H125+MAYOR!H125+SPEAKER!H125+MM!H125+CORP!H125+PROP!H125+RATES!H125+THALL!H125+FIN!H125+SOCIAL!H125+CEMETERY!H125+LIBRARIES!H125+HOUSING!I125+TRAFFIC!H125+PARKS!H125+REFUSE!H125+SEWAGE!H125+PWORKS!H125+WATER!H125+ELECTRIC!H125</f>
        <v>100000</v>
      </c>
      <c r="I125" s="428">
        <f>+COUNCIL!I125+MAYOR!I125+SPEAKER!I125+MM!I125+CORP!I125+PROP!I125+RATES!I125+THALL!I125+FIN!I125+SOCIAL!I125+CEMETERY!I125+LIBRARIES!I126+HOUSING!J125+TRAFFIC!I125+PARKS!I125+REFUSE!I125+SEWAGE!I125+PWORKS!I125+WATER!I125+ELECTRIC!I125+PLANNING!I125</f>
        <v>47156.571428571311</v>
      </c>
      <c r="J125" s="428">
        <f>+COUNCIL!J125+MAYOR!J125+SPEAKER!J125+MM!J125+CORP!J125+PROP!J125+RATES!J125+THALL!J125+FIN!J125+SOCIAL!J125+CEMETERY!J125+LIBRARIES!J126+HOUSING!K125+TRAFFIC!J125+PARKS!J125+REFUSE!J125+SEWAGE!J125+PWORKS!J125+WATER!J125+ELECTRIC!J125+PLANNING!J125</f>
        <v>49750.182857142732</v>
      </c>
      <c r="K125" s="428">
        <f>+COUNCIL!K125+MAYOR!K125+SPEAKER!K125+MM!K125+CORP!K125+PROP!K125+RATES!K125+THALL!K125+FIN!K125+SOCIAL!K125+CEMETERY!K125+LIBRARIES!K126+HOUSING!L125+TRAFFIC!K125+PARKS!K125+REFUSE!K125+SEWAGE!K125+PWORKS!K125+WATER!K125+ELECTRIC!K125+PLANNING!K125</f>
        <v>52386.942548571293</v>
      </c>
    </row>
    <row r="126" spans="1:11" s="285" customFormat="1" x14ac:dyDescent="0.25">
      <c r="A126" s="468"/>
      <c r="B126" s="468"/>
      <c r="C126" s="94" t="s">
        <v>312</v>
      </c>
      <c r="D126" s="428">
        <f>+COUNCIL!D126+MAYOR!D126+SPEAKER!D126+MM!D126+CORP!D126+PROP!D126+RATES!D126+THALL!D126+FIN!D126+SOCIAL!D126+CEMETERY!D126+LIBRARIES!D126+HOUSING!D126+TRAFFIC!D126+PARKS!D126+REFUSE!D126+SEWAGE!D126+PWORKS!D126+WATER!D126+ELECTRIC!D126</f>
        <v>305983</v>
      </c>
      <c r="E126" s="428">
        <f>+COUNCIL!E126+MAYOR!E126+SPEAKER!E126+MM!E126+CORP!E126+PROP!E126+RATES!E126+THALL!E126+FIN!E126+SOCIAL!E126+CEMETERY!E126+LIBRARIES!E126+HOUSING!E126+TRAFFIC!E126+PARKS!E126+REFUSE!E126+SEWAGE!E126+PWORKS!E126+WATER!E126+ELECTRIC!E126</f>
        <v>338307</v>
      </c>
      <c r="F126" s="428">
        <f>+COUNCIL!F126+MAYOR!F126+SPEAKER!F126+MM!F126+CORP!F126+PROP!F126+RATES!F126+THALL!F126+FIN!F126+SOCIAL!F126+CEMETERY!F126+LIBRARIES!F126+HOUSING!F126+TRAFFIC!F126+PARKS!F126+REFUSE!F126+SEWAGE!F126+PWORKS!F126+WATER!F126+ELECTRIC!F126</f>
        <v>338307</v>
      </c>
      <c r="G126" s="428">
        <f>+COUNCIL!G126+MAYOR!G126+SPEAKER!G126+MM!G126+CORP!G126+PROP!G126+RATES!G126+THALL!G126+FIN!G126+SOCIAL!G126+CEMETERY!G126+LIBRARIES!G126+HOUSING!G126+TRAFFIC!G126+PARKS!G126+REFUSE!G126+SEWAGE!G126+PWORKS!G126+WATER!G126+ELECTRIC!G126</f>
        <v>338307</v>
      </c>
      <c r="H126" s="428">
        <f>+COUNCIL!H126+MAYOR!H126+SPEAKER!H126+MM!H126+CORP!H126+PROP!H126+RATES!H126+THALL!H126+FIN!H126+SOCIAL!H126+CEMETERY!H126+LIBRARIES!H126+HOUSING!I126+TRAFFIC!H126+PARKS!H126+REFUSE!H126+SEWAGE!H126+PWORKS!H126+WATER!H126+ELECTRIC!H126</f>
        <v>0</v>
      </c>
      <c r="I126" s="428">
        <f>+COUNCIL!I126+MAYOR!I126+SPEAKER!I126+MM!I126+CORP!I126+PROP!I126+RATES!I126+THALL!I126+FIN!I126+SOCIAL!I126+CEMETERY!I126+LIBRARIES!I127+HOUSING!J126+TRAFFIC!I126+PARKS!I126+REFUSE!I126+SEWAGE!I126+PWORKS!I126+WATER!I126+ELECTRIC!I126+PLANNING!I126</f>
        <v>0</v>
      </c>
      <c r="J126" s="428">
        <f>+COUNCIL!J126+MAYOR!J126+SPEAKER!J126+MM!J126+CORP!J126+PROP!J126+RATES!J126+THALL!J126+FIN!J126+SOCIAL!J126+CEMETERY!J126+LIBRARIES!J127+HOUSING!K126+TRAFFIC!J126+PARKS!J126+REFUSE!J126+SEWAGE!J126+PWORKS!J126+WATER!J126+ELECTRIC!J126+PLANNING!J126</f>
        <v>0</v>
      </c>
      <c r="K126" s="428">
        <f>+COUNCIL!K126+MAYOR!K126+SPEAKER!K126+MM!K126+CORP!K126+PROP!K126+RATES!K126+THALL!K126+FIN!K126+SOCIAL!K126+CEMETERY!K126+LIBRARIES!K127+HOUSING!L126+TRAFFIC!K126+PARKS!K126+REFUSE!K126+SEWAGE!K126+PWORKS!K126+WATER!K126+ELECTRIC!K126+PLANNING!K126</f>
        <v>0</v>
      </c>
    </row>
    <row r="127" spans="1:11" s="285" customFormat="1" x14ac:dyDescent="0.25">
      <c r="A127" s="468"/>
      <c r="B127" s="468"/>
      <c r="C127" s="94" t="s">
        <v>313</v>
      </c>
      <c r="D127" s="428">
        <f>+COUNCIL!D127+MAYOR!D127+SPEAKER!D127+MM!D127+CORP!D127+PROP!D127+RATES!D127+THALL!D127+FIN!D127+SOCIAL!D127+CEMETERY!D127+LIBRARIES!D127+HOUSING!D127+TRAFFIC!D127+PARKS!D127+REFUSE!D127+SEWAGE!D127+PWORKS!D127+WATER!D127+ELECTRIC!D127</f>
        <v>0</v>
      </c>
      <c r="E127" s="428">
        <f>+COUNCIL!E127+MAYOR!E127+SPEAKER!E127+MM!E127+CORP!E127+PROP!E127+RATES!E127+THALL!E127+FIN!E127+SOCIAL!E127+CEMETERY!E127+LIBRARIES!E127+HOUSING!E127+TRAFFIC!E127+PARKS!E127+REFUSE!E127+SEWAGE!E127+PWORKS!E127+WATER!E127+ELECTRIC!E127</f>
        <v>0</v>
      </c>
      <c r="F127" s="428">
        <f>+COUNCIL!F127+MAYOR!F127+SPEAKER!F127+MM!F127+CORP!F127+PROP!F127+RATES!F127+THALL!F127+FIN!F127+SOCIAL!F127+CEMETERY!F127+LIBRARIES!F127+HOUSING!F127+TRAFFIC!F127+PARKS!F127+REFUSE!F127+SEWAGE!F127+PWORKS!F127+WATER!F127+ELECTRIC!F127</f>
        <v>0</v>
      </c>
      <c r="G127" s="428">
        <f>+COUNCIL!G127+MAYOR!G127+SPEAKER!G127+MM!G127+CORP!G127+PROP!G127+RATES!G127+THALL!G127+FIN!G127+SOCIAL!G127+CEMETERY!G127+LIBRARIES!G127+HOUSING!G127+TRAFFIC!G127+PARKS!G127+REFUSE!G127+SEWAGE!G127+PWORKS!G127+WATER!G127+ELECTRIC!G127</f>
        <v>0</v>
      </c>
      <c r="H127" s="428">
        <f>+COUNCIL!H127+MAYOR!H127+SPEAKER!H127+MM!H127+CORP!H127+PROP!H127+RATES!H127+THALL!H127+FIN!H127+SOCIAL!H127+CEMETERY!H127+LIBRARIES!H127+HOUSING!I127+TRAFFIC!H127+PARKS!H127+REFUSE!H127+SEWAGE!H127+PWORKS!H127+WATER!H127+ELECTRIC!H127</f>
        <v>0</v>
      </c>
      <c r="I127" s="428">
        <f>+COUNCIL!I127+MAYOR!I127+SPEAKER!I127+MM!I127+CORP!I127+PROP!I127+RATES!I127+THALL!I127+FIN!I127+SOCIAL!I127+CEMETERY!I127+LIBRARIES!I128+HOUSING!J127+TRAFFIC!I127+PARKS!I127+REFUSE!I127+SEWAGE!I127+PWORKS!I127+WATER!I127+ELECTRIC!I127+PLANNING!I127</f>
        <v>0</v>
      </c>
      <c r="J127" s="428">
        <f>+COUNCIL!J127+MAYOR!J127+SPEAKER!J127+MM!J127+CORP!J127+PROP!J127+RATES!J127+THALL!J127+FIN!J127+SOCIAL!J127+CEMETERY!J127+LIBRARIES!J128+HOUSING!K127+TRAFFIC!J127+PARKS!J127+REFUSE!J127+SEWAGE!J127+PWORKS!J127+WATER!J127+ELECTRIC!J127+PLANNING!J127</f>
        <v>0</v>
      </c>
      <c r="K127" s="428">
        <f>+COUNCIL!K127+MAYOR!K127+SPEAKER!K127+MM!K127+CORP!K127+PROP!K127+RATES!K127+THALL!K127+FIN!K127+SOCIAL!K127+CEMETERY!K127+LIBRARIES!K128+HOUSING!L127+TRAFFIC!K127+PARKS!K127+REFUSE!K127+SEWAGE!K127+PWORKS!K127+WATER!K127+ELECTRIC!K127+PLANNING!K127</f>
        <v>0</v>
      </c>
    </row>
    <row r="128" spans="1:11" s="285" customFormat="1" x14ac:dyDescent="0.25">
      <c r="A128" s="468"/>
      <c r="B128" s="468"/>
      <c r="C128" s="94" t="s">
        <v>314</v>
      </c>
      <c r="D128" s="428">
        <f>+COUNCIL!D128+MAYOR!D128+SPEAKER!D128+MM!D128+CORP!D128+PROP!D128+RATES!D128+THALL!D128+FIN!D128+SOCIAL!D128+CEMETERY!D128+LIBRARIES!D128+HOUSING!D128+TRAFFIC!D128+PARKS!D128+REFUSE!D128+SEWAGE!D128+PWORKS!D128+WATER!D128+ELECTRIC!D128</f>
        <v>0</v>
      </c>
      <c r="E128" s="428">
        <f>+COUNCIL!E128+MAYOR!E128+SPEAKER!E128+MM!E128+CORP!E128+PROP!E128+RATES!E128+THALL!E128+FIN!E128+SOCIAL!E128+CEMETERY!E128+LIBRARIES!E128+HOUSING!E128+TRAFFIC!E128+PARKS!E128+REFUSE!E128+SEWAGE!E128+PWORKS!E128+WATER!E128+ELECTRIC!E128</f>
        <v>0</v>
      </c>
      <c r="F128" s="428">
        <f>+COUNCIL!F128+MAYOR!F128+SPEAKER!F128+MM!F128+CORP!F128+PROP!F128+RATES!F128+THALL!F128+FIN!F128+SOCIAL!F128+CEMETERY!F128+LIBRARIES!F128+HOUSING!F128+TRAFFIC!F128+PARKS!F128+REFUSE!F128+SEWAGE!F128+PWORKS!F128+WATER!F128+ELECTRIC!F128</f>
        <v>0</v>
      </c>
      <c r="G128" s="428">
        <f>+COUNCIL!G128+MAYOR!G128+SPEAKER!G128+MM!G128+CORP!G128+PROP!G128+RATES!G128+THALL!G128+FIN!G128+SOCIAL!G128+CEMETERY!G128+LIBRARIES!G128+HOUSING!G128+TRAFFIC!G128+PARKS!G128+REFUSE!G128+SEWAGE!G128+PWORKS!G128+WATER!G128+ELECTRIC!G128</f>
        <v>0</v>
      </c>
      <c r="H128" s="428">
        <f>+COUNCIL!H128+MAYOR!H128+SPEAKER!H128+MM!H128+CORP!H128+PROP!H128+RATES!H128+THALL!H128+FIN!H128+SOCIAL!H128+CEMETERY!H128+LIBRARIES!H128+HOUSING!I128+TRAFFIC!H128+PARKS!H128+REFUSE!H128+SEWAGE!H128+PWORKS!H128+WATER!H128+ELECTRIC!H128</f>
        <v>0</v>
      </c>
      <c r="I128" s="428">
        <f>+COUNCIL!I128+MAYOR!I128+SPEAKER!I128+MM!I128+CORP!I128+PROP!I128+RATES!I128+THALL!I128+FIN!I128+SOCIAL!I128+CEMETERY!I128+LIBRARIES!I129+HOUSING!J128+TRAFFIC!I128+PARKS!I128+REFUSE!I128+SEWAGE!I128+PWORKS!I128+WATER!I128+ELECTRIC!I128+PLANNING!I128</f>
        <v>0</v>
      </c>
      <c r="J128" s="428">
        <f>+COUNCIL!J128+MAYOR!J128+SPEAKER!J128+MM!J128+CORP!J128+PROP!J128+RATES!J128+THALL!J128+FIN!J128+SOCIAL!J128+CEMETERY!J128+LIBRARIES!J129+HOUSING!K128+TRAFFIC!J128+PARKS!J128+REFUSE!J128+SEWAGE!J128+PWORKS!J128+WATER!J128+ELECTRIC!J128+PLANNING!J128</f>
        <v>0</v>
      </c>
      <c r="K128" s="428">
        <f>+COUNCIL!K128+MAYOR!K128+SPEAKER!K128+MM!K128+CORP!K128+PROP!K128+RATES!K128+THALL!K128+FIN!K128+SOCIAL!K128+CEMETERY!K128+LIBRARIES!K129+HOUSING!L128+TRAFFIC!K128+PARKS!K128+REFUSE!K128+SEWAGE!K128+PWORKS!K128+WATER!K128+ELECTRIC!K128+PLANNING!K128</f>
        <v>0</v>
      </c>
    </row>
    <row r="129" spans="1:11" s="285" customFormat="1" x14ac:dyDescent="0.25">
      <c r="A129" s="468"/>
      <c r="B129" s="468"/>
      <c r="C129" s="94" t="s">
        <v>315</v>
      </c>
      <c r="D129" s="428">
        <f>+COUNCIL!D129+MAYOR!D129+SPEAKER!D129+MM!D129+CORP!D129+PROP!D129+RATES!D129+THALL!D129+FIN!D129+SOCIAL!D129+CEMETERY!D129+LIBRARIES!D129+HOUSING!D129+TRAFFIC!D129+PARKS!D129+REFUSE!D129+SEWAGE!D129+PWORKS!D129+WATER!D129+ELECTRIC!D129</f>
        <v>0</v>
      </c>
      <c r="E129" s="428">
        <f>+COUNCIL!E129+MAYOR!E129+SPEAKER!E129+MM!E129+CORP!E129+PROP!E129+RATES!E129+THALL!E129+FIN!E129+SOCIAL!E129+CEMETERY!E129+LIBRARIES!E129+HOUSING!E129+TRAFFIC!E129+PARKS!E129+REFUSE!E129+SEWAGE!E129+PWORKS!E129+WATER!E129+ELECTRIC!E129</f>
        <v>0</v>
      </c>
      <c r="F129" s="428">
        <f>+COUNCIL!F129+MAYOR!F129+SPEAKER!F129+MM!F129+CORP!F129+PROP!F129+RATES!F129+THALL!F129+FIN!F129+SOCIAL!F129+CEMETERY!F129+LIBRARIES!F129+HOUSING!F129+TRAFFIC!F129+PARKS!F129+REFUSE!F129+SEWAGE!F129+PWORKS!F129+WATER!F129+ELECTRIC!F129</f>
        <v>0</v>
      </c>
      <c r="G129" s="428">
        <f>+COUNCIL!G129+MAYOR!G129+SPEAKER!G129+MM!G129+CORP!G129+PROP!G129+RATES!G129+THALL!G129+FIN!G129+SOCIAL!G129+CEMETERY!G129+LIBRARIES!G129+HOUSING!G129+TRAFFIC!G129+PARKS!G129+REFUSE!G129+SEWAGE!G129+PWORKS!G129+WATER!G129+ELECTRIC!G129</f>
        <v>0</v>
      </c>
      <c r="H129" s="428">
        <f>+COUNCIL!H129+MAYOR!H129+SPEAKER!H129+MM!H129+CORP!H129+PROP!H129+RATES!H129+THALL!H129+FIN!H129+SOCIAL!H129+CEMETERY!H129+LIBRARIES!H129+HOUSING!I129+TRAFFIC!H129+PARKS!H129+REFUSE!H129+SEWAGE!H129+PWORKS!H129+WATER!H129+ELECTRIC!H129</f>
        <v>0</v>
      </c>
      <c r="I129" s="428">
        <f>+COUNCIL!I129+MAYOR!I129+SPEAKER!I129+MM!I129+CORP!I129+PROP!I129+RATES!I129+THALL!I129+FIN!I129+SOCIAL!I129+CEMETERY!I129+LIBRARIES!I130+HOUSING!J129+TRAFFIC!I129+PARKS!I129+REFUSE!I129+SEWAGE!I129+PWORKS!I129+WATER!I129+ELECTRIC!I129+PLANNING!I129</f>
        <v>116000</v>
      </c>
      <c r="J129" s="428">
        <f>+COUNCIL!J129+MAYOR!J129+SPEAKER!J129+MM!J129+CORP!J129+PROP!J129+RATES!J129+THALL!J129+FIN!J129+SOCIAL!J129+CEMETERY!J129+LIBRARIES!J130+HOUSING!K129+TRAFFIC!J129+PARKS!J129+REFUSE!J129+SEWAGE!J129+PWORKS!J129+WATER!J129+ELECTRIC!J129+PLANNING!J129</f>
        <v>122380</v>
      </c>
      <c r="K129" s="428">
        <f>+COUNCIL!K129+MAYOR!K129+SPEAKER!K129+MM!K129+CORP!K129+PROP!K129+RATES!K129+THALL!K129+FIN!K129+SOCIAL!K129+CEMETERY!K129+LIBRARIES!K130+HOUSING!L129+TRAFFIC!K129+PARKS!K129+REFUSE!K129+SEWAGE!K129+PWORKS!K129+WATER!K129+ELECTRIC!K129+PLANNING!K129</f>
        <v>128866.14</v>
      </c>
    </row>
    <row r="130" spans="1:11" s="285" customFormat="1" x14ac:dyDescent="0.25">
      <c r="A130" s="468"/>
      <c r="B130" s="468"/>
      <c r="C130" s="94" t="s">
        <v>316</v>
      </c>
      <c r="D130" s="428">
        <f>+COUNCIL!D130+MAYOR!D130+SPEAKER!D130+MM!D130+CORP!D130+PROP!D130+RATES!D130+THALL!D130+FIN!D130+SOCIAL!D130+CEMETERY!D130+LIBRARIES!D130+HOUSING!D130+TRAFFIC!D130+PARKS!D130+REFUSE!D130+SEWAGE!D130+PWORKS!D130+WATER!D130+ELECTRIC!D130</f>
        <v>0</v>
      </c>
      <c r="E130" s="428">
        <f>+COUNCIL!E130+MAYOR!E130+SPEAKER!E130+MM!E130+CORP!E130+PROP!E130+RATES!E130+THALL!E130+FIN!E130+SOCIAL!E130+CEMETERY!E130+LIBRARIES!E130+HOUSING!E130+TRAFFIC!E130+PARKS!E130+REFUSE!E130+SEWAGE!E130+PWORKS!E130+WATER!E130+ELECTRIC!E130</f>
        <v>0</v>
      </c>
      <c r="F130" s="428">
        <f>+COUNCIL!F130+MAYOR!F130+SPEAKER!F130+MM!F130+CORP!F130+PROP!F130+RATES!F130+THALL!F130+FIN!F130+SOCIAL!F130+CEMETERY!F130+LIBRARIES!F130+HOUSING!F130+TRAFFIC!F130+PARKS!F130+REFUSE!F130+SEWAGE!F130+PWORKS!F130+WATER!F130+ELECTRIC!F130</f>
        <v>0</v>
      </c>
      <c r="G130" s="428">
        <f>+COUNCIL!G130+MAYOR!G130+SPEAKER!G130+MM!G130+CORP!G130+PROP!G130+RATES!G130+THALL!G130+FIN!G130+SOCIAL!G130+CEMETERY!G130+LIBRARIES!G130+HOUSING!G130+TRAFFIC!G130+PARKS!G130+REFUSE!G130+SEWAGE!G130+PWORKS!G130+WATER!G130+ELECTRIC!G130</f>
        <v>0</v>
      </c>
      <c r="H130" s="428">
        <f>+COUNCIL!H130+MAYOR!H130+SPEAKER!H130+MM!H130+CORP!H130+PROP!H130+RATES!H130+THALL!H130+FIN!H130+SOCIAL!H130+CEMETERY!H130+LIBRARIES!H130+HOUSING!I130+TRAFFIC!H130+PARKS!H130+REFUSE!H130+SEWAGE!H130+PWORKS!H130+WATER!H130+ELECTRIC!H130</f>
        <v>0</v>
      </c>
      <c r="I130" s="428">
        <f>+COUNCIL!I130+MAYOR!I130+SPEAKER!I130+MM!I130+CORP!I130+PROP!I130+RATES!I130+THALL!I130+FIN!I130+SOCIAL!I130+CEMETERY!I130+LIBRARIES!I131+HOUSING!J130+TRAFFIC!I130+PARKS!I130+REFUSE!I130+SEWAGE!I130+PWORKS!I130+WATER!I130+ELECTRIC!I130+PLANNING!I130</f>
        <v>0</v>
      </c>
      <c r="J130" s="428">
        <f>+COUNCIL!J130+MAYOR!J130+SPEAKER!J130+MM!J130+CORP!J130+PROP!J130+RATES!J130+THALL!J130+FIN!J130+SOCIAL!J130+CEMETERY!J130+LIBRARIES!J131+HOUSING!K130+TRAFFIC!J130+PARKS!J130+REFUSE!J130+SEWAGE!J130+PWORKS!J130+WATER!J130+ELECTRIC!J130+PLANNING!J130</f>
        <v>0</v>
      </c>
      <c r="K130" s="428">
        <f>+COUNCIL!K130+MAYOR!K130+SPEAKER!K130+MM!K130+CORP!K130+PROP!K130+RATES!K130+THALL!K130+FIN!K130+SOCIAL!K130+CEMETERY!K130+LIBRARIES!K131+HOUSING!L130+TRAFFIC!K130+PARKS!K130+REFUSE!K130+SEWAGE!K130+PWORKS!K130+WATER!K130+ELECTRIC!K130+PLANNING!K130</f>
        <v>0</v>
      </c>
    </row>
    <row r="131" spans="1:11" s="285" customFormat="1" x14ac:dyDescent="0.25">
      <c r="A131" s="468"/>
      <c r="B131" s="468"/>
      <c r="C131" s="94" t="s">
        <v>99</v>
      </c>
      <c r="D131" s="428">
        <f>+COUNCIL!D131+MAYOR!D131+SPEAKER!D131+MM!D131+CORP!D131+PROP!D131+RATES!D131+THALL!D131+FIN!D131+SOCIAL!D131+CEMETERY!D131+LIBRARIES!D131+HOUSING!D131+TRAFFIC!D131+PARKS!D131+REFUSE!D131+SEWAGE!D131+PWORKS!D131+WATER!D131+ELECTRIC!D131</f>
        <v>0</v>
      </c>
      <c r="E131" s="428">
        <f>+COUNCIL!E131+MAYOR!E131+SPEAKER!E131+MM!E131+CORP!E131+PROP!E131+RATES!E131+THALL!E131+FIN!E131+SOCIAL!E131+CEMETERY!E131+LIBRARIES!E131+HOUSING!E131+TRAFFIC!E131+PARKS!E131+REFUSE!E131+SEWAGE!E131+PWORKS!E131+WATER!E131+ELECTRIC!E131</f>
        <v>0</v>
      </c>
      <c r="F131" s="428">
        <f>+COUNCIL!F131+MAYOR!F131+SPEAKER!F131+MM!F131+CORP!F131+PROP!F131+RATES!F131+THALL!F131+FIN!F131+SOCIAL!F131+CEMETERY!F131+LIBRARIES!F131+HOUSING!F131+TRAFFIC!F131+PARKS!F131+REFUSE!F131+SEWAGE!F131+PWORKS!F131+WATER!F131+ELECTRIC!F131</f>
        <v>0</v>
      </c>
      <c r="G131" s="428">
        <f>+COUNCIL!G131+MAYOR!G131+SPEAKER!G131+MM!G131+CORP!G131+PROP!G131+RATES!G131+THALL!G131+FIN!G131+SOCIAL!G131+CEMETERY!G131+LIBRARIES!G131+HOUSING!G131+TRAFFIC!G131+PARKS!G131+REFUSE!G131+SEWAGE!G131+PWORKS!G131+WATER!G131+ELECTRIC!G131</f>
        <v>0</v>
      </c>
      <c r="H131" s="428">
        <f>+COUNCIL!H131+MAYOR!H131+SPEAKER!H131+MM!H131+CORP!H131+PROP!H131+RATES!H131+THALL!H131+FIN!H131+SOCIAL!H131+CEMETERY!H131+LIBRARIES!H131+HOUSING!I131+TRAFFIC!H131+PARKS!H131+REFUSE!H131+SEWAGE!H131+PWORKS!H131+WATER!H131+ELECTRIC!H131</f>
        <v>0</v>
      </c>
      <c r="I131" s="428">
        <f>+COUNCIL!I131+MAYOR!I131+SPEAKER!I131+MM!I131+CORP!I131+PROP!I131+RATES!I131+THALL!I131+FIN!I131+SOCIAL!I131+CEMETERY!I131+LIBRARIES!I132+HOUSING!J131+TRAFFIC!I131+PARKS!I131+REFUSE!I131+SEWAGE!I131+PWORKS!I131+WATER!I131+ELECTRIC!I131+PLANNING!I131</f>
        <v>100000</v>
      </c>
      <c r="J131" s="428">
        <f>+COUNCIL!J131+MAYOR!J131+SPEAKER!J131+MM!J131+CORP!J131+PROP!J131+RATES!J131+THALL!J131+FIN!J131+SOCIAL!J131+CEMETERY!J131+LIBRARIES!J132+HOUSING!K131+TRAFFIC!J131+PARKS!J131+REFUSE!J131+SEWAGE!J131+PWORKS!J131+WATER!J131+ELECTRIC!J131+PLANNING!J131</f>
        <v>105500</v>
      </c>
      <c r="K131" s="428">
        <f>+COUNCIL!K131+MAYOR!K131+SPEAKER!K131+MM!K131+CORP!K131+PROP!K131+RATES!K131+THALL!K131+FIN!K131+SOCIAL!K131+CEMETERY!K131+LIBRARIES!K132+HOUSING!L131+TRAFFIC!K131+PARKS!K131+REFUSE!K131+SEWAGE!K131+PWORKS!K131+WATER!K131+ELECTRIC!K131+PLANNING!K131</f>
        <v>111091.5</v>
      </c>
    </row>
    <row r="132" spans="1:11" s="285" customFormat="1" x14ac:dyDescent="0.25">
      <c r="A132" s="468"/>
      <c r="B132" s="468"/>
      <c r="C132" s="94" t="s">
        <v>114</v>
      </c>
      <c r="D132" s="428">
        <f>+COUNCIL!D132+MAYOR!D132+SPEAKER!D132+MM!D132+CORP!D132+PROP!D132+RATES!D132+THALL!D132+FIN!D132+SOCIAL!D132+CEMETERY!D132+LIBRARIES!D132+HOUSING!D132+TRAFFIC!D132+PARKS!D132+REFUSE!D132+SEWAGE!D132+PWORKS!D132+WATER!D132+ELECTRIC!D132</f>
        <v>0</v>
      </c>
      <c r="E132" s="428">
        <f>+COUNCIL!E132+MAYOR!E132+SPEAKER!E132+MM!E132+CORP!E132+PROP!E132+RATES!E132+THALL!E132+FIN!E132+SOCIAL!E132+CEMETERY!E132+LIBRARIES!E132+HOUSING!E132+TRAFFIC!E132+PARKS!E132+REFUSE!E132+SEWAGE!E132+PWORKS!E132+WATER!E132+ELECTRIC!E132</f>
        <v>0</v>
      </c>
      <c r="F132" s="428">
        <f>+COUNCIL!F132+MAYOR!F132+SPEAKER!F132+MM!F132+CORP!F132+PROP!F132+RATES!F132+THALL!F132+FIN!F132+SOCIAL!F132+CEMETERY!F132+LIBRARIES!F132+HOUSING!F132+TRAFFIC!F132+PARKS!F132+REFUSE!F132+SEWAGE!F132+PWORKS!F132+WATER!F132+ELECTRIC!F132</f>
        <v>0</v>
      </c>
      <c r="G132" s="428">
        <f>+COUNCIL!G132+MAYOR!G132+SPEAKER!G132+MM!G132+CORP!G132+PROP!G132+RATES!G132+THALL!G132+FIN!G132+SOCIAL!G132+CEMETERY!G132+LIBRARIES!G132+HOUSING!G132+TRAFFIC!G132+PARKS!G132+REFUSE!G132+SEWAGE!G132+PWORKS!G132+WATER!G132+ELECTRIC!G132</f>
        <v>0</v>
      </c>
      <c r="H132" s="428">
        <f>+COUNCIL!H132+MAYOR!H132+SPEAKER!H132+MM!H132+CORP!H132+PROP!H132+RATES!H132+THALL!H132+FIN!H132+SOCIAL!H132+CEMETERY!H132+LIBRARIES!H132+HOUSING!I132+TRAFFIC!H132+PARKS!H132+REFUSE!H132+SEWAGE!H132+PWORKS!H132+WATER!H132+ELECTRIC!H132</f>
        <v>0</v>
      </c>
      <c r="I132" s="428">
        <f>+COUNCIL!I132+MAYOR!I132+SPEAKER!I132+MM!I132+CORP!I132+PROP!I132+RATES!I132+THALL!I132+FIN!I132+SOCIAL!I132+CEMETERY!I132+LIBRARIES!I133+HOUSING!J132+TRAFFIC!I132+PARKS!I132+REFUSE!I132+SEWAGE!I132+PWORKS!I132+WATER!I132+ELECTRIC!I132+PLANNING!I132</f>
        <v>0</v>
      </c>
      <c r="J132" s="428">
        <f>+COUNCIL!J132+MAYOR!J132+SPEAKER!J132+MM!J132+CORP!J132+PROP!J132+RATES!J132+THALL!J132+FIN!J132+SOCIAL!J132+CEMETERY!J132+LIBRARIES!J133+HOUSING!K132+TRAFFIC!J132+PARKS!J132+REFUSE!J132+SEWAGE!J132+PWORKS!J132+WATER!J132+ELECTRIC!J132+PLANNING!J132</f>
        <v>0</v>
      </c>
      <c r="K132" s="428">
        <f>+COUNCIL!K132+MAYOR!K132+SPEAKER!K132+MM!K132+CORP!K132+PROP!K132+RATES!K132+THALL!K132+FIN!K132+SOCIAL!K132+CEMETERY!K132+LIBRARIES!K133+HOUSING!L132+TRAFFIC!K132+PARKS!K132+REFUSE!K132+SEWAGE!K132+PWORKS!K132+WATER!K132+ELECTRIC!K132+PLANNING!K132</f>
        <v>0</v>
      </c>
    </row>
    <row r="133" spans="1:11" s="285" customFormat="1" x14ac:dyDescent="0.25">
      <c r="A133" s="468"/>
      <c r="B133" s="468"/>
      <c r="C133" s="94" t="s">
        <v>317</v>
      </c>
      <c r="D133" s="428">
        <f>+COUNCIL!D133+MAYOR!D133+SPEAKER!D133+MM!D133+CORP!D133+PROP!D133+RATES!D133+THALL!D133+FIN!D133+SOCIAL!D133+CEMETERY!D133+LIBRARIES!D133+HOUSING!D133+TRAFFIC!D133+PARKS!D133+REFUSE!D133+SEWAGE!D133+PWORKS!D133+WATER!D133+ELECTRIC!D133</f>
        <v>456169</v>
      </c>
      <c r="E133" s="428">
        <f>+COUNCIL!E133+MAYOR!E133+SPEAKER!E133+MM!E133+CORP!E133+PROP!E133+RATES!E133+THALL!E133+FIN!E133+SOCIAL!E133+CEMETERY!E133+LIBRARIES!E133+HOUSING!E133+TRAFFIC!E133+PARKS!E133+REFUSE!E133+SEWAGE!E133+PWORKS!E133+WATER!E133+ELECTRIC!E133</f>
        <v>519891.28321999998</v>
      </c>
      <c r="F133" s="428">
        <f>+COUNCIL!F133+MAYOR!F133+SPEAKER!F133+MM!F133+CORP!F133+PROP!F133+RATES!F133+THALL!F133+FIN!F133+SOCIAL!F133+CEMETERY!F133+LIBRARIES!F133+HOUSING!F133+TRAFFIC!F133+PARKS!F133+REFUSE!F133+SEWAGE!F133+PWORKS!F133+WATER!F133+ELECTRIC!F133</f>
        <v>599891.28321999998</v>
      </c>
      <c r="G133" s="428">
        <f>+COUNCIL!G133+MAYOR!G133+SPEAKER!G133+MM!G133+CORP!G133+PROP!G133+RATES!G133+THALL!G133+FIN!G133+SOCIAL!G133+CEMETERY!G133+LIBRARIES!G133+HOUSING!G133+TRAFFIC!G133+PARKS!G133+REFUSE!G133+SEWAGE!G133+PWORKS!G133+WATER!G133+ELECTRIC!G133</f>
        <v>599891.28321999998</v>
      </c>
      <c r="H133" s="428">
        <f>+COUNCIL!H133+MAYOR!H133+SPEAKER!H133+MM!H133+CORP!H133+PROP!H133+RATES!H133+THALL!H133+FIN!H133+SOCIAL!H133+CEMETERY!H133+LIBRARIES!H133+HOUSING!I133+TRAFFIC!H133+PARKS!H133+REFUSE!H133+SEWAGE!H133+PWORKS!H133+WATER!H133+ELECTRIC!H133</f>
        <v>1056818.6070420002</v>
      </c>
      <c r="I133" s="428">
        <f>+COUNCIL!I133+MAYOR!I133+SPEAKER!I133+MM!I133+CORP!I133+PROP!I133+RATES!I133+THALL!I133+FIN!I133+SOCIAL!I133+CEMETERY!I133+LIBRARIES!I134+HOUSING!J133+TRAFFIC!I133+PARKS!I133+REFUSE!I133+SEWAGE!I133+PWORKS!I133+WATER!I133+ELECTRIC!I133+PLANNING!I133</f>
        <v>3428319</v>
      </c>
      <c r="J133" s="428">
        <f>+COUNCIL!J133+MAYOR!J133+SPEAKER!J133+MM!J133+CORP!J133+PROP!J133+RATES!J133+THALL!J133+FIN!J133+SOCIAL!J133+CEMETERY!J133+LIBRARIES!J134+HOUSING!K133+TRAFFIC!J133+PARKS!J133+REFUSE!J133+SEWAGE!J133+PWORKS!J133+WATER!J133+ELECTRIC!J133+PLANNING!J133</f>
        <v>3616876.5449999999</v>
      </c>
      <c r="K133" s="428">
        <f>+COUNCIL!K133+MAYOR!K133+SPEAKER!K133+MM!K133+CORP!K133+PROP!K133+RATES!K133+THALL!K133+FIN!K133+SOCIAL!K133+CEMETERY!K133+LIBRARIES!K134+HOUSING!L133+TRAFFIC!K133+PARKS!K133+REFUSE!K133+SEWAGE!K133+PWORKS!K133+WATER!K133+ELECTRIC!K133+PLANNING!K133</f>
        <v>3808571.0018850002</v>
      </c>
    </row>
    <row r="134" spans="1:11" s="285" customFormat="1" x14ac:dyDescent="0.25">
      <c r="A134" s="468"/>
      <c r="B134" s="468"/>
      <c r="C134" s="94" t="s">
        <v>318</v>
      </c>
      <c r="D134" s="428">
        <f>+COUNCIL!D134+MAYOR!D134+SPEAKER!D134+MM!D134+CORP!D134+PROP!D134+RATES!D134+THALL!D134+FIN!D134+SOCIAL!D134+CEMETERY!D134+LIBRARIES!D134+HOUSING!D134+TRAFFIC!D134+PARKS!D134+REFUSE!D134+SEWAGE!D134+PWORKS!D134+WATER!D134+ELECTRIC!D134</f>
        <v>823881</v>
      </c>
      <c r="E134" s="428">
        <f>+COUNCIL!E134+MAYOR!E134+SPEAKER!E134+MM!E134+CORP!E134+PROP!E134+RATES!E134+THALL!E134+FIN!E134+SOCIAL!E134+CEMETERY!E134+LIBRARIES!E134+HOUSING!E134+TRAFFIC!E134+PARKS!E134+REFUSE!E134+SEWAGE!E134+PWORKS!E134+WATER!E134+ELECTRIC!E134</f>
        <v>286460</v>
      </c>
      <c r="F134" s="428">
        <f>+COUNCIL!F134+MAYOR!F134+SPEAKER!F134+MM!F134+CORP!F134+PROP!F134+RATES!F134+THALL!F134+FIN!F134+SOCIAL!F134+CEMETERY!F134+LIBRARIES!F134+HOUSING!F134+TRAFFIC!F134+PARKS!F134+REFUSE!F134+SEWAGE!F134+PWORKS!F134+WATER!F134+ELECTRIC!F134</f>
        <v>1194460</v>
      </c>
      <c r="G134" s="428">
        <f>+COUNCIL!G134+MAYOR!G134+SPEAKER!G134+MM!G134+CORP!G134+PROP!G134+RATES!G134+THALL!G134+FIN!G134+SOCIAL!G134+CEMETERY!G134+LIBRARIES!G134+HOUSING!G134+TRAFFIC!G134+PARKS!G134+REFUSE!G134+SEWAGE!G134+PWORKS!G134+WATER!G134+ELECTRIC!G134</f>
        <v>1194461</v>
      </c>
      <c r="H134" s="428">
        <f>+COUNCIL!H134+MAYOR!H134+SPEAKER!H134+MM!H134+CORP!H134+PROP!H134+RATES!H134+THALL!H134+FIN!H134+SOCIAL!H134+CEMETERY!H134+LIBRARIES!H134+HOUSING!I134+TRAFFIC!H134+PARKS!H134+REFUSE!H134+SEWAGE!H134+PWORKS!H134+WATER!H134+ELECTRIC!H134</f>
        <v>359177.89999999997</v>
      </c>
      <c r="I134" s="428">
        <f>+COUNCIL!I134+MAYOR!I134+SPEAKER!I134+MM!I134+CORP!I134+PROP!I134+RATES!I134+THALL!I134+FIN!I134+SOCIAL!I134+CEMETERY!I134+LIBRARIES!I135+HOUSING!J134+TRAFFIC!I134+PARKS!I134+REFUSE!I134+SEWAGE!I134+PWORKS!I134+WATER!I134+ELECTRIC!I134+PLANNING!I134</f>
        <v>810000</v>
      </c>
      <c r="J134" s="428">
        <f>+COUNCIL!J134+MAYOR!J134+SPEAKER!J134+MM!J134+CORP!J134+PROP!J134+RATES!J134+THALL!J134+FIN!J134+SOCIAL!J134+CEMETERY!J134+LIBRARIES!J135+HOUSING!K134+TRAFFIC!J134+PARKS!J134+REFUSE!J134+SEWAGE!J134+PWORKS!J134+WATER!J134+ELECTRIC!J134+PLANNING!J134</f>
        <v>932550</v>
      </c>
      <c r="K134" s="428">
        <f>+COUNCIL!K134+MAYOR!K134+SPEAKER!K134+MM!K134+CORP!K134+PROP!K134+RATES!K134+THALL!K134+FIN!K134+SOCIAL!K134+CEMETERY!K134+LIBRARIES!K135+HOUSING!L134+TRAFFIC!K134+PARKS!K134+REFUSE!K134+SEWAGE!K134+PWORKS!K134+WATER!K134+ELECTRIC!K134+PLANNING!K134</f>
        <v>984841.14999999991</v>
      </c>
    </row>
    <row r="135" spans="1:11" s="285" customFormat="1" x14ac:dyDescent="0.25">
      <c r="A135" s="468"/>
      <c r="B135" s="468"/>
      <c r="C135" s="94" t="s">
        <v>319</v>
      </c>
      <c r="D135" s="428">
        <f>+COUNCIL!D135+MAYOR!D135+SPEAKER!D135+MM!D135+CORP!D135+PROP!D135+RATES!D135+THALL!D135+FIN!D135+SOCIAL!D135+CEMETERY!D135+LIBRARIES!D135+HOUSING!D135+TRAFFIC!D135+PARKS!D135+REFUSE!D135+SEWAGE!D135+PWORKS!D135+WATER!D135+ELECTRIC!D135</f>
        <v>278872</v>
      </c>
      <c r="E135" s="428">
        <f>+COUNCIL!E135+MAYOR!E135+SPEAKER!E135+MM!E135+CORP!E135+PROP!E135+RATES!E135+THALL!E135+FIN!E135+SOCIAL!E135+CEMETERY!E135+LIBRARIES!E135+HOUSING!E135+TRAFFIC!E135+PARKS!E135+REFUSE!E135+SEWAGE!E135+PWORKS!E135+WATER!E135+ELECTRIC!E135</f>
        <v>437797.35</v>
      </c>
      <c r="F135" s="428">
        <f>+COUNCIL!F135+MAYOR!F135+SPEAKER!F135+MM!F135+CORP!F135+PROP!F135+RATES!F135+THALL!F135+FIN!F135+SOCIAL!F135+CEMETERY!F135+LIBRARIES!F135+HOUSING!F135+TRAFFIC!F135+PARKS!F135+REFUSE!F135+SEWAGE!F135+PWORKS!F135+WATER!F135+ELECTRIC!F135</f>
        <v>387797.35</v>
      </c>
      <c r="G135" s="428">
        <f>+COUNCIL!G135+MAYOR!G135+SPEAKER!G135+MM!G135+CORP!G135+PROP!G135+RATES!G135+THALL!G135+FIN!G135+SOCIAL!G135+CEMETERY!G135+LIBRARIES!G135+HOUSING!G135+TRAFFIC!G135+PARKS!G135+REFUSE!G135+SEWAGE!G135+PWORKS!G135+WATER!G135+ELECTRIC!G135</f>
        <v>387797.35</v>
      </c>
      <c r="H135" s="428">
        <f>+COUNCIL!H135+MAYOR!H135+SPEAKER!H135+MM!H135+CORP!H135+PROP!H135+RATES!H135+THALL!H135+FIN!H135+SOCIAL!H135+CEMETERY!H135+LIBRARIES!H135+HOUSING!I135+TRAFFIC!H135+PARKS!H135+REFUSE!H135+SEWAGE!H135+PWORKS!H135+WATER!H135+ELECTRIC!H135</f>
        <v>440816.94699999993</v>
      </c>
      <c r="I135" s="428">
        <f>+COUNCIL!I135+MAYOR!I135+SPEAKER!I135+MM!I135+CORP!I135+PROP!I135+RATES!I135+THALL!I135+FIN!I135+SOCIAL!I135+CEMETERY!I135+LIBRARIES!I136+HOUSING!J135+TRAFFIC!I135+PARKS!I135+REFUSE!I135+SEWAGE!I135+PWORKS!I135+WATER!I135+ELECTRIC!I135+PLANNING!I135</f>
        <v>570097.7699999999</v>
      </c>
      <c r="J135" s="428">
        <f>+COUNCIL!J135+MAYOR!J135+SPEAKER!J135+MM!J135+CORP!J135+PROP!J135+RATES!J135+THALL!J135+FIN!J135+SOCIAL!J135+CEMETERY!J135+LIBRARIES!J136+HOUSING!K135+TRAFFIC!J135+PARKS!J135+REFUSE!J135+SEWAGE!J135+PWORKS!J135+WATER!J135+ELECTRIC!J135+PLANNING!J135</f>
        <v>601453.14734999998</v>
      </c>
      <c r="K135" s="428">
        <f>+COUNCIL!K135+MAYOR!K135+SPEAKER!K135+MM!K135+CORP!K135+PROP!K135+RATES!K135+THALL!K135+FIN!K135+SOCIAL!K135+CEMETERY!K135+LIBRARIES!K136+HOUSING!L135+TRAFFIC!K135+PARKS!K135+REFUSE!K135+SEWAGE!K135+PWORKS!K135+WATER!K135+ELECTRIC!K135+PLANNING!K135</f>
        <v>633330.16415954987</v>
      </c>
    </row>
    <row r="136" spans="1:11" s="285" customFormat="1" x14ac:dyDescent="0.25">
      <c r="A136" s="468"/>
      <c r="B136" s="468"/>
      <c r="C136" s="118" t="s">
        <v>332</v>
      </c>
      <c r="D136" s="428">
        <f>+COUNCIL!D136+MAYOR!D136+SPEAKER!D136+MM!D136+CORP!D136+PROP!D136+RATES!D136+THALL!D136+FIN!D136+SOCIAL!D136+CEMETERY!D136+LIBRARIES!D136+HOUSING!D136+TRAFFIC!D136+PARKS!D136+REFUSE!D136+SEWAGE!D136+PWORKS!D136+WATER!D136+ELECTRIC!D136</f>
        <v>0</v>
      </c>
      <c r="E136" s="428">
        <f>+COUNCIL!E136+MAYOR!E136+SPEAKER!E136+MM!E136+CORP!E136+PROP!E136+RATES!E136+THALL!E136+FIN!E136+SOCIAL!E136+CEMETERY!E136+LIBRARIES!E136+HOUSING!E136+TRAFFIC!E136+PARKS!E136+REFUSE!E136+SEWAGE!E136+PWORKS!E136+WATER!E136+ELECTRIC!E136</f>
        <v>0</v>
      </c>
      <c r="F136" s="428">
        <f>+COUNCIL!F136+MAYOR!F136+SPEAKER!F136+MM!F136+CORP!F136+PROP!F136+RATES!F136+THALL!F136+FIN!F136+SOCIAL!F136+CEMETERY!F136+LIBRARIES!F136+HOUSING!F136+TRAFFIC!F136+PARKS!F136+REFUSE!F136+SEWAGE!F136+PWORKS!F136+WATER!F136+ELECTRIC!F136</f>
        <v>0</v>
      </c>
      <c r="G136" s="428">
        <f>+COUNCIL!G136+MAYOR!G136+SPEAKER!G136+MM!G136+CORP!G136+PROP!G136+RATES!G136+THALL!G136+FIN!G136+SOCIAL!G136+CEMETERY!G136+LIBRARIES!G136+HOUSING!G136+TRAFFIC!G136+PARKS!G136+REFUSE!G136+SEWAGE!G136+PWORKS!G136+WATER!G136+ELECTRIC!G136</f>
        <v>0</v>
      </c>
      <c r="H136" s="428">
        <f>+COUNCIL!H136+MAYOR!H136+SPEAKER!H136+MM!H136+CORP!H136+PROP!H136+RATES!H136+THALL!H136+FIN!H136+SOCIAL!H136+CEMETERY!H136+LIBRARIES!H136+HOUSING!I136+TRAFFIC!H136+PARKS!H136+REFUSE!H136+SEWAGE!H136+PWORKS!H136+WATER!H136+ELECTRIC!H136</f>
        <v>0</v>
      </c>
      <c r="I136" s="428">
        <f>+COUNCIL!I136+MAYOR!I136+SPEAKER!I136+MM!I136+CORP!I136+PROP!I136+RATES!I136+THALL!I136+FIN!I136+SOCIAL!I136+CEMETERY!I136+LIBRARIES!I137+HOUSING!J136+TRAFFIC!I136+PARKS!I136+REFUSE!I136+SEWAGE!I136+PWORKS!I136+WATER!I136+ELECTRIC!I136+PLANNING!I136</f>
        <v>0</v>
      </c>
      <c r="J136" s="428">
        <f>+COUNCIL!J136+MAYOR!J136+SPEAKER!J136+MM!J136+CORP!J136+PROP!J136+RATES!J136+THALL!J136+FIN!J136+SOCIAL!J136+CEMETERY!J136+LIBRARIES!J137+HOUSING!K136+TRAFFIC!J136+PARKS!J136+REFUSE!J136+SEWAGE!J136+PWORKS!J136+WATER!J136+ELECTRIC!J136+PLANNING!J136</f>
        <v>0</v>
      </c>
      <c r="K136" s="428">
        <f>+COUNCIL!K136+MAYOR!K136+SPEAKER!K136+MM!K136+CORP!K136+PROP!K136+RATES!K136+THALL!K136+FIN!K136+SOCIAL!K136+CEMETERY!K136+LIBRARIES!K137+HOUSING!L136+TRAFFIC!K136+PARKS!K136+REFUSE!K136+SEWAGE!K136+PWORKS!K136+WATER!K136+ELECTRIC!K136+PLANNING!K136</f>
        <v>0</v>
      </c>
    </row>
    <row r="137" spans="1:11" s="285" customFormat="1" x14ac:dyDescent="0.25">
      <c r="A137" s="468"/>
      <c r="B137" s="468"/>
      <c r="C137" s="94" t="s">
        <v>320</v>
      </c>
      <c r="D137" s="428">
        <f>+COUNCIL!D137+MAYOR!D137+SPEAKER!D137+MM!D137+CORP!D137+PROP!D137+RATES!D137+THALL!D137+FIN!D137+SOCIAL!D137+CEMETERY!D137+LIBRARIES!D137+HOUSING!D137+TRAFFIC!D137+PARKS!D137+REFUSE!D137+SEWAGE!D137+PWORKS!D137+WATER!D137+ELECTRIC!D137</f>
        <v>155430</v>
      </c>
      <c r="E137" s="428">
        <f>+COUNCIL!E137+MAYOR!E137+SPEAKER!E137+MM!E137+CORP!E137+PROP!E137+RATES!E137+THALL!E137+FIN!E137+SOCIAL!E137+CEMETERY!E137+LIBRARIES!E137+HOUSING!E137+TRAFFIC!E137+PARKS!E137+REFUSE!E137+SEWAGE!E137+PWORKS!E137+WATER!E137+ELECTRIC!E137</f>
        <v>163979</v>
      </c>
      <c r="F137" s="428">
        <f>+COUNCIL!F137+MAYOR!F137+SPEAKER!F137+MM!F137+CORP!F137+PROP!F137+RATES!F137+THALL!F137+FIN!F137+SOCIAL!F137+CEMETERY!F137+LIBRARIES!F137+HOUSING!F137+TRAFFIC!F137+PARKS!F137+REFUSE!F137+SEWAGE!F137+PWORKS!F137+WATER!F137+ELECTRIC!F137</f>
        <v>163979</v>
      </c>
      <c r="G137" s="428">
        <f>+COUNCIL!G137+MAYOR!G137+SPEAKER!G137+MM!G137+CORP!G137+PROP!G137+RATES!G137+THALL!G137+FIN!G137+SOCIAL!G137+CEMETERY!G137+LIBRARIES!G137+HOUSING!G137+TRAFFIC!G137+PARKS!G137+REFUSE!G137+SEWAGE!G137+PWORKS!G137+WATER!G137+ELECTRIC!G137</f>
        <v>163979</v>
      </c>
      <c r="H137" s="428">
        <f>+COUNCIL!H137+MAYOR!H137+SPEAKER!H137+MM!H137+CORP!H137+PROP!H137+RATES!H137+THALL!H137+FIN!H137+SOCIAL!H137+CEMETERY!H137+LIBRARIES!H137+HOUSING!I137+TRAFFIC!H137+PARKS!H137+REFUSE!H137+SEWAGE!H137+PWORKS!H137+WATER!H137+ELECTRIC!H137</f>
        <v>200000</v>
      </c>
      <c r="I137" s="428">
        <f>+COUNCIL!I137+MAYOR!I137+SPEAKER!I137+MM!I137+CORP!I137+PROP!I137+RATES!I137+THALL!I137+FIN!I137+SOCIAL!I137+CEMETERY!I137+LIBRARIES!I138+HOUSING!J137+TRAFFIC!I137+PARKS!I137+REFUSE!I137+SEWAGE!I137+PWORKS!I137+WATER!I137+ELECTRIC!I137+PLANNING!I137</f>
        <v>0</v>
      </c>
      <c r="J137" s="428">
        <f>+COUNCIL!J137+MAYOR!J137+SPEAKER!J137+MM!J137+CORP!J137+PROP!J137+RATES!J137+THALL!J137+FIN!J137+SOCIAL!J137+CEMETERY!J137+LIBRARIES!J138+HOUSING!K137+TRAFFIC!J137+PARKS!J137+REFUSE!J137+SEWAGE!J137+PWORKS!J137+WATER!J137+ELECTRIC!J137+PLANNING!J137</f>
        <v>0</v>
      </c>
      <c r="K137" s="428">
        <f>+COUNCIL!K137+MAYOR!K137+SPEAKER!K137+MM!K137+CORP!K137+PROP!K137+RATES!K137+THALL!K137+FIN!K137+SOCIAL!K137+CEMETERY!K137+LIBRARIES!K138+HOUSING!L137+TRAFFIC!K137+PARKS!K137+REFUSE!K137+SEWAGE!K137+PWORKS!K137+WATER!K137+ELECTRIC!K137+PLANNING!K137</f>
        <v>0</v>
      </c>
    </row>
    <row r="138" spans="1:11" s="285" customFormat="1" x14ac:dyDescent="0.25">
      <c r="A138" s="468"/>
      <c r="B138" s="468"/>
      <c r="C138" s="94" t="s">
        <v>321</v>
      </c>
      <c r="D138" s="428">
        <f>+COUNCIL!D138+MAYOR!D138+SPEAKER!D138+MM!D138+CORP!D138+PROP!D138+RATES!D138+THALL!D138+FIN!D138+SOCIAL!D138+CEMETERY!D138+LIBRARIES!D138+HOUSING!D138+TRAFFIC!D138+PARKS!D138+REFUSE!D138+SEWAGE!D138+PWORKS!D138+WATER!D138+ELECTRIC!D138</f>
        <v>0</v>
      </c>
      <c r="E138" s="428">
        <f>+COUNCIL!E138+MAYOR!E138+SPEAKER!E138+MM!E138+CORP!E138+PROP!E138+RATES!E138+THALL!E138+FIN!E138+SOCIAL!E138+CEMETERY!E138+LIBRARIES!E138+HOUSING!E138+TRAFFIC!E138+PARKS!E138+REFUSE!E138+SEWAGE!E138+PWORKS!E138+WATER!E138+ELECTRIC!E138</f>
        <v>0</v>
      </c>
      <c r="F138" s="428">
        <f>+COUNCIL!F138+MAYOR!F138+SPEAKER!F138+MM!F138+CORP!F138+PROP!F138+RATES!F138+THALL!F138+FIN!F138+SOCIAL!F138+CEMETERY!F138+LIBRARIES!F138+HOUSING!F138+TRAFFIC!F138+PARKS!F138+REFUSE!F138+SEWAGE!F138+PWORKS!F138+WATER!F138+ELECTRIC!F138</f>
        <v>0</v>
      </c>
      <c r="G138" s="428">
        <f>+COUNCIL!G138+MAYOR!G138+SPEAKER!G138+MM!G138+CORP!G138+PROP!G138+RATES!G138+THALL!G138+FIN!G138+SOCIAL!G138+CEMETERY!G138+LIBRARIES!G138+HOUSING!G138+TRAFFIC!G138+PARKS!G138+REFUSE!G138+SEWAGE!G138+PWORKS!G138+WATER!G138+ELECTRIC!G138</f>
        <v>0</v>
      </c>
      <c r="H138" s="428">
        <f>+COUNCIL!H138+MAYOR!H138+SPEAKER!H138+MM!H138+CORP!H138+PROP!H138+RATES!H138+THALL!H138+FIN!H138+SOCIAL!H138+CEMETERY!H138+LIBRARIES!H138+HOUSING!I138+TRAFFIC!H138+PARKS!H138+REFUSE!H138+SEWAGE!H138+PWORKS!H138+WATER!H138+ELECTRIC!H138</f>
        <v>50000</v>
      </c>
      <c r="I138" s="428">
        <f>+COUNCIL!I138+MAYOR!I138+SPEAKER!I138+MM!I138+CORP!I138+PROP!I138+RATES!I138+THALL!I138+FIN!I138+SOCIAL!I138+CEMETERY!I138+LIBRARIES!I139+HOUSING!J138+TRAFFIC!I138+PARKS!I138+REFUSE!I138+SEWAGE!I138+PWORKS!I138+WATER!I138+ELECTRIC!I138+PLANNING!I138</f>
        <v>50000</v>
      </c>
      <c r="J138" s="428">
        <f>+COUNCIL!J138+MAYOR!J138+SPEAKER!J138+MM!J138+CORP!J138+PROP!J138+RATES!J138+THALL!J138+FIN!J138+SOCIAL!J138+CEMETERY!J138+LIBRARIES!J139+HOUSING!K138+TRAFFIC!J138+PARKS!J138+REFUSE!J138+SEWAGE!J138+PWORKS!J138+WATER!J138+ELECTRIC!J138+PLANNING!J138</f>
        <v>52750</v>
      </c>
      <c r="K138" s="428">
        <f>+COUNCIL!K138+MAYOR!K138+SPEAKER!K138+MM!K138+CORP!K138+PROP!K138+RATES!K138+THALL!K138+FIN!K138+SOCIAL!K138+CEMETERY!K138+LIBRARIES!K139+HOUSING!L138+TRAFFIC!K138+PARKS!K138+REFUSE!K138+SEWAGE!K138+PWORKS!K138+WATER!K138+ELECTRIC!K138+PLANNING!K138</f>
        <v>55545.75</v>
      </c>
    </row>
    <row r="139" spans="1:11" s="285" customFormat="1" x14ac:dyDescent="0.25">
      <c r="A139" s="468"/>
      <c r="B139" s="468"/>
      <c r="C139" s="94" t="s">
        <v>322</v>
      </c>
      <c r="D139" s="428">
        <f>+COUNCIL!D139+MAYOR!D139+SPEAKER!D139+MM!D139+CORP!D139+PROP!D139+RATES!D139+THALL!D139+FIN!D139+SOCIAL!D139+CEMETERY!D139+LIBRARIES!D139+HOUSING!D139+TRAFFIC!D139+PARKS!D139+REFUSE!D139+SEWAGE!D139+PWORKS!D139+WATER!D139+ELECTRIC!D139</f>
        <v>0</v>
      </c>
      <c r="E139" s="428">
        <f>+COUNCIL!E139+MAYOR!E139+SPEAKER!E139+MM!E139+CORP!E139+PROP!E139+RATES!E139+THALL!E139+FIN!E139+SOCIAL!E139+CEMETERY!E139+LIBRARIES!E139+HOUSING!E139+TRAFFIC!E139+PARKS!E139+REFUSE!E139+SEWAGE!E139+PWORKS!E139+WATER!E139+ELECTRIC!E139</f>
        <v>0</v>
      </c>
      <c r="F139" s="428">
        <f>+COUNCIL!F139+MAYOR!F139+SPEAKER!F139+MM!F139+CORP!F139+PROP!F139+RATES!F139+THALL!F139+FIN!F139+SOCIAL!F139+CEMETERY!F139+LIBRARIES!F139+HOUSING!F139+TRAFFIC!F139+PARKS!F139+REFUSE!F139+SEWAGE!F139+PWORKS!F139+WATER!F139+ELECTRIC!F139</f>
        <v>0</v>
      </c>
      <c r="G139" s="428">
        <f>+COUNCIL!G139+MAYOR!G139+SPEAKER!G139+MM!G139+CORP!G139+PROP!G139+RATES!G139+THALL!G139+FIN!G139+SOCIAL!G139+CEMETERY!G139+LIBRARIES!G139+HOUSING!G139+TRAFFIC!G139+PARKS!G139+REFUSE!G139+SEWAGE!G139+PWORKS!G139+WATER!G139+ELECTRIC!G139</f>
        <v>0</v>
      </c>
      <c r="H139" s="428">
        <f>+COUNCIL!H139+MAYOR!H139+SPEAKER!H139+MM!H139+CORP!H139+PROP!H139+RATES!H139+THALL!H139+FIN!H139+SOCIAL!H139+CEMETERY!H139+LIBRARIES!H139+HOUSING!I139+TRAFFIC!H139+PARKS!H139+REFUSE!H139+SEWAGE!H139+PWORKS!H139+WATER!H139+ELECTRIC!H139</f>
        <v>50000</v>
      </c>
      <c r="I139" s="428">
        <f>+COUNCIL!I139+MAYOR!I139+SPEAKER!I139+MM!I139+CORP!I139+PROP!I139+RATES!I139+THALL!I139+FIN!I139+SOCIAL!I139+CEMETERY!I139+LIBRARIES!I140+HOUSING!J139+TRAFFIC!I139+PARKS!I139+REFUSE!I139+SEWAGE!I139+PWORKS!I139+WATER!I139+ELECTRIC!I139+PLANNING!I139</f>
        <v>50000</v>
      </c>
      <c r="J139" s="428">
        <f>+COUNCIL!J139+MAYOR!J139+SPEAKER!J139+MM!J139+CORP!J139+PROP!J139+RATES!J139+THALL!J139+FIN!J139+SOCIAL!J139+CEMETERY!J139+LIBRARIES!J140+HOUSING!K139+TRAFFIC!J139+PARKS!J139+REFUSE!J139+SEWAGE!J139+PWORKS!J139+WATER!J139+ELECTRIC!J139+PLANNING!J139</f>
        <v>52750</v>
      </c>
      <c r="K139" s="428">
        <f>+COUNCIL!K139+MAYOR!K139+SPEAKER!K139+MM!K139+CORP!K139+PROP!K139+RATES!K139+THALL!K139+FIN!K139+SOCIAL!K139+CEMETERY!K139+LIBRARIES!K140+HOUSING!L139+TRAFFIC!K139+PARKS!K139+REFUSE!K139+SEWAGE!K139+PWORKS!K139+WATER!K139+ELECTRIC!K139+PLANNING!K139</f>
        <v>55545.75</v>
      </c>
    </row>
    <row r="140" spans="1:11" s="285" customFormat="1" x14ac:dyDescent="0.25">
      <c r="A140" s="468"/>
      <c r="B140" s="468"/>
      <c r="C140" s="94" t="s">
        <v>323</v>
      </c>
      <c r="D140" s="428">
        <f>+COUNCIL!D140+MAYOR!D140+SPEAKER!D140+MM!D140+CORP!D140+PROP!D140+RATES!D140+THALL!D140+FIN!D140+SOCIAL!D140+CEMETERY!D140+LIBRARIES!D140+HOUSING!D140+TRAFFIC!D140+PARKS!D140+REFUSE!D140+SEWAGE!D140+PWORKS!D140+WATER!D140+ELECTRIC!D140</f>
        <v>0</v>
      </c>
      <c r="E140" s="428">
        <f>+COUNCIL!E140+MAYOR!E140+SPEAKER!E140+MM!E140+CORP!E140+PROP!E140+RATES!E140+THALL!E140+FIN!E140+SOCIAL!E140+CEMETERY!E140+LIBRARIES!E140+HOUSING!E140+TRAFFIC!E140+PARKS!E140+REFUSE!E140+SEWAGE!E140+PWORKS!E140+WATER!E140+ELECTRIC!E140</f>
        <v>0</v>
      </c>
      <c r="F140" s="428">
        <f>+COUNCIL!F140+MAYOR!F140+SPEAKER!F140+MM!F140+CORP!F140+PROP!F140+RATES!F140+THALL!F140+FIN!F140+SOCIAL!F140+CEMETERY!F140+LIBRARIES!F140+HOUSING!F140+TRAFFIC!F140+PARKS!F140+REFUSE!F140+SEWAGE!F140+PWORKS!F140+WATER!F140+ELECTRIC!F140</f>
        <v>0</v>
      </c>
      <c r="G140" s="428">
        <f>+COUNCIL!G140+MAYOR!G140+SPEAKER!G140+MM!G140+CORP!G140+PROP!G140+RATES!G140+THALL!G140+FIN!G140+SOCIAL!G140+CEMETERY!G140+LIBRARIES!G140+HOUSING!G140+TRAFFIC!G140+PARKS!G140+REFUSE!G140+SEWAGE!G140+PWORKS!G140+WATER!G140+ELECTRIC!G140</f>
        <v>0</v>
      </c>
      <c r="H140" s="428">
        <f>+COUNCIL!H140+MAYOR!H140+SPEAKER!H140+MM!H140+CORP!H140+PROP!H140+RATES!H140+THALL!H140+FIN!H140+SOCIAL!H140+CEMETERY!H140+LIBRARIES!H140+HOUSING!I140+TRAFFIC!H140+PARKS!H140+REFUSE!H140+SEWAGE!H140+PWORKS!H140+WATER!H140+ELECTRIC!H140</f>
        <v>50000</v>
      </c>
      <c r="I140" s="428">
        <f>+COUNCIL!I140+MAYOR!I140+SPEAKER!I140+MM!I140+CORP!I140+PROP!I140+RATES!I140+THALL!I140+FIN!I140+SOCIAL!I140+CEMETERY!I140+LIBRARIES!I141+HOUSING!J140+TRAFFIC!I140+PARKS!I140+REFUSE!I140+SEWAGE!I140+PWORKS!I140+WATER!I140+ELECTRIC!I140+PLANNING!I140</f>
        <v>50000</v>
      </c>
      <c r="J140" s="428">
        <f>+COUNCIL!J140+MAYOR!J140+SPEAKER!J140+MM!J140+CORP!J140+PROP!J140+RATES!J140+THALL!J140+FIN!J140+SOCIAL!J140+CEMETERY!J140+LIBRARIES!J141+HOUSING!K140+TRAFFIC!J140+PARKS!J140+REFUSE!J140+SEWAGE!J140+PWORKS!J140+WATER!J140+ELECTRIC!J140+PLANNING!J140</f>
        <v>52750</v>
      </c>
      <c r="K140" s="428">
        <f>+COUNCIL!K140+MAYOR!K140+SPEAKER!K140+MM!K140+CORP!K140+PROP!K140+RATES!K140+THALL!K140+FIN!K140+SOCIAL!K140+CEMETERY!K140+LIBRARIES!K141+HOUSING!L140+TRAFFIC!K140+PARKS!K140+REFUSE!K140+SEWAGE!K140+PWORKS!K140+WATER!K140+ELECTRIC!K140+PLANNING!K140</f>
        <v>55545.75</v>
      </c>
    </row>
    <row r="141" spans="1:11" s="285" customFormat="1" x14ac:dyDescent="0.25">
      <c r="A141" s="468"/>
      <c r="B141" s="468"/>
      <c r="C141" s="94" t="s">
        <v>324</v>
      </c>
      <c r="D141" s="428">
        <f>+COUNCIL!D141+MAYOR!D141+SPEAKER!D141+MM!D141+CORP!D141+PROP!D141+RATES!D141+THALL!D141+FIN!D141+SOCIAL!D141+CEMETERY!D141+LIBRARIES!D141+HOUSING!D141+TRAFFIC!D141+PARKS!D141+REFUSE!D141+SEWAGE!D141+PWORKS!D141+WATER!D141+ELECTRIC!D141</f>
        <v>0</v>
      </c>
      <c r="E141" s="428">
        <f>+COUNCIL!E141+MAYOR!E141+SPEAKER!E141+MM!E141+CORP!E141+PROP!E141+RATES!E141+THALL!E141+FIN!E141+SOCIAL!E141+CEMETERY!E141+LIBRARIES!E141+HOUSING!E141+TRAFFIC!E141+PARKS!E141+REFUSE!E141+SEWAGE!E141+PWORKS!E141+WATER!E141+ELECTRIC!E141</f>
        <v>0</v>
      </c>
      <c r="F141" s="428">
        <f>+COUNCIL!F141+MAYOR!F141+SPEAKER!F141+MM!F141+CORP!F141+PROP!F141+RATES!F141+THALL!F141+FIN!F141+SOCIAL!F141+CEMETERY!F141+LIBRARIES!F141+HOUSING!F141+TRAFFIC!F141+PARKS!F141+REFUSE!F141+SEWAGE!F141+PWORKS!F141+WATER!F141+ELECTRIC!F141</f>
        <v>0</v>
      </c>
      <c r="G141" s="428">
        <f>+COUNCIL!G141+MAYOR!G141+SPEAKER!G141+MM!G141+CORP!G141+PROP!G141+RATES!G141+THALL!G141+FIN!G141+SOCIAL!G141+CEMETERY!G141+LIBRARIES!G141+HOUSING!G141+TRAFFIC!G141+PARKS!G141+REFUSE!G141+SEWAGE!G141+PWORKS!G141+WATER!G141+ELECTRIC!G141</f>
        <v>0</v>
      </c>
      <c r="H141" s="428">
        <f>+COUNCIL!H141+MAYOR!H141+SPEAKER!H141+MM!H141+CORP!H141+PROP!H141+RATES!H141+THALL!H141+FIN!H141+SOCIAL!H141+CEMETERY!H141+LIBRARIES!H141+HOUSING!I141+TRAFFIC!H141+PARKS!H141+REFUSE!H141+SEWAGE!H141+PWORKS!H141+WATER!H141+ELECTRIC!H141</f>
        <v>300000</v>
      </c>
      <c r="I141" s="428">
        <f>+COUNCIL!I141+MAYOR!I141+SPEAKER!I141+MM!I141+CORP!I141+PROP!I141+RATES!I141+THALL!I141+FIN!I141+SOCIAL!I141+CEMETERY!I141+LIBRARIES!I142+HOUSING!J141+TRAFFIC!I141+PARKS!I141+REFUSE!I141+SEWAGE!I141+PWORKS!I141+WATER!I141+ELECTRIC!I141+PLANNING!I141</f>
        <v>300000</v>
      </c>
      <c r="J141" s="428">
        <f>+COUNCIL!J141+MAYOR!J141+SPEAKER!J141+MM!J141+CORP!J141+PROP!J141+RATES!J141+THALL!J141+FIN!J141+SOCIAL!J141+CEMETERY!J141+LIBRARIES!J142+HOUSING!K141+TRAFFIC!J141+PARKS!J141+REFUSE!J141+SEWAGE!J141+PWORKS!J141+WATER!J141+ELECTRIC!J141+PLANNING!J141</f>
        <v>316500</v>
      </c>
      <c r="K141" s="428">
        <f>+COUNCIL!K141+MAYOR!K141+SPEAKER!K141+MM!K141+CORP!K141+PROP!K141+RATES!K141+THALL!K141+FIN!K141+SOCIAL!K141+CEMETERY!K141+LIBRARIES!K142+HOUSING!L141+TRAFFIC!K141+PARKS!K141+REFUSE!K141+SEWAGE!K141+PWORKS!K141+WATER!K141+ELECTRIC!K141+PLANNING!K141</f>
        <v>333274.5</v>
      </c>
    </row>
    <row r="142" spans="1:11" s="285" customFormat="1" x14ac:dyDescent="0.25">
      <c r="A142" s="468"/>
      <c r="B142" s="468"/>
      <c r="C142" s="94" t="s">
        <v>325</v>
      </c>
      <c r="D142" s="428">
        <f>+COUNCIL!D142+MAYOR!D142+SPEAKER!D142+MM!D142+CORP!D142+PROP!D142+RATES!D142+THALL!D142+FIN!D142+SOCIAL!D142+CEMETERY!D142+LIBRARIES!D142+HOUSING!D142+TRAFFIC!D142+PARKS!D142+REFUSE!D142+SEWAGE!D142+PWORKS!D142+WATER!D142+ELECTRIC!D142</f>
        <v>0</v>
      </c>
      <c r="E142" s="428">
        <f>+COUNCIL!E142+MAYOR!E142+SPEAKER!E142+MM!E142+CORP!E142+PROP!E142+RATES!E142+THALL!E142+FIN!E142+SOCIAL!E142+CEMETERY!E142+LIBRARIES!E142+HOUSING!E142+TRAFFIC!E142+PARKS!E142+REFUSE!E142+SEWAGE!E142+PWORKS!E142+WATER!E142+ELECTRIC!E142</f>
        <v>0</v>
      </c>
      <c r="F142" s="428">
        <f>+COUNCIL!F142+MAYOR!F142+SPEAKER!F142+MM!F142+CORP!F142+PROP!F142+RATES!F142+THALL!F142+FIN!F142+SOCIAL!F142+CEMETERY!F142+LIBRARIES!F142+HOUSING!F142+TRAFFIC!F142+PARKS!F142+REFUSE!F142+SEWAGE!F142+PWORKS!F142+WATER!F142+ELECTRIC!F142</f>
        <v>0</v>
      </c>
      <c r="G142" s="428">
        <f>+COUNCIL!G142+MAYOR!G142+SPEAKER!G142+MM!G142+CORP!G142+PROP!G142+RATES!G142+THALL!G142+FIN!G142+SOCIAL!G142+CEMETERY!G142+LIBRARIES!G142+HOUSING!G142+TRAFFIC!G142+PARKS!G142+REFUSE!G142+SEWAGE!G142+PWORKS!G142+WATER!G142+ELECTRIC!G142</f>
        <v>0</v>
      </c>
      <c r="H142" s="428">
        <f>+COUNCIL!H142+MAYOR!H142+SPEAKER!H142+MM!H142+CORP!H142+PROP!H142+RATES!H142+THALL!H142+FIN!H142+SOCIAL!H142+CEMETERY!H142+LIBRARIES!H142+HOUSING!I142+TRAFFIC!H142+PARKS!H142+REFUSE!H142+SEWAGE!H142+PWORKS!H142+WATER!H142+ELECTRIC!H142</f>
        <v>200000</v>
      </c>
      <c r="I142" s="428">
        <f>+COUNCIL!I142+MAYOR!I142+SPEAKER!I142+MM!I142+CORP!I142+PROP!I142+RATES!I142+THALL!I142+FIN!I142+SOCIAL!I142+CEMETERY!I142+LIBRARIES!I143+HOUSING!J142+TRAFFIC!I142+PARKS!I142+REFUSE!I142+SEWAGE!I142+PWORKS!I142+WATER!I142+ELECTRIC!I142+PLANNING!I142</f>
        <v>100000</v>
      </c>
      <c r="J142" s="428">
        <f>+COUNCIL!J142+MAYOR!J142+SPEAKER!J142+MM!J142+CORP!J142+PROP!J142+RATES!J142+THALL!J142+FIN!J142+SOCIAL!J142+CEMETERY!J142+LIBRARIES!J143+HOUSING!K142+TRAFFIC!J142+PARKS!J142+REFUSE!J142+SEWAGE!J142+PWORKS!J142+WATER!J142+ELECTRIC!J142+PLANNING!J142</f>
        <v>105500</v>
      </c>
      <c r="K142" s="428">
        <f>+COUNCIL!K142+MAYOR!K142+SPEAKER!K142+MM!K142+CORP!K142+PROP!K142+RATES!K142+THALL!K142+FIN!K142+SOCIAL!K142+CEMETERY!K142+LIBRARIES!K143+HOUSING!L142+TRAFFIC!K142+PARKS!K142+REFUSE!K142+SEWAGE!K142+PWORKS!K142+WATER!K142+ELECTRIC!K142+PLANNING!K142</f>
        <v>111091.5</v>
      </c>
    </row>
    <row r="143" spans="1:11" s="285" customFormat="1" x14ac:dyDescent="0.25">
      <c r="A143" s="468"/>
      <c r="B143" s="468"/>
      <c r="C143" s="94" t="s">
        <v>526</v>
      </c>
      <c r="D143" s="428">
        <f>+COUNCIL!D143+MAYOR!D143+SPEAKER!D143+MM!D143+CORP!D143+PROP!D143+RATES!D143+THALL!D143+FIN!D143+SOCIAL!D143+CEMETERY!D143+LIBRARIES!D143+HOUSING!D143+TRAFFIC!D143+PARKS!D143+REFUSE!D143+SEWAGE!D143+PWORKS!D143+WATER!D143+ELECTRIC!D143</f>
        <v>0</v>
      </c>
      <c r="E143" s="428">
        <f>+COUNCIL!E143+MAYOR!E143+SPEAKER!E143+MM!E143+CORP!E143+PROP!E143+RATES!E143+THALL!E143+FIN!E143+SOCIAL!E143+CEMETERY!E143+LIBRARIES!E143+HOUSING!E143+TRAFFIC!E143+PARKS!E143+REFUSE!E143+SEWAGE!E143+PWORKS!E143+WATER!E143+ELECTRIC!E143</f>
        <v>400000</v>
      </c>
      <c r="F143" s="428">
        <f>+COUNCIL!F143+MAYOR!F143+SPEAKER!F143+MM!F143+CORP!F143+PROP!F143+RATES!F143+THALL!F143+FIN!F143+SOCIAL!F143+CEMETERY!F143+LIBRARIES!F143+HOUSING!F143+TRAFFIC!F143+PARKS!F143+REFUSE!F143+SEWAGE!F143+PWORKS!F143+WATER!F143+ELECTRIC!F143</f>
        <v>1050000</v>
      </c>
      <c r="G143" s="428">
        <f>+COUNCIL!G143+MAYOR!G143+SPEAKER!G143+MM!G143+CORP!G143+PROP!G143+RATES!G143+THALL!G143+FIN!G143+SOCIAL!G143+CEMETERY!G143+LIBRARIES!G143+HOUSING!G143+TRAFFIC!G143+PARKS!G143+REFUSE!G143+SEWAGE!G143+PWORKS!G143+WATER!G143+ELECTRIC!G143</f>
        <v>1050000</v>
      </c>
      <c r="H143" s="428">
        <f>+COUNCIL!H143+MAYOR!H143+SPEAKER!H143+MM!H143+CORP!H143+PROP!H143+RATES!H143+THALL!H143+FIN!H143+SOCIAL!H143+CEMETERY!H143+LIBRARIES!H143+HOUSING!I143+TRAFFIC!H143+PARKS!H143+REFUSE!H143+SEWAGE!H143+PWORKS!H143+WATER!H143+ELECTRIC!H143</f>
        <v>1000000</v>
      </c>
      <c r="I143" s="428">
        <f>+COUNCIL!I143+MAYOR!I143+SPEAKER!I143+MM!I143+CORP!I143+PROP!I143+RATES!I143+THALL!I143+FIN!I143+SOCIAL!I143+CEMETERY!I143+LIBRARIES!I144+HOUSING!J143+TRAFFIC!I143+PARKS!I143+REFUSE!I143+SEWAGE!I143+PWORKS!I143+WATER!I143+ELECTRIC!I143+PLANNING!I143</f>
        <v>250000</v>
      </c>
      <c r="J143" s="428">
        <f>+COUNCIL!J143+MAYOR!J143+SPEAKER!J143+MM!J143+CORP!J143+PROP!J143+RATES!J143+THALL!J143+FIN!J143+SOCIAL!J143+CEMETERY!J143+LIBRARIES!J144+HOUSING!K143+TRAFFIC!J143+PARKS!J143+REFUSE!J143+SEWAGE!J143+PWORKS!J143+WATER!J143+ELECTRIC!J143+PLANNING!J143</f>
        <v>263750</v>
      </c>
      <c r="K143" s="428">
        <f>+COUNCIL!K143+MAYOR!K143+SPEAKER!K143+MM!K143+CORP!K143+PROP!K143+RATES!K143+THALL!K143+FIN!K143+SOCIAL!K143+CEMETERY!K143+LIBRARIES!K144+HOUSING!L143+TRAFFIC!K143+PARKS!K143+REFUSE!K143+SEWAGE!K143+PWORKS!K143+WATER!K143+ELECTRIC!K143+PLANNING!K143</f>
        <v>277728.75</v>
      </c>
    </row>
    <row r="144" spans="1:11" s="285" customFormat="1" x14ac:dyDescent="0.25">
      <c r="A144" s="468"/>
      <c r="B144" s="468"/>
      <c r="C144" s="94" t="s">
        <v>331</v>
      </c>
      <c r="D144" s="428">
        <f>+COUNCIL!D144+MAYOR!D144+SPEAKER!D144+MM!D144+CORP!D144+PROP!D144+RATES!D144+THALL!D144+FIN!D144+SOCIAL!D144+CEMETERY!D144+LIBRARIES!D144+HOUSING!D144+TRAFFIC!D144+PARKS!D144+REFUSE!D144+SEWAGE!D144+PWORKS!D144+WATER!D144+ELECTRIC!D144</f>
        <v>150262</v>
      </c>
      <c r="E144" s="428">
        <f>+COUNCIL!E144+MAYOR!E144+SPEAKER!E144+MM!E144+CORP!E144+PROP!E144+RATES!E144+THALL!E144+FIN!E144+SOCIAL!E144+CEMETERY!E144+LIBRARIES!E144+HOUSING!E144+TRAFFIC!E144+PARKS!E144+REFUSE!E144+SEWAGE!E144+PWORKS!E144+WATER!E144+ELECTRIC!E144</f>
        <v>400000</v>
      </c>
      <c r="F144" s="428">
        <f>+COUNCIL!F144+MAYOR!F144+SPEAKER!F144+MM!F144+CORP!F144+PROP!F144+RATES!F144+THALL!F144+FIN!F144+SOCIAL!F144+CEMETERY!F144+LIBRARIES!F144+HOUSING!F144+TRAFFIC!F144+PARKS!F144+REFUSE!F144+SEWAGE!F144+PWORKS!F144+WATER!F144+ELECTRIC!F144</f>
        <v>623992</v>
      </c>
      <c r="G144" s="428">
        <f>+COUNCIL!G144+MAYOR!G144+SPEAKER!G144+MM!G144+CORP!G144+PROP!G144+RATES!G144+THALL!G144+FIN!G144+SOCIAL!G144+CEMETERY!G144+LIBRARIES!G144+HOUSING!G144+TRAFFIC!G144+PARKS!G144+REFUSE!G144+SEWAGE!G144+PWORKS!G144+WATER!G144+ELECTRIC!G144</f>
        <v>623993</v>
      </c>
      <c r="H144" s="428">
        <f>+COUNCIL!H144+MAYOR!H144+SPEAKER!H144+MM!H144+CORP!H144+PROP!H144+RATES!H144+THALL!H144+FIN!H144+SOCIAL!H144+CEMETERY!H144+LIBRARIES!H144+HOUSING!I144+TRAFFIC!H144+PARKS!H144+REFUSE!H144+SEWAGE!H144+PWORKS!H144+WATER!H144+ELECTRIC!H144</f>
        <v>1140800</v>
      </c>
      <c r="I144" s="428">
        <f>+COUNCIL!I144+MAYOR!I144+SPEAKER!I144+MM!I144+CORP!I144+PROP!I144+RATES!I144+THALL!I144+FIN!I144+SOCIAL!I144+CEMETERY!I144+LIBRARIES!I145+HOUSING!J144+TRAFFIC!I144+PARKS!I144+REFUSE!I144+SEWAGE!I144+PWORKS!I144+WATER!I144+ELECTRIC!I144+PLANNING!I144</f>
        <v>1483750</v>
      </c>
      <c r="J144" s="428">
        <f>+COUNCIL!J144+MAYOR!J144+SPEAKER!J144+MM!J144+CORP!J144+PROP!J144+RATES!J144+THALL!J144+FIN!J144+SOCIAL!J144+CEMETERY!J144+LIBRARIES!J145+HOUSING!K144+TRAFFIC!J144+PARKS!J144+REFUSE!J144+SEWAGE!J144+PWORKS!J144+WATER!J144+ELECTRIC!J144+PLANNING!J144</f>
        <v>1577356.25</v>
      </c>
      <c r="K144" s="428">
        <f>+COUNCIL!K144+MAYOR!K144+SPEAKER!K144+MM!K144+CORP!K144+PROP!K144+RATES!K144+THALL!K144+FIN!K144+SOCIAL!K144+CEMETERY!K144+LIBRARIES!K145+HOUSING!L144+TRAFFIC!K144+PARKS!K144+REFUSE!K144+SEWAGE!K144+PWORKS!K144+WATER!K144+ELECTRIC!K144+PLANNING!K144</f>
        <v>1663320.1312499999</v>
      </c>
    </row>
    <row r="145" spans="1:11" s="285" customFormat="1" x14ac:dyDescent="0.25">
      <c r="A145" s="468"/>
      <c r="B145" s="468"/>
      <c r="C145" s="94" t="s">
        <v>327</v>
      </c>
      <c r="D145" s="428">
        <f>+COUNCIL!D145+MAYOR!D145+SPEAKER!D145+MM!D145+CORP!D145+PROP!D145+RATES!D145+THALL!D145+FIN!D145+SOCIAL!D145+CEMETERY!D145+LIBRARIES!D145+HOUSING!D145+TRAFFIC!D145+PARKS!D145+REFUSE!D145+SEWAGE!D145+PWORKS!D145+WATER!D145+ELECTRIC!D145</f>
        <v>0</v>
      </c>
      <c r="E145" s="428">
        <f>+COUNCIL!E145+MAYOR!E145+SPEAKER!E145+MM!E145+CORP!E145+PROP!E145+RATES!E145+THALL!E145+FIN!E145+SOCIAL!E145+CEMETERY!E145+LIBRARIES!E145+HOUSING!E145+TRAFFIC!E145+PARKS!E145+REFUSE!E145+SEWAGE!E145+PWORKS!E145+WATER!E145+ELECTRIC!E145</f>
        <v>0</v>
      </c>
      <c r="F145" s="428">
        <f>+COUNCIL!F145+MAYOR!F145+SPEAKER!F145+MM!F145+CORP!F145+PROP!F145+RATES!F145+THALL!F145+FIN!F145+SOCIAL!F145+CEMETERY!F145+LIBRARIES!F145+HOUSING!F145+TRAFFIC!F145+PARKS!F145+REFUSE!F145+SEWAGE!F145+PWORKS!F145+WATER!F145+ELECTRIC!F145</f>
        <v>0</v>
      </c>
      <c r="G145" s="428">
        <f>+COUNCIL!G145+MAYOR!G145+SPEAKER!G145+MM!G145+CORP!G145+PROP!G145+RATES!G145+THALL!G145+FIN!G145+SOCIAL!G145+CEMETERY!G145+LIBRARIES!G145+HOUSING!G145+TRAFFIC!G145+PARKS!G145+REFUSE!G145+SEWAGE!G145+PWORKS!G145+WATER!G145+ELECTRIC!G145</f>
        <v>0</v>
      </c>
      <c r="H145" s="428">
        <f>+COUNCIL!H145+MAYOR!H145+SPEAKER!H145+MM!H145+CORP!H145+PROP!H145+RATES!H145+THALL!H145+FIN!H145+SOCIAL!H145+CEMETERY!H145+LIBRARIES!H145+HOUSING!I145+TRAFFIC!H145+PARKS!H145+REFUSE!H145+SEWAGE!H145+PWORKS!H145+WATER!H145+ELECTRIC!H145</f>
        <v>0</v>
      </c>
      <c r="I145" s="428">
        <f>+COUNCIL!I145+MAYOR!I145+SPEAKER!I145+MM!I145+CORP!I145+PROP!I145+RATES!I145+THALL!I145+FIN!I145+SOCIAL!I145+CEMETERY!I145+LIBRARIES!I146+HOUSING!J145+TRAFFIC!I145+PARKS!I145+REFUSE!I145+SEWAGE!I145+PWORKS!I145+WATER!I145+ELECTRIC!I145+PLANNING!I145</f>
        <v>0</v>
      </c>
      <c r="J145" s="428">
        <f>+COUNCIL!J145+MAYOR!J145+SPEAKER!J145+MM!J145+CORP!J145+PROP!J145+RATES!J145+THALL!J145+FIN!J145+SOCIAL!J145+CEMETERY!J145+LIBRARIES!J146+HOUSING!K145+TRAFFIC!J145+PARKS!J145+REFUSE!J145+SEWAGE!J145+PWORKS!J145+WATER!J145+ELECTRIC!J145+PLANNING!J145</f>
        <v>0</v>
      </c>
      <c r="K145" s="428">
        <f>+COUNCIL!K145+MAYOR!K145+SPEAKER!K145+MM!K145+CORP!K145+PROP!K145+RATES!K145+THALL!K145+FIN!K145+SOCIAL!K145+CEMETERY!K145+LIBRARIES!K146+HOUSING!L145+TRAFFIC!K145+PARKS!K145+REFUSE!K145+SEWAGE!K145+PWORKS!K145+WATER!K145+ELECTRIC!K145+PLANNING!K145</f>
        <v>0</v>
      </c>
    </row>
    <row r="146" spans="1:11" s="285" customFormat="1" x14ac:dyDescent="0.25">
      <c r="A146" s="468"/>
      <c r="B146" s="468"/>
      <c r="C146" s="94" t="s">
        <v>328</v>
      </c>
      <c r="D146" s="428">
        <f>+COUNCIL!D146+MAYOR!D146+SPEAKER!D146+MM!D146+CORP!D146+PROP!D146+RATES!D146+THALL!D146+FIN!D146+SOCIAL!D146+CEMETERY!D146+LIBRARIES!D146+HOUSING!D146+TRAFFIC!D146+PARKS!D146+REFUSE!D146+SEWAGE!D146+PWORKS!D146+WATER!D146+ELECTRIC!D146</f>
        <v>0</v>
      </c>
      <c r="E146" s="428">
        <f>+COUNCIL!E146+MAYOR!E146+SPEAKER!E146+MM!E146+CORP!E146+PROP!E146+RATES!E146+THALL!E146+FIN!E146+SOCIAL!E146+CEMETERY!E146+LIBRARIES!E146+HOUSING!E146+TRAFFIC!E146+PARKS!E146+REFUSE!E146+SEWAGE!E146+PWORKS!E146+WATER!E146+ELECTRIC!E146</f>
        <v>2100000</v>
      </c>
      <c r="F146" s="428">
        <f>+COUNCIL!F146+MAYOR!F146+SPEAKER!F146+MM!F146+CORP!F146+PROP!F146+RATES!F146+THALL!F146+FIN!F146+SOCIAL!F146+CEMETERY!F146+LIBRARIES!F146+HOUSING!F146+TRAFFIC!F146+PARKS!F146+REFUSE!F146+SEWAGE!F146+PWORKS!F146+WATER!F146+ELECTRIC!F146</f>
        <v>2100000</v>
      </c>
      <c r="G146" s="428">
        <f>+COUNCIL!G146+MAYOR!G146+SPEAKER!G146+MM!G146+CORP!G146+PROP!G146+RATES!G146+THALL!G146+FIN!G146+SOCIAL!G146+CEMETERY!G146+LIBRARIES!G146+HOUSING!G146+TRAFFIC!G146+PARKS!G146+REFUSE!G146+SEWAGE!G146+PWORKS!G146+WATER!G146+ELECTRIC!G146</f>
        <v>2100000</v>
      </c>
      <c r="H146" s="428">
        <f>+COUNCIL!H146+MAYOR!H146+SPEAKER!H146+MM!H146+CORP!H146+PROP!H146+RATES!H146+THALL!H146+FIN!H146+SOCIAL!H146+CEMETERY!H146+LIBRARIES!H146+HOUSING!I146+TRAFFIC!H146+PARKS!H146+REFUSE!H146+SEWAGE!H146+PWORKS!H146+WATER!H146+ELECTRIC!H146</f>
        <v>300000</v>
      </c>
      <c r="I146" s="428">
        <f>+COUNCIL!I146+MAYOR!I146+SPEAKER!I146+MM!I146+CORP!I146+PROP!I146+RATES!I146+THALL!I146+FIN!I146+SOCIAL!I146+CEMETERY!I146+LIBRARIES!I147+HOUSING!J146+TRAFFIC!I146+PARKS!I146+REFUSE!I146+SEWAGE!I146+PWORKS!I146+WATER!I146+ELECTRIC!I146+PLANNING!I146</f>
        <v>0</v>
      </c>
      <c r="J146" s="428">
        <f>+COUNCIL!J146+MAYOR!J146+SPEAKER!J146+MM!J146+CORP!J146+PROP!J146+RATES!J146+THALL!J146+FIN!J146+SOCIAL!J146+CEMETERY!J146+LIBRARIES!J147+HOUSING!K146+TRAFFIC!J146+PARKS!J146+REFUSE!J146+SEWAGE!J146+PWORKS!J146+WATER!J146+ELECTRIC!J146+PLANNING!J146</f>
        <v>0</v>
      </c>
      <c r="K146" s="428">
        <f>+COUNCIL!K146+MAYOR!K146+SPEAKER!K146+MM!K146+CORP!K146+PROP!K146+RATES!K146+THALL!K146+FIN!K146+SOCIAL!K146+CEMETERY!K146+LIBRARIES!K147+HOUSING!L146+TRAFFIC!K146+PARKS!K146+REFUSE!K146+SEWAGE!K146+PWORKS!K146+WATER!K146+ELECTRIC!K146+PLANNING!K146</f>
        <v>0</v>
      </c>
    </row>
    <row r="147" spans="1:11" s="285" customFormat="1" x14ac:dyDescent="0.25">
      <c r="A147" s="468"/>
      <c r="B147" s="468"/>
      <c r="C147" s="94" t="s">
        <v>330</v>
      </c>
      <c r="D147" s="428">
        <f>+COUNCIL!D147+MAYOR!D147+SPEAKER!D147+MM!D147+CORP!D147+PROP!D147+RATES!D147+THALL!D147+FIN!D147+SOCIAL!D147+CEMETERY!D147+LIBRARIES!D147+HOUSING!D147+TRAFFIC!D147+PARKS!D147+REFUSE!D147+SEWAGE!D147+PWORKS!D147+WATER!D147+ELECTRIC!D147</f>
        <v>0</v>
      </c>
      <c r="E147" s="428">
        <f>+COUNCIL!E147+MAYOR!E147+SPEAKER!E147+MM!E147+CORP!E147+PROP!E147+RATES!E147+THALL!E147+FIN!E147+SOCIAL!E147+CEMETERY!E147+LIBRARIES!E147+HOUSING!E147+TRAFFIC!E147+PARKS!E147+REFUSE!E147+SEWAGE!E147+PWORKS!E147+WATER!E147+ELECTRIC!E147</f>
        <v>0</v>
      </c>
      <c r="F147" s="428">
        <f>+COUNCIL!F147+MAYOR!F147+SPEAKER!F147+MM!F147+CORP!F147+PROP!F147+RATES!F147+THALL!F147+FIN!F147+SOCIAL!F147+CEMETERY!F147+LIBRARIES!F147+HOUSING!F147+TRAFFIC!F147+PARKS!F147+REFUSE!F147+SEWAGE!F147+PWORKS!F147+WATER!F147+ELECTRIC!F147</f>
        <v>0</v>
      </c>
      <c r="G147" s="428">
        <f>+COUNCIL!G147+MAYOR!G147+SPEAKER!G147+MM!G147+CORP!G147+PROP!G147+RATES!G147+THALL!G147+FIN!G147+SOCIAL!G147+CEMETERY!G147+LIBRARIES!G147+HOUSING!G147+TRAFFIC!G147+PARKS!G147+REFUSE!G147+SEWAGE!G147+PWORKS!G147+WATER!G147+ELECTRIC!G147</f>
        <v>0</v>
      </c>
      <c r="H147" s="428">
        <f>+COUNCIL!H147+MAYOR!H147+SPEAKER!H147+MM!H147+CORP!H147+PROP!H147+RATES!H147+THALL!H147+FIN!H147+SOCIAL!H147+CEMETERY!H147+LIBRARIES!H147+HOUSING!I147+TRAFFIC!H147+PARKS!H147+REFUSE!H147+SEWAGE!H147+PWORKS!H147+WATER!H147+ELECTRIC!H147</f>
        <v>0</v>
      </c>
      <c r="I147" s="428">
        <f>+COUNCIL!I147+MAYOR!I147+SPEAKER!I147+MM!I147+CORP!I147+PROP!I147+RATES!I147+THALL!I147+FIN!I147+SOCIAL!I147+CEMETERY!I147+LIBRARIES!I148+HOUSING!J147+TRAFFIC!I147+PARKS!I147+REFUSE!I147+SEWAGE!I147+PWORKS!I147+WATER!I147+ELECTRIC!I147+PLANNING!I147</f>
        <v>41607629</v>
      </c>
      <c r="J147" s="428">
        <f>+COUNCIL!J147+MAYOR!J147+SPEAKER!J147+MM!J147+CORP!J147+PROP!J147+RATES!J147+THALL!J147+FIN!J147+SOCIAL!J147+CEMETERY!J147+LIBRARIES!J148+HOUSING!K147+TRAFFIC!J147+PARKS!J147+REFUSE!J147+SEWAGE!J147+PWORKS!J147+WATER!J147+ELECTRIC!J147+PLANNING!J147</f>
        <v>0</v>
      </c>
      <c r="K147" s="428">
        <f>+COUNCIL!K147+MAYOR!K147+SPEAKER!K147+MM!K147+CORP!K147+PROP!K147+RATES!K147+THALL!K147+FIN!K147+SOCIAL!K147+CEMETERY!K147+LIBRARIES!K148+HOUSING!L147+TRAFFIC!K147+PARKS!K147+REFUSE!K147+SEWAGE!K147+PWORKS!K147+WATER!K147+ELECTRIC!K147+PLANNING!K147</f>
        <v>0</v>
      </c>
    </row>
    <row r="148" spans="1:11" s="285" customFormat="1" ht="13.8" thickBot="1" x14ac:dyDescent="0.3">
      <c r="A148" s="468"/>
      <c r="B148" s="468"/>
      <c r="C148" s="94"/>
      <c r="D148" s="226">
        <f>SUM(D72:D147)</f>
        <v>33112608</v>
      </c>
      <c r="E148" s="226">
        <f>SUM(E72:E147)</f>
        <v>31008830.508220002</v>
      </c>
      <c r="F148" s="429">
        <f>SUM(F72:F147)</f>
        <v>38898773.103220001</v>
      </c>
      <c r="G148" s="565">
        <v>39697915.103220008</v>
      </c>
      <c r="H148" s="429">
        <f>SUM(H72:H147)</f>
        <v>33794461.970541999</v>
      </c>
      <c r="I148" s="429">
        <f>SUM(I72:I147)</f>
        <v>84898844.875857145</v>
      </c>
      <c r="J148" s="429">
        <f>SUM(J72:J147)</f>
        <v>45750617.749029271</v>
      </c>
      <c r="K148" s="429">
        <f>SUM(K72:K147)</f>
        <v>47997271.989727825</v>
      </c>
    </row>
    <row r="149" spans="1:11" s="285" customFormat="1" x14ac:dyDescent="0.25">
      <c r="A149" s="468"/>
      <c r="B149" s="468"/>
      <c r="C149" s="93" t="s">
        <v>187</v>
      </c>
      <c r="D149" s="225">
        <v>0</v>
      </c>
      <c r="E149" s="425"/>
      <c r="F149" s="425"/>
      <c r="G149" s="444">
        <v>0</v>
      </c>
      <c r="H149" s="425"/>
      <c r="I149" s="425"/>
      <c r="J149" s="425"/>
      <c r="K149" s="425"/>
    </row>
    <row r="150" spans="1:11" s="285" customFormat="1" x14ac:dyDescent="0.25">
      <c r="A150" s="468"/>
      <c r="B150" s="468"/>
      <c r="C150" s="94" t="s">
        <v>188</v>
      </c>
      <c r="D150" s="428">
        <v>0</v>
      </c>
      <c r="E150" s="428">
        <f>+COUNCIL!E150+MAYOR!E151+SPEAKER!E150+MM!E150+CORP!E150+PROP!E150+RATES!E150+THALL!E150+FIN!E150+SOCIAL!E151+CEMETERY!E150+LIBRARIES!E150+HOUSING!E150+TRAFFIC!E150+PARKS!E150+REFUSE!E150+SEWAGE!E150+PWORKS!E150+WATER!E150+ELECTRIC!E150</f>
        <v>0</v>
      </c>
      <c r="F150" s="428">
        <f>+COUNCIL!F150+MAYOR!F151+SPEAKER!F150+MM!F150+CORP!F150+PROP!F150+RATES!F150+THALL!F150+FIN!F150+SOCIAL!F151+CEMETERY!F150+LIBRARIES!F150+HOUSING!F150+TRAFFIC!F150+PARKS!F150+REFUSE!F150+SEWAGE!F150+PWORKS!F150+WATER!F150+ELECTRIC!F150</f>
        <v>0</v>
      </c>
      <c r="G150" s="444">
        <v>0</v>
      </c>
      <c r="H150" s="428">
        <f>+COUNCIL!H150+MAYOR!H151+SPEAKER!H150+MM!H150+CORP!H150+PROP!H150+RATES!H150+THALL!H150+FIN!H150+SOCIAL!H151+CEMETERY!H150+LIBRARIES!H150+HOUSING!I150+TRAFFIC!H150+PARKS!H150+REFUSE!H150+SEWAGE!H150+PWORKS!H150+WATER!H150+ELECTRIC!H150</f>
        <v>0</v>
      </c>
      <c r="I150" s="428"/>
      <c r="J150" s="428">
        <f>+COUNCIL!J150+MAYOR!J151+SPEAKER!J150+MM!J150+CORP!J150+PROP!J150+RATES!J150+THALL!J150+FIN!J150+SOCIAL!J151+CEMETERY!J150+LIBRARIES!I150+HOUSING!J150+TRAFFIC!J150+PARKS!J150+REFUSE!J150+SEWAGE!J150+PWORKS!J150+WATER!J150+ELECTRIC!J150</f>
        <v>0</v>
      </c>
      <c r="K150" s="428">
        <f>+COUNCIL!K150+MAYOR!K151+SPEAKER!K150+MM!K150+CORP!K150+PROP!K150+RATES!K150+THALL!K150+FIN!K150+SOCIAL!K151+CEMETERY!K150+LIBRARIES!J150+HOUSING!K150+TRAFFIC!K150+PARKS!K150+REFUSE!K150+SEWAGE!K150+PWORKS!K150+WATER!K150+ELECTRIC!K150</f>
        <v>0</v>
      </c>
    </row>
    <row r="151" spans="1:11" s="285" customFormat="1" ht="13.8" thickBot="1" x14ac:dyDescent="0.3">
      <c r="A151" s="468"/>
      <c r="B151" s="468"/>
      <c r="C151" s="94"/>
      <c r="D151" s="226">
        <v>0</v>
      </c>
      <c r="E151" s="226">
        <f t="shared" ref="E151:K151" si="6">SUM(E150)</f>
        <v>0</v>
      </c>
      <c r="F151" s="226">
        <f t="shared" si="6"/>
        <v>0</v>
      </c>
      <c r="G151" s="565">
        <v>0</v>
      </c>
      <c r="H151" s="226">
        <f t="shared" si="6"/>
        <v>0</v>
      </c>
      <c r="I151" s="226"/>
      <c r="J151" s="226">
        <f t="shared" si="6"/>
        <v>0</v>
      </c>
      <c r="K151" s="226">
        <f t="shared" si="6"/>
        <v>0</v>
      </c>
    </row>
    <row r="152" spans="1:11" s="285" customFormat="1" x14ac:dyDescent="0.25">
      <c r="A152" s="468"/>
      <c r="B152" s="468"/>
      <c r="C152" s="93" t="s">
        <v>64</v>
      </c>
      <c r="D152" s="228">
        <v>0</v>
      </c>
      <c r="E152" s="113"/>
      <c r="F152" s="113"/>
      <c r="G152" s="444">
        <v>0</v>
      </c>
      <c r="H152" s="113"/>
      <c r="I152" s="113"/>
      <c r="J152" s="113"/>
      <c r="K152" s="88"/>
    </row>
    <row r="153" spans="1:11" s="285" customFormat="1" x14ac:dyDescent="0.25">
      <c r="A153" s="468"/>
      <c r="B153" s="468"/>
      <c r="C153" s="94" t="s">
        <v>336</v>
      </c>
      <c r="D153" s="428">
        <f>+COUNCIL!D153+MAYOR!D153+SPEAKER!D153+MM!D153+CORP!D153+PROP!D153+RATES!D153+THALL!D153+FIN!D153+SOCIAL!D153+CEMETERY!D153+LIBRARIES!D153+HOUSING!D153+TRAFFIC!D153+PARKS!D153+REFUSE!D153+SEWAGE!D153+PWORKS!D153+WATER!D153+ELECTRIC!D153</f>
        <v>0</v>
      </c>
      <c r="E153" s="428">
        <f>+COUNCIL!E153+MAYOR!E153+SPEAKER!E153+MM!E153+CORP!E153+PROP!E153+RATES!E153+THALL!E153+FIN!E153+SOCIAL!E153+CEMETERY!E153+LIBRARIES!E153+HOUSING!E153+TRAFFIC!E153+PARKS!E153+REFUSE!E153+SEWAGE!E153+PWORKS!E153+WATER!E153+ELECTRIC!E153</f>
        <v>100000</v>
      </c>
      <c r="F153" s="428">
        <f>+COUNCIL!F153+MAYOR!F153+SPEAKER!F153+MM!F153+CORP!F153+PROP!F153+RATES!F153+THALL!F153+FIN!F153+SOCIAL!F153+CEMETERY!F153+LIBRARIES!F153+HOUSING!F153+TRAFFIC!F153+PARKS!F153+REFUSE!F153+SEWAGE!F153+PWORKS!F153+WATER!F153+ELECTRIC!F153</f>
        <v>2990000</v>
      </c>
      <c r="G153" s="428">
        <f>+COUNCIL!G153+MAYOR!G153+SPEAKER!G153+MM!G153+CORP!G153+PROP!G153+RATES!G153+THALL!G153+FIN!G153+SOCIAL!G153+CEMETERY!G153+LIBRARIES!G153+HOUSING!G153+TRAFFIC!G153+PARKS!G153+REFUSE!G153+SEWAGE!G153+PWORKS!G153+WATER!G153+ELECTRIC!G153</f>
        <v>2990000</v>
      </c>
      <c r="H153" s="428">
        <f>+COUNCIL!H153+MAYOR!H153+SPEAKER!H153+MM!H153+CORP!H153+PROP!H153+RATES!H153+THALL!H153+FIN!H153+SOCIAL!H153+CEMETERY!H153+LIBRARIES!H153+HOUSING!I153+TRAFFIC!H153+PARKS!H153+REFUSE!H153+SEWAGE!H153+PWORKS!H153+WATER!H153+ELECTRIC!H153</f>
        <v>3200000</v>
      </c>
      <c r="I153" s="428">
        <f>+COUNCIL!I153+MAYOR!I153+SPEAKER!I153+MM!I153+CORP!I153+PROP!I153+RATES!I153+THALL!I153+FIN!I153+SOCIAL!I153+CEMETERY!I153+LIBRARIES!I153+HOUSING!J153+TRAFFIC!I153+PARKS!I153+REFUSE!I153+SEWAGE!I153+PWORKS!I153+WATER!I153+ELECTRIC!I153+PLANNING!I153</f>
        <v>2501020</v>
      </c>
      <c r="J153" s="428">
        <f>+COUNCIL!J153+MAYOR!J153+SPEAKER!J153+MM!J153+CORP!J153+PROP!J153+RATES!J153+THALL!J153+FIN!J153+SOCIAL!J153+CEMETERY!J153+LIBRARIES!J154+HOUSING!K153+TRAFFIC!J153+PARKS!J153+REFUSE!J153+SEWAGE!J153+PWORKS!J153+WATER!J153+ELECTRIC!J153+PLANNING!J153</f>
        <v>0</v>
      </c>
      <c r="K153" s="428">
        <f>+COUNCIL!K153+MAYOR!K153+SPEAKER!K153+MM!K153+CORP!K153+PROP!K153+RATES!K153+THALL!K153+FIN!K153+SOCIAL!K153+CEMETERY!K153+LIBRARIES!K154+HOUSING!L153+TRAFFIC!K153+PARKS!K153+REFUSE!K153+SEWAGE!K153+PWORKS!K153+WATER!K153+ELECTRIC!K153+PLANNING!K153</f>
        <v>0</v>
      </c>
    </row>
    <row r="154" spans="1:11" s="285" customFormat="1" x14ac:dyDescent="0.25">
      <c r="A154" s="468"/>
      <c r="B154" s="468"/>
      <c r="C154" s="94" t="s">
        <v>337</v>
      </c>
      <c r="D154" s="428">
        <f>+COUNCIL!D154+MAYOR!D154+SPEAKER!D154+MM!D154+CORP!D154+PROP!D154+RATES!D154+THALL!D154+FIN!D154+SOCIAL!D154+CEMETERY!D154+LIBRARIES!D154+HOUSING!D154+TRAFFIC!D154+PARKS!D154+REFUSE!D154+SEWAGE!D154+PWORKS!D154+WATER!D154+ELECTRIC!D154</f>
        <v>0</v>
      </c>
      <c r="E154" s="428">
        <f>+COUNCIL!E154+MAYOR!E154+SPEAKER!E154+MM!E154+CORP!E154+PROP!E154+RATES!E154+THALL!E154+FIN!E154+SOCIAL!E154+CEMETERY!E154+LIBRARIES!E154+HOUSING!E154+TRAFFIC!E154+PARKS!E154+REFUSE!E154+SEWAGE!E154+PWORKS!E154+WATER!E154+ELECTRIC!E154</f>
        <v>5139735</v>
      </c>
      <c r="F154" s="428">
        <f>+COUNCIL!F154+MAYOR!F154+SPEAKER!F154+MM!F154+CORP!F154+PROP!F154+RATES!F154+THALL!F154+FIN!F154+SOCIAL!F154+CEMETERY!F154+LIBRARIES!F154+HOUSING!F154+TRAFFIC!F154+PARKS!F154+REFUSE!F154+SEWAGE!F154+PWORKS!F154+WATER!F154+ELECTRIC!F154</f>
        <v>4889735</v>
      </c>
      <c r="G154" s="428">
        <f>+COUNCIL!G154+MAYOR!G154+SPEAKER!G154+MM!G154+CORP!G154+PROP!G154+RATES!G154+THALL!G154+FIN!G154+SOCIAL!G154+CEMETERY!G154+LIBRARIES!G154+HOUSING!G154+TRAFFIC!G154+PARKS!G154+REFUSE!G154+SEWAGE!G154+PWORKS!G154+WATER!G154+ELECTRIC!G154</f>
        <v>4889737</v>
      </c>
      <c r="H154" s="428">
        <f>+COUNCIL!H154+MAYOR!H154+SPEAKER!H154+MM!H154+CORP!H154+PROP!H154+RATES!H154+THALL!H154+FIN!H154+SOCIAL!H154+CEMETERY!H154+LIBRARIES!H154+HOUSING!I154+TRAFFIC!H154+PARKS!H154+REFUSE!H154+SEWAGE!H154+PWORKS!H154+WATER!H154+ELECTRIC!H154</f>
        <v>4360679</v>
      </c>
      <c r="I154" s="428">
        <f>+COUNCIL!I154+MAYOR!I154+SPEAKER!I154+MM!I154+CORP!I154+PROP!I154+RATES!I154+THALL!I154+FIN!I154+SOCIAL!I154+CEMETERY!I154+LIBRARIES!I154+HOUSING!J154+TRAFFIC!I154+PARKS!I154+REFUSE!I154+SEWAGE!I154+PWORKS!I154+WATER!I154+ELECTRIC!I154+PLANNING!I154</f>
        <v>780000</v>
      </c>
      <c r="J154" s="428">
        <f>+COUNCIL!J154+MAYOR!J154+SPEAKER!J154+MM!J154+CORP!J154+PROP!J154+RATES!J154+THALL!J154+FIN!J154+SOCIAL!J154+CEMETERY!J154+LIBRARIES!J155+HOUSING!K154+TRAFFIC!J154+PARKS!J154+REFUSE!J154+SEWAGE!J154+PWORKS!J154+WATER!J154+ELECTRIC!J154+PLANNING!J154</f>
        <v>888500</v>
      </c>
      <c r="K154" s="428">
        <f>+COUNCIL!K154+MAYOR!K154+SPEAKER!K154+MM!K154+CORP!K154+PROP!K154+RATES!K154+THALL!K154+FIN!K154+SOCIAL!K154+CEMETERY!K154+LIBRARIES!K155+HOUSING!L154+TRAFFIC!K154+PARKS!K154+REFUSE!K154+SEWAGE!K154+PWORKS!K154+WATER!K154+ELECTRIC!K154+PLANNING!K154</f>
        <v>777640.5</v>
      </c>
    </row>
    <row r="155" spans="1:11" s="285" customFormat="1" x14ac:dyDescent="0.25">
      <c r="A155" s="468"/>
      <c r="B155" s="468"/>
      <c r="C155" s="94" t="s">
        <v>60</v>
      </c>
      <c r="D155" s="428">
        <f>+COUNCIL!D155+MAYOR!D155+SPEAKER!D155+MM!D155+CORP!D155+PROP!D155+RATES!D155+THALL!D155+FIN!D155+SOCIAL!D155+CEMETERY!D155+LIBRARIES!D155+HOUSING!D155+TRAFFIC!D155+PARKS!D155+REFUSE!D155+SEWAGE!D155+PWORKS!D155+WATER!D155+ELECTRIC!D155</f>
        <v>1500000</v>
      </c>
      <c r="E155" s="428">
        <f>+COUNCIL!E155+MAYOR!E155+SPEAKER!E155+MM!E155+CORP!E155+PROP!E155+RATES!E155+THALL!E155+FIN!E155+SOCIAL!E155+CEMETERY!E155+LIBRARIES!E155+HOUSING!E155+TRAFFIC!E155+PARKS!E155+REFUSE!E155+SEWAGE!E155+PWORKS!E155+WATER!E155+ELECTRIC!E155</f>
        <v>535000</v>
      </c>
      <c r="F155" s="428">
        <f>+COUNCIL!F155+MAYOR!F155+SPEAKER!F155+MM!F155+CORP!F155+PROP!F155+RATES!F155+THALL!F155+FIN!F155+SOCIAL!F155+CEMETERY!F155+LIBRARIES!F155+HOUSING!F155+TRAFFIC!F155+PARKS!F155+REFUSE!F155+SEWAGE!F155+PWORKS!F155+WATER!F155+ELECTRIC!F155</f>
        <v>245000</v>
      </c>
      <c r="G155" s="428">
        <f>+COUNCIL!G155+MAYOR!G155+SPEAKER!G155+MM!G155+CORP!G155+PROP!G155+RATES!G155+THALL!G155+FIN!G155+SOCIAL!G155+CEMETERY!G155+LIBRARIES!G155+HOUSING!G155+TRAFFIC!G155+PARKS!G155+REFUSE!G155+SEWAGE!G155+PWORKS!G155+WATER!G155+ELECTRIC!G155</f>
        <v>245000</v>
      </c>
      <c r="H155" s="428">
        <f>+COUNCIL!H155+MAYOR!H155+SPEAKER!H155+MM!H155+CORP!H155+PROP!H155+RATES!H155+THALL!H155+FIN!H155+SOCIAL!H155+CEMETERY!H155+LIBRARIES!H155+HOUSING!I155+TRAFFIC!H155+PARKS!H155+REFUSE!H155+SEWAGE!H155+PWORKS!H155+WATER!H155+ELECTRIC!H155</f>
        <v>5230200</v>
      </c>
      <c r="I155" s="428">
        <f>+COUNCIL!I155+MAYOR!I155+SPEAKER!I155+MM!I155+CORP!I155+PROP!I155+RATES!I155+THALL!I155+FIN!I155+SOCIAL!I155+CEMETERY!I155+LIBRARIES!I155+HOUSING!J155+TRAFFIC!I155+PARKS!I155+REFUSE!I155+SEWAGE!I155+PWORKS!I155+WATER!I155+ELECTRIC!I155+PLANNING!I155</f>
        <v>3592720</v>
      </c>
      <c r="J155" s="428">
        <f>+COUNCIL!J155+MAYOR!J155+SPEAKER!J155+MM!J155+CORP!J155+PROP!J155+RATES!J155+THALL!J155+FIN!J155+SOCIAL!J155+CEMETERY!J155+LIBRARIES!J156+HOUSING!K155+TRAFFIC!J155+PARKS!J155+REFUSE!J155+SEWAGE!J155+PWORKS!J155+WATER!J155+ELECTRIC!J155+PLANNING!J155</f>
        <v>263750</v>
      </c>
      <c r="K155" s="428">
        <f>+COUNCIL!K155+MAYOR!K155+SPEAKER!K155+MM!K155+CORP!K155+PROP!K155+RATES!K155+THALL!K155+FIN!K155+SOCIAL!K155+CEMETERY!K155+LIBRARIES!K156+HOUSING!L155+TRAFFIC!K155+PARKS!K155+REFUSE!K155+SEWAGE!K155+PWORKS!K155+WATER!K155+ELECTRIC!K155+PLANNING!K155</f>
        <v>277728.75</v>
      </c>
    </row>
    <row r="156" spans="1:11" s="285" customFormat="1" x14ac:dyDescent="0.25">
      <c r="A156" s="468"/>
      <c r="B156" s="468"/>
      <c r="C156" s="94"/>
      <c r="D156" s="226">
        <f t="shared" ref="D156:K156" si="7">SUM(D153:D155)</f>
        <v>1500000</v>
      </c>
      <c r="E156" s="226">
        <f t="shared" si="7"/>
        <v>5774735</v>
      </c>
      <c r="F156" s="226">
        <f t="shared" si="7"/>
        <v>8124735</v>
      </c>
      <c r="G156" s="226">
        <f t="shared" si="7"/>
        <v>8124737</v>
      </c>
      <c r="H156" s="226">
        <f t="shared" si="7"/>
        <v>12790879</v>
      </c>
      <c r="I156" s="226">
        <f t="shared" si="7"/>
        <v>6873740</v>
      </c>
      <c r="J156" s="226">
        <f t="shared" si="7"/>
        <v>1152250</v>
      </c>
      <c r="K156" s="226">
        <f t="shared" si="7"/>
        <v>1055369.25</v>
      </c>
    </row>
    <row r="157" spans="1:11" s="285" customFormat="1" x14ac:dyDescent="0.25">
      <c r="A157" s="468"/>
      <c r="B157" s="468"/>
      <c r="C157" s="459" t="s">
        <v>65</v>
      </c>
      <c r="D157" s="228">
        <v>0</v>
      </c>
      <c r="E157" s="113"/>
      <c r="F157" s="113"/>
      <c r="G157" s="444">
        <v>0</v>
      </c>
      <c r="H157" s="113"/>
      <c r="I157" s="113"/>
      <c r="J157" s="113"/>
      <c r="K157" s="88"/>
    </row>
    <row r="158" spans="1:11" s="285" customFormat="1" x14ac:dyDescent="0.25">
      <c r="A158" s="468"/>
      <c r="B158" s="468"/>
      <c r="C158" s="94" t="s">
        <v>375</v>
      </c>
      <c r="D158" s="428">
        <f>+COUNCIL!D158+MAYOR!D158+SPEAKER!D158+MM!D158+CORP!D158+PROP!D158+RATES!D158+THALL!D158+FIN!D158+SOCIAL!D158+CEMETERY!D158+LIBRARIES!D158+HOUSING!D158+TRAFFIC!D158+PARKS!D158+REFUSE!D158+SEWAGE!D158+PWORKS!D158+WATER!D158+ELECTRIC!D158</f>
        <v>84844</v>
      </c>
      <c r="E158" s="428">
        <f>+COUNCIL!E158+MAYOR!E158+SPEAKER!E158+MM!E158+CORP!E158+PROP!E158+RATES!E158+THALL!E158+FIN!E158+SOCIAL!E158+CEMETERY!E158+LIBRARIES!E158+HOUSING!E158+TRAFFIC!E158+PARKS!E158+REFUSE!E158+SEWAGE!E158+PWORKS!E158+WATER!E158+ELECTRIC!E158</f>
        <v>38697</v>
      </c>
      <c r="F158" s="428">
        <f>+COUNCIL!F158+MAYOR!F158+SPEAKER!F158+MM!F158+CORP!F158+PROP!F158+RATES!F158+THALL!F158+FIN!F158+SOCIAL!F158+CEMETERY!F158+LIBRARIES!F158+HOUSING!F158+TRAFFIC!F158+PARKS!F158+REFUSE!F158+SEWAGE!F158+PWORKS!F158+WATER!F158+ELECTRIC!F158</f>
        <v>3697</v>
      </c>
      <c r="G158" s="428">
        <f>+COUNCIL!G158+MAYOR!G158+SPEAKER!G158+MM!G158+CORP!G158+PROP!G158+RATES!G158+THALL!G158+FIN!G158+SOCIAL!G158+CEMETERY!G158+LIBRARIES!G158+HOUSING!G158+TRAFFIC!G158+PARKS!G158+REFUSE!G158+SEWAGE!G158+PWORKS!G158+WATER!G158+ELECTRIC!G158</f>
        <v>3697</v>
      </c>
      <c r="H158" s="428">
        <f>+COUNCIL!H158+MAYOR!H158+SPEAKER!H158+MM!H158+CORP!H158+PROP!H158+RATES!H158+THALL!H158+FIN!H158+SOCIAL!H158+CEMETERY!H158+LIBRARIES!H158+HOUSING!I158+TRAFFIC!H158+PARKS!H158+REFUSE!H158+SEWAGE!H158+PWORKS!H158+WATER!H158+ELECTRIC!H158</f>
        <v>0</v>
      </c>
      <c r="I158" s="428"/>
      <c r="J158" s="428">
        <f>+COUNCIL!J158+MAYOR!J158+SPEAKER!J158+MM!J158+CORP!J158+PROP!J158+RATES!J158+THALL!J158+FIN!J158+SOCIAL!J158+CEMETERY!J158+LIBRARIES!I158+HOUSING!J158+TRAFFIC!J158+PARKS!J158+REFUSE!J158+SEWAGE!J158+PWORKS!J158+WATER!J158+ELECTRIC!J158</f>
        <v>0</v>
      </c>
      <c r="K158" s="428">
        <f>+COUNCIL!K158+MAYOR!K158+SPEAKER!K158+MM!K158+CORP!K158+PROP!K158+RATES!K158+THALL!K158+FIN!K158+SOCIAL!K158+CEMETERY!K158+LIBRARIES!J158+HOUSING!K158+TRAFFIC!K158+PARKS!K158+REFUSE!K158+SEWAGE!K158+PWORKS!K158+WATER!K158+ELECTRIC!K158</f>
        <v>0</v>
      </c>
    </row>
    <row r="159" spans="1:11" s="285" customFormat="1" x14ac:dyDescent="0.25">
      <c r="A159" s="468"/>
      <c r="B159" s="468"/>
      <c r="C159" s="94" t="s">
        <v>339</v>
      </c>
      <c r="D159" s="428">
        <f>+COUNCIL!D159+MAYOR!D159+SPEAKER!D159+MM!D159+CORP!D159+PROP!D159+RATES!D159+THALL!D159+FIN!D159+SOCIAL!D159+CEMETERY!D159+LIBRARIES!D159+HOUSING!D159+TRAFFIC!D159+PARKS!D159+REFUSE!D159+SEWAGE!D159+PWORKS!D159+WATER!D159+ELECTRIC!D159</f>
        <v>0</v>
      </c>
      <c r="E159" s="428">
        <f>+COUNCIL!E159+MAYOR!E159+SPEAKER!E159+MM!E159+CORP!E159+PROP!E159+RATES!E159+THALL!E159+FIN!E159+SOCIAL!E159+CEMETERY!E159+LIBRARIES!E159+HOUSING!E159+TRAFFIC!E159+PARKS!E159+REFUSE!E159+SEWAGE!E159+PWORKS!E159+WATER!E159+ELECTRIC!E159</f>
        <v>0</v>
      </c>
      <c r="F159" s="428">
        <f>+COUNCIL!F159+MAYOR!F159+SPEAKER!F159+MM!F159+CORP!F159+PROP!F159+RATES!F159+THALL!F159+FIN!F159+SOCIAL!F159+CEMETERY!F159+LIBRARIES!F159+HOUSING!F159+TRAFFIC!F159+PARKS!F159+REFUSE!F159+SEWAGE!F159+PWORKS!F159+WATER!F159+ELECTRIC!F159</f>
        <v>0</v>
      </c>
      <c r="G159" s="428">
        <f>+COUNCIL!G159+MAYOR!G159+SPEAKER!G159+MM!G159+CORP!G159+PROP!G159+RATES!G159+THALL!G159+FIN!G159+SOCIAL!G159+CEMETERY!G159+LIBRARIES!G159+HOUSING!G159+TRAFFIC!G159+PARKS!G159+REFUSE!G159+SEWAGE!G159+PWORKS!G159+WATER!G159+ELECTRIC!G159</f>
        <v>0</v>
      </c>
      <c r="H159" s="428">
        <f>+COUNCIL!H159+MAYOR!H159+SPEAKER!H159+MM!H159+CORP!H159+PROP!H159+RATES!H159+THALL!H159+FIN!H159+SOCIAL!H159+CEMETERY!H159+LIBRARIES!H159+HOUSING!I159+TRAFFIC!H159+PARKS!H159+REFUSE!H159+SEWAGE!H159+PWORKS!H159+WATER!H159+ELECTRIC!H159</f>
        <v>0</v>
      </c>
      <c r="I159" s="428"/>
      <c r="J159" s="428">
        <f>+COUNCIL!J159+MAYOR!J159+SPEAKER!J159+MM!J159+CORP!J159+PROP!J159+RATES!J159+THALL!J159+FIN!J159+SOCIAL!J159+CEMETERY!J159+LIBRARIES!I159+HOUSING!J159+TRAFFIC!J159+PARKS!J159+REFUSE!J159+SEWAGE!J159+PWORKS!J159+WATER!J159+ELECTRIC!J159</f>
        <v>0</v>
      </c>
      <c r="K159" s="428">
        <f>+COUNCIL!K159+MAYOR!K159+SPEAKER!K159+MM!K159+CORP!K159+PROP!K159+RATES!K159+THALL!K159+FIN!K159+SOCIAL!K159+CEMETERY!K159+LIBRARIES!J159+HOUSING!K159+TRAFFIC!K159+PARKS!K159+REFUSE!K159+SEWAGE!K159+PWORKS!K159+WATER!K159+ELECTRIC!K159</f>
        <v>0</v>
      </c>
    </row>
    <row r="160" spans="1:11" s="285" customFormat="1" ht="13.8" thickBot="1" x14ac:dyDescent="0.3">
      <c r="A160" s="468"/>
      <c r="B160" s="468"/>
      <c r="C160" s="543"/>
      <c r="D160" s="441">
        <v>84844</v>
      </c>
      <c r="E160" s="441"/>
      <c r="F160" s="441"/>
      <c r="G160" s="565">
        <v>3697</v>
      </c>
      <c r="H160" s="441"/>
      <c r="I160" s="441"/>
      <c r="J160" s="441"/>
      <c r="K160" s="441"/>
    </row>
    <row r="161" spans="1:11" s="285" customFormat="1" x14ac:dyDescent="0.25">
      <c r="A161" s="468"/>
      <c r="B161" s="468"/>
      <c r="C161" s="93" t="s">
        <v>189</v>
      </c>
      <c r="D161" s="441">
        <f t="shared" ref="D161:K161" si="8">D160+D156+D151+D148+D70+D66+D63+D59+D38+D35+D32+D29+D25+D18</f>
        <v>162663499.736</v>
      </c>
      <c r="E161" s="441">
        <f t="shared" si="8"/>
        <v>183060961.843492</v>
      </c>
      <c r="F161" s="441">
        <f t="shared" si="8"/>
        <v>176849471.438492</v>
      </c>
      <c r="G161" s="441">
        <f t="shared" si="8"/>
        <v>173577401.438492</v>
      </c>
      <c r="H161" s="441">
        <f t="shared" si="8"/>
        <v>181183165.20724681</v>
      </c>
      <c r="I161" s="441">
        <f t="shared" si="8"/>
        <v>306589304.80540109</v>
      </c>
      <c r="J161" s="441">
        <f t="shared" si="8"/>
        <v>273380352.96553212</v>
      </c>
      <c r="K161" s="441">
        <f t="shared" si="8"/>
        <v>286144109.10790801</v>
      </c>
    </row>
    <row r="162" spans="1:11" s="285" customFormat="1" x14ac:dyDescent="0.25">
      <c r="A162" s="468"/>
      <c r="B162" s="468"/>
      <c r="C162" s="93" t="s">
        <v>258</v>
      </c>
      <c r="D162" s="442">
        <v>0</v>
      </c>
      <c r="E162" s="442"/>
      <c r="F162" s="442"/>
      <c r="G162" s="444">
        <v>0</v>
      </c>
      <c r="H162" s="442"/>
      <c r="I162" s="442"/>
      <c r="J162" s="442"/>
      <c r="K162" s="442"/>
    </row>
    <row r="163" spans="1:11" s="285" customFormat="1" x14ac:dyDescent="0.25">
      <c r="A163" s="468"/>
      <c r="B163" s="468"/>
      <c r="C163" s="94" t="s">
        <v>190</v>
      </c>
      <c r="D163" s="428">
        <f>+COUNCIL!D163+MAYOR!D163+SPEAKER!D160+MM!D163+CORP!D163+PROP!D163+RATES!D163+THALL!D163+FIN!D163+SOCIAL!D163+CEMETERY!D163+LIBRARIES!D163+HOUSING!D163+TRAFFIC!D163+PARKS!D163+REFUSE!D163+SEWAGE!D163+PWORKS!D163+WATER!D163+ELECTRIC!D163</f>
        <v>0</v>
      </c>
      <c r="E163" s="428">
        <f>+COUNCIL!E163+MAYOR!E163+SPEAKER!E160+MM!E163+CORP!E163+PROP!E163+RATES!E163+THALL!E163+FIN!E163+SOCIAL!E163+CEMETERY!E163+LIBRARIES!E163+HOUSING!E163+TRAFFIC!E163+PARKS!E163+REFUSE!E163+SEWAGE!E163+PWORKS!E163+WATER!E163+ELECTRIC!E163</f>
        <v>0</v>
      </c>
      <c r="F163" s="428">
        <f>+COUNCIL!F163+MAYOR!F163+SPEAKER!F160+MM!F163+CORP!F163+PROP!F163+RATES!F163+THALL!F163+FIN!F163+SOCIAL!F163+CEMETERY!F163+LIBRARIES!F163+HOUSING!F163+TRAFFIC!F163+PARKS!F163+REFUSE!F163+SEWAGE!F163+PWORKS!F163+WATER!F163+ELECTRIC!F163</f>
        <v>0</v>
      </c>
      <c r="G163" s="428">
        <f>+COUNCIL!G163+MAYOR!G163+SPEAKER!G160+MM!G163+CORP!G163+PROP!G163+RATES!G163+THALL!G163+FIN!G163+SOCIAL!G163+CEMETERY!G163+LIBRARIES!G163+HOUSING!G163+TRAFFIC!G163+PARKS!G163+REFUSE!G163+SEWAGE!G163+PWORKS!G163+WATER!G163+ELECTRIC!G163</f>
        <v>0</v>
      </c>
      <c r="H163" s="428">
        <f>+COUNCIL!H163+MAYOR!H163+SPEAKER!H160+MM!H163+CORP!H163+PROP!H163+RATES!H163+THALL!H163+FIN!H163+SOCIAL!H163+CEMETERY!H163+LIBRARIES!H163+HOUSING!I163+TRAFFIC!H163+PARKS!H163+REFUSE!H163+SEWAGE!H163+PWORKS!H163+WATER!H163+ELECTRIC!H163</f>
        <v>0</v>
      </c>
      <c r="I163" s="428"/>
      <c r="J163" s="428">
        <f>+COUNCIL!J163+MAYOR!J163+SPEAKER!J160+MM!J163+CORP!J163+PROP!J163+RATES!J163+THALL!J163+FIN!J163+SOCIAL!J163+CEMETERY!J163+LIBRARIES!I163+HOUSING!J163+TRAFFIC!J163+PARKS!J163+REFUSE!J163+SEWAGE!J163+PWORKS!J163+WATER!J163+ELECTRIC!J163</f>
        <v>0</v>
      </c>
      <c r="K163" s="428">
        <f>+COUNCIL!K163+MAYOR!K163+SPEAKER!K160+MM!K163+CORP!K163+PROP!K163+RATES!K163+THALL!K163+FIN!K163+SOCIAL!K163+CEMETERY!K163+LIBRARIES!J163+HOUSING!K163+TRAFFIC!K163+PARKS!K163+REFUSE!K163+SEWAGE!K163+PWORKS!K163+WATER!K163+ELECTRIC!K163</f>
        <v>0</v>
      </c>
    </row>
    <row r="164" spans="1:11" s="285" customFormat="1" x14ac:dyDescent="0.25">
      <c r="A164" s="468"/>
      <c r="B164" s="468"/>
      <c r="C164" s="94"/>
      <c r="D164" s="441">
        <v>0</v>
      </c>
      <c r="E164" s="441">
        <f t="shared" ref="E164:K164" si="9">E163</f>
        <v>0</v>
      </c>
      <c r="F164" s="441">
        <f t="shared" si="9"/>
        <v>0</v>
      </c>
      <c r="G164" s="441">
        <f t="shared" si="9"/>
        <v>0</v>
      </c>
      <c r="H164" s="441">
        <f t="shared" si="9"/>
        <v>0</v>
      </c>
      <c r="I164" s="441"/>
      <c r="J164" s="441">
        <f t="shared" si="9"/>
        <v>0</v>
      </c>
      <c r="K164" s="441">
        <f t="shared" si="9"/>
        <v>0</v>
      </c>
    </row>
    <row r="165" spans="1:11" s="285" customFormat="1" x14ac:dyDescent="0.25">
      <c r="A165" s="468"/>
      <c r="B165" s="468"/>
      <c r="C165" s="119" t="s">
        <v>191</v>
      </c>
      <c r="D165" s="448">
        <f>SUM(D18+D25+D29+D32+D38+D35+D59+D63+D66+D70+D148+D151+D156+D159+D163)</f>
        <v>162578655.736</v>
      </c>
      <c r="E165" s="448">
        <f>SUM(E18+E25+E29+E32+E38+E35+E59+E63+E66+E70+E148+E151+E156+E159+E163)</f>
        <v>183060961.84349203</v>
      </c>
      <c r="F165" s="448">
        <f>+F164+F161</f>
        <v>176849471.438492</v>
      </c>
      <c r="G165" s="448">
        <f>+G164+G161</f>
        <v>173577401.438492</v>
      </c>
      <c r="H165" s="448">
        <f>SUM(H18+H25+H29+H32+H38+H35+H59+H63+H66+H70+H148+H151+H156+H159+H163)</f>
        <v>181183165.20724678</v>
      </c>
      <c r="I165" s="448">
        <f>SUM(I18+I25+I29+I32+I38+I35+I59+I63+I66+I70+I148+I151+I156+I159+I163)</f>
        <v>306589304.80540109</v>
      </c>
      <c r="J165" s="448">
        <f>SUM(J18+J25+J29+J32+J38+J35+J59+J63+J66+J70+J148+J151+J156+J159+J163)</f>
        <v>273380352.96553206</v>
      </c>
      <c r="K165" s="448">
        <f>SUM(K18+K25+K29+K32+K38+K35+K59+K63+K66+K70+K148+K151+K156+K159+K163)</f>
        <v>286144109.10790801</v>
      </c>
    </row>
    <row r="166" spans="1:11" s="285" customFormat="1" x14ac:dyDescent="0.25">
      <c r="A166" s="468"/>
      <c r="B166" s="468"/>
      <c r="C166" s="440"/>
      <c r="D166" s="111"/>
      <c r="E166" s="120"/>
      <c r="F166" s="271"/>
      <c r="G166" s="444"/>
      <c r="H166" s="271"/>
      <c r="I166" s="271"/>
      <c r="J166" s="271"/>
      <c r="K166" s="380"/>
    </row>
    <row r="167" spans="1:11" s="285" customFormat="1" x14ac:dyDescent="0.25">
      <c r="A167" s="468"/>
      <c r="B167" s="468"/>
      <c r="C167" s="440"/>
      <c r="D167" s="111"/>
      <c r="E167" s="111"/>
      <c r="F167" s="111"/>
      <c r="G167" s="444"/>
      <c r="H167" s="111"/>
      <c r="I167" s="111"/>
      <c r="J167" s="111"/>
      <c r="K167" s="381"/>
    </row>
    <row r="168" spans="1:11" s="285" customFormat="1" x14ac:dyDescent="0.25">
      <c r="A168" s="468"/>
      <c r="B168" s="468"/>
      <c r="C168" s="544"/>
      <c r="D168" s="544"/>
      <c r="E168" s="545"/>
      <c r="F168" s="539"/>
      <c r="G168" s="563"/>
      <c r="H168" s="539"/>
      <c r="I168" s="581"/>
      <c r="J168" s="539"/>
      <c r="K168" s="540"/>
    </row>
    <row r="169" spans="1:11" s="285" customFormat="1" x14ac:dyDescent="0.25">
      <c r="A169" s="468"/>
      <c r="B169" s="468"/>
      <c r="C169" s="150" t="s">
        <v>22</v>
      </c>
      <c r="D169" s="103" t="s">
        <v>23</v>
      </c>
      <c r="E169" s="104" t="s">
        <v>24</v>
      </c>
      <c r="F169" s="103" t="s">
        <v>535</v>
      </c>
      <c r="G169" s="103" t="s">
        <v>413</v>
      </c>
      <c r="H169" s="104" t="s">
        <v>24</v>
      </c>
      <c r="I169" s="583" t="s">
        <v>24</v>
      </c>
      <c r="J169" s="583" t="s">
        <v>24</v>
      </c>
      <c r="K169" s="583" t="s">
        <v>24</v>
      </c>
    </row>
    <row r="170" spans="1:11" s="285" customFormat="1" x14ac:dyDescent="0.25">
      <c r="A170" s="468"/>
      <c r="B170" s="468"/>
      <c r="C170" s="106"/>
      <c r="D170" s="333" t="s">
        <v>257</v>
      </c>
      <c r="E170" s="107" t="s">
        <v>382</v>
      </c>
      <c r="F170" s="107" t="s">
        <v>382</v>
      </c>
      <c r="G170" s="107" t="s">
        <v>382</v>
      </c>
      <c r="H170" s="107" t="s">
        <v>407</v>
      </c>
      <c r="I170" s="586" t="s">
        <v>414</v>
      </c>
      <c r="J170" s="586" t="s">
        <v>530</v>
      </c>
      <c r="K170" s="586" t="s">
        <v>886</v>
      </c>
    </row>
    <row r="171" spans="1:11" s="285" customFormat="1" x14ac:dyDescent="0.25">
      <c r="A171" s="468"/>
      <c r="B171" s="468"/>
      <c r="C171" s="93" t="s">
        <v>98</v>
      </c>
      <c r="D171" s="444"/>
      <c r="E171" s="435"/>
      <c r="F171" s="435"/>
      <c r="G171" s="444"/>
      <c r="H171" s="435"/>
      <c r="I171" s="435"/>
      <c r="J171" s="435"/>
      <c r="K171" s="334"/>
    </row>
    <row r="172" spans="1:11" s="285" customFormat="1" x14ac:dyDescent="0.25">
      <c r="A172" s="468"/>
      <c r="B172" s="468"/>
      <c r="C172" s="94" t="s">
        <v>99</v>
      </c>
      <c r="D172" s="444">
        <v>14744476.380000001</v>
      </c>
      <c r="E172" s="425">
        <f>+COUNCIL!E172+MAYOR!E172+SPEAKER!E172+MM!E172+CORP!E176+PROP!E172+RATES!E172+THALL!E172+FIN!E171+SOCIAL!E171+CEMETERY!E172+LIBRARIES!E172+HOUSING!E172+TRAFFIC!E172+PARKS!E172+REFUSE!E172+SEWAGE!E172+PWORKS!E172+WATER!E172+ELECTRIC!E172</f>
        <v>15629144.962800002</v>
      </c>
      <c r="F172" s="428">
        <f>+COUNCIL!F172+MAYOR!F172+SPEAKER!F172+MM!F172+CORP!F176+PROP!F172+RATES!F172+THALL!F172+FIN!F171+SOCIAL!F171+CEMETERY!F172+LIBRARIES!F172+HOUSING!F172+TRAFFIC!F172+PARKS!F172+REFUSE!F172+SEWAGE!F172+PWORKS!F172+WATER!F172+ELECTRIC!F172</f>
        <v>19629144.962800004</v>
      </c>
      <c r="G172" s="444">
        <v>19629144.962800004</v>
      </c>
      <c r="H172" s="428">
        <f>+COUNCIL!H172+MAYOR!H172+SPEAKER!H172+MM!H172+CORP!H176+PROP!H172+RATES!H172+THALL!H172+FIN!H171+SOCIAL!H171+CEMETERY!H172+LIBRARIES!H172+HOUSING!I172+TRAFFIC!H172+PARKS!H172+REFUSE!H172+SEWAGE!H172+PWORKS!H172+WATER!H172+ELECTRIC!H172</f>
        <v>21592059.459080003</v>
      </c>
      <c r="I172" s="428">
        <f>+COUNCIL!I172+MAYOR!I172+SPEAKER!I172+MM!I172+CORP!I172+PROP!I172+RATES!I172+THALL!I172+FIN!I172+SOCIAL!I172+CEMETERY!I172+LIBRARIES!I173+HOUSING!J172+TRAFFIC!I172+PARKS!I172+REFUSE!I172+SEWAGE!I172+PWORKS!I172+WATER!I172+ELECTRIC!I172+PLANNING!I172</f>
        <v>24690906.929142799</v>
      </c>
      <c r="J172" s="428">
        <f>+COUNCIL!J172+MAYOR!J172+SPEAKER!J172+MM!J172+CORP!J172+PROP!J172+RATES!J172+THALL!J172+FIN!J172+SOCIAL!J172+CEMETERY!J172+LIBRARIES!J173+HOUSING!K172+TRAFFIC!J172+PARKS!J172+REFUSE!J172+SEWAGE!J172+PWORKS!J172+WATER!J172+ELECTRIC!J172+PLANNING!J172</f>
        <v>26048906.810245652</v>
      </c>
      <c r="K172" s="428">
        <f>+COUNCIL!K172+MAYOR!K172+SPEAKER!K172+MM!K172+CORP!K172+PROP!K172+RATES!K172+THALL!K172+FIN!K172+SOCIAL!K172+CEMETERY!K172+LIBRARIES!K173+HOUSING!L172+TRAFFIC!K172+PARKS!K172+REFUSE!K172+SEWAGE!K172+PWORKS!K172+WATER!K172+ELECTRIC!K172+PLANNING!K172</f>
        <v>27429498.87118867</v>
      </c>
    </row>
    <row r="173" spans="1:11" s="285" customFormat="1" x14ac:dyDescent="0.25">
      <c r="A173" s="468"/>
      <c r="B173" s="468"/>
      <c r="C173" s="94" t="s">
        <v>400</v>
      </c>
      <c r="D173" s="225">
        <v>-4385560.8840000005</v>
      </c>
      <c r="E173" s="428">
        <f>+COUNCIL!E173+MAYOR!E173+SPEAKER!E173+MM!E173+CORP!E177+PROP!E173+RATES!E173+THALL!E173+FIN!E172+SOCIAL!E172+CEMETERY!E173+LIBRARIES!E173+HOUSING!E173+TRAFFIC!E173+PARKS!E173+REFUSE!E173+SEWAGE!E173+PWORKS!E173+WATER!E173+ELECTRIC!E173</f>
        <v>-4648694.5370400008</v>
      </c>
      <c r="F173" s="428">
        <f>+COUNCIL!F173+MAYOR!F173+SPEAKER!F173+MM!F173+CORP!F177+PROP!F173+RATES!F173+THALL!F173+FIN!F172+SOCIAL!F172+CEMETERY!F173+LIBRARIES!F173+HOUSING!F173+TRAFFIC!F173+PARKS!F173+REFUSE!F173+SEWAGE!F173+PWORKS!F173+WATER!F173+ELECTRIC!F173</f>
        <v>-3348694.5370400008</v>
      </c>
      <c r="G173" s="444">
        <v>-3348693.5370400008</v>
      </c>
      <c r="H173" s="428">
        <f>+COUNCIL!H173+MAYOR!H173+SPEAKER!H173+MM!H173+CORP!H177+PROP!H173+RATES!H173+THALL!H173+FIN!H172+SOCIAL!H172+CEMETERY!H173+LIBRARIES!H173+HOUSING!I173+TRAFFIC!H173+PARKS!H173+REFUSE!H173+SEWAGE!H173+PWORKS!H173+WATER!H173+ELECTRIC!H173</f>
        <v>-3683563.9907440008</v>
      </c>
      <c r="I173" s="428">
        <f>+COUNCIL!I173+MAYOR!I173+SPEAKER!I173+MM!I173+CORP!I173+PROP!I173+RATES!I173+THALL!I173+FIN!I173+SOCIAL!I173+CEMETERY!I173+LIBRARIES!I174+HOUSING!J173+TRAFFIC!I173+PARKS!I173+REFUSE!I173+SEWAGE!I173+PWORKS!I173+WATER!I173+ELECTRIC!I173+PLANNING!I173</f>
        <v>-858900</v>
      </c>
      <c r="J173" s="428">
        <f>+COUNCIL!J173+MAYOR!J173+SPEAKER!J173+MM!J173+CORP!J173+PROP!J173+RATES!J173+THALL!J173+FIN!J173+SOCIAL!J173+CEMETERY!J173+LIBRARIES!J174+HOUSING!K173+TRAFFIC!J173+PARKS!J173+REFUSE!J173+SEWAGE!J173+PWORKS!J173+WATER!J173+ELECTRIC!J173+PLANNING!J173</f>
        <v>-906139.5</v>
      </c>
      <c r="K173" s="428">
        <f>+COUNCIL!K173+MAYOR!K173+SPEAKER!K173+MM!K173+CORP!K173+PROP!K173+RATES!K173+THALL!K173+FIN!K173+SOCIAL!K173+CEMETERY!K173+LIBRARIES!K174+HOUSING!L173+TRAFFIC!K173+PARKS!K173+REFUSE!K173+SEWAGE!K173+PWORKS!K173+WATER!K173+ELECTRIC!K173+PLANNING!K173</f>
        <v>-954164.89349999989</v>
      </c>
    </row>
    <row r="174" spans="1:11" s="285" customFormat="1" ht="13.8" thickBot="1" x14ac:dyDescent="0.3">
      <c r="A174" s="468"/>
      <c r="B174" s="468"/>
      <c r="C174" s="94"/>
      <c r="D174" s="436">
        <v>10358915.495999999</v>
      </c>
      <c r="E174" s="436">
        <f>SUM(E172:E173)</f>
        <v>10980450.425760001</v>
      </c>
      <c r="F174" s="436">
        <f>SUM(F172:F173)</f>
        <v>16280450.425760003</v>
      </c>
      <c r="G174" s="565">
        <v>16280450.425760003</v>
      </c>
      <c r="H174" s="436">
        <f>SUM(H172:H173)</f>
        <v>17908495.468336001</v>
      </c>
      <c r="I174" s="436">
        <f>SUM(I172:I173)</f>
        <v>23832006.929142799</v>
      </c>
      <c r="J174" s="436">
        <f>SUM(J172:J173)</f>
        <v>25142767.310245652</v>
      </c>
      <c r="K174" s="436">
        <f>SUM(K172:K173)</f>
        <v>26475333.97768867</v>
      </c>
    </row>
    <row r="175" spans="1:11" s="285" customFormat="1" x14ac:dyDescent="0.25">
      <c r="A175" s="468"/>
      <c r="B175" s="468"/>
      <c r="C175" s="93" t="s">
        <v>100</v>
      </c>
      <c r="D175" s="444"/>
      <c r="E175" s="435"/>
      <c r="F175" s="435"/>
      <c r="G175" s="444"/>
      <c r="H175" s="435"/>
      <c r="I175" s="435"/>
      <c r="J175" s="435"/>
      <c r="K175" s="334"/>
    </row>
    <row r="176" spans="1:11" s="285" customFormat="1" x14ac:dyDescent="0.25">
      <c r="A176" s="468"/>
      <c r="B176" s="468"/>
      <c r="C176" s="94" t="s">
        <v>102</v>
      </c>
      <c r="D176" s="428">
        <f>+COUNCIL!D176+MAYOR!D176+SPEAKER!D176+MM!D176+CORP!D180+PROP!D176+RATES!D176+THALL!D176+FIN!D176+SOCIAL!D176+CEMETERY!D176+LIBRARIES!D176+HOUSING!D176+TRAFFIC!D176+PARKS!D176+REFUSE!D176+SEWAGE!D176+PWORKS!D176+WATER!D176+ELECTRIC!D176</f>
        <v>2016</v>
      </c>
      <c r="E176" s="428">
        <f>+COUNCIL!E176+MAYOR!E176+SPEAKER!E176+MM!E176+CORP!E180+PROP!E176+RATES!E176+THALL!E176+FIN!E176+SOCIAL!E176+CEMETERY!E176+LIBRARIES!E176+HOUSING!E176+TRAFFIC!E176+PARKS!E176+REFUSE!E176+SEWAGE!E176+PWORKS!E176+WATER!E176+ELECTRIC!E176</f>
        <v>7017.1320000000005</v>
      </c>
      <c r="F176" s="428">
        <f>+COUNCIL!F176+MAYOR!F176+SPEAKER!F176+MM!F176+CORP!F180+PROP!F176+RATES!F176+THALL!F176+FIN!F176+SOCIAL!F176+CEMETERY!F176+LIBRARIES!F176+HOUSING!F176+TRAFFIC!F176+PARKS!F176+REFUSE!F176+SEWAGE!F176+PWORKS!F176+WATER!F176+ELECTRIC!F176</f>
        <v>7017.1320000000005</v>
      </c>
      <c r="G176" s="428">
        <f>+COUNCIL!G176+MAYOR!G176+SPEAKER!G176+MM!G176+CORP!G180+PROP!G176+RATES!G176+THALL!G176+FIN!G176+SOCIAL!G176+CEMETERY!G176+LIBRARIES!G176+HOUSING!G176+TRAFFIC!G176+PARKS!G176+REFUSE!G176+SEWAGE!G176+PWORKS!G176+WATER!G176+ELECTRIC!G176</f>
        <v>2215.5</v>
      </c>
      <c r="H176" s="428">
        <f>+COUNCIL!H176+MAYOR!H176+SPEAKER!H176+MM!H176+CORP!H180+PROP!H176+RATES!H176+THALL!H176+FIN!H176+SOCIAL!H176+CEMETERY!H176+LIBRARIES!H176+HOUSING!I176+TRAFFIC!H176+PARKS!H176+REFUSE!H176+SEWAGE!H176+PWORKS!H176+WATER!H176+ELECTRIC!H176</f>
        <v>2437.0500000000002</v>
      </c>
      <c r="I176" s="428">
        <f>+COUNCIL!I176+MAYOR!I176+SPEAKER!I176+MM!I176+CORP!I176+PROP!I176+RATES!I176+THALL!I176+FIN!I176+SOCIAL!I176+CEMETERY!I176+LIBRARIES!I177+HOUSING!J176+TRAFFIC!I176+PARKS!I176+REFUSE!I176+SEWAGE!I176+PWORKS!I176+WATER!I176+ELECTRIC!I176+PLANNING!I176</f>
        <v>1437</v>
      </c>
      <c r="J176" s="428">
        <f>+COUNCIL!J176+MAYOR!J176+SPEAKER!J176+MM!J176+CORP!J176+PROP!J176+RATES!J176+THALL!J176+FIN!J176+SOCIAL!J176+CEMETERY!J176+LIBRARIES!J177+HOUSING!K176+TRAFFIC!J176+PARKS!J176+REFUSE!J176+SEWAGE!J176+PWORKS!J176+WATER!J176+ELECTRIC!J176+PLANNING!J176</f>
        <v>1680</v>
      </c>
      <c r="K176" s="428">
        <f>+COUNCIL!K176+MAYOR!K176+SPEAKER!K176+MM!K176+CORP!K176+PROP!K176+RATES!K176+THALL!K176+FIN!K176+SOCIAL!K176+CEMETERY!K176+LIBRARIES!K177+HOUSING!L176+TRAFFIC!K176+PARKS!K176+REFUSE!K176+SEWAGE!K176+PWORKS!K176+WATER!K176+ELECTRIC!K176+PLANNING!K176</f>
        <v>2437</v>
      </c>
    </row>
    <row r="177" spans="1:11" s="285" customFormat="1" x14ac:dyDescent="0.25">
      <c r="A177" s="468"/>
      <c r="B177" s="468"/>
      <c r="C177" s="106" t="s">
        <v>343</v>
      </c>
      <c r="D177" s="428">
        <f>+COUNCIL!D177+MAYOR!D177+SPEAKER!D177+MM!D177+CORP!D181+PROP!D177+RATES!D177+THALL!D177+FIN!D177+SOCIAL!D177+CEMETERY!D177+LIBRARIES!D177+HOUSING!D177+TRAFFIC!D177+PARKS!D177+REFUSE!D177+SEWAGE!D177+PWORKS!D177+WATER!D177+ELECTRIC!D177</f>
        <v>141174</v>
      </c>
      <c r="E177" s="428">
        <f>+COUNCIL!E177+MAYOR!E177+SPEAKER!E177+MM!E177+CORP!E181+PROP!E177+RATES!E177+THALL!E177+FIN!E177+SOCIAL!E177+CEMETERY!E177+LIBRARIES!E177+HOUSING!E177+TRAFFIC!E177+PARKS!E177+REFUSE!E177+SEWAGE!E177+PWORKS!E177+WATER!E177+ELECTRIC!E177</f>
        <v>9692.1600000000035</v>
      </c>
      <c r="F177" s="428">
        <f>+COUNCIL!F177+MAYOR!F177+SPEAKER!F177+MM!F177+CORP!F181+PROP!F177+RATES!F177+THALL!F177+FIN!F177+SOCIAL!F177+CEMETERY!F177+LIBRARIES!F177+HOUSING!F177+TRAFFIC!F177+PARKS!F177+REFUSE!F177+SEWAGE!F177+PWORKS!F177+WATER!F177+ELECTRIC!F177</f>
        <v>9692.1600000000035</v>
      </c>
      <c r="G177" s="428">
        <f>+COUNCIL!G177+MAYOR!G177+SPEAKER!G177+MM!G177+CORP!G181+PROP!G177+RATES!G177+THALL!G177+FIN!G177+SOCIAL!G177+CEMETERY!G177+LIBRARIES!G177+HOUSING!G177+TRAFFIC!G177+PARKS!G177+REFUSE!G177+SEWAGE!G177+PWORKS!G177+WATER!G177+ELECTRIC!G177</f>
        <v>9692.1600000000035</v>
      </c>
      <c r="H177" s="428">
        <f>+COUNCIL!H177+MAYOR!H177+SPEAKER!H177+MM!H177+CORP!H181+PROP!H177+RATES!H177+THALL!H177+FIN!H177+SOCIAL!H177+CEMETERY!H177+LIBRARIES!H177+HOUSING!I177+TRAFFIC!H177+PARKS!H177+REFUSE!H177+SEWAGE!H177+PWORKS!H177+WATER!H177+ELECTRIC!H177</f>
        <v>12434.557799999995</v>
      </c>
      <c r="I177" s="428">
        <f>+COUNCIL!I177+MAYOR!I177+SPEAKER!I177+MM!I177+CORP!I177+PROP!I177+RATES!I177+THALL!I177+FIN!I177+SOCIAL!I177+CEMETERY!I177+LIBRARIES!I178+HOUSING!J177+TRAFFIC!I177+PARKS!I177+REFUSE!I177+SEWAGE!I177+PWORKS!I177+WATER!I177+ELECTRIC!I177+PLANNING!I177</f>
        <v>125539.63500000001</v>
      </c>
      <c r="J177" s="428">
        <f>+COUNCIL!J177+MAYOR!J177+SPEAKER!J177+MM!J177+CORP!J177+PROP!J177+RATES!J177+THALL!J177+FIN!J177+SOCIAL!J177+CEMETERY!J177+LIBRARIES!J178+HOUSING!K177+TRAFFIC!J177+PARKS!J177+REFUSE!J177+SEWAGE!J177+PWORKS!J177+WATER!J177+ELECTRIC!J177+PLANNING!J177</f>
        <v>132444.31492500001</v>
      </c>
      <c r="K177" s="428">
        <f>+COUNCIL!K177+MAYOR!K177+SPEAKER!K177+MM!K177+CORP!K177+PROP!K177+RATES!K177+THALL!K177+FIN!K177+SOCIAL!K177+CEMETERY!K177+LIBRARIES!K178+HOUSING!L177+TRAFFIC!K177+PARKS!K177+REFUSE!K177+SEWAGE!K177+PWORKS!K177+WATER!K177+ELECTRIC!K177+PLANNING!K177</f>
        <v>139463.86361602502</v>
      </c>
    </row>
    <row r="178" spans="1:11" s="285" customFormat="1" x14ac:dyDescent="0.25">
      <c r="A178" s="468"/>
      <c r="B178" s="468"/>
      <c r="C178" s="97" t="s">
        <v>104</v>
      </c>
      <c r="D178" s="428">
        <f>+COUNCIL!D178+MAYOR!D178+SPEAKER!D178+MM!D178+CORP!D182+PROP!D178+RATES!D178+THALL!D178+FIN!D178+SOCIAL!D178+CEMETERY!D178+LIBRARIES!D178+HOUSING!D178+TRAFFIC!D178+PARKS!D178+REFUSE!D178+SEWAGE!D178+PWORKS!D178+WATER!D178+ELECTRIC!D178</f>
        <v>5952</v>
      </c>
      <c r="E178" s="428">
        <f>+COUNCIL!E178+MAYOR!E178+SPEAKER!E178+MM!E178+CORP!E182+PROP!E178+RATES!E178+THALL!E178+FIN!E178+SOCIAL!E178+CEMETERY!E178+LIBRARIES!E178+HOUSING!E178+TRAFFIC!E178+PARKS!E178+REFUSE!E178+SEWAGE!E178+PWORKS!E178+WATER!E178+ELECTRIC!E178</f>
        <v>6285.3119999999999</v>
      </c>
      <c r="F178" s="428">
        <f>+COUNCIL!F178+MAYOR!F178+SPEAKER!F178+MM!F178+CORP!F182+PROP!F178+RATES!F178+THALL!F178+FIN!F178+SOCIAL!F178+CEMETERY!F178+LIBRARIES!F178+HOUSING!F178+TRAFFIC!F178+PARKS!F178+REFUSE!F178+SEWAGE!F178+PWORKS!F178+WATER!F178+ELECTRIC!F178</f>
        <v>6285.3119999999999</v>
      </c>
      <c r="G178" s="428">
        <f>+COUNCIL!G178+MAYOR!G178+SPEAKER!G178+MM!G178+CORP!G182+PROP!G178+RATES!G178+THALL!G178+FIN!G178+SOCIAL!G178+CEMETERY!G178+LIBRARIES!G178+HOUSING!G178+TRAFFIC!G178+PARKS!G178+REFUSE!G178+SEWAGE!G178+PWORKS!G178+WATER!G178+ELECTRIC!G178</f>
        <v>6285.3119999999999</v>
      </c>
      <c r="H178" s="428">
        <f>+COUNCIL!H178+MAYOR!H178+SPEAKER!H178+MM!H178+CORP!H182+PROP!H178+RATES!H178+THALL!H178+FIN!H178+SOCIAL!H178+CEMETERY!H178+LIBRARIES!H178+HOUSING!I178+TRAFFIC!H178+PARKS!H178+REFUSE!H178+SEWAGE!H178+PWORKS!H178+WATER!H178+ELECTRIC!H178</f>
        <v>6913.8432000000003</v>
      </c>
      <c r="I178" s="428">
        <f>+COUNCIL!I178+MAYOR!I178+SPEAKER!I178+MM!I178+CORP!I178+PROP!I178+RATES!I178+THALL!I178+FIN!I178+SOCIAL!I178+CEMETERY!I178+LIBRARIES!I179+HOUSING!J178+TRAFFIC!I178+PARKS!I178+REFUSE!I178+SEWAGE!I178+PWORKS!I178+WATER!I178+ELECTRIC!I178+PLANNING!I178</f>
        <v>5193.7220000000007</v>
      </c>
      <c r="J178" s="428">
        <f>+COUNCIL!J178+MAYOR!J178+SPEAKER!J178+MM!J178+CORP!J178+PROP!J178+RATES!J178+THALL!J178+FIN!J178+SOCIAL!J178+CEMETERY!J178+LIBRARIES!J179+HOUSING!K178+TRAFFIC!J178+PARKS!J178+REFUSE!J178+SEWAGE!J178+PWORKS!J178+WATER!J178+ELECTRIC!J178+PLANNING!J178</f>
        <v>5479.3767100000005</v>
      </c>
      <c r="K178" s="428">
        <f>+COUNCIL!K178+MAYOR!K178+SPEAKER!K178+MM!K178+CORP!K178+PROP!K178+RATES!K178+THALL!K178+FIN!K178+SOCIAL!K178+CEMETERY!K178+LIBRARIES!K179+HOUSING!L178+TRAFFIC!K178+PARKS!K178+REFUSE!K178+SEWAGE!K178+PWORKS!K178+WATER!K178+ELECTRIC!K178+PLANNING!K178</f>
        <v>5769.7836756300003</v>
      </c>
    </row>
    <row r="179" spans="1:11" s="285" customFormat="1" x14ac:dyDescent="0.25">
      <c r="A179" s="468"/>
      <c r="B179" s="468"/>
      <c r="C179" s="94" t="s">
        <v>115</v>
      </c>
      <c r="D179" s="428">
        <f>+COUNCIL!D179+MAYOR!D179+SPEAKER!D179+MM!D179+CORP!D183+PROP!D179+RATES!D179+THALL!D179+FIN!D179+SOCIAL!D179+CEMETERY!D179+LIBRARIES!D179+HOUSING!D179+TRAFFIC!D179+PARKS!D179+REFUSE!D179+SEWAGE!D179+PWORKS!D179+WATER!D179+ELECTRIC!D179</f>
        <v>58636</v>
      </c>
      <c r="E179" s="428">
        <f>+COUNCIL!E179+MAYOR!E179+SPEAKER!E179+MM!E179+CORP!E183+PROP!E179+RATES!E179+THALL!E179+FIN!E179+SOCIAL!E179+CEMETERY!E179+LIBRARIES!E179+HOUSING!E179+TRAFFIC!E179+PARKS!E179+REFUSE!E179+SEWAGE!E179+PWORKS!E179+WATER!E179+ELECTRIC!E179</f>
        <v>61860.979999999996</v>
      </c>
      <c r="F179" s="428">
        <f>+COUNCIL!F179+MAYOR!F179+SPEAKER!F179+MM!F179+CORP!F183+PROP!F179+RATES!F179+THALL!F179+FIN!F179+SOCIAL!F179+CEMETERY!F179+LIBRARIES!F179+HOUSING!F179+TRAFFIC!F179+PARKS!F179+REFUSE!F179+SEWAGE!F179+PWORKS!F179+WATER!F179+ELECTRIC!F179</f>
        <v>61860.979999999996</v>
      </c>
      <c r="G179" s="428">
        <f>+COUNCIL!G179+MAYOR!G179+SPEAKER!G179+MM!G179+CORP!G183+PROP!G179+RATES!G179+THALL!G179+FIN!G179+SOCIAL!G179+CEMETERY!G179+LIBRARIES!G179+HOUSING!G179+TRAFFIC!G179+PARKS!G179+REFUSE!G179+SEWAGE!G179+PWORKS!G179+WATER!G179+ELECTRIC!G179</f>
        <v>61860.979999999996</v>
      </c>
      <c r="H179" s="428">
        <f>+COUNCIL!H179+MAYOR!H179+SPEAKER!H179+MM!H179+CORP!H183+PROP!H179+RATES!H179+THALL!H179+FIN!H179+SOCIAL!H179+CEMETERY!H179+LIBRARIES!H179+HOUSING!I179+TRAFFIC!H179+PARKS!H179+REFUSE!H179+SEWAGE!H179+PWORKS!H179+WATER!H179+ELECTRIC!H179</f>
        <v>68047.077999999994</v>
      </c>
      <c r="I179" s="428">
        <f>+COUNCIL!I179+MAYOR!I179+SPEAKER!I179+MM!I179+CORP!I179+PROP!I179+RATES!I179+THALL!I179+FIN!I179+SOCIAL!I179+CEMETERY!I179+LIBRARIES!I180+HOUSING!J179+TRAFFIC!I179+PARKS!I179+REFUSE!I179+SEWAGE!I179+PWORKS!I179+WATER!I179+ELECTRIC!I179+PLANNING!I179</f>
        <v>84304.084999999992</v>
      </c>
      <c r="J179" s="428">
        <f>+COUNCIL!J179+MAYOR!J179+SPEAKER!J179+MM!J179+CORP!J179+PROP!J179+RATES!J179+THALL!J179+FIN!J179+SOCIAL!J179+CEMETERY!J179+LIBRARIES!J180+HOUSING!K179+TRAFFIC!J179+PARKS!J179+REFUSE!J179+SEWAGE!J179+PWORKS!J179+WATER!J179+ELECTRIC!J179+PLANNING!J179</f>
        <v>88940.809674999982</v>
      </c>
      <c r="K179" s="428">
        <f>+COUNCIL!K179+MAYOR!K179+SPEAKER!K179+MM!K179+CORP!K179+PROP!K179+RATES!K179+THALL!K179+FIN!K179+SOCIAL!K179+CEMETERY!K179+LIBRARIES!K180+HOUSING!L179+TRAFFIC!K179+PARKS!K179+REFUSE!K179+SEWAGE!K179+PWORKS!K179+WATER!K179+ELECTRIC!K179+PLANNING!K179</f>
        <v>93654.67258777497</v>
      </c>
    </row>
    <row r="180" spans="1:11" s="285" customFormat="1" x14ac:dyDescent="0.25">
      <c r="A180" s="468"/>
      <c r="B180" s="468"/>
      <c r="C180" s="94" t="s">
        <v>109</v>
      </c>
      <c r="D180" s="428">
        <f>+COUNCIL!D180+MAYOR!D180+SPEAKER!D180+MM!D180+CORP!D184+PROP!D180+RATES!D180+THALL!D180+FIN!D180+SOCIAL!D180+CEMETERY!D180+LIBRARIES!D180+HOUSING!D180+TRAFFIC!D180+PARKS!D180+REFUSE!D180+SEWAGE!D180+PWORKS!D180+WATER!D180+ELECTRIC!D180</f>
        <v>27838727.858900003</v>
      </c>
      <c r="E180" s="428">
        <f>+COUNCIL!E180+MAYOR!E180+SPEAKER!E180+MM!E180+CORP!E184+PROP!E180+RATES!E180+THALL!E180+FIN!E180+SOCIAL!E180+CEMETERY!E180+LIBRARIES!E180+HOUSING!E180+TRAFFIC!E180+PARKS!E180+REFUSE!E180+SEWAGE!E180+PWORKS!E180+WATER!E180+ELECTRIC!E180</f>
        <v>30067100.407612007</v>
      </c>
      <c r="F180" s="428">
        <f>+COUNCIL!F180+MAYOR!F180+SPEAKER!F180+MM!F180+CORP!F184+PROP!F180+RATES!F180+THALL!F180+FIN!F180+SOCIAL!F180+CEMETERY!F180+LIBRARIES!F180+HOUSING!F180+TRAFFIC!F180+PARKS!F180+REFUSE!F180+SEWAGE!F180+PWORKS!F180+WATER!F180+ELECTRIC!F180</f>
        <v>23067100.407612007</v>
      </c>
      <c r="G180" s="428">
        <f>+COUNCIL!G180+MAYOR!G180+SPEAKER!G180+MM!G180+CORP!G184+PROP!G180+RATES!G180+THALL!G180+FIN!G180+SOCIAL!G180+CEMETERY!G180+LIBRARIES!G180+HOUSING!G180+TRAFFIC!G180+PARKS!G180+REFUSE!G180+SEWAGE!G180+PWORKS!G180+WATER!G180+ELECTRIC!G180</f>
        <v>23067100.407612007</v>
      </c>
      <c r="H180" s="428">
        <f>+COUNCIL!H180+MAYOR!H180+SPEAKER!H180+MM!H180+CORP!H184+PROP!H180+RATES!H180+THALL!H180+FIN!H180+SOCIAL!H180+CEMETERY!H180+LIBRARIES!H180+HOUSING!I180+TRAFFIC!H180+PARKS!H180+REFUSE!H180+SEWAGE!H180+PWORKS!H180+WATER!H180+ELECTRIC!H180</f>
        <v>25376174.690773208</v>
      </c>
      <c r="I180" s="428">
        <f>+COUNCIL!I180+MAYOR!I180+SPEAKER!I180+MM!I180+CORP!I180+PROP!I180+RATES!I180+THALL!I180+FIN!I180+SOCIAL!I180+CEMETERY!I180+LIBRARIES!I181+HOUSING!J180+TRAFFIC!I180+PARKS!I180+REFUSE!I180+SEWAGE!I180+PWORKS!I180+WATER!I180+ELECTRIC!I180+PLANNING!I180</f>
        <v>35051792.564469695</v>
      </c>
      <c r="J180" s="428">
        <f>+COUNCIL!J180+MAYOR!J180+SPEAKER!J180+MM!J180+CORP!J180+PROP!J180+RATES!J180+THALL!J180+FIN!J180+SOCIAL!J180+CEMETERY!J180+LIBRARIES!J181+HOUSING!K180+TRAFFIC!J180+PARKS!J180+REFUSE!J180+SEWAGE!J180+PWORKS!J180+WATER!J180+ELECTRIC!J180+PLANNING!J180</f>
        <v>36979641.155515529</v>
      </c>
      <c r="K180" s="428">
        <f>+COUNCIL!K180+MAYOR!K180+SPEAKER!K180+MM!K180+CORP!K180+PROP!K180+RATES!K180+THALL!K180+FIN!K180+SOCIAL!K180+CEMETERY!K180+LIBRARIES!K181+HOUSING!L180+TRAFFIC!K180+PARKS!K180+REFUSE!K180+SEWAGE!K180+PWORKS!K180+WATER!K180+ELECTRIC!K180+PLANNING!K180</f>
        <v>38939562.136757843</v>
      </c>
    </row>
    <row r="181" spans="1:11" s="285" customFormat="1" x14ac:dyDescent="0.25">
      <c r="A181" s="468"/>
      <c r="B181" s="468"/>
      <c r="C181" s="94" t="s">
        <v>266</v>
      </c>
      <c r="D181" s="428">
        <f>+COUNCIL!D181+MAYOR!D181+SPEAKER!D181+MM!D181+CORP!D185+PROP!D181+RATES!D181+THALL!D181+FIN!D181+SOCIAL!D181+CEMETERY!D181+LIBRARIES!D181+HOUSING!D181+TRAFFIC!D181+PARKS!D181+REFUSE!D181+SEWAGE!D181+PWORKS!D181+WATER!D181+ELECTRIC!D181</f>
        <v>-924430</v>
      </c>
      <c r="E181" s="428">
        <f>+COUNCIL!E181+MAYOR!E181+SPEAKER!E181+MM!E181+CORP!E185+PROP!E181+RATES!E181+THALL!E181+FIN!E181+SOCIAL!E181+CEMETERY!E181+LIBRARIES!E181+HOUSING!E181+TRAFFIC!E181+PARKS!E181+REFUSE!E181+SEWAGE!E181+PWORKS!E181+WATER!E181+ELECTRIC!E181</f>
        <v>-987157.576</v>
      </c>
      <c r="F181" s="428">
        <f>+COUNCIL!F181+MAYOR!F181+SPEAKER!F181+MM!F181+CORP!F185+PROP!F181+RATES!F181+THALL!F181+FIN!F181+SOCIAL!F181+CEMETERY!F181+LIBRARIES!F181+HOUSING!F181+TRAFFIC!F181+PARKS!F181+REFUSE!F181+SEWAGE!F181+PWORKS!F181+WATER!F181+ELECTRIC!F181</f>
        <v>-743155.576</v>
      </c>
      <c r="G181" s="428">
        <f>+COUNCIL!G181+MAYOR!G181+SPEAKER!G181+MM!G181+CORP!G185+PROP!G181+RATES!G181+THALL!G181+FIN!G181+SOCIAL!G181+CEMETERY!G181+LIBRARIES!G181+HOUSING!G181+TRAFFIC!G181+PARKS!G181+REFUSE!G181+SEWAGE!G181+PWORKS!G181+WATER!G181+ELECTRIC!G181</f>
        <v>-849471.576</v>
      </c>
      <c r="H181" s="428">
        <f>+COUNCIL!H181+MAYOR!H181+SPEAKER!H181+MM!H181+CORP!H185+PROP!H181+RATES!H181+THALL!H181+FIN!H181+SOCIAL!H181+CEMETERY!H181+LIBRARIES!H181+HOUSING!I181+TRAFFIC!H181+PARKS!H181+REFUSE!H181+SEWAGE!H181+PWORKS!H181+WATER!H181+ELECTRIC!H181</f>
        <v>-915254.13560000004</v>
      </c>
      <c r="I181" s="428">
        <f>+COUNCIL!I181+MAYOR!I181+SPEAKER!I181+MM!I181+CORP!I181+PROP!I181+RATES!I181+THALL!I181+FIN!I181+SOCIAL!I181+CEMETERY!I181+LIBRARIES!I182+HOUSING!J181+TRAFFIC!I181+PARKS!I181+REFUSE!I181+SEWAGE!I181+PWORKS!I181+WATER!I181+ELECTRIC!I181+PLANNING!I181</f>
        <v>-781045.04430297134</v>
      </c>
      <c r="J181" s="428">
        <f>+COUNCIL!J181+MAYOR!J181+SPEAKER!J181+MM!J181+CORP!J181+PROP!J181+RATES!J181+THALL!J181+FIN!J181+SOCIAL!J181+CEMETERY!J181+LIBRARIES!J182+HOUSING!K181+TRAFFIC!J181+PARKS!J181+REFUSE!J181+SEWAGE!J181+PWORKS!J181+WATER!J181+ELECTRIC!J181+PLANNING!J181</f>
        <v>-791076.12639841461</v>
      </c>
      <c r="K181" s="428">
        <f>+COUNCIL!K181+MAYOR!K181+SPEAKER!K181+MM!K181+CORP!K181+PROP!K181+RATES!K181+THALL!K181+FIN!K181+SOCIAL!K181+CEMETERY!K181+LIBRARIES!K182+HOUSING!L181+TRAFFIC!K181+PARKS!K181+REFUSE!K181+SEWAGE!K181+PWORKS!K181+WATER!K181+ELECTRIC!K181+PLANNING!K181</f>
        <v>-790961.71638243948</v>
      </c>
    </row>
    <row r="182" spans="1:11" s="285" customFormat="1" x14ac:dyDescent="0.25">
      <c r="A182" s="468"/>
      <c r="B182" s="468"/>
      <c r="C182" s="94" t="s">
        <v>296</v>
      </c>
      <c r="D182" s="428">
        <f>+COUNCIL!D182+MAYOR!D182+SPEAKER!D182+MM!D182+CORP!D186+PROP!D182+RATES!D182+THALL!D182+FIN!D182+SOCIAL!D182+CEMETERY!D182+LIBRARIES!D182+HOUSING!D182+TRAFFIC!D182+PARKS!D182+REFUSE!D182+SEWAGE!D182+PWORKS!D182+WATER!D182+ELECTRIC!D182</f>
        <v>-3240000</v>
      </c>
      <c r="E182" s="428">
        <f>+COUNCIL!E182+MAYOR!E182+SPEAKER!E182+MM!E182+CORP!E186+PROP!E182+RATES!E182+THALL!E182+FIN!E182+SOCIAL!E182+CEMETERY!E182+LIBRARIES!E182+HOUSING!E182+TRAFFIC!E182+PARKS!E182+REFUSE!E182+SEWAGE!E182+PWORKS!E182+WATER!E182+ELECTRIC!E182</f>
        <v>-3499200</v>
      </c>
      <c r="F182" s="428">
        <f>+COUNCIL!F182+MAYOR!F182+SPEAKER!F182+MM!F182+CORP!F186+PROP!F182+RATES!F182+THALL!F182+FIN!F182+SOCIAL!F182+CEMETERY!F182+LIBRARIES!F182+HOUSING!F182+TRAFFIC!F182+PARKS!F182+REFUSE!F182+SEWAGE!F182+PWORKS!F182+WATER!F182+ELECTRIC!F182</f>
        <v>-499200</v>
      </c>
      <c r="G182" s="428">
        <f>+COUNCIL!G182+MAYOR!G182+SPEAKER!G182+MM!G182+CORP!G186+PROP!G182+RATES!G182+THALL!G182+FIN!G182+SOCIAL!G182+CEMETERY!G182+LIBRARIES!G182+HOUSING!G182+TRAFFIC!G182+PARKS!G182+REFUSE!G182+SEWAGE!G182+PWORKS!G182+WATER!G182+ELECTRIC!G182</f>
        <v>-499200</v>
      </c>
      <c r="H182" s="428">
        <f>+COUNCIL!H182+MAYOR!H182+SPEAKER!H182+MM!H182+CORP!H186+PROP!H182+RATES!H182+THALL!H182+FIN!H182+SOCIAL!H182+CEMETERY!H182+LIBRARIES!H182+HOUSING!I182+TRAFFIC!H182+PARKS!H182+REFUSE!H182+SEWAGE!H182+PWORKS!H182+WATER!H182+ELECTRIC!H182</f>
        <v>-549120</v>
      </c>
      <c r="I182" s="428">
        <f>+COUNCIL!I182+MAYOR!I182+SPEAKER!I182+MM!I182+CORP!I182+PROP!I182+RATES!I182+THALL!I182+FIN!I182+SOCIAL!I182+CEMETERY!I182+LIBRARIES!I183+HOUSING!J182+TRAFFIC!I182+PARKS!I182+REFUSE!I182+SEWAGE!I182+PWORKS!I182+WATER!I182+ELECTRIC!I182+PLANNING!I182</f>
        <v>-4144524</v>
      </c>
      <c r="J182" s="428">
        <f>+COUNCIL!J182+MAYOR!J182+SPEAKER!J182+MM!J182+CORP!J182+PROP!J182+RATES!J182+THALL!J182+FIN!J182+SOCIAL!J182+CEMETERY!J182+LIBRARIES!J183+HOUSING!K182+TRAFFIC!J182+PARKS!J182+REFUSE!J182+SEWAGE!J182+PWORKS!J182+WATER!J182+ELECTRIC!J182+PLANNING!J182</f>
        <v>-4372472.8199999994</v>
      </c>
      <c r="K182" s="428">
        <f>+COUNCIL!K182+MAYOR!K182+SPEAKER!K182+MM!K182+CORP!K182+PROP!K182+RATES!K182+THALL!K182+FIN!K182+SOCIAL!K182+CEMETERY!K182+LIBRARIES!K183+HOUSING!L182+TRAFFIC!K182+PARKS!K182+REFUSE!K182+SEWAGE!K182+PWORKS!K182+WATER!K182+ELECTRIC!K182+PLANNING!K182</f>
        <v>-4604213.8794599995</v>
      </c>
    </row>
    <row r="183" spans="1:11" s="285" customFormat="1" x14ac:dyDescent="0.25">
      <c r="A183" s="468"/>
      <c r="B183" s="468"/>
      <c r="C183" s="94" t="s">
        <v>113</v>
      </c>
      <c r="D183" s="428">
        <f>+COUNCIL!D183+MAYOR!D183+SPEAKER!D183+MM!D183+CORP!D187+PROP!D183+RATES!D183+THALL!D183+FIN!D183+SOCIAL!D183+CEMETERY!D183+LIBRARIES!D183+HOUSING!D183+TRAFFIC!D183+PARKS!D183+REFUSE!D183+SEWAGE!D183+PWORKS!D183+WATER!D183+ELECTRIC!D183</f>
        <v>190526</v>
      </c>
      <c r="E183" s="428">
        <f>+COUNCIL!E183+MAYOR!E183+SPEAKER!E183+MM!E183+CORP!E187+PROP!E183+RATES!E183+THALL!E183+FIN!E183+SOCIAL!E183+CEMETERY!E183+LIBRARIES!E183+HOUSING!E183+TRAFFIC!E183+PARKS!E183+REFUSE!E183+SEWAGE!E183+PWORKS!E183+WATER!E183+ELECTRIC!E183</f>
        <v>205768.08000000002</v>
      </c>
      <c r="F183" s="428">
        <f>+COUNCIL!F183+MAYOR!F183+SPEAKER!F183+MM!F183+CORP!F187+PROP!F183+RATES!F183+THALL!F183+FIN!F183+SOCIAL!F183+CEMETERY!F183+LIBRARIES!F183+HOUSING!F183+TRAFFIC!F183+PARKS!F183+REFUSE!F183+SEWAGE!F183+PWORKS!F183+WATER!F183+ELECTRIC!F183</f>
        <v>205768.08000000002</v>
      </c>
      <c r="G183" s="428">
        <f>+COUNCIL!G183+MAYOR!G183+SPEAKER!G183+MM!G183+CORP!G187+PROP!G183+RATES!G183+THALL!G183+FIN!G183+SOCIAL!G183+CEMETERY!G183+LIBRARIES!G183+HOUSING!G183+TRAFFIC!G183+PARKS!G183+REFUSE!G183+SEWAGE!G183+PWORKS!G183+WATER!G183+ELECTRIC!G183</f>
        <v>205768.08000000002</v>
      </c>
      <c r="H183" s="428">
        <f>+COUNCIL!H183+MAYOR!H183+SPEAKER!H183+MM!H183+CORP!H187+PROP!H183+RATES!H183+THALL!H183+FIN!H183+SOCIAL!H183+CEMETERY!H183+LIBRARIES!H183+HOUSING!I183+TRAFFIC!H183+PARKS!H183+REFUSE!H183+SEWAGE!H183+PWORKS!H183+WATER!H183+ELECTRIC!H183</f>
        <v>226344.88800000004</v>
      </c>
      <c r="I183" s="428">
        <f>+COUNCIL!I183+MAYOR!I183+SPEAKER!I183+MM!I183+CORP!I183+PROP!I183+RATES!I183+THALL!I183+FIN!I183+SOCIAL!I183+CEMETERY!I183+LIBRARIES!I184+HOUSING!J183+TRAFFIC!I183+PARKS!I183+REFUSE!I183+SEWAGE!I183+PWORKS!I183+WATER!I183+ELECTRIC!I183+PLANNING!I183</f>
        <v>248979.37680000003</v>
      </c>
      <c r="J183" s="428">
        <f>+COUNCIL!J183+MAYOR!J183+SPEAKER!J183+MM!J183+CORP!J183+PROP!J183+RATES!J183+THALL!J183+FIN!J183+SOCIAL!J183+CEMETERY!J183+LIBRARIES!J184+HOUSING!K183+TRAFFIC!J183+PARKS!J183+REFUSE!J183+SEWAGE!J183+PWORKS!J183+WATER!J183+ELECTRIC!J183+PLANNING!J183</f>
        <v>262673.242524</v>
      </c>
      <c r="K183" s="428">
        <f>+COUNCIL!K183+MAYOR!K183+SPEAKER!K183+MM!K183+CORP!K183+PROP!K183+RATES!K183+THALL!K183+FIN!K183+SOCIAL!K183+CEMETERY!K183+LIBRARIES!K184+HOUSING!L183+TRAFFIC!K183+PARKS!K183+REFUSE!K183+SEWAGE!K183+PWORKS!K183+WATER!K183+ELECTRIC!K183+PLANNING!K183</f>
        <v>276594.92437777197</v>
      </c>
    </row>
    <row r="184" spans="1:11" s="285" customFormat="1" hidden="1" x14ac:dyDescent="0.25">
      <c r="A184" s="468"/>
      <c r="B184" s="468"/>
      <c r="C184" s="94" t="s">
        <v>132</v>
      </c>
      <c r="D184" s="428">
        <f>+COUNCIL!D184+MAYOR!D184+SPEAKER!D184+MM!D184+CORP!D188+PROP!D184+RATES!D184+THALL!D184+FIN!D184+SOCIAL!D184+CEMETERY!D184+LIBRARIES!D184+HOUSING!D184+TRAFFIC!D184+PARKS!D184+REFUSE!D184+SEWAGE!D184+PWORKS!D184+WATER!D184+ELECTRIC!D184</f>
        <v>0</v>
      </c>
      <c r="E184" s="428">
        <f>+COUNCIL!E184+MAYOR!E184+SPEAKER!E184+MM!E184+CORP!E188+PROP!E184+RATES!E184+THALL!E184+FIN!E184+SOCIAL!E184+CEMETERY!E184+LIBRARIES!E184+HOUSING!E184+TRAFFIC!E184+PARKS!E184+REFUSE!E184+SEWAGE!E184+PWORKS!E184+WATER!E184+ELECTRIC!E184</f>
        <v>0</v>
      </c>
      <c r="F184" s="428">
        <f>+COUNCIL!F184+MAYOR!F184+SPEAKER!F184+MM!F184+CORP!F188+PROP!F184+RATES!F184+THALL!F184+FIN!F184+SOCIAL!F184+CEMETERY!F184+LIBRARIES!F184+HOUSING!F184+TRAFFIC!F184+PARKS!F184+REFUSE!F184+SEWAGE!F184+PWORKS!F184+WATER!F184+ELECTRIC!F184</f>
        <v>0</v>
      </c>
      <c r="G184" s="428">
        <f>+COUNCIL!G184+MAYOR!G184+SPEAKER!G184+MM!G184+CORP!G188+PROP!G184+RATES!G184+THALL!G184+FIN!G184+SOCIAL!G184+CEMETERY!G184+LIBRARIES!G184+HOUSING!G184+TRAFFIC!G184+PARKS!G184+REFUSE!G184+SEWAGE!G184+PWORKS!G184+WATER!G184+ELECTRIC!G184</f>
        <v>0</v>
      </c>
      <c r="H184" s="428">
        <f>+COUNCIL!H184+MAYOR!H184+SPEAKER!H184+MM!H184+CORP!H188+PROP!H184+RATES!H184+THALL!H184+FIN!H184+SOCIAL!H184+CEMETERY!H184+LIBRARIES!H184+HOUSING!I184+TRAFFIC!H184+PARKS!H184+REFUSE!H184+SEWAGE!H184+PWORKS!H184+WATER!H184+ELECTRIC!H184</f>
        <v>0</v>
      </c>
      <c r="I184" s="428">
        <f>+COUNCIL!I184+MAYOR!I184+SPEAKER!I184+MM!I184+CORP!I184+PROP!I184+RATES!I184+THALL!I184+FIN!I184+SOCIAL!I184+CEMETERY!I184+LIBRARIES!I185+HOUSING!J184+TRAFFIC!I184+PARKS!I184+REFUSE!I184+SEWAGE!I184+PWORKS!I184+WATER!I184+ELECTRIC!I184+PLANNING!I184</f>
        <v>0</v>
      </c>
      <c r="J184" s="428">
        <f>+COUNCIL!J184+MAYOR!J184+SPEAKER!J184+MM!J184+CORP!J184+PROP!J184+RATES!J184+THALL!J184+FIN!J184+SOCIAL!J184+CEMETERY!J184+LIBRARIES!J185+HOUSING!K184+TRAFFIC!J184+PARKS!J184+REFUSE!J184+SEWAGE!J184+PWORKS!J184+WATER!J184+ELECTRIC!J184+PLANNING!J184</f>
        <v>0</v>
      </c>
      <c r="K184" s="428">
        <f>+COUNCIL!K184+MAYOR!K184+SPEAKER!K184+MM!K184+CORP!K184+PROP!K184+RATES!K184+THALL!K184+FIN!K184+SOCIAL!K184+CEMETERY!K184+LIBRARIES!K185+HOUSING!L184+TRAFFIC!K184+PARKS!K184+REFUSE!K184+SEWAGE!K184+PWORKS!K184+WATER!K184+ELECTRIC!K184+PLANNING!K184</f>
        <v>0</v>
      </c>
    </row>
    <row r="185" spans="1:11" s="285" customFormat="1" hidden="1" x14ac:dyDescent="0.25">
      <c r="A185" s="468"/>
      <c r="B185" s="468"/>
      <c r="C185" s="94" t="s">
        <v>120</v>
      </c>
      <c r="D185" s="428">
        <f>+COUNCIL!D185+MAYOR!D185+SPEAKER!D185+MM!D185+CORP!D189+PROP!D185+RATES!D185+THALL!D185+FIN!D185+SOCIAL!D185+CEMETERY!D185+LIBRARIES!D185+HOUSING!D185+TRAFFIC!D185+PARKS!D185+REFUSE!D185+SEWAGE!D185+PWORKS!D185+WATER!D185+ELECTRIC!D185</f>
        <v>0</v>
      </c>
      <c r="E185" s="428">
        <f>+COUNCIL!E185+MAYOR!E185+SPEAKER!E185+MM!E185+CORP!E189+PROP!E185+RATES!E185+THALL!E185+FIN!E185+SOCIAL!E185+CEMETERY!E185+LIBRARIES!E185+HOUSING!E185+TRAFFIC!E185+PARKS!E185+REFUSE!E185+SEWAGE!E185+PWORKS!E185+WATER!E185+ELECTRIC!E185</f>
        <v>0</v>
      </c>
      <c r="F185" s="428">
        <f>+COUNCIL!F185+MAYOR!F185+SPEAKER!F185+MM!F185+CORP!F189+PROP!F185+RATES!F185+THALL!F185+FIN!F185+SOCIAL!F185+CEMETERY!F185+LIBRARIES!F185+HOUSING!F185+TRAFFIC!F185+PARKS!F185+REFUSE!F185+SEWAGE!F185+PWORKS!F185+WATER!F185+ELECTRIC!F185</f>
        <v>0</v>
      </c>
      <c r="G185" s="428">
        <f>+COUNCIL!G185+MAYOR!G185+SPEAKER!G185+MM!G185+CORP!G189+PROP!G185+RATES!G185+THALL!G185+FIN!G185+SOCIAL!G185+CEMETERY!G185+LIBRARIES!G185+HOUSING!G185+TRAFFIC!G185+PARKS!G185+REFUSE!G185+SEWAGE!G185+PWORKS!G185+WATER!G185+ELECTRIC!G185</f>
        <v>0</v>
      </c>
      <c r="H185" s="428">
        <f>+COUNCIL!H185+MAYOR!H185+SPEAKER!H185+MM!H185+CORP!H189+PROP!H185+RATES!H185+THALL!H185+FIN!H185+SOCIAL!H185+CEMETERY!H185+LIBRARIES!H185+HOUSING!I185+TRAFFIC!H185+PARKS!H185+REFUSE!H185+SEWAGE!H185+PWORKS!H185+WATER!H185+ELECTRIC!H185</f>
        <v>0</v>
      </c>
      <c r="I185" s="428">
        <f>+COUNCIL!I185+MAYOR!I185+SPEAKER!I185+MM!I185+CORP!I185+PROP!I185+RATES!I185+THALL!I185+FIN!I185+SOCIAL!I185+CEMETERY!I185+LIBRARIES!I186+HOUSING!J185+TRAFFIC!I185+PARKS!I185+REFUSE!I185+SEWAGE!I185+PWORKS!I185+WATER!I185+ELECTRIC!I185+PLANNING!I185</f>
        <v>0</v>
      </c>
      <c r="J185" s="428">
        <f>+COUNCIL!J185+MAYOR!J185+SPEAKER!J185+MM!J185+CORP!J185+PROP!J185+RATES!J185+THALL!J185+FIN!J185+SOCIAL!J185+CEMETERY!J185+LIBRARIES!J186+HOUSING!K185+TRAFFIC!J185+PARKS!J185+REFUSE!J185+SEWAGE!J185+PWORKS!J185+WATER!J185+ELECTRIC!J185+PLANNING!J185</f>
        <v>0</v>
      </c>
      <c r="K185" s="428">
        <f>+COUNCIL!K185+MAYOR!K185+SPEAKER!K185+MM!K185+CORP!K185+PROP!K185+RATES!K185+THALL!K185+FIN!K185+SOCIAL!K185+CEMETERY!K185+LIBRARIES!K186+HOUSING!L185+TRAFFIC!K185+PARKS!K185+REFUSE!K185+SEWAGE!K185+PWORKS!K185+WATER!K185+ELECTRIC!K185+PLANNING!K185</f>
        <v>0</v>
      </c>
    </row>
    <row r="186" spans="1:11" s="285" customFormat="1" hidden="1" x14ac:dyDescent="0.25">
      <c r="A186" s="468"/>
      <c r="B186" s="468"/>
      <c r="C186" s="94" t="s">
        <v>116</v>
      </c>
      <c r="D186" s="428">
        <f>+COUNCIL!D186+MAYOR!D186+SPEAKER!D186+MM!D186+CORP!D190+PROP!D186+RATES!D186+THALL!D186+FIN!D186+SOCIAL!D186+CEMETERY!D186+LIBRARIES!D186+HOUSING!D186+TRAFFIC!D186+PARKS!D186+REFUSE!D186+SEWAGE!D186+PWORKS!D186+WATER!D186+ELECTRIC!D186</f>
        <v>0</v>
      </c>
      <c r="E186" s="428">
        <f>+COUNCIL!E186+MAYOR!E186+SPEAKER!E186+MM!E186+CORP!E190+PROP!E186+RATES!E186+THALL!E186+FIN!E186+SOCIAL!E186+CEMETERY!E186+LIBRARIES!E186+HOUSING!E186+TRAFFIC!E186+PARKS!E186+REFUSE!E186+SEWAGE!E186+PWORKS!E186+WATER!E186+ELECTRIC!E186</f>
        <v>0</v>
      </c>
      <c r="F186" s="428">
        <f>+COUNCIL!F186+MAYOR!F186+SPEAKER!F186+MM!F186+CORP!F190+PROP!F186+RATES!F186+THALL!F186+FIN!F186+SOCIAL!F186+CEMETERY!F186+LIBRARIES!F186+HOUSING!F186+TRAFFIC!F186+PARKS!F186+REFUSE!F186+SEWAGE!F186+PWORKS!F186+WATER!F186+ELECTRIC!F186</f>
        <v>0</v>
      </c>
      <c r="G186" s="428">
        <f>+COUNCIL!G186+MAYOR!G186+SPEAKER!G186+MM!G186+CORP!G190+PROP!G186+RATES!G186+THALL!G186+FIN!G186+SOCIAL!G186+CEMETERY!G186+LIBRARIES!G186+HOUSING!G186+TRAFFIC!G186+PARKS!G186+REFUSE!G186+SEWAGE!G186+PWORKS!G186+WATER!G186+ELECTRIC!G186</f>
        <v>0</v>
      </c>
      <c r="H186" s="428">
        <f>+COUNCIL!H186+MAYOR!H186+SPEAKER!H186+MM!H186+CORP!H190+PROP!H186+RATES!H186+THALL!H186+FIN!H186+SOCIAL!H186+CEMETERY!H186+LIBRARIES!H186+HOUSING!I186+TRAFFIC!H186+PARKS!H186+REFUSE!H186+SEWAGE!H186+PWORKS!H186+WATER!H186+ELECTRIC!H186</f>
        <v>0</v>
      </c>
      <c r="I186" s="428">
        <f>+COUNCIL!I186+MAYOR!I186+SPEAKER!I186+MM!I186+CORP!I186+PROP!I186+RATES!I186+THALL!I186+FIN!I186+SOCIAL!I186+CEMETERY!I186+LIBRARIES!I187+HOUSING!J186+TRAFFIC!I186+PARKS!I186+REFUSE!I186+SEWAGE!I186+PWORKS!I186+WATER!I186+ELECTRIC!I186+PLANNING!I186</f>
        <v>0</v>
      </c>
      <c r="J186" s="428">
        <f>+COUNCIL!J186+MAYOR!J186+SPEAKER!J186+MM!J186+CORP!J186+PROP!J186+RATES!J186+THALL!J186+FIN!J186+SOCIAL!J186+CEMETERY!J186+LIBRARIES!J187+HOUSING!K186+TRAFFIC!J186+PARKS!J186+REFUSE!J186+SEWAGE!J186+PWORKS!J186+WATER!J186+ELECTRIC!J186+PLANNING!J186</f>
        <v>0</v>
      </c>
      <c r="K186" s="428">
        <f>+COUNCIL!K186+MAYOR!K186+SPEAKER!K186+MM!K186+CORP!K186+PROP!K186+RATES!K186+THALL!K186+FIN!K186+SOCIAL!K186+CEMETERY!K186+LIBRARIES!K187+HOUSING!L186+TRAFFIC!K186+PARKS!K186+REFUSE!K186+SEWAGE!K186+PWORKS!K186+WATER!K186+ELECTRIC!K186+PLANNING!K186</f>
        <v>0</v>
      </c>
    </row>
    <row r="187" spans="1:11" s="285" customFormat="1" hidden="1" x14ac:dyDescent="0.25">
      <c r="A187" s="468"/>
      <c r="B187" s="468"/>
      <c r="C187" s="94" t="s">
        <v>101</v>
      </c>
      <c r="D187" s="428">
        <f>+COUNCIL!D187+MAYOR!D187+SPEAKER!D187+MM!D187+CORP!D191+PROP!D187+RATES!D187+THALL!D187+FIN!D187+SOCIAL!D187+CEMETERY!D187+LIBRARIES!D187+HOUSING!D187+TRAFFIC!D187+PARKS!D187+REFUSE!D187+SEWAGE!D187+PWORKS!D187+WATER!D187+ELECTRIC!D187</f>
        <v>0</v>
      </c>
      <c r="E187" s="428">
        <f>+COUNCIL!E187+MAYOR!E187+SPEAKER!E187+MM!E187+CORP!E191+PROP!E187+RATES!E187+THALL!E187+FIN!E187+SOCIAL!E187+CEMETERY!E187+LIBRARIES!E187+HOUSING!E187+TRAFFIC!E187+PARKS!E187+REFUSE!E187+SEWAGE!E187+PWORKS!E187+WATER!E187+ELECTRIC!E187</f>
        <v>0</v>
      </c>
      <c r="F187" s="428">
        <f>+COUNCIL!F187+MAYOR!F187+SPEAKER!F187+MM!F187+CORP!F191+PROP!F187+RATES!F187+THALL!F187+FIN!F187+SOCIAL!F187+CEMETERY!F187+LIBRARIES!F187+HOUSING!F187+TRAFFIC!F187+PARKS!F187+REFUSE!F187+SEWAGE!F187+PWORKS!F187+WATER!F187+ELECTRIC!F187</f>
        <v>0</v>
      </c>
      <c r="G187" s="428">
        <f>+COUNCIL!G187+MAYOR!G187+SPEAKER!G187+MM!G187+CORP!G191+PROP!G187+RATES!G187+THALL!G187+FIN!G187+SOCIAL!G187+CEMETERY!G187+LIBRARIES!G187+HOUSING!G187+TRAFFIC!G187+PARKS!G187+REFUSE!G187+SEWAGE!G187+PWORKS!G187+WATER!G187+ELECTRIC!G187</f>
        <v>0</v>
      </c>
      <c r="H187" s="428">
        <f>+COUNCIL!H187+MAYOR!H187+SPEAKER!H187+MM!H187+CORP!H191+PROP!H187+RATES!H187+THALL!H187+FIN!H187+SOCIAL!H187+CEMETERY!H187+LIBRARIES!H187+HOUSING!I187+TRAFFIC!H187+PARKS!H187+REFUSE!H187+SEWAGE!H187+PWORKS!H187+WATER!H187+ELECTRIC!H187</f>
        <v>0</v>
      </c>
      <c r="I187" s="428">
        <f>+COUNCIL!I187+MAYOR!I187+SPEAKER!I187+MM!I187+CORP!I187+PROP!I187+RATES!I187+THALL!I187+FIN!I187+SOCIAL!I187+CEMETERY!I187+LIBRARIES!I188+HOUSING!J187+TRAFFIC!I187+PARKS!I187+REFUSE!I187+SEWAGE!I187+PWORKS!I187+WATER!I187+ELECTRIC!I187+PLANNING!I187</f>
        <v>0</v>
      </c>
      <c r="J187" s="428">
        <f>+COUNCIL!J187+MAYOR!J187+SPEAKER!J187+MM!J187+CORP!J187+PROP!J187+RATES!J187+THALL!J187+FIN!J187+SOCIAL!J187+CEMETERY!J187+LIBRARIES!J188+HOUSING!K187+TRAFFIC!J187+PARKS!J187+REFUSE!J187+SEWAGE!J187+PWORKS!J187+WATER!J187+ELECTRIC!J187+PLANNING!J187</f>
        <v>0</v>
      </c>
      <c r="K187" s="428">
        <f>+COUNCIL!K187+MAYOR!K187+SPEAKER!K187+MM!K187+CORP!K187+PROP!K187+RATES!K187+THALL!K187+FIN!K187+SOCIAL!K187+CEMETERY!K187+LIBRARIES!K188+HOUSING!L187+TRAFFIC!K187+PARKS!K187+REFUSE!K187+SEWAGE!K187+PWORKS!K187+WATER!K187+ELECTRIC!K187+PLANNING!K187</f>
        <v>0</v>
      </c>
    </row>
    <row r="188" spans="1:11" s="285" customFormat="1" x14ac:dyDescent="0.25">
      <c r="A188" s="468"/>
      <c r="B188" s="468"/>
      <c r="C188" s="94" t="s">
        <v>114</v>
      </c>
      <c r="D188" s="428">
        <f>+COUNCIL!D188+MAYOR!D188+SPEAKER!D188+MM!D188+CORP!D192+PROP!D188+RATES!D188+THALL!D188+FIN!D188+SOCIAL!D188+CEMETERY!D188+LIBRARIES!D188+HOUSING!D188+TRAFFIC!D188+PARKS!D188+REFUSE!D188+SEWAGE!D188+PWORKS!D188+WATER!D188+ELECTRIC!D188</f>
        <v>8674688.0800000001</v>
      </c>
      <c r="E188" s="428">
        <f>+COUNCIL!E188+MAYOR!E188+SPEAKER!E188+MM!E188+CORP!E192+PROP!E188+RATES!E188+THALL!E188+FIN!E188+SOCIAL!E188+CEMETERY!E188+LIBRARIES!E188+HOUSING!E188+TRAFFIC!E188+PARKS!E188+REFUSE!E188+SEWAGE!E188+PWORKS!E188+WATER!E188+ELECTRIC!E188</f>
        <v>9195169.3648000006</v>
      </c>
      <c r="F188" s="428">
        <f>+COUNCIL!F188+MAYOR!F188+SPEAKER!F188+MM!F188+CORP!F192+PROP!F188+RATES!F188+THALL!F188+FIN!F188+SOCIAL!F188+CEMETERY!F188+LIBRARIES!F188+HOUSING!F188+TRAFFIC!F188+PARKS!F188+REFUSE!F188+SEWAGE!F188+PWORKS!F188+WATER!F188+ELECTRIC!F188</f>
        <v>9495169.3648000006</v>
      </c>
      <c r="G188" s="428">
        <f>+COUNCIL!G188+MAYOR!G188+SPEAKER!G188+MM!G188+CORP!G192+PROP!G188+RATES!G188+THALL!G188+FIN!G188+SOCIAL!G188+CEMETERY!G188+LIBRARIES!G188+HOUSING!G188+TRAFFIC!G188+PARKS!G188+REFUSE!G188+SEWAGE!G188+PWORKS!G188+WATER!G188+ELECTRIC!G188</f>
        <v>9495169.3648000006</v>
      </c>
      <c r="H188" s="428">
        <f>+COUNCIL!H188+MAYOR!H188+SPEAKER!H188+MM!H188+CORP!H192+PROP!H188+RATES!H188+THALL!H188+FIN!H188+SOCIAL!H188+CEMETERY!H188+LIBRARIES!H188+HOUSING!I188+TRAFFIC!H188+PARKS!H188+REFUSE!H188+SEWAGE!H188+PWORKS!H188+WATER!H188+ELECTRIC!H188</f>
        <v>10444686.301280001</v>
      </c>
      <c r="I188" s="428">
        <f>+COUNCIL!I188+MAYOR!I188+SPEAKER!I188+MM!I188+CORP!I188+PROP!I188+RATES!I188+THALL!I188+FIN!I188+SOCIAL!I188+CEMETERY!I188+LIBRARIES!I189+HOUSING!J188+TRAFFIC!I188+PARKS!I188+REFUSE!I188+SEWAGE!I188+PWORKS!I188+WATER!I188+ELECTRIC!I188+PLANNING!I188</f>
        <v>11003831.097000001</v>
      </c>
      <c r="J188" s="428">
        <f>+COUNCIL!J188+MAYOR!J188+SPEAKER!J188+MM!J188+CORP!J188+PROP!J188+RATES!J188+THALL!J188+FIN!J188+SOCIAL!J188+CEMETERY!J188+LIBRARIES!J189+HOUSING!K188+TRAFFIC!J188+PARKS!J188+REFUSE!J188+SEWAGE!J188+PWORKS!J188+WATER!J188+ELECTRIC!J188+PLANNING!J188</f>
        <v>11609041.807335</v>
      </c>
      <c r="K188" s="428">
        <f>+COUNCIL!K188+MAYOR!K188+SPEAKER!K188+MM!K188+CORP!K188+PROP!K188+RATES!K188+THALL!K188+FIN!K188+SOCIAL!K188+CEMETERY!K188+LIBRARIES!K189+HOUSING!L188+TRAFFIC!K188+PARKS!K188+REFUSE!K188+SEWAGE!K188+PWORKS!K188+WATER!K188+ELECTRIC!K188+PLANNING!K188</f>
        <v>12224321.023123754</v>
      </c>
    </row>
    <row r="189" spans="1:11" s="285" customFormat="1" x14ac:dyDescent="0.25">
      <c r="A189" s="468"/>
      <c r="B189" s="468"/>
      <c r="C189" s="94" t="s">
        <v>401</v>
      </c>
      <c r="D189" s="428">
        <f>+COUNCIL!D189+MAYOR!D189+SPEAKER!D189+MM!D189+CORP!D193+PROP!D189+RATES!D189+THALL!D189+FIN!D189+SOCIAL!D189+CEMETERY!D189+LIBRARIES!D189+HOUSING!D189+TRAFFIC!D189+PARKS!D189+REFUSE!D189+SEWAGE!D189+PWORKS!D189+WATER!D189+ELECTRIC!D189</f>
        <v>-2700000</v>
      </c>
      <c r="E189" s="428">
        <f>+COUNCIL!E189+MAYOR!E189+SPEAKER!E189+MM!E189+CORP!E193+PROP!E189+RATES!E189+THALL!E189+FIN!E189+SOCIAL!E189+CEMETERY!E189+LIBRARIES!E189+HOUSING!E189+TRAFFIC!E189+PARKS!E189+REFUSE!E189+SEWAGE!E189+PWORKS!E189+WATER!E189+ELECTRIC!E189</f>
        <v>-2862000</v>
      </c>
      <c r="F189" s="428">
        <f>+COUNCIL!F189+MAYOR!F189+SPEAKER!F189+MM!F189+CORP!F193+PROP!F189+RATES!F189+THALL!F189+FIN!F189+SOCIAL!F189+CEMETERY!F189+LIBRARIES!F189+HOUSING!F189+TRAFFIC!F189+PARKS!F189+REFUSE!F189+SEWAGE!F189+PWORKS!F189+WATER!F189+ELECTRIC!F189</f>
        <v>-1462000</v>
      </c>
      <c r="G189" s="428">
        <f>+COUNCIL!G189+MAYOR!G189+SPEAKER!G189+MM!G189+CORP!G193+PROP!G189+RATES!G189+THALL!G189+FIN!G189+SOCIAL!G189+CEMETERY!G189+LIBRARIES!G189+HOUSING!G189+TRAFFIC!G189+PARKS!G189+REFUSE!G189+SEWAGE!G189+PWORKS!G189+WATER!G189+ELECTRIC!G189</f>
        <v>-1462000</v>
      </c>
      <c r="H189" s="428">
        <f>+COUNCIL!H189+MAYOR!H189+SPEAKER!H189+MM!H189+CORP!H193+PROP!H189+RATES!H189+THALL!H189+FIN!H189+SOCIAL!H189+CEMETERY!H189+LIBRARIES!H189+HOUSING!I189+TRAFFIC!H189+PARKS!H189+REFUSE!H189+SEWAGE!H189+PWORKS!H189+WATER!H189+ELECTRIC!H189</f>
        <v>-1608200</v>
      </c>
      <c r="I189" s="428">
        <f>+COUNCIL!I189+MAYOR!I189+SPEAKER!I189+MM!I189+CORP!I189+PROP!I189+RATES!I189+THALL!I189+FIN!I189+SOCIAL!I189+CEMETERY!I189+LIBRARIES!I190+HOUSING!J189+TRAFFIC!I189+PARKS!I189+REFUSE!I189+SEWAGE!I189+PWORKS!I189+WATER!I189+ELECTRIC!I189+PLANNING!I189</f>
        <v>-2098548.8190000001</v>
      </c>
      <c r="J189" s="428">
        <f>+COUNCIL!J189+MAYOR!J189+SPEAKER!J189+MM!J189+CORP!J189+PROP!J189+RATES!J189+THALL!J189+FIN!J189+SOCIAL!J189+CEMETERY!J189+LIBRARIES!J190+HOUSING!K189+TRAFFIC!J189+PARKS!J189+REFUSE!J189+SEWAGE!J189+PWORKS!J189+WATER!J189+ELECTRIC!J189+PLANNING!J189</f>
        <v>-2209771.906407</v>
      </c>
      <c r="K189" s="428">
        <f>+COUNCIL!K189+MAYOR!K189+SPEAKER!K189+MM!K189+CORP!K189+PROP!K189+RATES!K189+THALL!K189+FIN!K189+SOCIAL!K189+CEMETERY!K189+LIBRARIES!K190+HOUSING!L189+TRAFFIC!K189+PARKS!K189+REFUSE!K189+SEWAGE!K189+PWORKS!K189+WATER!K189+ELECTRIC!K189+PLANNING!K189</f>
        <v>-2326889.8174465708</v>
      </c>
    </row>
    <row r="190" spans="1:11" s="285" customFormat="1" x14ac:dyDescent="0.25">
      <c r="A190" s="468"/>
      <c r="B190" s="468"/>
      <c r="C190" s="94" t="s">
        <v>402</v>
      </c>
      <c r="D190" s="428">
        <f>+COUNCIL!D190+MAYOR!D190+SPEAKER!D190+MM!D190+CORP!D194+PROP!D190+RATES!D190+THALL!D190+FIN!D190+SOCIAL!D190+CEMETERY!D190+LIBRARIES!D190+HOUSING!D190+TRAFFIC!D190+PARKS!D190+REFUSE!D190+SEWAGE!D190+PWORKS!D190+WATER!D190+ELECTRIC!D190</f>
        <v>2000</v>
      </c>
      <c r="E190" s="428">
        <f>+COUNCIL!E190+MAYOR!E190+SPEAKER!E190+MM!E190+CORP!E194+PROP!E190+RATES!E190+THALL!E190+FIN!E190+SOCIAL!E190+CEMETERY!E190+LIBRARIES!E190+HOUSING!E190+TRAFFIC!E190+PARKS!E190+REFUSE!E190+SEWAGE!E190+PWORKS!E190+WATER!E190+ELECTRIC!E190</f>
        <v>2120</v>
      </c>
      <c r="F190" s="428">
        <f>+COUNCIL!F190+MAYOR!F190+SPEAKER!F190+MM!F190+CORP!F194+PROP!F190+RATES!F190+THALL!F190+FIN!F190+SOCIAL!F190+CEMETERY!F190+LIBRARIES!F190+HOUSING!F190+TRAFFIC!F190+PARKS!F190+REFUSE!F190+SEWAGE!F190+PWORKS!F190+WATER!F190+ELECTRIC!F190</f>
        <v>2120</v>
      </c>
      <c r="G190" s="428">
        <f>+COUNCIL!G190+MAYOR!G190+SPEAKER!G190+MM!G190+CORP!G194+PROP!G190+RATES!G190+THALL!G190+FIN!G190+SOCIAL!G190+CEMETERY!G190+LIBRARIES!G190+HOUSING!G190+TRAFFIC!G190+PARKS!G190+REFUSE!G190+SEWAGE!G190+PWORKS!G190+WATER!G190+ELECTRIC!G190</f>
        <v>2120</v>
      </c>
      <c r="H190" s="428">
        <f>+COUNCIL!H190+MAYOR!H190+SPEAKER!H190+MM!H190+CORP!H194+PROP!H190+RATES!H190+THALL!H190+FIN!H190+SOCIAL!H190+CEMETERY!H190+LIBRARIES!H190+HOUSING!I190+TRAFFIC!H190+PARKS!H190+REFUSE!H190+SEWAGE!H190+PWORKS!H190+WATER!H190+ELECTRIC!H190</f>
        <v>2332</v>
      </c>
      <c r="I190" s="428">
        <f>+COUNCIL!I190+MAYOR!I190+SPEAKER!I190+MM!I190+CORP!I190+PROP!I190+RATES!I190+THALL!I190+FIN!I190+SOCIAL!I190+CEMETERY!I190+LIBRARIES!I191+HOUSING!J190+TRAFFIC!I190+PARKS!I190+REFUSE!I190+SEWAGE!I190+PWORKS!I190+WATER!I190+ELECTRIC!I190+PLANNING!I190</f>
        <v>2332</v>
      </c>
      <c r="J190" s="428">
        <f>+COUNCIL!J190+MAYOR!J190+SPEAKER!J190+MM!J190+CORP!J190+PROP!J190+RATES!J190+THALL!J190+FIN!J190+SOCIAL!J190+CEMETERY!J190+LIBRARIES!J191+HOUSING!K190+TRAFFIC!J190+PARKS!J190+REFUSE!J190+SEWAGE!J190+PWORKS!J190+WATER!J190+ELECTRIC!J190+PLANNING!J190</f>
        <v>2460.2599999999998</v>
      </c>
      <c r="K190" s="428">
        <f>+COUNCIL!K190+MAYOR!K190+SPEAKER!K190+MM!K190+CORP!K190+PROP!K190+RATES!K190+THALL!K190+FIN!K190+SOCIAL!K190+CEMETERY!K190+LIBRARIES!K191+HOUSING!L190+TRAFFIC!K190+PARKS!K190+REFUSE!K190+SEWAGE!K190+PWORKS!K190+WATER!K190+ELECTRIC!K190+PLANNING!K190</f>
        <v>2590.6537799999996</v>
      </c>
    </row>
    <row r="191" spans="1:11" s="285" customFormat="1" x14ac:dyDescent="0.25">
      <c r="A191" s="468"/>
      <c r="B191" s="468"/>
      <c r="C191" s="94" t="s">
        <v>403</v>
      </c>
      <c r="D191" s="428">
        <f>+COUNCIL!D191+MAYOR!D191+SPEAKER!D191+MM!D191+CORP!D195+PROP!D191+RATES!D191+THALL!D191+FIN!D191+SOCIAL!D191+CEMETERY!D191+LIBRARIES!D191+HOUSING!D191+TRAFFIC!D191+PARKS!D191+REFUSE!D191+SEWAGE!D191+PWORKS!D191+WATER!D191+ELECTRIC!D191</f>
        <v>1500</v>
      </c>
      <c r="E191" s="428">
        <f>+COUNCIL!E191+MAYOR!E191+SPEAKER!E191+MM!E191+CORP!E195+PROP!E191+RATES!E191+THALL!E191+FIN!E191+SOCIAL!E191+CEMETERY!E191+LIBRARIES!E191+HOUSING!E191+TRAFFIC!E191+PARKS!E191+REFUSE!E191+SEWAGE!E191+PWORKS!E191+WATER!E191+ELECTRIC!E191</f>
        <v>1605</v>
      </c>
      <c r="F191" s="428">
        <f>+COUNCIL!F191+MAYOR!F191+SPEAKER!F191+MM!F191+CORP!F195+PROP!F191+RATES!F191+THALL!F191+FIN!F191+SOCIAL!F191+CEMETERY!F191+LIBRARIES!F191+HOUSING!F191+TRAFFIC!F191+PARKS!F191+REFUSE!F191+SEWAGE!F191+PWORKS!F191+WATER!F191+ELECTRIC!F191</f>
        <v>1605</v>
      </c>
      <c r="G191" s="428">
        <f>+COUNCIL!G191+MAYOR!G191+SPEAKER!G191+MM!G191+CORP!G195+PROP!G191+RATES!G191+THALL!G191+FIN!G191+SOCIAL!G191+CEMETERY!G191+LIBRARIES!G191+HOUSING!G191+TRAFFIC!G191+PARKS!G191+REFUSE!G191+SEWAGE!G191+PWORKS!G191+WATER!G191+ELECTRIC!G191</f>
        <v>1605</v>
      </c>
      <c r="H191" s="428">
        <f>+COUNCIL!H191+MAYOR!H191+SPEAKER!H191+MM!H191+CORP!H195+PROP!H191+RATES!H191+THALL!H191+FIN!H191+SOCIAL!H191+CEMETERY!H191+LIBRARIES!H191+HOUSING!I191+TRAFFIC!H191+PARKS!H191+REFUSE!H191+SEWAGE!H191+PWORKS!H191+WATER!H191+ELECTRIC!H191</f>
        <v>1765.5</v>
      </c>
      <c r="I191" s="428">
        <f>+COUNCIL!I191+MAYOR!I191+SPEAKER!I191+MM!I191+CORP!I191+PROP!I191+RATES!I191+THALL!I191+FIN!I191+SOCIAL!I191+CEMETERY!I191+LIBRARIES!I192+HOUSING!J191+TRAFFIC!I191+PARKS!I191+REFUSE!I191+SEWAGE!I191+PWORKS!I191+WATER!I191+ELECTRIC!I191+PLANNING!I191</f>
        <v>1766</v>
      </c>
      <c r="J191" s="428">
        <f>+COUNCIL!J191+MAYOR!J191+SPEAKER!J191+MM!J191+CORP!J191+PROP!J191+RATES!J191+THALL!J191+FIN!J191+SOCIAL!J191+CEMETERY!J191+LIBRARIES!J192+HOUSING!K191+TRAFFIC!J191+PARKS!J191+REFUSE!J191+SEWAGE!J191+PWORKS!J191+WATER!J191+ELECTRIC!J191+PLANNING!J191</f>
        <v>1863.1299999999999</v>
      </c>
      <c r="K191" s="428">
        <f>+COUNCIL!K191+MAYOR!K191+SPEAKER!K191+MM!K191+CORP!K191+PROP!K191+RATES!K191+THALL!K191+FIN!K191+SOCIAL!K191+CEMETERY!K191+LIBRARIES!K192+HOUSING!L191+TRAFFIC!K191+PARKS!K191+REFUSE!K191+SEWAGE!K191+PWORKS!K191+WATER!K191+ELECTRIC!K191+PLANNING!K191</f>
        <v>1961.8758899999998</v>
      </c>
    </row>
    <row r="192" spans="1:11" s="285" customFormat="1" x14ac:dyDescent="0.25">
      <c r="A192" s="468"/>
      <c r="B192" s="468"/>
      <c r="C192" s="94" t="s">
        <v>404</v>
      </c>
      <c r="D192" s="428">
        <f>+COUNCIL!D192+MAYOR!D192+SPEAKER!D192+MM!D192+CORP!D196+PROP!D192+RATES!D192+THALL!D192+FIN!D192+SOCIAL!D192+CEMETERY!D192+LIBRARIES!D192+HOUSING!D192+TRAFFIC!D192+PARKS!D192+REFUSE!D192+SEWAGE!D192+PWORKS!D192+WATER!D192+ELECTRIC!D192</f>
        <v>16729999.08</v>
      </c>
      <c r="E192" s="428">
        <f>+COUNCIL!E192+MAYOR!E192+SPEAKER!E192+MM!E192+CORP!E196+PROP!E192+RATES!E192+THALL!E192+FIN!E192+SOCIAL!E192+CEMETERY!E192+LIBRARIES!E192+HOUSING!E192+TRAFFIC!E192+PARKS!E192+REFUSE!E192+SEWAGE!E192+PWORKS!E192+WATER!E192+ELECTRIC!E192</f>
        <v>17733799.024800003</v>
      </c>
      <c r="F192" s="428">
        <f>+COUNCIL!F192+MAYOR!F192+SPEAKER!F192+MM!F192+CORP!F196+PROP!F192+RATES!F192+THALL!F192+FIN!F192+SOCIAL!F192+CEMETERY!F192+LIBRARIES!F192+HOUSING!F192+TRAFFIC!F192+PARKS!F192+REFUSE!F192+SEWAGE!F192+PWORKS!F192+WATER!F192+ELECTRIC!F192</f>
        <v>19033799.024800003</v>
      </c>
      <c r="G192" s="428">
        <f>+COUNCIL!G192+MAYOR!G192+SPEAKER!G192+MM!G192+CORP!G196+PROP!G192+RATES!G192+THALL!G192+FIN!G192+SOCIAL!G192+CEMETERY!G192+LIBRARIES!G192+HOUSING!G192+TRAFFIC!G192+PARKS!G192+REFUSE!G192+SEWAGE!G192+PWORKS!G192+WATER!G192+ELECTRIC!G192</f>
        <v>19033799.024800003</v>
      </c>
      <c r="H192" s="428">
        <f>+COUNCIL!H192+MAYOR!H192+SPEAKER!H192+MM!H192+CORP!H196+PROP!H192+RATES!H192+THALL!H192+FIN!H192+SOCIAL!H192+CEMETERY!H192+LIBRARIES!H192+HOUSING!I192+TRAFFIC!H192+PARKS!H192+REFUSE!H192+SEWAGE!H192+PWORKS!H192+WATER!H192+ELECTRIC!H192</f>
        <v>20937178.927280001</v>
      </c>
      <c r="I192" s="428">
        <f>+COUNCIL!I192+MAYOR!I192+SPEAKER!I192+MM!I192+CORP!I192+PROP!I192+RATES!I192+THALL!I192+FIN!I192+SOCIAL!I192+CEMETERY!I192+LIBRARIES!I193+HOUSING!J192+TRAFFIC!I192+PARKS!I192+REFUSE!I192+SEWAGE!I192+PWORKS!I192+WATER!I192+ELECTRIC!I192+PLANNING!I192</f>
        <v>25630157.009142794</v>
      </c>
      <c r="J192" s="428">
        <f>+COUNCIL!J192+MAYOR!J192+SPEAKER!J192+MM!J192+CORP!J192+PROP!J192+RATES!J192+THALL!J192+FIN!J192+SOCIAL!J192+CEMETERY!J192+LIBRARIES!J193+HOUSING!K192+TRAFFIC!J192+PARKS!J192+REFUSE!J192+SEWAGE!J192+PWORKS!J192+WATER!J192+ELECTRIC!J192+PLANNING!J192</f>
        <v>27039815.644645646</v>
      </c>
      <c r="K192" s="428">
        <f>+COUNCIL!K192+MAYOR!K192+SPEAKER!K192+MM!K192+CORP!K192+PROP!K192+RATES!K192+THALL!K192+FIN!K192+SOCIAL!K192+CEMETERY!K192+LIBRARIES!K193+HOUSING!L192+TRAFFIC!K192+PARKS!K192+REFUSE!K192+SEWAGE!K192+PWORKS!K192+WATER!K192+ELECTRIC!K192+PLANNING!K192</f>
        <v>28472925.873811863</v>
      </c>
    </row>
    <row r="193" spans="1:13" s="285" customFormat="1" x14ac:dyDescent="0.25">
      <c r="A193" s="468"/>
      <c r="B193" s="468"/>
      <c r="C193" s="94" t="s">
        <v>405</v>
      </c>
      <c r="D193" s="428">
        <f>+COUNCIL!D193+MAYOR!D193+SPEAKER!D193+MM!D193+CORP!D197+PROP!D193+RATES!D193+THALL!D193+FIN!D193+SOCIAL!D193+CEMETERY!D193+LIBRARIES!D193+HOUSING!D193+TRAFFIC!D193+PARKS!D193+REFUSE!D193+SEWAGE!D193+PWORKS!D193+WATER!D193+ELECTRIC!D193</f>
        <v>-3580000</v>
      </c>
      <c r="E193" s="428">
        <f>+COUNCIL!E193+MAYOR!E193+SPEAKER!E193+MM!E193+CORP!E197+PROP!E193+RATES!E193+THALL!E193+FIN!E193+SOCIAL!E193+CEMETERY!E193+LIBRARIES!E193+HOUSING!E193+TRAFFIC!E193+PARKS!E193+REFUSE!E193+SEWAGE!E193+PWORKS!E193+WATER!E193+ELECTRIC!E193</f>
        <v>-3794800</v>
      </c>
      <c r="F193" s="428">
        <f>+COUNCIL!F193+MAYOR!F193+SPEAKER!F193+MM!F193+CORP!F197+PROP!F193+RATES!F193+THALL!F193+FIN!F193+SOCIAL!F193+CEMETERY!F193+LIBRARIES!F193+HOUSING!F193+TRAFFIC!F193+PARKS!F193+REFUSE!F193+SEWAGE!F193+PWORKS!F193+WATER!F193+ELECTRIC!F193</f>
        <v>-2294800</v>
      </c>
      <c r="G193" s="428">
        <f>+COUNCIL!G193+MAYOR!G193+SPEAKER!G193+MM!G193+CORP!G197+PROP!G193+RATES!G193+THALL!G193+FIN!G193+SOCIAL!G193+CEMETERY!G193+LIBRARIES!G193+HOUSING!G193+TRAFFIC!G193+PARKS!G193+REFUSE!G193+SEWAGE!G193+PWORKS!G193+WATER!G193+ELECTRIC!G193</f>
        <v>-2294800</v>
      </c>
      <c r="H193" s="428">
        <f>+COUNCIL!H193+MAYOR!H193+SPEAKER!H193+MM!H193+CORP!H197+PROP!H193+RATES!H193+THALL!H193+FIN!H193+SOCIAL!H193+CEMETERY!H193+LIBRARIES!H193+HOUSING!I193+TRAFFIC!H193+PARKS!H193+REFUSE!H193+SEWAGE!H193+PWORKS!H193+WATER!H193+ELECTRIC!H193</f>
        <v>-2524280</v>
      </c>
      <c r="I193" s="428">
        <f>+COUNCIL!I193+MAYOR!I193+SPEAKER!I193+MM!I193+CORP!I193+PROP!I193+RATES!I193+THALL!I193+FIN!I193+SOCIAL!I193+CEMETERY!I193+LIBRARIES!I194+HOUSING!J193+TRAFFIC!I193+PARKS!I193+REFUSE!I193+SEWAGE!I193+PWORKS!I193+WATER!I193+ELECTRIC!I193+PLANNING!I193</f>
        <v>-5848922</v>
      </c>
      <c r="J193" s="428">
        <f>+COUNCIL!J193+MAYOR!J193+SPEAKER!J193+MM!J193+CORP!J193+PROP!J193+RATES!J193+THALL!J193+FIN!J193+SOCIAL!J193+CEMETERY!J193+LIBRARIES!J194+HOUSING!K193+TRAFFIC!J193+PARKS!J193+REFUSE!J193+SEWAGE!J193+PWORKS!J193+WATER!J193+ELECTRIC!J193+PLANNING!J193</f>
        <v>-6170612.71</v>
      </c>
      <c r="K193" s="428">
        <f>+COUNCIL!K193+MAYOR!K193+SPEAKER!K193+MM!K193+CORP!K193+PROP!K193+RATES!K193+THALL!K193+FIN!K193+SOCIAL!K193+CEMETERY!K193+LIBRARIES!K194+HOUSING!L193+TRAFFIC!K193+PARKS!K193+REFUSE!K193+SEWAGE!K193+PWORKS!K193+WATER!K193+ELECTRIC!K193+PLANNING!K193</f>
        <v>-6497655.1836299999</v>
      </c>
    </row>
    <row r="194" spans="1:13" s="285" customFormat="1" x14ac:dyDescent="0.25">
      <c r="A194" s="468"/>
      <c r="B194" s="468"/>
      <c r="C194" s="94" t="s">
        <v>199</v>
      </c>
      <c r="D194" s="428">
        <f>+COUNCIL!D194+MAYOR!D194+SPEAKER!D194+MM!D194+CORP!D198+PROP!D194+RATES!D194+THALL!D194+FIN!D194+SOCIAL!D194+CEMETERY!D194+LIBRARIES!D194+HOUSING!D194+TRAFFIC!D194+PARKS!D194+REFUSE!D194+SEWAGE!D194+PWORKS!D194+WATER!D194+ELECTRIC!D194</f>
        <v>20000</v>
      </c>
      <c r="E194" s="428">
        <f>+COUNCIL!E194+MAYOR!E194+SPEAKER!E194+MM!E194+CORP!E198+PROP!E194+RATES!E194+THALL!E194+FIN!E194+SOCIAL!E194+CEMETERY!E194+LIBRARIES!E194+HOUSING!E194+TRAFFIC!E194+PARKS!E194+REFUSE!E194+SEWAGE!E194+PWORKS!E194+WATER!E194+ELECTRIC!E194</f>
        <v>21120</v>
      </c>
      <c r="F194" s="428">
        <f>+COUNCIL!F194+MAYOR!F194+SPEAKER!F194+MM!F194+CORP!F198+PROP!F194+RATES!F194+THALL!F194+FIN!F194+SOCIAL!F194+CEMETERY!F194+LIBRARIES!F194+HOUSING!F194+TRAFFIC!F194+PARKS!F194+REFUSE!F194+SEWAGE!F194+PWORKS!F194+WATER!F194+ELECTRIC!F194</f>
        <v>81120</v>
      </c>
      <c r="G194" s="428">
        <f>+COUNCIL!G194+MAYOR!G194+SPEAKER!G194+MM!G194+CORP!G198+PROP!G194+RATES!G194+THALL!G194+FIN!G194+SOCIAL!G194+CEMETERY!G194+LIBRARIES!G194+HOUSING!G194+TRAFFIC!G194+PARKS!G194+REFUSE!G194+SEWAGE!G194+PWORKS!G194+WATER!G194+ELECTRIC!G194</f>
        <v>81120</v>
      </c>
      <c r="H194" s="428">
        <f>+COUNCIL!H194+MAYOR!H194+SPEAKER!H194+MM!H194+CORP!H198+PROP!H194+RATES!H194+THALL!H194+FIN!H194+SOCIAL!H194+CEMETERY!H194+LIBRARIES!H194+HOUSING!I194+TRAFFIC!H194+PARKS!H194+REFUSE!H194+SEWAGE!H194+PWORKS!H194+WATER!H194+ELECTRIC!H194</f>
        <v>89232</v>
      </c>
      <c r="I194" s="428">
        <f>+COUNCIL!I194+MAYOR!I194+SPEAKER!I194+MM!I194+CORP!I194+PROP!I194+RATES!I194+THALL!I194+FIN!I194+SOCIAL!I194+CEMETERY!I194+LIBRARIES!I195+HOUSING!J194+TRAFFIC!I194+PARKS!I194+REFUSE!I194+SEWAGE!I194+PWORKS!I194+WATER!I194+ELECTRIC!I194+PLANNING!I194</f>
        <v>89232</v>
      </c>
      <c r="J194" s="428">
        <f>+COUNCIL!J194+MAYOR!J194+SPEAKER!J194+MM!J194+CORP!J194+PROP!J194+RATES!J194+THALL!J194+FIN!J194+SOCIAL!J194+CEMETERY!J194+LIBRARIES!J195+HOUSING!K194+TRAFFIC!J194+PARKS!J194+REFUSE!J194+SEWAGE!J194+PWORKS!J194+WATER!J194+ELECTRIC!J194+PLANNING!J194</f>
        <v>94139.76</v>
      </c>
      <c r="K194" s="428">
        <f>+COUNCIL!K194+MAYOR!K194+SPEAKER!K194+MM!K194+CORP!K194+PROP!K194+RATES!K194+THALL!K194+FIN!K194+SOCIAL!K194+CEMETERY!K194+LIBRARIES!K195+HOUSING!L194+TRAFFIC!K194+PARKS!K194+REFUSE!K194+SEWAGE!K194+PWORKS!K194+WATER!K194+ELECTRIC!K194+PLANNING!K194</f>
        <v>99129.167279999994</v>
      </c>
    </row>
    <row r="195" spans="1:13" s="285" customFormat="1" x14ac:dyDescent="0.25">
      <c r="A195" s="468"/>
      <c r="B195" s="468"/>
      <c r="C195" s="94" t="s">
        <v>117</v>
      </c>
      <c r="D195" s="428">
        <f>+COUNCIL!D195+MAYOR!D195+SPEAKER!D195+MM!D195+CORP!D199+PROP!D195+RATES!D195+THALL!D195+FIN!D195+SOCIAL!D195+CEMETERY!D195+LIBRARIES!D195+HOUSING!D195+TRAFFIC!D195+PARKS!D195+REFUSE!D195+SEWAGE!D195+PWORKS!D195+WATER!D195+ELECTRIC!D195</f>
        <v>0</v>
      </c>
      <c r="E195" s="428">
        <f>+COUNCIL!E195+MAYOR!E195+SPEAKER!E195+MM!E195+CORP!E199+PROP!E195+RATES!E195+THALL!E195+FIN!E195+SOCIAL!E195+CEMETERY!E195+LIBRARIES!E195+HOUSING!E195+TRAFFIC!E195+PARKS!E195+REFUSE!E195+SEWAGE!E195+PWORKS!E195+WATER!E195+ELECTRIC!E195</f>
        <v>0</v>
      </c>
      <c r="F195" s="428">
        <f>+COUNCIL!F195+MAYOR!F195+SPEAKER!F195+MM!F195+CORP!F199+PROP!F195+RATES!F195+THALL!F195+FIN!F195+SOCIAL!F195+CEMETERY!F195+LIBRARIES!F195+HOUSING!F195+TRAFFIC!F195+PARKS!F195+REFUSE!F195+SEWAGE!F195+PWORKS!F195+WATER!F195+ELECTRIC!F195</f>
        <v>0</v>
      </c>
      <c r="G195" s="428">
        <f>+COUNCIL!G195+MAYOR!G195+SPEAKER!G195+MM!G195+CORP!G199+PROP!G195+RATES!G195+THALL!G195+FIN!G195+SOCIAL!G195+CEMETERY!G195+LIBRARIES!G195+HOUSING!G195+TRAFFIC!G195+PARKS!G195+REFUSE!G195+SEWAGE!G195+PWORKS!G195+WATER!G195+ELECTRIC!G195</f>
        <v>0</v>
      </c>
      <c r="H195" s="428">
        <f>+COUNCIL!H195+MAYOR!H195+SPEAKER!H195+MM!H195+CORP!H199+PROP!H195+RATES!H195+THALL!H195+FIN!H195+SOCIAL!H195+CEMETERY!H195+LIBRARIES!H195+HOUSING!I195+TRAFFIC!H195+PARKS!H195+REFUSE!H195+SEWAGE!H195+PWORKS!H195+WATER!H195+ELECTRIC!H195</f>
        <v>0</v>
      </c>
      <c r="I195" s="428">
        <f>+COUNCIL!I195+MAYOR!I195+SPEAKER!I195+MM!I195+CORP!I195+PROP!I195+RATES!I195+THALL!I195+FIN!I195+SOCIAL!I195+CEMETERY!I195+LIBRARIES!I196+HOUSING!J195+TRAFFIC!I195+PARKS!I195+REFUSE!I195+SEWAGE!I195+PWORKS!I195+WATER!I195+ELECTRIC!I195+PLANNING!I195</f>
        <v>0</v>
      </c>
      <c r="J195" s="428">
        <f>+COUNCIL!J195+MAYOR!J195+SPEAKER!J195+MM!J195+CORP!J195+PROP!J195+RATES!J195+THALL!J195+FIN!J195+SOCIAL!J195+CEMETERY!J195+LIBRARIES!J196+HOUSING!K195+TRAFFIC!J195+PARKS!J195+REFUSE!J195+SEWAGE!J195+PWORKS!J195+WATER!J195+ELECTRIC!J195+PLANNING!J195</f>
        <v>0</v>
      </c>
      <c r="K195" s="428">
        <f>+COUNCIL!K195+MAYOR!K195+SPEAKER!K195+MM!K195+CORP!K195+PROP!K195+RATES!K195+THALL!K195+FIN!K195+SOCIAL!K195+CEMETERY!K195+LIBRARIES!K196+HOUSING!L195+TRAFFIC!K195+PARKS!K195+REFUSE!K195+SEWAGE!K195+PWORKS!K195+WATER!K195+ELECTRIC!K195+PLANNING!K195</f>
        <v>0</v>
      </c>
    </row>
    <row r="196" spans="1:13" s="285" customFormat="1" x14ac:dyDescent="0.25">
      <c r="A196" s="468"/>
      <c r="B196" s="468"/>
      <c r="C196" s="440" t="s">
        <v>105</v>
      </c>
      <c r="D196" s="428">
        <f>+COUNCIL!D196+MAYOR!D196+SPEAKER!D196+MM!D196+CORP!D200+PROP!D196+RATES!D196+THALL!D196+FIN!D196+SOCIAL!D196+CEMETERY!D196+LIBRARIES!D196+HOUSING!D196+TRAFFIC!D196+PARKS!D196+REFUSE!D196+SEWAGE!D196+PWORKS!D196+WATER!D196+ELECTRIC!D196</f>
        <v>-39088</v>
      </c>
      <c r="E196" s="428">
        <f>+COUNCIL!E196+MAYOR!E196+SPEAKER!E196+MM!E196+CORP!E200+PROP!E196+RATES!E196+THALL!E196+FIN!E196+SOCIAL!E196+CEMETERY!E196+LIBRARIES!E196+HOUSING!E196+TRAFFIC!E196+PARKS!E196+REFUSE!E196+SEWAGE!E196+PWORKS!E196+WATER!E196+ELECTRIC!E196</f>
        <v>-41265.928</v>
      </c>
      <c r="F196" s="428">
        <f>+COUNCIL!F196+MAYOR!F196+SPEAKER!F196+MM!F196+CORP!F200+PROP!F196+RATES!F196+THALL!F196+FIN!F196+SOCIAL!F196+CEMETERY!F196+LIBRARIES!F196+HOUSING!F196+TRAFFIC!F196+PARKS!F196+REFUSE!F196+SEWAGE!F196+PWORKS!F196+WATER!F196+ELECTRIC!F196</f>
        <v>-41265.928</v>
      </c>
      <c r="G196" s="428">
        <f>+COUNCIL!G196+MAYOR!G196+SPEAKER!G196+MM!G196+CORP!G200+PROP!G196+RATES!G196+THALL!G196+FIN!G196+SOCIAL!G196+CEMETERY!G196+LIBRARIES!G196+HOUSING!G196+TRAFFIC!G196+PARKS!G196+REFUSE!G196+SEWAGE!G196+PWORKS!G196+WATER!G196+ELECTRIC!G196</f>
        <v>-41265.928</v>
      </c>
      <c r="H196" s="428">
        <f>+COUNCIL!H196+MAYOR!H196+SPEAKER!H196+MM!H196+CORP!H200+PROP!H196+RATES!H196+THALL!H196+FIN!H196+SOCIAL!H196+CEMETERY!H196+LIBRARIES!H196+HOUSING!I196+TRAFFIC!H196+PARKS!H196+REFUSE!H196+SEWAGE!H196+PWORKS!H196+WATER!H196+ELECTRIC!H196</f>
        <v>-44207.659100000004</v>
      </c>
      <c r="I196" s="428">
        <f>+COUNCIL!I196+MAYOR!I196+SPEAKER!I196+MM!I196+CORP!I196+PROP!I196+RATES!I196+THALL!I196+FIN!I196+SOCIAL!I196+CEMETERY!I196+LIBRARIES!I197+HOUSING!J196+TRAFFIC!I196+PARKS!I196+REFUSE!I196+SEWAGE!I196+PWORKS!I196+WATER!I196+ELECTRIC!I196+PLANNING!I196</f>
        <v>4807.7415936000007</v>
      </c>
      <c r="J196" s="428">
        <f>+COUNCIL!J196+MAYOR!J196+SPEAKER!J196+MM!J196+CORP!J196+PROP!J196+RATES!J196+THALL!J196+FIN!J196+SOCIAL!J196+CEMETERY!J196+LIBRARIES!J197+HOUSING!K196+TRAFFIC!J196+PARKS!J196+REFUSE!J196+SEWAGE!J196+PWORKS!J196+WATER!J196+ELECTRIC!J196+PLANNING!J196</f>
        <v>5072.1673812480003</v>
      </c>
      <c r="K196" s="428">
        <f>+COUNCIL!K196+MAYOR!K196+SPEAKER!K196+MM!K196+CORP!K196+PROP!K196+RATES!K196+THALL!K196+FIN!K196+SOCIAL!K196+CEMETERY!K196+LIBRARIES!K197+HOUSING!L196+TRAFFIC!K196+PARKS!K196+REFUSE!K196+SEWAGE!K196+PWORKS!K196+WATER!K196+ELECTRIC!K196+PLANNING!K196</f>
        <v>5340.9922524541444</v>
      </c>
    </row>
    <row r="197" spans="1:13" s="285" customFormat="1" x14ac:dyDescent="0.25">
      <c r="A197" s="468"/>
      <c r="B197" s="468"/>
      <c r="C197" s="94" t="s">
        <v>118</v>
      </c>
      <c r="D197" s="428">
        <f>+COUNCIL!D197+MAYOR!D197+SPEAKER!D197+MM!D197+CORP!D201+PROP!D197+RATES!D197+THALL!D197+FIN!D197+SOCIAL!D197+CEMETERY!D197+LIBRARIES!D197+HOUSING!D197+TRAFFIC!D197+PARKS!D197+REFUSE!D197+SEWAGE!D197+PWORKS!D197+WATER!D197+ELECTRIC!D197</f>
        <v>15922069.200000001</v>
      </c>
      <c r="E197" s="428">
        <f>+COUNCIL!E197+MAYOR!E197+SPEAKER!E197+MM!E197+CORP!E201+PROP!E197+RATES!E197+THALL!E197+FIN!E197+SOCIAL!E197+CEMETERY!E197+LIBRARIES!E197+HOUSING!E197+TRAFFIC!E197+PARKS!E197+REFUSE!E197+SEWAGE!E197+PWORKS!E197+WATER!E197+ELECTRIC!E197</f>
        <v>16877393.352000002</v>
      </c>
      <c r="F197" s="428">
        <f>+COUNCIL!F197+MAYOR!F197+SPEAKER!F197+MM!F197+CORP!F201+PROP!F197+RATES!F197+THALL!F197+FIN!F197+SOCIAL!F197+CEMETERY!F197+LIBRARIES!F197+HOUSING!F197+TRAFFIC!F197+PARKS!F197+REFUSE!F197+SEWAGE!F197+PWORKS!F197+WATER!F197+ELECTRIC!F197</f>
        <v>16877393</v>
      </c>
      <c r="G197" s="428">
        <f>+COUNCIL!G197+MAYOR!G197+SPEAKER!G197+MM!G197+CORP!G201+PROP!G197+RATES!G197+THALL!G197+FIN!G197+SOCIAL!G197+CEMETERY!G197+LIBRARIES!G197+HOUSING!G197+TRAFFIC!G197+PARKS!G197+REFUSE!G197+SEWAGE!G197+PWORKS!G197+WATER!G197+ELECTRIC!G197</f>
        <v>8487972</v>
      </c>
      <c r="H197" s="428">
        <f>+COUNCIL!H197+MAYOR!H197+SPEAKER!H197+MM!H197+CORP!H201+PROP!H197+RATES!H197+THALL!H197+FIN!H197+SOCIAL!H197+CEMETERY!H197+LIBRARIES!H197+HOUSING!I197+TRAFFIC!H197+PARKS!H197+REFUSE!H197+SEWAGE!H197+PWORKS!H197+WATER!H197+ELECTRIC!H197</f>
        <v>9336769.1999999993</v>
      </c>
      <c r="I197" s="428">
        <f>+COUNCIL!I197+MAYOR!I197+SPEAKER!I197+MM!I197+CORP!I197+PROP!I197+RATES!I197+THALL!I197+FIN!I197+SOCIAL!I197+CEMETERY!I197+LIBRARIES!I198+HOUSING!J197+TRAFFIC!I197+PARKS!I197+REFUSE!I197+SEWAGE!I197+PWORKS!I197+WATER!I197+ELECTRIC!I197+PLANNING!I197</f>
        <v>28684346.670857072</v>
      </c>
      <c r="J197" s="428">
        <f>+COUNCIL!J197+MAYOR!J197+SPEAKER!J197+MM!J197+CORP!J197+PROP!J197+RATES!J197+THALL!J197+FIN!J197+SOCIAL!J197+CEMETERY!J197+LIBRARIES!J198+HOUSING!K197+TRAFFIC!J197+PARKS!J197+REFUSE!J197+SEWAGE!J197+PWORKS!J197+WATER!J197+ELECTRIC!J197+PLANNING!J197</f>
        <v>30261985.737754211</v>
      </c>
      <c r="K197" s="428">
        <f>+COUNCIL!K197+MAYOR!K197+SPEAKER!K197+MM!K197+CORP!K197+PROP!K197+RATES!K197+THALL!K197+FIN!K197+SOCIAL!K197+CEMETERY!K197+LIBRARIES!K198+HOUSING!L197+TRAFFIC!K197+PARKS!K197+REFUSE!K197+SEWAGE!K197+PWORKS!K197+WATER!K197+ELECTRIC!K197+PLANNING!K197</f>
        <v>31865870.981855184</v>
      </c>
    </row>
    <row r="198" spans="1:13" s="285" customFormat="1" x14ac:dyDescent="0.25">
      <c r="A198" s="468"/>
      <c r="B198" s="468"/>
      <c r="C198" s="94" t="s">
        <v>133</v>
      </c>
      <c r="D198" s="428">
        <f>+COUNCIL!D198+MAYOR!D198+SPEAKER!D198+MM!D198+CORP!D202+PROP!D198+RATES!D198+THALL!D198+FIN!D198+SOCIAL!D198+CEMETERY!D198+LIBRARIES!D198+HOUSING!D198+TRAFFIC!D198+PARKS!D198+REFUSE!D198+SEWAGE!D198+PWORKS!D198+WATER!D198+ELECTRIC!D198</f>
        <v>0</v>
      </c>
      <c r="E198" s="428">
        <f>+COUNCIL!E198+MAYOR!E198+SPEAKER!E198+MM!E198+CORP!E202+PROP!E198+RATES!E198+THALL!E198+FIN!E198+SOCIAL!E198+CEMETERY!E198+LIBRARIES!E198+HOUSING!E198+TRAFFIC!E198+PARKS!E198+REFUSE!E198+SEWAGE!E198+PWORKS!E198+WATER!E198+ELECTRIC!E198</f>
        <v>0</v>
      </c>
      <c r="F198" s="428">
        <f>+COUNCIL!F198+MAYOR!F198+SPEAKER!F198+MM!F198+CORP!F202+PROP!F198+RATES!F198+THALL!F198+FIN!F198+SOCIAL!F198+CEMETERY!F198+LIBRARIES!F198+HOUSING!F198+TRAFFIC!F198+PARKS!F198+REFUSE!F198+SEWAGE!F198+PWORKS!F198+WATER!F198+ELECTRIC!F198</f>
        <v>0</v>
      </c>
      <c r="G198" s="428">
        <f>+COUNCIL!G198+MAYOR!G198+SPEAKER!G198+MM!G198+CORP!G202+PROP!G198+RATES!G198+THALL!G198+FIN!G198+SOCIAL!G198+CEMETERY!G198+LIBRARIES!G198+HOUSING!G198+TRAFFIC!G198+PARKS!G198+REFUSE!G198+SEWAGE!G198+PWORKS!G198+WATER!G198+ELECTRIC!G198</f>
        <v>0</v>
      </c>
      <c r="H198" s="428">
        <f>+COUNCIL!H198+MAYOR!H198+SPEAKER!H198+MM!H198+CORP!H202+PROP!H198+RATES!H198+THALL!H198+FIN!H198+SOCIAL!H198+CEMETERY!H198+LIBRARIES!H198+HOUSING!I198+TRAFFIC!H198+PARKS!H198+REFUSE!H198+SEWAGE!H198+PWORKS!H198+WATER!H198+ELECTRIC!H198</f>
        <v>0</v>
      </c>
      <c r="I198" s="428">
        <f>+COUNCIL!I198+MAYOR!I198+SPEAKER!I198+MM!I198+CORP!I198+PROP!I198+RATES!I198+THALL!I198+FIN!I198+SOCIAL!I198+CEMETERY!I198+LIBRARIES!I199+HOUSING!J198+TRAFFIC!I198+PARKS!I198+REFUSE!I198+SEWAGE!I198+PWORKS!I198+WATER!I198+ELECTRIC!I198+PLANNING!I198</f>
        <v>0</v>
      </c>
      <c r="J198" s="428">
        <f>+COUNCIL!J198+MAYOR!J198+SPEAKER!J198+MM!J198+CORP!J198+PROP!J198+RATES!J198+THALL!J198+FIN!J198+SOCIAL!J198+CEMETERY!J198+LIBRARIES!J199+HOUSING!K198+TRAFFIC!J198+PARKS!J198+REFUSE!J198+SEWAGE!J198+PWORKS!J198+WATER!J198+ELECTRIC!J198+PLANNING!J198</f>
        <v>0</v>
      </c>
      <c r="K198" s="428">
        <f>+COUNCIL!K198+MAYOR!K198+SPEAKER!K198+MM!K198+CORP!K198+PROP!K198+RATES!K198+THALL!K198+FIN!K198+SOCIAL!K198+CEMETERY!K198+LIBRARIES!K199+HOUSING!L198+TRAFFIC!K198+PARKS!K198+REFUSE!K198+SEWAGE!K198+PWORKS!K198+WATER!K198+ELECTRIC!K198+PLANNING!K198</f>
        <v>0</v>
      </c>
    </row>
    <row r="199" spans="1:13" s="285" customFormat="1" x14ac:dyDescent="0.25">
      <c r="A199" s="468"/>
      <c r="B199" s="468"/>
      <c r="C199" s="94" t="s">
        <v>329</v>
      </c>
      <c r="D199" s="428">
        <f>+COUNCIL!D199+MAYOR!D199+SPEAKER!D199+MM!D199+CORP!D203+PROP!D199+RATES!D199+THALL!D199+FIN!D199+SOCIAL!D199+CEMETERY!D199+LIBRARIES!D199+HOUSING!D199+TRAFFIC!D199+PARKS!D199+REFUSE!D199+SEWAGE!D199+PWORKS!D199+WATER!D199+ELECTRIC!D199</f>
        <v>-3293750</v>
      </c>
      <c r="E199" s="428">
        <f>+COUNCIL!E199+MAYOR!E199+SPEAKER!E199+MM!E199+CORP!E203+PROP!E199+RATES!E199+THALL!E199+FIN!E199+SOCIAL!E199+CEMETERY!E199+LIBRARIES!E199+HOUSING!E199+TRAFFIC!E199+PARKS!E199+REFUSE!E199+SEWAGE!E199+PWORKS!E199+WATER!E199+ELECTRIC!E199</f>
        <v>-3491146</v>
      </c>
      <c r="F199" s="428">
        <f>+COUNCIL!F199+MAYOR!F199+SPEAKER!F199+MM!F199+CORP!F203+PROP!F199+RATES!F199+THALL!F199+FIN!F199+SOCIAL!F199+CEMETERY!F199+LIBRARIES!F199+HOUSING!F199+TRAFFIC!F199+PARKS!F199+REFUSE!F199+SEWAGE!F199+PWORKS!F199+WATER!F199+ELECTRIC!F199</f>
        <v>-3991146</v>
      </c>
      <c r="G199" s="428">
        <f>+COUNCIL!G199+MAYOR!G199+SPEAKER!G199+MM!G199+CORP!G203+PROP!G199+RATES!G199+THALL!G199+FIN!G199+SOCIAL!G199+CEMETERY!G199+LIBRARIES!G199+HOUSING!G199+TRAFFIC!G199+PARKS!G199+REFUSE!G199+SEWAGE!G199+PWORKS!G199+WATER!G199+ELECTRIC!G199</f>
        <v>-1479006</v>
      </c>
      <c r="H199" s="428">
        <f>+COUNCIL!H199+MAYOR!H199+SPEAKER!H199+MM!H199+CORP!H203+PROP!H199+RATES!H199+THALL!H199+FIN!H199+SOCIAL!H199+CEMETERY!H199+LIBRARIES!H199+HOUSING!I199+TRAFFIC!H199+PARKS!H199+REFUSE!H199+SEWAGE!H199+PWORKS!H199+WATER!H199+ELECTRIC!H199</f>
        <v>-1624489.2204</v>
      </c>
      <c r="I199" s="428">
        <f>+COUNCIL!I199+MAYOR!I199+SPEAKER!I199+MM!I199+CORP!I199+PROP!I199+RATES!I199+THALL!I199+FIN!I199+SOCIAL!I199+CEMETERY!I199+LIBRARIES!I200+HOUSING!J199+TRAFFIC!I199+PARKS!I199+REFUSE!I199+SEWAGE!I199+PWORKS!I199+WATER!I199+ELECTRIC!I199+PLANNING!I199</f>
        <v>-3687672.4071832001</v>
      </c>
      <c r="J199" s="428">
        <f>+COUNCIL!J199+MAYOR!J199+SPEAKER!J199+MM!J199+CORP!J199+PROP!J199+RATES!J199+THALL!J199+FIN!J199+SOCIAL!J199+CEMETERY!J199+LIBRARIES!J200+HOUSING!K199+TRAFFIC!J199+PARKS!J199+REFUSE!J199+SEWAGE!J199+PWORKS!J199+WATER!J199+ELECTRIC!J199+PLANNING!J199</f>
        <v>-3890494.3895782754</v>
      </c>
      <c r="K199" s="428">
        <f>+COUNCIL!K199+MAYOR!K199+SPEAKER!K199+MM!K199+CORP!K199+PROP!K199+RATES!K199+THALL!K199+FIN!K199+SOCIAL!K199+CEMETERY!K199+LIBRARIES!K200+HOUSING!L199+TRAFFIC!K199+PARKS!K199+REFUSE!K199+SEWAGE!K199+PWORKS!K199+WATER!K199+ELECTRIC!K199+PLANNING!K199</f>
        <v>-4096690.5922259237</v>
      </c>
      <c r="M199" s="356"/>
    </row>
    <row r="200" spans="1:13" s="285" customFormat="1" x14ac:dyDescent="0.25">
      <c r="A200" s="468"/>
      <c r="B200" s="468"/>
      <c r="C200" s="94" t="s">
        <v>333</v>
      </c>
      <c r="D200" s="428">
        <f>+COUNCIL!D200+MAYOR!D200+SPEAKER!D200+MM!D200+CORP!D204+PROP!D200+RATES!D200+THALL!D200+FIN!D200+SOCIAL!D200+CEMETERY!D200+LIBRARIES!D200+HOUSING!D200+TRAFFIC!D200+PARKS!D200+REFUSE!D200+SEWAGE!D200+PWORKS!D200+WATER!D200+ELECTRIC!D200</f>
        <v>-441125</v>
      </c>
      <c r="E200" s="428">
        <f>+COUNCIL!E200+MAYOR!E200+SPEAKER!E200+MM!E200+CORP!E204+PROP!E200+RATES!E200+THALL!E200+FIN!E200+SOCIAL!E200+CEMETERY!E200+LIBRARIES!E200+HOUSING!E200+TRAFFIC!E200+PARKS!E200+REFUSE!E200+SEWAGE!E200+PWORKS!E200+WATER!E200+ELECTRIC!E200</f>
        <v>-464445</v>
      </c>
      <c r="F200" s="428">
        <f>+COUNCIL!F200+MAYOR!F200+SPEAKER!F200+MM!F200+CORP!F204+PROP!F200+RATES!F200+THALL!F200+FIN!F200+SOCIAL!F200+CEMETERY!F200+LIBRARIES!F200+HOUSING!F200+TRAFFIC!F200+PARKS!F200+REFUSE!F200+SEWAGE!F200+PWORKS!F200+WATER!F200+ELECTRIC!F200</f>
        <v>-388820</v>
      </c>
      <c r="G200" s="428">
        <f>+COUNCIL!G200+MAYOR!G200+SPEAKER!G200+MM!G200+CORP!G204+PROP!G200+RATES!G200+THALL!G200+FIN!G200+SOCIAL!G200+CEMETERY!G200+LIBRARIES!G200+HOUSING!G200+TRAFFIC!G200+PARKS!G200+REFUSE!G200+SEWAGE!G200+PWORKS!G200+WATER!G200+ELECTRIC!G200</f>
        <v>-421069</v>
      </c>
      <c r="H200" s="428">
        <f>+COUNCIL!H200+MAYOR!H200+SPEAKER!H200+MM!H200+CORP!H204+PROP!H200+RATES!H200+THALL!H200+FIN!H200+SOCIAL!H200+CEMETERY!H200+LIBRARIES!H200+HOUSING!I200+TRAFFIC!H200+PARKS!H200+REFUSE!H200+SEWAGE!H200+PWORKS!H200+WATER!H200+ELECTRIC!H200</f>
        <v>-444724.49200000009</v>
      </c>
      <c r="I200" s="428">
        <f>+COUNCIL!I200+MAYOR!I200+SPEAKER!I200+MM!I200+CORP!I200+PROP!I200+RATES!I200+THALL!I200+FIN!I200+SOCIAL!I200+CEMETERY!I200+LIBRARIES!I201+HOUSING!J200+TRAFFIC!I200+PARKS!I200+REFUSE!I200+SEWAGE!I200+PWORKS!I200+WATER!I200+ELECTRIC!I200+PLANNING!I200</f>
        <v>-456729.31928139989</v>
      </c>
      <c r="J200" s="428">
        <f>+COUNCIL!J200+MAYOR!J200+SPEAKER!J200+MM!J200+CORP!J200+PROP!J200+RATES!J200+THALL!J200+FIN!J200+SOCIAL!J200+CEMETERY!J200+LIBRARIES!J201+HOUSING!K200+TRAFFIC!J200+PARKS!J200+REFUSE!J200+SEWAGE!J200+PWORKS!J200+WATER!J200+ELECTRIC!J200+PLANNING!J200</f>
        <v>-476872.33980475686</v>
      </c>
      <c r="K200" s="428">
        <f>+COUNCIL!K200+MAYOR!K200+SPEAKER!K200+MM!K200+CORP!K200+PROP!K200+RATES!K200+THALL!K200+FIN!K200+SOCIAL!K200+CEMETERY!K200+LIBRARIES!K201+HOUSING!L200+TRAFFIC!K200+PARKS!K200+REFUSE!K200+SEWAGE!K200+PWORKS!K200+WATER!K200+ELECTRIC!K200+PLANNING!K200</f>
        <v>-481076.96461691399</v>
      </c>
    </row>
    <row r="201" spans="1:13" s="285" customFormat="1" x14ac:dyDescent="0.25">
      <c r="A201" s="468"/>
      <c r="B201" s="468"/>
      <c r="C201" s="94" t="s">
        <v>340</v>
      </c>
      <c r="D201" s="428">
        <f>+COUNCIL!D201+MAYOR!D201+SPEAKER!D201+MM!D201+CORP!D205+PROP!D201+RATES!D201+THALL!D201+FIN!D201+SOCIAL!D201+CEMETERY!D201+LIBRARIES!D201+HOUSING!D201+TRAFFIC!D201+PARKS!D201+REFUSE!D201+SEWAGE!D201+PWORKS!D201+WATER!D201+ELECTRIC!D201</f>
        <v>0</v>
      </c>
      <c r="E201" s="428">
        <f>+COUNCIL!E201+MAYOR!E201+SPEAKER!E201+MM!E201+CORP!E205+PROP!E201+RATES!E201+THALL!E201+FIN!E201+SOCIAL!E201+CEMETERY!E201+LIBRARIES!E201+HOUSING!E201+TRAFFIC!E201+PARKS!E201+REFUSE!E201+SEWAGE!E201+PWORKS!E201+WATER!E201+ELECTRIC!E201</f>
        <v>0</v>
      </c>
      <c r="F201" s="428">
        <f>+COUNCIL!F201+MAYOR!F201+SPEAKER!F201+MM!F201+CORP!F205+PROP!F201+RATES!F201+THALL!F201+FIN!F201+SOCIAL!F201+CEMETERY!F201+LIBRARIES!F201+HOUSING!F201+TRAFFIC!F201+PARKS!F201+REFUSE!F201+SEWAGE!F201+PWORKS!F201+WATER!F201+ELECTRIC!F201</f>
        <v>0</v>
      </c>
      <c r="G201" s="428">
        <f>+COUNCIL!G201+MAYOR!G201+SPEAKER!G201+MM!G201+CORP!G205+PROP!G201+RATES!G201+THALL!G201+FIN!G201+SOCIAL!G201+CEMETERY!G201+LIBRARIES!G201+HOUSING!G201+TRAFFIC!G201+PARKS!G201+REFUSE!G201+SEWAGE!G201+PWORKS!G201+WATER!G201+ELECTRIC!G201</f>
        <v>0</v>
      </c>
      <c r="H201" s="428">
        <f>+COUNCIL!H201+MAYOR!H201+SPEAKER!H201+MM!H201+CORP!H205+PROP!H201+RATES!H201+THALL!H201+FIN!H201+SOCIAL!H201+CEMETERY!H201+LIBRARIES!H201+HOUSING!I201+TRAFFIC!H201+PARKS!H201+REFUSE!H201+SEWAGE!H201+PWORKS!H201+WATER!H201+ELECTRIC!H201</f>
        <v>0</v>
      </c>
      <c r="I201" s="428">
        <f>+COUNCIL!I201+MAYOR!I201+SPEAKER!I201+MM!I201+CORP!I201+PROP!I201+RATES!I201+THALL!I201+FIN!I201+SOCIAL!I201+CEMETERY!I201+LIBRARIES!I202+HOUSING!J201+TRAFFIC!I201+PARKS!I201+REFUSE!I201+SEWAGE!I201+PWORKS!I201+WATER!I201+ELECTRIC!I201+PLANNING!I201</f>
        <v>0</v>
      </c>
      <c r="J201" s="428">
        <f>+COUNCIL!J201+MAYOR!J201+SPEAKER!J201+MM!J201+CORP!J201+PROP!J201+RATES!J201+THALL!J201+FIN!J201+SOCIAL!J201+CEMETERY!J201+LIBRARIES!J202+HOUSING!K201+TRAFFIC!J201+PARKS!J201+REFUSE!J201+SEWAGE!J201+PWORKS!J201+WATER!J201+ELECTRIC!J201+PLANNING!J201</f>
        <v>0</v>
      </c>
      <c r="K201" s="428">
        <f>+COUNCIL!K201+MAYOR!K201+SPEAKER!K201+MM!K201+CORP!K201+PROP!K201+RATES!K201+THALL!K201+FIN!K201+SOCIAL!K201+CEMETERY!K201+LIBRARIES!K202+HOUSING!L201+TRAFFIC!K201+PARKS!K201+REFUSE!K201+SEWAGE!K201+PWORKS!K201+WATER!K201+ELECTRIC!K201+PLANNING!K201</f>
        <v>0</v>
      </c>
    </row>
    <row r="202" spans="1:13" s="285" customFormat="1" x14ac:dyDescent="0.25">
      <c r="A202" s="468"/>
      <c r="B202" s="468"/>
      <c r="C202" s="94" t="s">
        <v>370</v>
      </c>
      <c r="D202" s="428">
        <f>+COUNCIL!D202+MAYOR!D202+SPEAKER!D202+MM!D202+CORP!D206+PROP!D202+RATES!D202+THALL!D202+FIN!D202+SOCIAL!D202+CEMETERY!D202+LIBRARIES!D202+HOUSING!D202+TRAFFIC!D202+PARKS!D202+REFUSE!D202+SEWAGE!D202+PWORKS!D202+WATER!D202+ELECTRIC!D202</f>
        <v>48772</v>
      </c>
      <c r="E202" s="428">
        <f>+COUNCIL!E202+MAYOR!E202+SPEAKER!E202+MM!E202+CORP!E206+PROP!E202+RATES!E202+THALL!E202+FIN!E202+SOCIAL!E202+CEMETERY!E202+LIBRARIES!E202+HOUSING!E202+TRAFFIC!E202+PARKS!E202+REFUSE!E202+SEWAGE!E202+PWORKS!E202+WATER!E202+ELECTRIC!E202</f>
        <v>-88190.13</v>
      </c>
      <c r="F202" s="428">
        <f>+COUNCIL!F202+MAYOR!F202+SPEAKER!F202+MM!F202+CORP!F206+PROP!F202+RATES!F202+THALL!F202+FIN!F202+SOCIAL!F202+CEMETERY!F202+LIBRARIES!F202+HOUSING!F202+TRAFFIC!F202+PARKS!F202+REFUSE!F202+SEWAGE!F202+PWORKS!F202+WATER!F202+ELECTRIC!F202</f>
        <v>-88190.13</v>
      </c>
      <c r="G202" s="428">
        <f>+COUNCIL!G202+MAYOR!G202+SPEAKER!G202+MM!G202+CORP!G206+PROP!G202+RATES!G202+THALL!G202+FIN!G202+SOCIAL!G202+CEMETERY!G202+LIBRARIES!G202+HOUSING!G202+TRAFFIC!G202+PARKS!G202+REFUSE!G202+SEWAGE!G202+PWORKS!G202+WATER!G202+ELECTRIC!G202</f>
        <v>-113128.13</v>
      </c>
      <c r="H202" s="428">
        <f>+COUNCIL!H202+MAYOR!H202+SPEAKER!H202+MM!H202+CORP!H206+PROP!H202+RATES!H202+THALL!H202+FIN!H202+SOCIAL!H202+CEMETERY!H202+LIBRARIES!H202+HOUSING!I202+TRAFFIC!H202+PARKS!H202+REFUSE!H202+SEWAGE!H202+PWORKS!H202+WATER!H202+ELECTRIC!H202</f>
        <v>-94051.099500000011</v>
      </c>
      <c r="I202" s="428">
        <f>+COUNCIL!I202+MAYOR!I202+SPEAKER!I202+MM!I202+CORP!I202+PROP!I202+RATES!I202+THALL!I202+FIN!I202+SOCIAL!I202+CEMETERY!I202+LIBRARIES!I203+HOUSING!J202+TRAFFIC!I202+PARKS!I202+REFUSE!I202+SEWAGE!I202+PWORKS!I202+WATER!I202+ELECTRIC!I202+PLANNING!I202</f>
        <v>6453.725856</v>
      </c>
      <c r="J202" s="428">
        <f>+COUNCIL!J202+MAYOR!J202+SPEAKER!J202+MM!J202+CORP!J202+PROP!J202+RATES!J202+THALL!J202+FIN!J202+SOCIAL!J202+CEMETERY!J202+LIBRARIES!J203+HOUSING!K202+TRAFFIC!J202+PARKS!J202+REFUSE!J202+SEWAGE!J202+PWORKS!J202+WATER!J202+ELECTRIC!J202+PLANNING!J202</f>
        <v>7533.68077808</v>
      </c>
      <c r="K202" s="428">
        <f>+COUNCIL!K202+MAYOR!K202+SPEAKER!K202+MM!K202+CORP!K202+PROP!K202+RATES!K202+THALL!K202+FIN!K202+SOCIAL!K202+CEMETERY!K202+LIBRARIES!K203+HOUSING!L202+TRAFFIC!K202+PARKS!K202+REFUSE!K202+SEWAGE!K202+PWORKS!K202+WATER!K202+ELECTRIC!K202+PLANNING!K202</f>
        <v>8614.9658593182394</v>
      </c>
    </row>
    <row r="203" spans="1:13" s="285" customFormat="1" x14ac:dyDescent="0.25">
      <c r="A203" s="468"/>
      <c r="B203" s="468"/>
      <c r="C203" s="94" t="s">
        <v>119</v>
      </c>
      <c r="D203" s="428">
        <f>+COUNCIL!D203+MAYOR!D203+SPEAKER!D203+MM!D203+CORP!D207+PROP!D203+RATES!D203+THALL!D203+FIN!D203+SOCIAL!D203+CEMETERY!D203+LIBRARIES!D203+HOUSING!D203+TRAFFIC!D203+PARKS!D203+REFUSE!D203+SEWAGE!D203+PWORKS!D203+WATER!D203+ELECTRIC!D203</f>
        <v>0</v>
      </c>
      <c r="E203" s="428">
        <f>+COUNCIL!E203+MAYOR!E203+SPEAKER!E203+MM!E203+CORP!E207+PROP!E203+RATES!E203+THALL!E203+FIN!E203+SOCIAL!E203+CEMETERY!E203+LIBRARIES!E203+HOUSING!E203+TRAFFIC!E203+PARKS!E203+REFUSE!E203+SEWAGE!E203+PWORKS!E203+WATER!E203+ELECTRIC!E203</f>
        <v>1249.1199999999999</v>
      </c>
      <c r="F203" s="428">
        <f>+COUNCIL!F203+MAYOR!F203+SPEAKER!F203+MM!F203+CORP!F207+PROP!F203+RATES!F203+THALL!F203+FIN!F203+SOCIAL!F203+CEMETERY!F203+LIBRARIES!F203+HOUSING!F203+TRAFFIC!F203+PARKS!F203+REFUSE!F203+SEWAGE!F203+PWORKS!F203+WATER!F203+ELECTRIC!F203</f>
        <v>1249.1199999999999</v>
      </c>
      <c r="G203" s="428">
        <f>+COUNCIL!G203+MAYOR!G203+SPEAKER!G203+MM!G203+CORP!G207+PROP!G203+RATES!G203+THALL!G203+FIN!G203+SOCIAL!G203+CEMETERY!G203+LIBRARIES!G203+HOUSING!G203+TRAFFIC!G203+PARKS!G203+REFUSE!G203+SEWAGE!G203+PWORKS!G203+WATER!G203+ELECTRIC!G203</f>
        <v>0</v>
      </c>
      <c r="H203" s="428">
        <f>+COUNCIL!H203+MAYOR!H203+SPEAKER!H203+MM!H203+CORP!H207+PROP!H203+RATES!H203+THALL!H203+FIN!H203+SOCIAL!H203+CEMETERY!H203+LIBRARIES!H203+HOUSING!I203+TRAFFIC!H203+PARKS!H203+REFUSE!H203+SEWAGE!H203+PWORKS!H203+WATER!H203+ELECTRIC!H203</f>
        <v>0</v>
      </c>
      <c r="I203" s="428">
        <f>+COUNCIL!I203+MAYOR!I203+SPEAKER!I203+MM!I203+CORP!I203+PROP!I203+RATES!I203+THALL!I203+FIN!I203+SOCIAL!I203+CEMETERY!I203+LIBRARIES!I204+HOUSING!J203+TRAFFIC!I203+PARKS!I203+REFUSE!I203+SEWAGE!I203+PWORKS!I203+WATER!I203+ELECTRIC!I203+PLANNING!I203</f>
        <v>0</v>
      </c>
      <c r="J203" s="428">
        <f>+COUNCIL!J203+MAYOR!J203+SPEAKER!J203+MM!J203+CORP!J203+PROP!J203+RATES!J203+THALL!J203+FIN!J203+SOCIAL!J203+CEMETERY!J203+LIBRARIES!J204+HOUSING!K203+TRAFFIC!J203+PARKS!J203+REFUSE!J203+SEWAGE!J203+PWORKS!J203+WATER!J203+ELECTRIC!J203+PLANNING!J203</f>
        <v>0</v>
      </c>
      <c r="K203" s="428">
        <f>+COUNCIL!K203+MAYOR!K203+SPEAKER!K203+MM!K203+CORP!K203+PROP!K203+RATES!K203+THALL!K203+FIN!K203+SOCIAL!K203+CEMETERY!K203+LIBRARIES!K204+HOUSING!L203+TRAFFIC!K203+PARKS!K203+REFUSE!K203+SEWAGE!K203+PWORKS!K203+WATER!K203+ELECTRIC!K203+PLANNING!K203</f>
        <v>0</v>
      </c>
    </row>
    <row r="204" spans="1:13" s="285" customFormat="1" x14ac:dyDescent="0.25">
      <c r="A204" s="468"/>
      <c r="B204" s="468"/>
      <c r="C204" s="94" t="s">
        <v>347</v>
      </c>
      <c r="D204" s="428">
        <f>+COUNCIL!D204+MAYOR!D204+SPEAKER!D204+MM!D204+CORP!D208+PROP!D204+RATES!D204+THALL!D204+FIN!D204+SOCIAL!D204+CEMETERY!D204+LIBRARIES!D204+HOUSING!D204+TRAFFIC!D204+PARKS!D204+REFUSE!D204+SEWAGE!D204+PWORKS!D204+WATER!D204+ELECTRIC!D204</f>
        <v>0</v>
      </c>
      <c r="E204" s="428">
        <f>+COUNCIL!E204+MAYOR!E204+SPEAKER!E204+MM!E204+CORP!E208+PROP!E204+RATES!E204+THALL!E204+FIN!E204+SOCIAL!E204+CEMETERY!E204+LIBRARIES!E204+HOUSING!E204+TRAFFIC!E204+PARKS!E204+REFUSE!E204+SEWAGE!E204+PWORKS!E204+WATER!E204+ELECTRIC!E204</f>
        <v>0</v>
      </c>
      <c r="F204" s="428">
        <f>+COUNCIL!F204+MAYOR!F204+SPEAKER!F204+MM!F204+CORP!F208+PROP!F204+RATES!F204+THALL!F204+FIN!F204+SOCIAL!F204+CEMETERY!F204+LIBRARIES!F204+HOUSING!F204+TRAFFIC!F204+PARKS!F204+REFUSE!F204+SEWAGE!F204+PWORKS!F204+WATER!F204+ELECTRIC!F204</f>
        <v>0</v>
      </c>
      <c r="G204" s="428">
        <f>+COUNCIL!G204+MAYOR!G204+SPEAKER!G204+MM!G204+CORP!G208+PROP!G204+RATES!G204+THALL!G204+FIN!G204+SOCIAL!G204+CEMETERY!G204+LIBRARIES!G204+HOUSING!G204+TRAFFIC!G204+PARKS!G204+REFUSE!G204+SEWAGE!G204+PWORKS!G204+WATER!G204+ELECTRIC!G204</f>
        <v>1</v>
      </c>
      <c r="H204" s="428">
        <f>+COUNCIL!H204+MAYOR!H204+SPEAKER!H204+MM!H204+CORP!H208+PROP!H204+RATES!H204+THALL!H204+FIN!H204+SOCIAL!H204+CEMETERY!H204+LIBRARIES!H204+HOUSING!I204+TRAFFIC!H204+PARKS!H204+REFUSE!H204+SEWAGE!H204+PWORKS!H204+WATER!H204+ELECTRIC!H204</f>
        <v>0</v>
      </c>
      <c r="I204" s="428">
        <f>+COUNCIL!I204+MAYOR!I204+SPEAKER!I204+MM!I204+CORP!I204+PROP!I204+RATES!I204+THALL!I204+FIN!I204+SOCIAL!I204+CEMETERY!I204+LIBRARIES!I205+HOUSING!J204+TRAFFIC!I204+PARKS!I204+REFUSE!I204+SEWAGE!I204+PWORKS!I204+WATER!I204+ELECTRIC!I204+PLANNING!I204</f>
        <v>0</v>
      </c>
      <c r="J204" s="428">
        <f>+COUNCIL!J204+MAYOR!J204+SPEAKER!J204+MM!J204+CORP!J204+PROP!J204+RATES!J204+THALL!J204+FIN!J204+SOCIAL!J204+CEMETERY!J204+LIBRARIES!J205+HOUSING!K204+TRAFFIC!J204+PARKS!J204+REFUSE!J204+SEWAGE!J204+PWORKS!J204+WATER!J204+ELECTRIC!J204+PLANNING!J204</f>
        <v>0</v>
      </c>
      <c r="K204" s="428">
        <f>+COUNCIL!K204+MAYOR!K204+SPEAKER!K204+MM!K204+CORP!K204+PROP!K204+RATES!K204+THALL!K204+FIN!K204+SOCIAL!K204+CEMETERY!K204+LIBRARIES!K205+HOUSING!L204+TRAFFIC!K204+PARKS!K204+REFUSE!K204+SEWAGE!K204+PWORKS!K204+WATER!K204+ELECTRIC!K204+PLANNING!K204</f>
        <v>0</v>
      </c>
    </row>
    <row r="205" spans="1:13" s="285" customFormat="1" x14ac:dyDescent="0.25">
      <c r="A205" s="468"/>
      <c r="B205" s="468"/>
      <c r="C205" s="94" t="s">
        <v>510</v>
      </c>
      <c r="D205" s="428">
        <f>+COUNCIL!D205+MAYOR!D205+SPEAKER!D205+MM!D205+CORP!D209+PROP!D205+RATES!D205+THALL!D205+FIN!D205+SOCIAL!D205+CEMETERY!D205+LIBRARIES!D205+HOUSING!D205+TRAFFIC!D205+PARKS!D205+REFUSE!D205+SEWAGE!D205+PWORKS!D205+WATER!D205+ELECTRIC!D205</f>
        <v>0</v>
      </c>
      <c r="E205" s="428">
        <f>+COUNCIL!E205+MAYOR!E205+SPEAKER!E205+MM!E205+CORP!E205+PROP!E205+RATES!E205+THALL!E205+FIN!E205+SOCIAL!E205+CEMETERY!E205+LIBRARIES!E205+HOUSING!E205+TRAFFIC!E205+PARKS!E205+REFUSE!E205+SEWAGE!E205+PWORKS!E205+WATER!E205+ELECTRIC!E205</f>
        <v>11600000</v>
      </c>
      <c r="F205" s="428">
        <f>+COUNCIL!F205+MAYOR!F205+SPEAKER!F205+MM!F205+CORP!F209+PROP!F205+RATES!F205+THALL!F205+FIN!F205+SOCIAL!F205+CEMETERY!F205+LIBRARIES!F205+HOUSING!F205+TRAFFIC!F205+PARKS!F205+REFUSE!F205+SEWAGE!F205+PWORKS!F205+WATER!F205+ELECTRIC!F205</f>
        <v>11600000</v>
      </c>
      <c r="G205" s="428">
        <f>+COUNCIL!G205+MAYOR!G205+SPEAKER!G205+MM!G205+CORP!G209+PROP!G205+RATES!G205+THALL!G205+FIN!G205+SOCIAL!G205+CEMETERY!G205+LIBRARIES!G205+HOUSING!G205+TRAFFIC!G205+PARKS!G205+REFUSE!G205+SEWAGE!G205+PWORKS!G205+WATER!G205+ELECTRIC!G205</f>
        <v>7524374</v>
      </c>
      <c r="H205" s="428">
        <f>+COUNCIL!H205+MAYOR!H205+SPEAKER!H205+MM!H205+CORP!H209+PROP!H205+RATES!H205+THALL!H205+FIN!H205+SOCIAL!H205+CEMETERY!H205+LIBRARIES!H205+HOUSING!I205+TRAFFIC!H205+PARKS!H205+REFUSE!H205+SEWAGE!H205+PWORKS!H205+WATER!H205+ELECTRIC!H205</f>
        <v>8276811.4000000004</v>
      </c>
      <c r="I205" s="428">
        <f>+COUNCIL!I205+MAYOR!I205+SPEAKER!I205+MM!I205+CORP!I205+PROP!I205+RATES!I205+THALL!I205+FIN!I205+SOCIAL!I205+CEMETERY!I205+LIBRARIES!I206+HOUSING!J205+TRAFFIC!I205+PARKS!I205+REFUSE!I205+SEWAGE!I205+PWORKS!I205+WATER!I205+ELECTRIC!I205+PLANNING!I205</f>
        <v>8756866.4612000007</v>
      </c>
      <c r="J205" s="428">
        <f>+COUNCIL!J205+MAYOR!J205+SPEAKER!J205+MM!J205+CORP!J205+PROP!J205+RATES!J205+THALL!J205+FIN!J205+SOCIAL!J205+CEMETERY!J205+LIBRARIES!J206+HOUSING!K205+TRAFFIC!J205+PARKS!J205+REFUSE!J205+SEWAGE!J205+PWORKS!J205+WATER!J205+ELECTRIC!J205+PLANNING!J205</f>
        <v>9238494.1165660005</v>
      </c>
      <c r="K205" s="428">
        <f>+COUNCIL!K205+MAYOR!K205+SPEAKER!K205+MM!K205+CORP!K205+PROP!K205+RATES!K205+THALL!K205+FIN!K205+SOCIAL!K205+CEMETERY!K205+LIBRARIES!K206+HOUSING!L205+TRAFFIC!K205+PARKS!K205+REFUSE!K205+SEWAGE!K205+PWORKS!K205+WATER!K205+ELECTRIC!K205+PLANNING!K205</f>
        <v>9728134.3047439978</v>
      </c>
    </row>
    <row r="206" spans="1:13" s="285" customFormat="1" x14ac:dyDescent="0.25">
      <c r="A206" s="468"/>
      <c r="B206" s="468"/>
      <c r="C206" s="94"/>
      <c r="D206" s="437">
        <f t="shared" ref="D206:K206" si="10">SUM(D176:D205)</f>
        <v>55417667.218900003</v>
      </c>
      <c r="E206" s="437">
        <f t="shared" si="10"/>
        <v>70561975.299211994</v>
      </c>
      <c r="F206" s="437">
        <f t="shared" si="10"/>
        <v>70941601.947211996</v>
      </c>
      <c r="G206" s="437">
        <f t="shared" si="10"/>
        <v>60819142.195211999</v>
      </c>
      <c r="H206" s="437">
        <f t="shared" si="10"/>
        <v>66976800.829733208</v>
      </c>
      <c r="I206" s="437">
        <f t="shared" si="10"/>
        <v>92679597.499151602</v>
      </c>
      <c r="J206" s="437">
        <f t="shared" si="10"/>
        <v>97819964.911621287</v>
      </c>
      <c r="K206" s="437">
        <f t="shared" si="10"/>
        <v>103068884.06584981</v>
      </c>
    </row>
    <row r="207" spans="1:13" s="285" customFormat="1" x14ac:dyDescent="0.25">
      <c r="A207" s="468"/>
      <c r="B207" s="468"/>
      <c r="C207" s="93" t="s">
        <v>66</v>
      </c>
      <c r="D207" s="444">
        <v>0</v>
      </c>
      <c r="E207" s="435"/>
      <c r="F207" s="435"/>
      <c r="G207" s="444"/>
      <c r="H207" s="435"/>
      <c r="I207" s="435"/>
      <c r="J207" s="435"/>
      <c r="K207" s="444"/>
    </row>
    <row r="208" spans="1:13" s="285" customFormat="1" x14ac:dyDescent="0.25">
      <c r="A208" s="468"/>
      <c r="B208" s="468"/>
      <c r="C208" s="94" t="s">
        <v>342</v>
      </c>
      <c r="D208" s="428">
        <f>+COUNCIL!D208+MAYOR!D208+SPEAKER!D208+MM!D208+CORP!D208+PROP!D208+RATES!D208+THALL!D208+FIN!D208+SOCIAL!D208+CEMETERY!D208+LIBRARIES!D208+HOUSING!D208+TRAFFIC!D208+PARKS!D208+REFUSE!D208+SEWAGE!D208+PWORKS!D208+WATER!D208+ELECTRIC!D208</f>
        <v>1386</v>
      </c>
      <c r="E208" s="428">
        <f>+COUNCIL!E208+MAYOR!E208+SPEAKER!E208+MM!E208+CORP!E208+PROP!E208+RATES!E208+THALL!E208+FIN!E208+SOCIAL!E208+CEMETERY!E208+LIBRARIES!E208+HOUSING!E208+TRAFFIC!E208+PARKS!E208+REFUSE!E208+SEWAGE!E208+PWORKS!E208+WATER!E208+ELECTRIC!E208</f>
        <v>1477</v>
      </c>
      <c r="F208" s="428">
        <f>+COUNCIL!F208+MAYOR!F208+SPEAKER!F208+MM!F208+CORP!F208+PROP!F208+RATES!F208+THALL!F208+FIN!F208+SOCIAL!F208+CEMETERY!F208+LIBRARIES!F208+HOUSING!F208+TRAFFIC!F208+PARKS!F208+REFUSE!F208+SEWAGE!F208+PWORKS!F208+WATER!F208+ELECTRIC!F208</f>
        <v>1478</v>
      </c>
      <c r="G208" s="428">
        <f>+COUNCIL!G208+MAYOR!G208+SPEAKER!G208+MM!G208+CORP!G208+PROP!G208+RATES!G208+THALL!G208+FIN!G208+SOCIAL!G208+CEMETERY!G208+LIBRARIES!G208+HOUSING!G208+TRAFFIC!G208+PARKS!G208+REFUSE!G208+SEWAGE!G208+PWORKS!G208+WATER!G208+ELECTRIC!G208</f>
        <v>1478</v>
      </c>
      <c r="H208" s="428">
        <f>+COUNCIL!H208+MAYOR!H208+SPEAKER!H208+MM!H208+CORP!H208+PROP!H208+RATES!H208+THALL!H208+FIN!H208+SOCIAL!H208+CEMETERY!H208+LIBRARIES!H208+HOUSING!I208+TRAFFIC!H208+PARKS!H208+REFUSE!H208+SEWAGE!H208+PWORKS!H208+WATER!H208+ELECTRIC!H208</f>
        <v>1478</v>
      </c>
      <c r="I208" s="428">
        <f>+COUNCIL!I208+MAYOR!I208+SPEAKER!I208+MM!I208+CORP!I208+PROP!I208+RATES!I208+THALL!I208+FIN!I208+SOCIAL!I208+CEMETERY!I208+LIBRARIES!I209+HOUSING!J208+TRAFFIC!I208+PARKS!I208+REFUSE!I208+SEWAGE!I208+PWORKS!I208+WATER!I208+ELECTRIC!I208+PLANNING!I208</f>
        <v>48433.426285714166</v>
      </c>
      <c r="J208" s="428">
        <f>+COUNCIL!J208+MAYOR!J208+SPEAKER!J208+MM!J208+CORP!J208+PROP!J208+RATES!J208+THALL!J208+FIN!J208+SOCIAL!J208+CEMETERY!J208+LIBRARIES!J209+HOUSING!K208+TRAFFIC!J208+PARKS!J208+REFUSE!J208+SEWAGE!J208+PWORKS!J208+WATER!J208+ELECTRIC!J208+PLANNING!J208</f>
        <v>51097.26473142844</v>
      </c>
      <c r="K208" s="428">
        <f>+COUNCIL!K208+MAYOR!K208+SPEAKER!K208+MM!K208+CORP!K208+PROP!K208+RATES!K208+THALL!K208+FIN!K208+SOCIAL!K208+CEMETERY!K208+LIBRARIES!K209+HOUSING!L208+TRAFFIC!K208+PARKS!K208+REFUSE!K208+SEWAGE!K208+PWORKS!K208+WATER!K208+ELECTRIC!K208+PLANNING!K208</f>
        <v>53805.419762194142</v>
      </c>
    </row>
    <row r="209" spans="1:11" s="285" customFormat="1" x14ac:dyDescent="0.25">
      <c r="A209" s="468"/>
      <c r="B209" s="468"/>
      <c r="C209" s="94" t="s">
        <v>344</v>
      </c>
      <c r="D209" s="428">
        <f>+COUNCIL!D209+MAYOR!D209+SPEAKER!D209+MM!D209+CORP!D209+PROP!D209+RATES!D209+THALL!D209+FIN!D209+SOCIAL!D209+CEMETERY!D209+LIBRARIES!D209+HOUSING!D209+TRAFFIC!D209+PARKS!D209+REFUSE!D209+SEWAGE!D209+PWORKS!D209+WATER!D209+ELECTRIC!D209</f>
        <v>41284</v>
      </c>
      <c r="E209" s="428">
        <f>+COUNCIL!E209+MAYOR!E209+SPEAKER!E209+MM!E209+CORP!E209+PROP!E209+RATES!E209+THALL!E209+FIN!E209+SOCIAL!E209+CEMETERY!E209+LIBRARIES!E209+HOUSING!E209+TRAFFIC!E209+PARKS!E209+REFUSE!E209+SEWAGE!E209+PWORKS!E209+WATER!E209+ELECTRIC!E209</f>
        <v>43595.904000000002</v>
      </c>
      <c r="F209" s="428">
        <f>+COUNCIL!F209+MAYOR!F209+SPEAKER!F209+MM!F209+CORP!F209+PROP!F209+RATES!F209+THALL!F209+FIN!F209+SOCIAL!F209+CEMETERY!F209+LIBRARIES!F209+HOUSING!F209+TRAFFIC!F209+PARKS!F209+REFUSE!F209+SEWAGE!F209+PWORKS!F209+WATER!F209+ELECTRIC!F209</f>
        <v>43595.904000000002</v>
      </c>
      <c r="G209" s="428">
        <f>+COUNCIL!G209+MAYOR!G209+SPEAKER!G209+MM!G209+CORP!G209+PROP!G209+RATES!G209+THALL!G209+FIN!G209+SOCIAL!G209+CEMETERY!G209+LIBRARIES!G209+HOUSING!G209+TRAFFIC!G209+PARKS!G209+REFUSE!G209+SEWAGE!G209+PWORKS!G209+WATER!G209+ELECTRIC!G209</f>
        <v>43595.904000000002</v>
      </c>
      <c r="H209" s="428">
        <f>+COUNCIL!H209+MAYOR!H209+SPEAKER!H209+MM!H209+CORP!H209+PROP!H209+RATES!H209+THALL!H209+FIN!H209+SOCIAL!H209+CEMETERY!H209+LIBRARIES!H209+HOUSING!I209+TRAFFIC!H209+PARKS!H209+REFUSE!H209+SEWAGE!H209+PWORKS!H209+WATER!H209+ELECTRIC!H209</f>
        <v>136607.37299999999</v>
      </c>
      <c r="I209" s="428">
        <f>+COUNCIL!I209+MAYOR!I209+SPEAKER!I209+MM!I209+CORP!I209+PROP!I209+RATES!I209+THALL!I209+FIN!I209+SOCIAL!I209+CEMETERY!I209+LIBRARIES!I210+HOUSING!J209+TRAFFIC!I209+PARKS!I209+REFUSE!I209+SEWAGE!I209+PWORKS!I209+WATER!I209+ELECTRIC!I209+PLANNING!I209</f>
        <v>144120.77851499998</v>
      </c>
      <c r="J209" s="428">
        <f>+COUNCIL!J209+MAYOR!J209+SPEAKER!J209+MM!J209+CORP!J209+PROP!J209+RATES!J209+THALL!J209+FIN!J209+SOCIAL!J209+CEMETERY!J209+LIBRARIES!J210+HOUSING!K209+TRAFFIC!J209+PARKS!J209+REFUSE!J209+SEWAGE!J209+PWORKS!J209+WATER!J209+ELECTRIC!J209+PLANNING!J209</f>
        <v>151759.17977629497</v>
      </c>
      <c r="K209" s="428">
        <f>+COUNCIL!K209+MAYOR!K209+SPEAKER!K209+MM!K209+CORP!K209+PROP!K209+RATES!K209+THALL!K209+FIN!K209+SOCIAL!K209+CEMETERY!K209+LIBRARIES!K210+HOUSING!L209+TRAFFIC!K209+PARKS!K209+REFUSE!K209+SEWAGE!K209+PWORKS!K209+WATER!K209+ELECTRIC!K209+PLANNING!K209</f>
        <v>0</v>
      </c>
    </row>
    <row r="210" spans="1:11" s="285" customFormat="1" x14ac:dyDescent="0.25">
      <c r="A210" s="468"/>
      <c r="B210" s="468"/>
      <c r="C210" s="94" t="s">
        <v>345</v>
      </c>
      <c r="D210" s="428">
        <f>+COUNCIL!D210+MAYOR!D210+SPEAKER!D210+MM!D210+CORP!D210+PROP!D210+RATES!D210+THALL!D210+FIN!D210+SOCIAL!D210+CEMETERY!D210+LIBRARIES!D210+HOUSING!D210+TRAFFIC!D210+PARKS!D210+REFUSE!D210+SEWAGE!D210+PWORKS!D210+WATER!D210+ELECTRIC!D210</f>
        <v>0</v>
      </c>
      <c r="E210" s="428">
        <f>+COUNCIL!E210+MAYOR!E210+SPEAKER!E210+MM!E210+CORP!E210+PROP!E210+RATES!E210+THALL!E210+FIN!E210+SOCIAL!E210+CEMETERY!E210+LIBRARIES!E210+HOUSING!E210+TRAFFIC!E210+PARKS!E210+REFUSE!E210+SEWAGE!E210+PWORKS!E210+WATER!E210+ELECTRIC!E210</f>
        <v>0</v>
      </c>
      <c r="F210" s="428">
        <f>+COUNCIL!F210+MAYOR!F210+SPEAKER!F210+MM!F210+CORP!F210+PROP!F210+RATES!F210+THALL!F210+FIN!F210+SOCIAL!F210+CEMETERY!F210+LIBRARIES!F210+HOUSING!F210+TRAFFIC!F210+PARKS!F210+REFUSE!F210+SEWAGE!F210+PWORKS!F210+WATER!F210+ELECTRIC!F210</f>
        <v>0</v>
      </c>
      <c r="G210" s="428">
        <f>+COUNCIL!G210+MAYOR!G210+SPEAKER!G210+MM!G210+CORP!G210+PROP!G210+RATES!G210+THALL!G210+FIN!G210+SOCIAL!G210+CEMETERY!G210+LIBRARIES!G210+HOUSING!G210+TRAFFIC!G210+PARKS!G210+REFUSE!G210+SEWAGE!G210+PWORKS!G210+WATER!G210+ELECTRIC!G210</f>
        <v>0</v>
      </c>
      <c r="H210" s="428">
        <f>+COUNCIL!H210+MAYOR!H210+SPEAKER!H210+MM!H210+CORP!H210+PROP!H210+RATES!H210+THALL!H210+FIN!H210+SOCIAL!H210+CEMETERY!H210+LIBRARIES!H210+HOUSING!I210+TRAFFIC!H210+PARKS!H210+REFUSE!H210+SEWAGE!H210+PWORKS!H210+WATER!H210+ELECTRIC!H210</f>
        <v>0</v>
      </c>
      <c r="I210" s="428">
        <f>+COUNCIL!I210+MAYOR!I210+SPEAKER!I210+MM!I210+CORP!I210+PROP!I210+RATES!I210+THALL!I210+FIN!I210+SOCIAL!I210+CEMETERY!I210+LIBRARIES!I211+HOUSING!J210+TRAFFIC!I210+PARKS!I210+REFUSE!I210+SEWAGE!I210+PWORKS!I210+WATER!I210+ELECTRIC!I210+PLANNING!I210</f>
        <v>0</v>
      </c>
      <c r="J210" s="428">
        <f>+COUNCIL!J210+MAYOR!J210+SPEAKER!J210+MM!J210+CORP!J210+PROP!J210+RATES!J210+THALL!J210+FIN!J210+SOCIAL!J210+CEMETERY!J210+LIBRARIES!J211+HOUSING!K210+TRAFFIC!J210+PARKS!J210+REFUSE!J210+SEWAGE!J210+PWORKS!J210+WATER!J210+ELECTRIC!J210+PLANNING!J210</f>
        <v>0</v>
      </c>
      <c r="K210" s="428">
        <f>+COUNCIL!K210+MAYOR!K210+SPEAKER!K210+MM!K210+CORP!K210+PROP!K210+RATES!K210+THALL!K210+FIN!K210+SOCIAL!K210+CEMETERY!K210+LIBRARIES!K211+HOUSING!L210+TRAFFIC!K210+PARKS!K210+REFUSE!K210+SEWAGE!K210+PWORKS!K210+WATER!K210+ELECTRIC!K210+PLANNING!K210</f>
        <v>0</v>
      </c>
    </row>
    <row r="211" spans="1:11" s="285" customFormat="1" x14ac:dyDescent="0.25">
      <c r="A211" s="468"/>
      <c r="B211" s="468"/>
      <c r="C211" s="94" t="s">
        <v>346</v>
      </c>
      <c r="D211" s="428">
        <f>+COUNCIL!D211+MAYOR!D211+SPEAKER!D211+MM!D211+CORP!D211+PROP!D211+RATES!D211+THALL!D211+FIN!D211+SOCIAL!D211+CEMETERY!D211+LIBRARIES!D211+HOUSING!D211+TRAFFIC!D211+PARKS!D211+REFUSE!D211+SEWAGE!D211+PWORKS!D211+WATER!D211+ELECTRIC!D211</f>
        <v>4650</v>
      </c>
      <c r="E211" s="428">
        <f>+COUNCIL!E211+MAYOR!E211+SPEAKER!E211+MM!E211+CORP!E211+PROP!E211+RATES!E211+THALL!E211+FIN!E211+SOCIAL!E211+CEMETERY!E211+LIBRARIES!E211+HOUSING!E211+TRAFFIC!E211+PARKS!E211+REFUSE!E211+SEWAGE!E211+PWORKS!E211+WATER!E211+ELECTRIC!E211</f>
        <v>4905.75</v>
      </c>
      <c r="F211" s="428">
        <f>+COUNCIL!F211+MAYOR!F211+SPEAKER!F211+MM!F211+CORP!F211+PROP!F211+RATES!F211+THALL!F211+FIN!F211+SOCIAL!F211+CEMETERY!F211+LIBRARIES!F211+HOUSING!F211+TRAFFIC!F211+PARKS!F211+REFUSE!F211+SEWAGE!F211+PWORKS!F211+WATER!F211+ELECTRIC!F211</f>
        <v>4905.75</v>
      </c>
      <c r="G211" s="428">
        <f>+COUNCIL!G211+MAYOR!G211+SPEAKER!G211+MM!G211+CORP!G211+PROP!G211+RATES!G211+THALL!G211+FIN!G211+SOCIAL!G211+CEMETERY!G211+LIBRARIES!G211+HOUSING!G211+TRAFFIC!G211+PARKS!G211+REFUSE!G211+SEWAGE!G211+PWORKS!G211+WATER!G211+ELECTRIC!G211</f>
        <v>4906.75</v>
      </c>
      <c r="H211" s="428">
        <f>+COUNCIL!H211+MAYOR!H211+SPEAKER!H211+MM!H211+CORP!H211+PROP!H211+RATES!H211+THALL!H211+FIN!H211+SOCIAL!H211+CEMETERY!H211+LIBRARIES!H211+HOUSING!I211+TRAFFIC!H211+PARKS!H211+REFUSE!H211+SEWAGE!H211+PWORKS!H211+WATER!H211+ELECTRIC!H211</f>
        <v>4905.75</v>
      </c>
      <c r="I211" s="428">
        <f>+COUNCIL!I211+MAYOR!I211+SPEAKER!I211+MM!I211+CORP!I211+PROP!I211+RATES!I211+THALL!I211+FIN!I211+SOCIAL!I211+CEMETERY!I211+LIBRARIES!I212+HOUSING!J211+TRAFFIC!I211+PARKS!I211+REFUSE!I211+SEWAGE!I211+PWORKS!I211+WATER!I211+ELECTRIC!I211+PLANNING!I211</f>
        <v>3500</v>
      </c>
      <c r="J211" s="428">
        <f>+COUNCIL!J211+MAYOR!J211+SPEAKER!J211+MM!J211+CORP!J211+PROP!J211+RATES!J211+THALL!J211+FIN!J211+SOCIAL!J211+CEMETERY!J211+LIBRARIES!J212+HOUSING!K211+TRAFFIC!J211+PARKS!J211+REFUSE!J211+SEWAGE!J211+PWORKS!J211+WATER!J211+ELECTRIC!J211+PLANNING!J211</f>
        <v>3700</v>
      </c>
      <c r="K211" s="428">
        <f>+COUNCIL!K211+MAYOR!K211+SPEAKER!K211+MM!K211+CORP!K211+PROP!K211+RATES!K211+THALL!K211+FIN!K211+SOCIAL!K211+CEMETERY!K211+LIBRARIES!K212+HOUSING!L211+TRAFFIC!K211+PARKS!K211+REFUSE!K211+SEWAGE!K211+PWORKS!K211+WATER!K211+ELECTRIC!K211+PLANNING!K211</f>
        <v>3900</v>
      </c>
    </row>
    <row r="212" spans="1:11" s="285" customFormat="1" x14ac:dyDescent="0.25">
      <c r="A212" s="468"/>
      <c r="B212" s="468"/>
      <c r="C212" s="94"/>
      <c r="D212" s="436">
        <f t="shared" ref="D212:K212" si="11">D208+D209+D210+D211</f>
        <v>47320</v>
      </c>
      <c r="E212" s="436">
        <f t="shared" si="11"/>
        <v>49978.654000000002</v>
      </c>
      <c r="F212" s="436">
        <f t="shared" si="11"/>
        <v>49979.654000000002</v>
      </c>
      <c r="G212" s="436">
        <f t="shared" si="11"/>
        <v>49980.654000000002</v>
      </c>
      <c r="H212" s="436">
        <f t="shared" si="11"/>
        <v>142991.12299999999</v>
      </c>
      <c r="I212" s="436">
        <f t="shared" si="11"/>
        <v>196054.20480071416</v>
      </c>
      <c r="J212" s="436">
        <f t="shared" si="11"/>
        <v>206556.44450772341</v>
      </c>
      <c r="K212" s="436">
        <f t="shared" si="11"/>
        <v>57705.419762194142</v>
      </c>
    </row>
    <row r="213" spans="1:11" s="285" customFormat="1" x14ac:dyDescent="0.25">
      <c r="A213" s="468"/>
      <c r="B213" s="468"/>
      <c r="C213" s="93" t="s">
        <v>67</v>
      </c>
      <c r="D213" s="444"/>
      <c r="E213" s="435"/>
      <c r="F213" s="435"/>
      <c r="G213" s="444"/>
      <c r="H213" s="435"/>
      <c r="I213" s="435"/>
      <c r="J213" s="435"/>
      <c r="K213" s="334"/>
    </row>
    <row r="214" spans="1:11" s="285" customFormat="1" x14ac:dyDescent="0.25">
      <c r="A214" s="468"/>
      <c r="B214" s="468"/>
      <c r="C214" s="94" t="s">
        <v>68</v>
      </c>
      <c r="D214" s="428">
        <f>+COUNCIL!D214+MAYOR!D214+SPEAKER!D214+MM!D214+CORP!D214+PROP!D214+RATES!D214+THALL!D214+FIN!D214+SOCIAL!D214+CEMETERY!D214+LIBRARIES!D214+HOUSING!D214+TRAFFIC!D214+PARKS!D214+REFUSE!D214+SEWAGE!D214+PWORKS!D214+WATER!D214+ELECTRIC!D214</f>
        <v>1134</v>
      </c>
      <c r="E214" s="428">
        <f>+COUNCIL!E214+MAYOR!E214+SPEAKER!E214+MM!E214+CORP!E214+PROP!E214+RATES!E214+THALL!E214+FIN!E214+SOCIAL!E214+CEMETERY!E214+LIBRARIES!E214+HOUSING!E214+TRAFFIC!E214+PARKS!E214+REFUSE!E214+SEWAGE!E214+PWORKS!E214+WATER!E214+ELECTRIC!E214</f>
        <v>1197.5040000000001</v>
      </c>
      <c r="F214" s="428">
        <f>+COUNCIL!F214+MAYOR!F214+SPEAKER!F214+MM!F214+CORP!F214+PROP!F214+RATES!F214+THALL!F214+FIN!F214+SOCIAL!F214+CEMETERY!F214+LIBRARIES!F214+HOUSING!F214+TRAFFIC!F214+PARKS!F214+REFUSE!F214+SEWAGE!F214+PWORKS!F214+WATER!F214+ELECTRIC!F214</f>
        <v>1197.5040000000001</v>
      </c>
      <c r="G214" s="428">
        <f>+COUNCIL!G214+MAYOR!G214+SPEAKER!G214+MM!G214+CORP!G214+PROP!G214+RATES!G214+THALL!G214+FIN!G214+SOCIAL!G214+CEMETERY!G214+LIBRARIES!G214+HOUSING!G214+TRAFFIC!G214+PARKS!G214+REFUSE!G214+SEWAGE!G214+PWORKS!G214+WATER!G214+ELECTRIC!G214</f>
        <v>1197.5040000000001</v>
      </c>
      <c r="H214" s="428">
        <f>+COUNCIL!H214+MAYOR!H214+SPEAKER!H214+MM!H214+CORP!H214+PROP!H214+RATES!H214+THALL!H214+FIN!H214+SOCIAL!H214+CEMETERY!H214+LIBRARIES!H214+HOUSING!I214+TRAFFIC!H214+PARKS!H214+REFUSE!H214+SEWAGE!H214+PWORKS!H214+WATER!H214+ELECTRIC!H214</f>
        <v>2500</v>
      </c>
      <c r="I214" s="428">
        <f>+COUNCIL!I214+MAYOR!I214+SPEAKER!I214+MM!I214+CORP!I214+PROP!I214+RATES!I214+THALL!I214+FIN!I214+SOCIAL!I214+CEMETERY!I214+LIBRARIES!I215+HOUSING!J214+TRAFFIC!I214+PARKS!I214+REFUSE!I214+SEWAGE!I214+PWORKS!I214+WATER!I214+ELECTRIC!I214+PLANNING!I214</f>
        <v>764415.27771428379</v>
      </c>
      <c r="J214" s="428">
        <f>+COUNCIL!J214+MAYOR!J214+SPEAKER!J214+MM!J214+CORP!J214+PROP!J214+RATES!J214+THALL!J214+FIN!J214+SOCIAL!J214+CEMETERY!J214+LIBRARIES!J215+HOUSING!K214+TRAFFIC!J214+PARKS!J214+REFUSE!J214+SEWAGE!J214+PWORKS!J214+WATER!J214+ELECTRIC!J214+PLANNING!J214</f>
        <v>806458.11798856931</v>
      </c>
      <c r="K214" s="428">
        <f>+COUNCIL!K214+MAYOR!K214+SPEAKER!K214+MM!K214+CORP!K214+PROP!K214+RATES!K214+THALL!K214+FIN!K214+SOCIAL!K214+CEMETERY!K214+LIBRARIES!K215+HOUSING!L214+TRAFFIC!K214+PARKS!K214+REFUSE!K214+SEWAGE!K214+PWORKS!K214+WATER!K214+ELECTRIC!K214+PLANNING!K214</f>
        <v>849200.39824196347</v>
      </c>
    </row>
    <row r="215" spans="1:11" s="285" customFormat="1" x14ac:dyDescent="0.25">
      <c r="A215" s="468"/>
      <c r="B215" s="468"/>
      <c r="C215" s="94" t="s">
        <v>69</v>
      </c>
      <c r="D215" s="428">
        <f>+COUNCIL!D215+MAYOR!D215+SPEAKER!D215+MM!D215+CORP!D215+PROP!D215+RATES!D215+THALL!D215+FIN!D215+SOCIAL!D215+CEMETERY!D215+LIBRARIES!D215+HOUSING!D215+TRAFFIC!D215+PARKS!D215+REFUSE!D215+SEWAGE!D215+PWORKS!D215+WATER!D215+ELECTRIC!D215</f>
        <v>320322</v>
      </c>
      <c r="E215" s="428">
        <f>+COUNCIL!E215+MAYOR!E215+SPEAKER!E215+MM!E215+CORP!E215+PROP!E215+RATES!E215+THALL!E215+FIN!E215+SOCIAL!E215+CEMETERY!E215+LIBRARIES!E215+HOUSING!E215+TRAFFIC!E215+PARKS!E215+REFUSE!E215+SEWAGE!E215+PWORKS!E215+WATER!E215+ELECTRIC!E215</f>
        <v>338260.03200000001</v>
      </c>
      <c r="F215" s="428">
        <f>+COUNCIL!F215+MAYOR!F215+SPEAKER!F215+MM!F215+CORP!F215+PROP!F215+RATES!F215+THALL!F215+FIN!F215+SOCIAL!F215+CEMETERY!F215+LIBRARIES!F215+HOUSING!F215+TRAFFIC!F215+PARKS!F215+REFUSE!F215+SEWAGE!F215+PWORKS!F215+WATER!F215+ELECTRIC!F215</f>
        <v>17938.032000000007</v>
      </c>
      <c r="G215" s="428">
        <f>+COUNCIL!G215+MAYOR!G215+SPEAKER!G215+MM!G215+CORP!G215+PROP!G215+RATES!G215+THALL!G215+FIN!G215+SOCIAL!G215+CEMETERY!G215+LIBRARIES!G215+HOUSING!G215+TRAFFIC!G215+PARKS!G215+REFUSE!G215+SEWAGE!G215+PWORKS!G215+WATER!G215+ELECTRIC!G215</f>
        <v>17938.032000000007</v>
      </c>
      <c r="H215" s="428">
        <f>+COUNCIL!H215+MAYOR!H215+SPEAKER!H215+MM!H215+CORP!H215+PROP!H215+RATES!H215+THALL!H215+FIN!H215+SOCIAL!H215+CEMETERY!H215+LIBRARIES!H215+HOUSING!I215+TRAFFIC!H215+PARKS!H215+REFUSE!H215+SEWAGE!H215+PWORKS!H215+WATER!H215+ELECTRIC!H215</f>
        <v>19731.835200000009</v>
      </c>
      <c r="I215" s="428">
        <f>+COUNCIL!I215+MAYOR!I215+SPEAKER!I215+MM!I215+CORP!I215+PROP!I215+RATES!I215+THALL!I215+FIN!I215+SOCIAL!I215+CEMETERY!I215+LIBRARIES!I216+HOUSING!J215+TRAFFIC!I215+PARKS!I215+REFUSE!I215+SEWAGE!I215+PWORKS!I215+WATER!I215+ELECTRIC!I215+PLANNING!I215</f>
        <v>20876.28164160001</v>
      </c>
      <c r="J215" s="428">
        <f>+COUNCIL!J215+MAYOR!J215+SPEAKER!J215+MM!J215+CORP!J215+PROP!J215+RATES!J215+THALL!J215+FIN!J215+SOCIAL!J215+CEMETERY!J215+LIBRARIES!J216+HOUSING!K215+TRAFFIC!J215+PARKS!J215+REFUSE!J215+SEWAGE!J215+PWORKS!J215+WATER!J215+ELECTRIC!J215+PLANNING!J215</f>
        <v>22024.477131888008</v>
      </c>
      <c r="K215" s="428">
        <f>+COUNCIL!K215+MAYOR!K215+SPEAKER!K215+MM!K215+CORP!K215+PROP!K215+RATES!K215+THALL!K215+FIN!K215+SOCIAL!K215+CEMETERY!K215+LIBRARIES!K216+HOUSING!L215+TRAFFIC!K215+PARKS!K215+REFUSE!K215+SEWAGE!K215+PWORKS!K215+WATER!K215+ELECTRIC!K215+PLANNING!K215</f>
        <v>23191.774419878071</v>
      </c>
    </row>
    <row r="216" spans="1:11" s="285" customFormat="1" x14ac:dyDescent="0.25">
      <c r="A216" s="468"/>
      <c r="B216" s="468"/>
      <c r="C216" s="94"/>
      <c r="D216" s="436">
        <f t="shared" ref="D216:K216" si="12">SUM(D214:D215)</f>
        <v>321456</v>
      </c>
      <c r="E216" s="436">
        <f t="shared" si="12"/>
        <v>339457.53600000002</v>
      </c>
      <c r="F216" s="436">
        <f t="shared" si="12"/>
        <v>19135.536000000007</v>
      </c>
      <c r="G216" s="436">
        <f t="shared" si="12"/>
        <v>19135.536000000007</v>
      </c>
      <c r="H216" s="436">
        <f t="shared" si="12"/>
        <v>22231.835200000009</v>
      </c>
      <c r="I216" s="436">
        <f t="shared" si="12"/>
        <v>785291.55935588374</v>
      </c>
      <c r="J216" s="436">
        <f t="shared" si="12"/>
        <v>828482.59512045735</v>
      </c>
      <c r="K216" s="436">
        <f t="shared" si="12"/>
        <v>872392.1726618415</v>
      </c>
    </row>
    <row r="217" spans="1:11" s="285" customFormat="1" x14ac:dyDescent="0.25">
      <c r="A217" s="468"/>
      <c r="B217" s="468"/>
      <c r="C217" s="93" t="s">
        <v>70</v>
      </c>
      <c r="D217" s="444"/>
      <c r="E217" s="435"/>
      <c r="F217" s="435"/>
      <c r="G217" s="444"/>
      <c r="H217" s="435"/>
      <c r="I217" s="435"/>
      <c r="J217" s="435"/>
      <c r="K217" s="334"/>
    </row>
    <row r="218" spans="1:11" s="285" customFormat="1" x14ac:dyDescent="0.25">
      <c r="A218" s="468"/>
      <c r="B218" s="468"/>
      <c r="C218" s="94" t="s">
        <v>106</v>
      </c>
      <c r="D218" s="428">
        <f>+COUNCIL!D218+MAYOR!D218+SPEAKER!D218+MM!D218+CORP!D218+PROP!D218+RATES!D218+THALL!D218+FIN!D218+SOCIAL!D218+CEMETERY!D218+LIBRARIES!D218+HOUSING!D218+TRAFFIC!D218+PARKS!D218+REFUSE!D218+SEWAGE!D218+PWORKS!D218+WATER!D218+ELECTRIC!D218</f>
        <v>12500000</v>
      </c>
      <c r="E218" s="428">
        <f>+COUNCIL!E218+MAYOR!E218+SPEAKER!E218+MM!E218+CORP!E218+PROP!E218+RATES!E218+THALL!E218+FIN!E218+SOCIAL!E218+CEMETERY!E218+LIBRARIES!E218+HOUSING!E218+TRAFFIC!E218+PARKS!E218+REFUSE!E218+SEWAGE!E218+PWORKS!E218+WATER!E218+ELECTRIC!E218</f>
        <v>13200000</v>
      </c>
      <c r="F218" s="428">
        <f>+COUNCIL!F218+MAYOR!F218+SPEAKER!F218+MM!F218+CORP!F218+PROP!F218+RATES!F218+THALL!F218+FIN!F218+SOCIAL!F218+CEMETERY!F218+LIBRARIES!F218+HOUSING!F218+TRAFFIC!F218+PARKS!F218+REFUSE!F218+SEWAGE!F218+PWORKS!F218+WATER!F218+ELECTRIC!F218</f>
        <v>6000000</v>
      </c>
      <c r="G218" s="428">
        <f>+COUNCIL!G218+MAYOR!G218+SPEAKER!G218+MM!G218+CORP!G218+PROP!G218+RATES!G218+THALL!G218+FIN!G218+SOCIAL!G218+CEMETERY!G218+LIBRARIES!G218+HOUSING!G218+TRAFFIC!G218+PARKS!G218+REFUSE!G218+SEWAGE!G218+PWORKS!G218+WATER!G218+ELECTRIC!G218</f>
        <v>6000000</v>
      </c>
      <c r="H218" s="428">
        <f>+COUNCIL!H218+MAYOR!H218+SPEAKER!H218+MM!H218+CORP!H218+PROP!H218+RATES!H218+THALL!H218+FIN!H218+SOCIAL!H218+CEMETERY!H218+LIBRARIES!H218+HOUSING!I218+TRAFFIC!H218+PARKS!H218+REFUSE!H218+SEWAGE!H218+PWORKS!H218+WATER!H218+ELECTRIC!H218</f>
        <v>7500000</v>
      </c>
      <c r="I218" s="428">
        <f>+COUNCIL!I218+MAYOR!I218+SPEAKER!I218+MM!I218+CORP!I218+PROP!I218+RATES!I218+THALL!I218+FIN!I218+SOCIAL!I218+CEMETERY!I218+LIBRARIES!I219+HOUSING!J218+TRAFFIC!I218+PARKS!I218+REFUSE!I218+SEWAGE!I218+PWORKS!I218+WATER!I218+ELECTRIC!I218+PLANNING!I218</f>
        <v>12090816.594000001</v>
      </c>
      <c r="J218" s="428">
        <f>+COUNCIL!J218+MAYOR!J218+SPEAKER!J218+MM!J218+CORP!J218+PROP!J218+RATES!J218+THALL!J218+FIN!J218+SOCIAL!J218+CEMETERY!J218+LIBRARIES!J219+HOUSING!K218+TRAFFIC!J218+PARKS!J218+REFUSE!J218+SEWAGE!J218+PWORKS!J218+WATER!J218+ELECTRIC!J218+PLANNING!J218</f>
        <v>12755811.50667</v>
      </c>
      <c r="K218" s="428">
        <f>+COUNCIL!K218+MAYOR!K218+SPEAKER!K218+MM!K218+CORP!K218+PROP!K218+RATES!K218+THALL!K218+FIN!K218+SOCIAL!K218+CEMETERY!K218+LIBRARIES!K219+HOUSING!L218+TRAFFIC!K218+PARKS!K218+REFUSE!K218+SEWAGE!K218+PWORKS!K218+WATER!K218+ELECTRIC!K218+PLANNING!K218</f>
        <v>13431869.516523508</v>
      </c>
    </row>
    <row r="219" spans="1:11" s="285" customFormat="1" x14ac:dyDescent="0.25">
      <c r="A219" s="468"/>
      <c r="B219" s="468"/>
      <c r="C219" s="94" t="s">
        <v>71</v>
      </c>
      <c r="D219" s="428">
        <f>+COUNCIL!D219+MAYOR!D219+SPEAKER!D219+MM!D219+CORP!D219+PROP!D219+RATES!D219+THALL!D219+FIN!D219+SOCIAL!D219+CEMETERY!D219+LIBRARIES!D219+HOUSING!D219+TRAFFIC!D219+PARKS!D219+REFUSE!D219+SEWAGE!D219+PWORKS!D219+WATER!D219+ELECTRIC!D219</f>
        <v>0</v>
      </c>
      <c r="E219" s="428">
        <f>+COUNCIL!E219+MAYOR!E219+SPEAKER!E219+MM!E219+CORP!E219+PROP!E219+RATES!E219+THALL!E219+FIN!E219+SOCIAL!E219+CEMETERY!E219+LIBRARIES!E219+HOUSING!E219+TRAFFIC!E219+PARKS!E219+REFUSE!E219+SEWAGE!E219+PWORKS!E219+WATER!E219+ELECTRIC!E219</f>
        <v>0</v>
      </c>
      <c r="F219" s="428">
        <f>+COUNCIL!F219+MAYOR!F219+SPEAKER!F219+MM!F219+CORP!F219+PROP!F219+RATES!F219+THALL!F219+FIN!F219+SOCIAL!F219+CEMETERY!F219+LIBRARIES!F219+HOUSING!F219+TRAFFIC!F219+PARKS!F219+REFUSE!F219+SEWAGE!F219+PWORKS!F219+WATER!F219+ELECTRIC!F219</f>
        <v>0</v>
      </c>
      <c r="G219" s="428">
        <f>+COUNCIL!G219+MAYOR!G219+SPEAKER!G219+MM!G219+CORP!G219+PROP!G219+RATES!G219+THALL!G219+FIN!G219+SOCIAL!G219+CEMETERY!G219+LIBRARIES!G219+HOUSING!G219+TRAFFIC!G219+PARKS!G219+REFUSE!G219+SEWAGE!G219+PWORKS!G219+WATER!G219+ELECTRIC!G219</f>
        <v>0</v>
      </c>
      <c r="H219" s="428">
        <f>+COUNCIL!H219+MAYOR!H219+SPEAKER!H219+MM!H219+CORP!H219+PROP!H219+RATES!H219+THALL!H219+FIN!H219+SOCIAL!H219+CEMETERY!H219+LIBRARIES!H219+HOUSING!I219+TRAFFIC!H219+PARKS!H219+REFUSE!H219+SEWAGE!H219+PWORKS!H219+WATER!H219+ELECTRIC!H219</f>
        <v>0</v>
      </c>
      <c r="I219" s="428">
        <f>+COUNCIL!I219+MAYOR!I219+SPEAKER!I219+MM!I219+CORP!I219+PROP!I219+RATES!I219+THALL!I219+FIN!I219+SOCIAL!I219+CEMETERY!I219+LIBRARIES!I220+HOUSING!J219+TRAFFIC!I219+PARKS!I219+REFUSE!I219+SEWAGE!I219+PWORKS!I219+WATER!I219+ELECTRIC!I219+PLANNING!I219</f>
        <v>0</v>
      </c>
      <c r="J219" s="428">
        <f>+COUNCIL!J219+MAYOR!J219+SPEAKER!J219+MM!J219+CORP!J219+PROP!J219+RATES!J219+THALL!J219+FIN!J219+SOCIAL!J219+CEMETERY!J219+LIBRARIES!J220+HOUSING!K219+TRAFFIC!J219+PARKS!J219+REFUSE!J219+SEWAGE!J219+PWORKS!J219+WATER!J219+ELECTRIC!J219+PLANNING!J219</f>
        <v>0</v>
      </c>
      <c r="K219" s="428">
        <f>+COUNCIL!K219+MAYOR!K219+SPEAKER!K219+MM!K219+CORP!K219+PROP!K219+RATES!K219+THALL!K219+FIN!K219+SOCIAL!K219+CEMETERY!K219+LIBRARIES!K220+HOUSING!L219+TRAFFIC!K219+PARKS!K219+REFUSE!K219+SEWAGE!K219+PWORKS!K219+WATER!K219+ELECTRIC!K219+PLANNING!K219</f>
        <v>0</v>
      </c>
    </row>
    <row r="220" spans="1:11" s="285" customFormat="1" x14ac:dyDescent="0.25">
      <c r="A220" s="468"/>
      <c r="B220" s="468"/>
      <c r="C220" s="94" t="s">
        <v>72</v>
      </c>
      <c r="D220" s="428">
        <f>+COUNCIL!D220+MAYOR!D220+SPEAKER!D220+MM!D220+CORP!D220+PROP!D220+RATES!D220+THALL!D220+FIN!D220+SOCIAL!D220+CEMETERY!D220+LIBRARIES!D220+HOUSING!D220+TRAFFIC!D220+PARKS!D220+REFUSE!D220+SEWAGE!D220+PWORKS!D220+WATER!D220+ELECTRIC!D220</f>
        <v>0</v>
      </c>
      <c r="E220" s="428">
        <f>+COUNCIL!E220+MAYOR!E220+SPEAKER!E220+MM!E220+CORP!E220+PROP!E220+RATES!E220+THALL!E220+FIN!E220+SOCIAL!E220+CEMETERY!E220+LIBRARIES!E220+HOUSING!E220+TRAFFIC!E220+PARKS!E220+REFUSE!E220+SEWAGE!E220+PWORKS!E220+WATER!E220+ELECTRIC!E220</f>
        <v>0</v>
      </c>
      <c r="F220" s="428">
        <f>+COUNCIL!F220+MAYOR!F220+SPEAKER!F220+MM!F220+CORP!F220+PROP!F220+RATES!F220+THALL!F220+FIN!F220+SOCIAL!F220+CEMETERY!F220+LIBRARIES!F220+HOUSING!F220+TRAFFIC!F220+PARKS!F220+REFUSE!F220+SEWAGE!F220+PWORKS!F220+WATER!F220+ELECTRIC!F220</f>
        <v>0</v>
      </c>
      <c r="G220" s="428">
        <f>+COUNCIL!G220+MAYOR!G220+SPEAKER!G220+MM!G220+CORP!G220+PROP!G220+RATES!G220+THALL!G220+FIN!G220+SOCIAL!G220+CEMETERY!G220+LIBRARIES!G220+HOUSING!G220+TRAFFIC!G220+PARKS!G220+REFUSE!G220+SEWAGE!G220+PWORKS!G220+WATER!G220+ELECTRIC!G220</f>
        <v>0</v>
      </c>
      <c r="H220" s="428">
        <f>+COUNCIL!H220+MAYOR!H220+SPEAKER!H220+MM!H220+CORP!H220+PROP!H220+RATES!H220+THALL!H220+FIN!H220+SOCIAL!H220+CEMETERY!H220+LIBRARIES!H220+HOUSING!I220+TRAFFIC!H220+PARKS!H220+REFUSE!H220+SEWAGE!H220+PWORKS!H220+WATER!H220+ELECTRIC!H220</f>
        <v>0</v>
      </c>
      <c r="I220" s="428">
        <f>+COUNCIL!I220+MAYOR!I220+SPEAKER!I220+MM!I220+CORP!I220+PROP!I220+RATES!I220+THALL!I220+FIN!I220+SOCIAL!I220+CEMETERY!I220+LIBRARIES!I221+HOUSING!J220+TRAFFIC!I220+PARKS!I220+REFUSE!I220+SEWAGE!I220+PWORKS!I220+WATER!I220+ELECTRIC!I220+PLANNING!I220</f>
        <v>0</v>
      </c>
      <c r="J220" s="428">
        <f>+COUNCIL!J220+MAYOR!J220+SPEAKER!J220+MM!J220+CORP!J220+PROP!J220+RATES!J220+THALL!J220+FIN!J220+SOCIAL!J220+CEMETERY!J220+LIBRARIES!J221+HOUSING!K220+TRAFFIC!J220+PARKS!J220+REFUSE!J220+SEWAGE!J220+PWORKS!J220+WATER!J220+ELECTRIC!J220+PLANNING!J220</f>
        <v>0</v>
      </c>
      <c r="K220" s="428">
        <f>+COUNCIL!K220+MAYOR!K220+SPEAKER!K220+MM!K220+CORP!K220+PROP!K220+RATES!K220+THALL!K220+FIN!K220+SOCIAL!K220+CEMETERY!K220+LIBRARIES!K221+HOUSING!L220+TRAFFIC!K220+PARKS!K220+REFUSE!K220+SEWAGE!K220+PWORKS!K220+WATER!K220+ELECTRIC!K220+PLANNING!K220</f>
        <v>0</v>
      </c>
    </row>
    <row r="221" spans="1:11" s="285" customFormat="1" x14ac:dyDescent="0.25">
      <c r="A221" s="468"/>
      <c r="B221" s="468"/>
      <c r="C221" s="94"/>
      <c r="D221" s="436">
        <f t="shared" ref="D221:K221" si="13">SUM(D218:D220)</f>
        <v>12500000</v>
      </c>
      <c r="E221" s="436">
        <f t="shared" si="13"/>
        <v>13200000</v>
      </c>
      <c r="F221" s="436">
        <f t="shared" si="13"/>
        <v>6000000</v>
      </c>
      <c r="G221" s="436">
        <f t="shared" si="13"/>
        <v>6000000</v>
      </c>
      <c r="H221" s="436">
        <f t="shared" si="13"/>
        <v>7500000</v>
      </c>
      <c r="I221" s="436">
        <f t="shared" si="13"/>
        <v>12090816.594000001</v>
      </c>
      <c r="J221" s="436">
        <f t="shared" si="13"/>
        <v>12755811.50667</v>
      </c>
      <c r="K221" s="436">
        <f t="shared" si="13"/>
        <v>13431869.516523508</v>
      </c>
    </row>
    <row r="222" spans="1:11" s="285" customFormat="1" x14ac:dyDescent="0.25">
      <c r="A222" s="468"/>
      <c r="B222" s="468"/>
      <c r="C222" s="93" t="s">
        <v>73</v>
      </c>
      <c r="D222" s="444">
        <v>0</v>
      </c>
      <c r="E222" s="435"/>
      <c r="F222" s="435"/>
      <c r="G222" s="444"/>
      <c r="H222" s="435"/>
      <c r="I222" s="435"/>
      <c r="J222" s="435"/>
      <c r="K222" s="334"/>
    </row>
    <row r="223" spans="1:11" s="285" customFormat="1" x14ac:dyDescent="0.25">
      <c r="A223" s="468"/>
      <c r="B223" s="468"/>
      <c r="C223" s="94" t="s">
        <v>349</v>
      </c>
      <c r="D223" s="428">
        <f>+COUNCIL!D223+MAYOR!D223+SPEAKER!D223+MM!D223+CORP!D223+PROP!D223+RATES!D223+THALL!D223+FIN!D223+SOCIAL!D223+CEMETERY!D223+LIBRARIES!D223+HOUSING!D223+TRAFFIC!D223+PARKS!D223+REFUSE!D223+SEWAGE!D223+PWORKS!D223+WATER!D223+ELECTRIC!D223</f>
        <v>0</v>
      </c>
      <c r="E223" s="428">
        <f>+COUNCIL!E223+MAYOR!E223+SPEAKER!E223+MM!E223+CORP!E223+PROP!E223+RATES!E223+THALL!E223+FIN!E223+SOCIAL!E223+CEMETERY!E223+LIBRARIES!E223+HOUSING!E223+TRAFFIC!E223+PARKS!E223+REFUSE!E223+SEWAGE!E223+PWORKS!E223+WATER!E223+ELECTRIC!E223</f>
        <v>0</v>
      </c>
      <c r="F223" s="428">
        <f>+COUNCIL!F223+MAYOR!F223+SPEAKER!F223+MM!F223+CORP!F223+PROP!F223+RATES!F223+THALL!F223+FIN!F223+SOCIAL!F223+CEMETERY!F223+LIBRARIES!F223+HOUSING!F223+TRAFFIC!F223+PARKS!F223+REFUSE!F223+SEWAGE!F223+PWORKS!F223+WATER!F223+ELECTRIC!F223</f>
        <v>0</v>
      </c>
      <c r="G223" s="428">
        <f>+COUNCIL!G223+MAYOR!G223+SPEAKER!G223+MM!G223+CORP!G223+PROP!G223+RATES!G223+THALL!G223+FIN!G223+SOCIAL!G223+CEMETERY!G223+LIBRARIES!G223+HOUSING!G223+TRAFFIC!G223+PARKS!G223+REFUSE!G223+SEWAGE!G223+PWORKS!G223+WATER!G223+ELECTRIC!G223</f>
        <v>0</v>
      </c>
      <c r="H223" s="428">
        <f>+COUNCIL!H223+MAYOR!H223+SPEAKER!H223+MM!H223+CORP!H223+PROP!H223+RATES!H223+THALL!H223+FIN!H223+SOCIAL!H223+CEMETERY!H223+LIBRARIES!H223+HOUSING!I223+TRAFFIC!H223+PARKS!H223+REFUSE!H223+SEWAGE!H223+PWORKS!H223+WATER!H223+ELECTRIC!H223</f>
        <v>0</v>
      </c>
      <c r="I223" s="428">
        <f>+COUNCIL!I223+MAYOR!I223+SPEAKER!I223+MM!I223+CORP!I223+PROP!I223+RATES!I223+THALL!I223+FIN!I223+SOCIAL!I223+CEMETERY!I223+LIBRARIES!I224+HOUSING!J223+TRAFFIC!I223+PARKS!I223+REFUSE!I223+SEWAGE!I223+PWORKS!I223+WATER!I223+ELECTRIC!I223+PLANNING!I223</f>
        <v>0</v>
      </c>
      <c r="J223" s="428">
        <f>+COUNCIL!J223+MAYOR!J223+SPEAKER!J223+MM!J223+CORP!J223+PROP!J223+RATES!J223+THALL!J223+FIN!J223+SOCIAL!J223+CEMETERY!J223+LIBRARIES!J224+HOUSING!K223+TRAFFIC!J223+PARKS!J223+REFUSE!J223+SEWAGE!J223+PWORKS!J223+WATER!J223+ELECTRIC!J223+PLANNING!J223</f>
        <v>0</v>
      </c>
      <c r="K223" s="428">
        <f>+COUNCIL!K223+MAYOR!K223+SPEAKER!K223+MM!K223+CORP!K223+PROP!K223+RATES!K223+THALL!K223+FIN!K223+SOCIAL!K223+CEMETERY!K223+LIBRARIES!K224+HOUSING!L223+TRAFFIC!K223+PARKS!K223+REFUSE!K223+SEWAGE!K223+PWORKS!K223+WATER!K223+ELECTRIC!K223+PLANNING!K223</f>
        <v>0</v>
      </c>
    </row>
    <row r="224" spans="1:11" s="285" customFormat="1" x14ac:dyDescent="0.25">
      <c r="A224" s="468"/>
      <c r="B224" s="468"/>
      <c r="C224" s="94" t="s">
        <v>348</v>
      </c>
      <c r="D224" s="428">
        <f>+COUNCIL!D224+MAYOR!D224+SPEAKER!D224+MM!D224+CORP!D224+PROP!D224+RATES!D224+THALL!D224+FIN!D224+SOCIAL!D224+CEMETERY!D224+LIBRARIES!D224+HOUSING!D224+TRAFFIC!D224+PARKS!D224+REFUSE!D224+SEWAGE!D224+PWORKS!D224+WATER!D224+ELECTRIC!D224</f>
        <v>15614</v>
      </c>
      <c r="E224" s="428">
        <f>+COUNCIL!E224+MAYOR!E224+SPEAKER!E224+MM!E224+CORP!E224+PROP!E224+RATES!E224+THALL!E224+FIN!E224+SOCIAL!E224+CEMETERY!E224+LIBRARIES!E224+HOUSING!E224+TRAFFIC!E224+PARKS!E224+REFUSE!E224+SEWAGE!E224+PWORKS!E224+WATER!E224+ELECTRIC!E224</f>
        <v>225000</v>
      </c>
      <c r="F224" s="428">
        <f>+COUNCIL!F224+MAYOR!F224+SPEAKER!F224+MM!F224+CORP!F224+PROP!F224+RATES!F224+THALL!F224+FIN!F224+SOCIAL!F224+CEMETERY!F224+LIBRARIES!F224+HOUSING!F224+TRAFFIC!F224+PARKS!F224+REFUSE!F224+SEWAGE!F224+PWORKS!F224+WATER!F224+ELECTRIC!F224</f>
        <v>225000</v>
      </c>
      <c r="G224" s="428">
        <f>+COUNCIL!G224+MAYOR!G224+SPEAKER!G224+MM!G224+CORP!G224+PROP!G224+RATES!G224+THALL!G224+FIN!G224+SOCIAL!G224+CEMETERY!G224+LIBRARIES!G224+HOUSING!G224+TRAFFIC!G224+PARKS!G224+REFUSE!G224+SEWAGE!G224+PWORKS!G224+WATER!G224+ELECTRIC!G224</f>
        <v>225000</v>
      </c>
      <c r="H224" s="428">
        <f>+COUNCIL!H224+MAYOR!H224+SPEAKER!H224+MM!H224+CORP!H224+PROP!H224+RATES!H224+THALL!H224+FIN!H224+SOCIAL!H224+CEMETERY!H224+LIBRARIES!H224+HOUSING!I224+TRAFFIC!H224+PARKS!H224+REFUSE!H224+SEWAGE!H224+PWORKS!H224+WATER!H224+ELECTRIC!H224</f>
        <v>247500</v>
      </c>
      <c r="I224" s="428">
        <f>+COUNCIL!I224+MAYOR!I224+SPEAKER!I224+MM!I224+CORP!I224+PROP!I224+RATES!I224+THALL!I224+FIN!I224+SOCIAL!I224+CEMETERY!I224+LIBRARIES!I225+HOUSING!J224+TRAFFIC!I224+PARKS!I224+REFUSE!I224+SEWAGE!I224+PWORKS!I224+WATER!I224+ELECTRIC!I224+PLANNING!I224</f>
        <v>261855</v>
      </c>
      <c r="J224" s="428">
        <f>+COUNCIL!J224+MAYOR!J224+SPEAKER!J224+MM!J224+CORP!J224+PROP!J224+RATES!J224+THALL!J224+FIN!J224+SOCIAL!J224+CEMETERY!J224+LIBRARIES!J225+HOUSING!K224+TRAFFIC!J224+PARKS!J224+REFUSE!J224+SEWAGE!J224+PWORKS!J224+WATER!J224+ELECTRIC!J224+PLANNING!J224</f>
        <v>276257.02499999997</v>
      </c>
      <c r="K224" s="428">
        <f>+COUNCIL!K224+MAYOR!K224+SPEAKER!K224+MM!K224+CORP!K224+PROP!K224+RATES!K224+THALL!K224+FIN!K224+SOCIAL!K224+CEMETERY!K224+LIBRARIES!K225+HOUSING!L224+TRAFFIC!K224+PARKS!K224+REFUSE!K224+SEWAGE!K224+PWORKS!K224+WATER!K224+ELECTRIC!K224+PLANNING!K224</f>
        <v>290898.64732499997</v>
      </c>
    </row>
    <row r="225" spans="1:11" s="285" customFormat="1" x14ac:dyDescent="0.25">
      <c r="A225" s="468"/>
      <c r="B225" s="468"/>
      <c r="C225" s="94"/>
      <c r="D225" s="437">
        <f t="shared" ref="D225:K225" si="14">SUM(D223:D224)</f>
        <v>15614</v>
      </c>
      <c r="E225" s="437">
        <f t="shared" si="14"/>
        <v>225000</v>
      </c>
      <c r="F225" s="437">
        <f t="shared" si="14"/>
        <v>225000</v>
      </c>
      <c r="G225" s="437">
        <f t="shared" si="14"/>
        <v>225000</v>
      </c>
      <c r="H225" s="437">
        <f t="shared" si="14"/>
        <v>247500</v>
      </c>
      <c r="I225" s="437">
        <f t="shared" si="14"/>
        <v>261855</v>
      </c>
      <c r="J225" s="437">
        <f t="shared" si="14"/>
        <v>276257.02499999997</v>
      </c>
      <c r="K225" s="437">
        <f t="shared" si="14"/>
        <v>290898.64732499997</v>
      </c>
    </row>
    <row r="226" spans="1:11" s="285" customFormat="1" x14ac:dyDescent="0.25">
      <c r="A226" s="468"/>
      <c r="B226" s="468"/>
      <c r="C226" s="93" t="s">
        <v>74</v>
      </c>
      <c r="D226" s="444">
        <v>0</v>
      </c>
      <c r="E226" s="435"/>
      <c r="F226" s="435"/>
      <c r="G226" s="444">
        <v>0</v>
      </c>
      <c r="H226" s="435"/>
      <c r="I226" s="435"/>
      <c r="J226" s="435"/>
      <c r="K226" s="444"/>
    </row>
    <row r="227" spans="1:11" s="285" customFormat="1" x14ac:dyDescent="0.25">
      <c r="A227" s="468"/>
      <c r="B227" s="468"/>
      <c r="C227" s="94" t="s">
        <v>75</v>
      </c>
      <c r="D227" s="428">
        <f>+COUNCIL!D227+MAYOR!D227+SPEAKER!D227+MM!D227+CORP!D227+PROP!D227+RATES!D227+THALL!D227+FIN!D227+SOCIAL!D227+CEMETERY!D227+LIBRARIES!D227+HOUSING!D227+TRAFFIC!D227+PARKS!D227+REFUSE!D227+SEWAGE!D227+PWORKS!D227+WATER!D227+ELECTRIC!D227</f>
        <v>81091000</v>
      </c>
      <c r="E227" s="428">
        <f>+COUNCIL!E227+MAYOR!E227+SPEAKER!E227+MM!E227+CORP!E227+PROP!E227+RATES!E227+THALL!E227+FIN!E227+SOCIAL!E227+CEMETERY!E227+LIBRARIES!E227+HOUSING!E227+TRAFFIC!E227+PARKS!E227+REFUSE!E227+SEWAGE!E227+PWORKS!E227+WATER!E227+ELECTRIC!E227</f>
        <v>79851000</v>
      </c>
      <c r="F227" s="428">
        <f>+COUNCIL!F227+MAYOR!F227+SPEAKER!F227+MM!F227+CORP!F227+PROP!F227+RATES!F227+THALL!F227+FIN!F227+SOCIAL!F227+CEMETERY!F227+LIBRARIES!F227+HOUSING!F227+TRAFFIC!F227+PARKS!F227+REFUSE!F227+SEWAGE!F227+PWORKS!F227+WATER!F227+ELECTRIC!F227</f>
        <v>79851000</v>
      </c>
      <c r="G227" s="428">
        <f>+COUNCIL!G227+MAYOR!G227+SPEAKER!G227+MM!G227+CORP!G227+PROP!G227+RATES!G227+THALL!G227+FIN!G227+SOCIAL!G227+CEMETERY!G227+LIBRARIES!G227+HOUSING!G227+TRAFFIC!G227+PARKS!G227+REFUSE!G227+SEWAGE!G227+PWORKS!G227+WATER!G227+ELECTRIC!G227</f>
        <v>79851000</v>
      </c>
      <c r="H227" s="428">
        <f>+COUNCIL!H227+MAYOR!H227+SPEAKER!H227+MM!H227+CORP!H227+PROP!H227+RATES!H227+THALL!H227+FIN!H227+SOCIAL!H227+CEMETERY!H227+LIBRARIES!H227+HOUSING!I227+TRAFFIC!H227+PARKS!H227+REFUSE!H227+SEWAGE!H227+PWORKS!H227+WATER!H227+ELECTRIC!H227</f>
        <v>81403000</v>
      </c>
      <c r="I227" s="428">
        <f>+COUNCIL!I227+MAYOR!I227+SPEAKER!I227+MM!I227+CORP!I227+PROP!I227+RATES!I227+THALL!I227+FIN!I227+SOCIAL!I227+CEMETERY!I227+LIBRARIES!I228+HOUSING!J227+TRAFFIC!I227+PARKS!I227+REFUSE!I227+SEWAGE!I227+PWORKS!I227+WATER!I227+ELECTRIC!I227+PLANNING!I227</f>
        <v>88321000</v>
      </c>
      <c r="J227" s="428">
        <f>+COUNCIL!J227+MAYOR!J227+SPEAKER!J227+MM!J227+CORP!J227+PROP!J227+RATES!J227+THALL!J227+FIN!J227+SOCIAL!J227+CEMETERY!J227+LIBRARIES!J228+HOUSING!K227+TRAFFIC!J227+PARKS!J227+REFUSE!J227+SEWAGE!J227+PWORKS!J227+WATER!J227+ELECTRIC!J227+PLANNING!J227</f>
        <v>86013000.5</v>
      </c>
      <c r="K227" s="428">
        <f>+COUNCIL!K227+MAYOR!K227+SPEAKER!K227+MM!K227+CORP!K227+PROP!K227+RATES!K227+THALL!K227+FIN!K227+SOCIAL!K227+CEMETERY!K227+LIBRARIES!K228+HOUSING!L227+TRAFFIC!K227+PARKS!K227+REFUSE!K227+SEWAGE!K227+PWORKS!K227+WATER!K227+ELECTRIC!K227+PLANNING!K227</f>
        <v>83575999.906499997</v>
      </c>
    </row>
    <row r="228" spans="1:11" s="285" customFormat="1" hidden="1" x14ac:dyDescent="0.25">
      <c r="A228" s="468"/>
      <c r="B228" s="468"/>
      <c r="C228" s="94" t="s">
        <v>131</v>
      </c>
      <c r="D228" s="428">
        <f>+COUNCIL!D228+MAYOR!D228+SPEAKER!D228+MM!D228+CORP!D228+PROP!D228+RATES!D228+THALL!D228+FIN!D228+SOCIAL!D228+CEMETERY!D228+LIBRARIES!D228+HOUSING!D228+TRAFFIC!D228+PARKS!D228+REFUSE!D228+SEWAGE!D228+PWORKS!D228+WATER!D228+ELECTRIC!D228</f>
        <v>0</v>
      </c>
      <c r="E228" s="428">
        <f>+COUNCIL!E228+MAYOR!E228+SPEAKER!E228+MM!E228+CORP!E228+PROP!E228+RATES!E228+THALL!E228+FIN!E228+SOCIAL!E228+CEMETERY!E228+LIBRARIES!E228+HOUSING!E228+TRAFFIC!E228+PARKS!E228+REFUSE!E228+SEWAGE!E228+PWORKS!E228+WATER!E228+ELECTRIC!E228</f>
        <v>0</v>
      </c>
      <c r="F228" s="428">
        <f>+COUNCIL!F228+MAYOR!F228+SPEAKER!F228+MM!F228+CORP!F228+PROP!F228+RATES!F228+THALL!F228+FIN!F228+SOCIAL!F228+CEMETERY!F228+LIBRARIES!F228+HOUSING!F228+TRAFFIC!F228+PARKS!F228+REFUSE!F228+SEWAGE!F228+PWORKS!F228+WATER!F228+ELECTRIC!F228</f>
        <v>0</v>
      </c>
      <c r="G228" s="428">
        <f>+COUNCIL!G228+MAYOR!G228+SPEAKER!G228+MM!G228+CORP!G228+PROP!G228+RATES!G228+THALL!G228+FIN!G228+SOCIAL!G228+CEMETERY!G228+LIBRARIES!G228+HOUSING!G228+TRAFFIC!G228+PARKS!G228+REFUSE!G228+SEWAGE!G228+PWORKS!G228+WATER!G228+ELECTRIC!G228</f>
        <v>0</v>
      </c>
      <c r="H228" s="428">
        <f>+COUNCIL!H228+MAYOR!H228+SPEAKER!H228+MM!H228+CORP!H228+PROP!H228+RATES!H228+THALL!H228+FIN!H228+SOCIAL!H228+CEMETERY!H228+LIBRARIES!H228+HOUSING!I228+TRAFFIC!H228+PARKS!H228+REFUSE!H228+SEWAGE!H228+PWORKS!H228+WATER!H228+ELECTRIC!H228</f>
        <v>0</v>
      </c>
      <c r="I228" s="428">
        <f>+COUNCIL!I228+MAYOR!I228+SPEAKER!I228+MM!I228+CORP!I228+PROP!I228+RATES!I228+THALL!I228+FIN!I228+SOCIAL!I228+CEMETERY!I228+LIBRARIES!I229+HOUSING!J228+TRAFFIC!I228+PARKS!I228+REFUSE!I228+SEWAGE!I228+PWORKS!I228+WATER!I228+ELECTRIC!I228+PLANNING!I228</f>
        <v>0</v>
      </c>
      <c r="J228" s="428">
        <f>+COUNCIL!J228+MAYOR!J228+SPEAKER!J228+MM!J228+CORP!J228+PROP!J228+RATES!J228+THALL!J228+FIN!J228+SOCIAL!J228+CEMETERY!J228+LIBRARIES!J229+HOUSING!K228+TRAFFIC!J228+PARKS!J228+REFUSE!J228+SEWAGE!J228+PWORKS!J228+WATER!J228+ELECTRIC!J228+PLANNING!J228</f>
        <v>0</v>
      </c>
      <c r="K228" s="428">
        <f>+COUNCIL!K228+MAYOR!K228+SPEAKER!K228+MM!K228+CORP!K228+PROP!K228+RATES!K228+THALL!K228+FIN!K228+SOCIAL!K228+CEMETERY!K228+LIBRARIES!K229+HOUSING!L228+TRAFFIC!K228+PARKS!K228+REFUSE!K228+SEWAGE!K228+PWORKS!K228+WATER!K228+ELECTRIC!K228+PLANNING!K228</f>
        <v>0</v>
      </c>
    </row>
    <row r="229" spans="1:11" s="285" customFormat="1" hidden="1" x14ac:dyDescent="0.25">
      <c r="A229" s="468"/>
      <c r="B229" s="468"/>
      <c r="C229" s="94" t="s">
        <v>182</v>
      </c>
      <c r="D229" s="428">
        <f>+COUNCIL!D229+MAYOR!D229+SPEAKER!D229+MM!D229+CORP!D229+PROP!D229+RATES!D229+THALL!D229+FIN!D229+SOCIAL!D229+CEMETERY!D229+LIBRARIES!D229+HOUSING!D229+TRAFFIC!D229+PARKS!D229+REFUSE!D229+SEWAGE!D229+PWORKS!D229+WATER!D229+ELECTRIC!D229</f>
        <v>0</v>
      </c>
      <c r="E229" s="428">
        <f>+COUNCIL!E229+MAYOR!E229+SPEAKER!E229+MM!E229+CORP!E229+PROP!E229+RATES!E229+THALL!E229+FIN!E229+SOCIAL!E229+CEMETERY!E229+LIBRARIES!E229+HOUSING!E229+TRAFFIC!E229+PARKS!E229+REFUSE!E229+SEWAGE!E229+PWORKS!E229+WATER!E229+ELECTRIC!E229</f>
        <v>0</v>
      </c>
      <c r="F229" s="428">
        <f>+COUNCIL!F229+MAYOR!F229+SPEAKER!F229+MM!F229+CORP!F229+PROP!F229+RATES!F229+THALL!F229+FIN!F229+SOCIAL!F229+CEMETERY!F229+LIBRARIES!F229+HOUSING!F229+TRAFFIC!F229+PARKS!F229+REFUSE!F229+SEWAGE!F229+PWORKS!F229+WATER!F229+ELECTRIC!F229</f>
        <v>0</v>
      </c>
      <c r="G229" s="428">
        <f>+COUNCIL!G229+MAYOR!G229+SPEAKER!G229+MM!G229+CORP!G229+PROP!G229+RATES!G229+THALL!G229+FIN!G229+SOCIAL!G229+CEMETERY!G229+LIBRARIES!G229+HOUSING!G229+TRAFFIC!G229+PARKS!G229+REFUSE!G229+SEWAGE!G229+PWORKS!G229+WATER!G229+ELECTRIC!G229</f>
        <v>0</v>
      </c>
      <c r="H229" s="428">
        <f>+COUNCIL!H229+MAYOR!H229+SPEAKER!H229+MM!H229+CORP!H229+PROP!H229+RATES!H229+THALL!H229+FIN!H229+SOCIAL!H229+CEMETERY!H229+LIBRARIES!H229+HOUSING!I229+TRAFFIC!H229+PARKS!H229+REFUSE!H229+SEWAGE!H229+PWORKS!H229+WATER!H229+ELECTRIC!H229</f>
        <v>0</v>
      </c>
      <c r="I229" s="428">
        <f>+COUNCIL!I229+MAYOR!I229+SPEAKER!I229+MM!I229+CORP!I229+PROP!I229+RATES!I229+THALL!I229+FIN!I229+SOCIAL!I229+CEMETERY!I229+LIBRARIES!I230+HOUSING!J229+TRAFFIC!I229+PARKS!I229+REFUSE!I229+SEWAGE!I229+PWORKS!I229+WATER!I229+ELECTRIC!I229+PLANNING!I229</f>
        <v>0</v>
      </c>
      <c r="J229" s="428">
        <f>+COUNCIL!J229+MAYOR!J229+SPEAKER!J229+MM!J229+CORP!J229+PROP!J229+RATES!J229+THALL!J229+FIN!J229+SOCIAL!J229+CEMETERY!J229+LIBRARIES!J230+HOUSING!K229+TRAFFIC!J229+PARKS!J229+REFUSE!J229+SEWAGE!J229+PWORKS!J229+WATER!J229+ELECTRIC!J229+PLANNING!J229</f>
        <v>0</v>
      </c>
      <c r="K229" s="428">
        <f>+COUNCIL!K229+MAYOR!K229+SPEAKER!K229+MM!K229+CORP!K229+PROP!K229+RATES!K229+THALL!K229+FIN!K229+SOCIAL!K229+CEMETERY!K229+LIBRARIES!K230+HOUSING!L229+TRAFFIC!K229+PARKS!K229+REFUSE!K229+SEWAGE!K229+PWORKS!K229+WATER!K229+ELECTRIC!K229+PLANNING!K229</f>
        <v>0</v>
      </c>
    </row>
    <row r="230" spans="1:11" s="285" customFormat="1" hidden="1" x14ac:dyDescent="0.25">
      <c r="A230" s="468"/>
      <c r="B230" s="468"/>
      <c r="C230" s="94" t="s">
        <v>255</v>
      </c>
      <c r="D230" s="428">
        <f>+COUNCIL!D230+MAYOR!D230+SPEAKER!D230+MM!D230+CORP!D230+PROP!D230+RATES!D230+THALL!D230+FIN!D230+SOCIAL!D230+CEMETERY!D230+LIBRARIES!D230+HOUSING!D230+TRAFFIC!D230+PARKS!D230+REFUSE!D230+SEWAGE!D230+PWORKS!D230+WATER!D230+ELECTRIC!D230</f>
        <v>0</v>
      </c>
      <c r="E230" s="428">
        <f>+COUNCIL!E230+MAYOR!E230+SPEAKER!E230+MM!E230+CORP!E230+PROP!E230+RATES!E230+THALL!E230+FIN!E230+SOCIAL!E230+CEMETERY!E230+LIBRARIES!E230+HOUSING!E230+TRAFFIC!E230+PARKS!E230+REFUSE!E230+SEWAGE!E230+PWORKS!E230+WATER!E230+ELECTRIC!E230</f>
        <v>0</v>
      </c>
      <c r="F230" s="428">
        <f>+COUNCIL!F230+MAYOR!F230+SPEAKER!F230+MM!F230+CORP!F230+PROP!F230+RATES!F230+THALL!F230+FIN!F230+SOCIAL!F230+CEMETERY!F230+LIBRARIES!F230+HOUSING!F230+TRAFFIC!F230+PARKS!F230+REFUSE!F230+SEWAGE!F230+PWORKS!F230+WATER!F230+ELECTRIC!F230</f>
        <v>0</v>
      </c>
      <c r="G230" s="428">
        <f>+COUNCIL!G230+MAYOR!G230+SPEAKER!G230+MM!G230+CORP!G230+PROP!G230+RATES!G230+THALL!G230+FIN!G230+SOCIAL!G230+CEMETERY!G230+LIBRARIES!G230+HOUSING!G230+TRAFFIC!G230+PARKS!G230+REFUSE!G230+SEWAGE!G230+PWORKS!G230+WATER!G230+ELECTRIC!G230</f>
        <v>0</v>
      </c>
      <c r="H230" s="428">
        <f>+COUNCIL!H230+MAYOR!H230+SPEAKER!H230+MM!H230+CORP!H230+PROP!H230+RATES!H230+THALL!H230+FIN!H230+SOCIAL!H230+CEMETERY!H230+LIBRARIES!H230+HOUSING!I230+TRAFFIC!H230+PARKS!H230+REFUSE!H230+SEWAGE!H230+PWORKS!H230+WATER!H230+ELECTRIC!H230</f>
        <v>0</v>
      </c>
      <c r="I230" s="428">
        <f>+COUNCIL!I230+MAYOR!I230+SPEAKER!I230+MM!I230+CORP!I230+PROP!I230+RATES!I230+THALL!I230+FIN!I230+SOCIAL!I230+CEMETERY!I230+LIBRARIES!I231+HOUSING!J230+TRAFFIC!I230+PARKS!I230+REFUSE!I230+SEWAGE!I230+PWORKS!I230+WATER!I230+ELECTRIC!I230+PLANNING!I230</f>
        <v>0</v>
      </c>
      <c r="J230" s="428">
        <f>+COUNCIL!J230+MAYOR!J230+SPEAKER!J230+MM!J230+CORP!J230+PROP!J230+RATES!J230+THALL!J230+FIN!J230+SOCIAL!J230+CEMETERY!J230+LIBRARIES!J231+HOUSING!K230+TRAFFIC!J230+PARKS!J230+REFUSE!J230+SEWAGE!J230+PWORKS!J230+WATER!J230+ELECTRIC!J230+PLANNING!J230</f>
        <v>0</v>
      </c>
      <c r="K230" s="428">
        <f>+COUNCIL!K230+MAYOR!K230+SPEAKER!K230+MM!K230+CORP!K230+PROP!K230+RATES!K230+THALL!K230+FIN!K230+SOCIAL!K230+CEMETERY!K230+LIBRARIES!K231+HOUSING!L230+TRAFFIC!K230+PARKS!K230+REFUSE!K230+SEWAGE!K230+PWORKS!K230+WATER!K230+ELECTRIC!K230+PLANNING!K230</f>
        <v>0</v>
      </c>
    </row>
    <row r="231" spans="1:11" s="285" customFormat="1" hidden="1" x14ac:dyDescent="0.25">
      <c r="A231" s="468"/>
      <c r="B231" s="468"/>
      <c r="C231" s="94" t="s">
        <v>108</v>
      </c>
      <c r="D231" s="428">
        <f>+COUNCIL!D231+MAYOR!D231+SPEAKER!D231+MM!D231+CORP!D231+PROP!D231+RATES!D231+THALL!D231+FIN!D231+SOCIAL!D231+CEMETERY!D231+LIBRARIES!D231+HOUSING!D231+TRAFFIC!D231+PARKS!D231+REFUSE!D231+SEWAGE!D231+PWORKS!D231+WATER!D231+ELECTRIC!D231</f>
        <v>0</v>
      </c>
      <c r="E231" s="428">
        <f>+COUNCIL!E231+MAYOR!E231+SPEAKER!E231+MM!E231+CORP!E231+PROP!E231+RATES!E231+THALL!E231+FIN!E231+SOCIAL!E231+CEMETERY!E231+LIBRARIES!E231+HOUSING!E231+TRAFFIC!E231+PARKS!E231+REFUSE!E231+SEWAGE!E231+PWORKS!E231+WATER!E231+ELECTRIC!E231</f>
        <v>0</v>
      </c>
      <c r="F231" s="428">
        <f>+COUNCIL!F231+MAYOR!F231+SPEAKER!F231+MM!F231+CORP!F231+PROP!F231+RATES!F231+THALL!F231+FIN!F231+SOCIAL!F231+CEMETERY!F231+LIBRARIES!F231+HOUSING!F231+TRAFFIC!F231+PARKS!F231+REFUSE!F231+SEWAGE!F231+PWORKS!F231+WATER!F231+ELECTRIC!F231</f>
        <v>0</v>
      </c>
      <c r="G231" s="428">
        <f>+COUNCIL!G231+MAYOR!G231+SPEAKER!G231+MM!G231+CORP!G231+PROP!G231+RATES!G231+THALL!G231+FIN!G231+SOCIAL!G231+CEMETERY!G231+LIBRARIES!G231+HOUSING!G231+TRAFFIC!G231+PARKS!G231+REFUSE!G231+SEWAGE!G231+PWORKS!G231+WATER!G231+ELECTRIC!G231</f>
        <v>0</v>
      </c>
      <c r="H231" s="428">
        <f>+COUNCIL!H231+MAYOR!H231+SPEAKER!H231+MM!H231+CORP!H231+PROP!H231+RATES!H231+THALL!H231+FIN!H231+SOCIAL!H231+CEMETERY!H231+LIBRARIES!H231+HOUSING!I231+TRAFFIC!H231+PARKS!H231+REFUSE!H231+SEWAGE!H231+PWORKS!H231+WATER!H231+ELECTRIC!H231</f>
        <v>0</v>
      </c>
      <c r="I231" s="428">
        <f>+COUNCIL!I231+MAYOR!I231+SPEAKER!I231+MM!I231+CORP!I231+PROP!I231+RATES!I231+THALL!I231+FIN!I231+SOCIAL!I231+CEMETERY!I231+LIBRARIES!I232+HOUSING!J231+TRAFFIC!I231+PARKS!I231+REFUSE!I231+SEWAGE!I231+PWORKS!I231+WATER!I231+ELECTRIC!I231+PLANNING!I231</f>
        <v>0</v>
      </c>
      <c r="J231" s="428">
        <f>+COUNCIL!J231+MAYOR!J231+SPEAKER!J231+MM!J231+CORP!J231+PROP!J231+RATES!J231+THALL!J231+FIN!J231+SOCIAL!J231+CEMETERY!J231+LIBRARIES!J232+HOUSING!K231+TRAFFIC!J231+PARKS!J231+REFUSE!J231+SEWAGE!J231+PWORKS!J231+WATER!J231+ELECTRIC!J231+PLANNING!J231</f>
        <v>0</v>
      </c>
      <c r="K231" s="428">
        <f>+COUNCIL!K231+MAYOR!K231+SPEAKER!K231+MM!K231+CORP!K231+PROP!K231+RATES!K231+THALL!K231+FIN!K231+SOCIAL!K231+CEMETERY!K231+LIBRARIES!K232+HOUSING!L231+TRAFFIC!K231+PARKS!K231+REFUSE!K231+SEWAGE!K231+PWORKS!K231+WATER!K231+ELECTRIC!K231+PLANNING!K231</f>
        <v>0</v>
      </c>
    </row>
    <row r="232" spans="1:11" s="285" customFormat="1" x14ac:dyDescent="0.25">
      <c r="A232" s="468"/>
      <c r="B232" s="468"/>
      <c r="C232" s="94" t="s">
        <v>76</v>
      </c>
      <c r="D232" s="428">
        <f>+COUNCIL!D232+MAYOR!D232+SPEAKER!D232+MM!D232+CORP!D232+PROP!D232+RATES!D232+THALL!D232+FIN!D232+SOCIAL!D232+CEMETERY!D232+LIBRARIES!D232+HOUSING!D232+TRAFFIC!D232+PARKS!D232+REFUSE!D232+SEWAGE!D232+PWORKS!D232+WATER!D232+ELECTRIC!D232</f>
        <v>1500000</v>
      </c>
      <c r="E232" s="428">
        <f>+COUNCIL!E232+MAYOR!E232+SPEAKER!E232+MM!E232+CORP!E232+PROP!E232+RATES!E232+THALL!E232+FIN!E232+SOCIAL!E232+CEMETERY!E232+LIBRARIES!E232+HOUSING!E232+TRAFFIC!E232+PARKS!E232+REFUSE!E232+SEWAGE!E232+PWORKS!E232+WATER!E232+ELECTRIC!E232</f>
        <v>1650000</v>
      </c>
      <c r="F232" s="428">
        <f>+COUNCIL!F232+MAYOR!F232+SPEAKER!F232+MM!F232+CORP!F232+PROP!F232+RATES!F232+THALL!F232+FIN!F232+SOCIAL!F232+CEMETERY!F232+LIBRARIES!F232+HOUSING!F232+TRAFFIC!F232+PARKS!F232+REFUSE!F232+SEWAGE!F232+PWORKS!F232+WATER!F232+ELECTRIC!F232</f>
        <v>1650000</v>
      </c>
      <c r="G232" s="428">
        <f>+COUNCIL!G232+MAYOR!G232+SPEAKER!G232+MM!G232+CORP!G232+PROP!G232+RATES!G232+THALL!G232+FIN!G232+SOCIAL!G232+CEMETERY!G232+LIBRARIES!G232+HOUSING!G232+TRAFFIC!G232+PARKS!G232+REFUSE!G232+SEWAGE!G232+PWORKS!G232+WATER!G232+ELECTRIC!G232</f>
        <v>1650000</v>
      </c>
      <c r="H232" s="428">
        <f>+COUNCIL!H232+MAYOR!H232+SPEAKER!H232+MM!H232+CORP!H232+PROP!H232+RATES!H232+THALL!H232+FIN!H232+SOCIAL!H232+CEMETERY!H232+LIBRARIES!H232+HOUSING!I232+TRAFFIC!H232+PARKS!H232+REFUSE!H232+SEWAGE!H232+PWORKS!H232+WATER!H232+ELECTRIC!H232</f>
        <v>1800000</v>
      </c>
      <c r="I232" s="428">
        <f>+COUNCIL!I232+MAYOR!I232+SPEAKER!I232+MM!I232+CORP!I232+PROP!I232+RATES!I232+THALL!I232+FIN!I232+SOCIAL!I232+CEMETERY!I232+LIBRARIES!I233+HOUSING!J232+TRAFFIC!I232+PARKS!I232+REFUSE!I232+SEWAGE!I232+PWORKS!I232+WATER!I232+ELECTRIC!I232+PLANNING!I232</f>
        <v>1800000</v>
      </c>
      <c r="J232" s="428">
        <f>+COUNCIL!J232+MAYOR!J232+SPEAKER!J232+MM!J232+CORP!J232+PROP!J232+RATES!J232+THALL!J232+FIN!J232+SOCIAL!J232+CEMETERY!J232+LIBRARIES!J233+HOUSING!K232+TRAFFIC!J232+PARKS!J232+REFUSE!J232+SEWAGE!J232+PWORKS!J232+WATER!J232+ELECTRIC!J232+PLANNING!J232</f>
        <v>1825000</v>
      </c>
      <c r="K232" s="428">
        <f>+COUNCIL!K232+MAYOR!K232+SPEAKER!K232+MM!K232+CORP!K232+PROP!K232+RATES!K232+THALL!K232+FIN!K232+SOCIAL!K232+CEMETERY!K232+LIBRARIES!K233+HOUSING!L232+TRAFFIC!K232+PARKS!K232+REFUSE!K232+SEWAGE!K232+PWORKS!K232+WATER!K232+ELECTRIC!K232+PLANNING!K232</f>
        <v>1900000</v>
      </c>
    </row>
    <row r="233" spans="1:11" s="285" customFormat="1" x14ac:dyDescent="0.25">
      <c r="A233" s="468"/>
      <c r="B233" s="468"/>
      <c r="C233" s="94" t="s">
        <v>505</v>
      </c>
      <c r="D233" s="428">
        <f>+COUNCIL!D233+MAYOR!D233+SPEAKER!D233+MM!D233+CORP!D233+PROP!D233+RATES!D233+THALL!D233+FIN!D233+SOCIAL!D233+CEMETERY!D233+LIBRARIES!D233+HOUSING!D233+TRAFFIC!D233+PARKS!D233+REFUSE!D233+SEWAGE!D233+PWORKS!D233+WATER!D233+ELECTRIC!D233</f>
        <v>0</v>
      </c>
      <c r="E233" s="428">
        <f>+COUNCIL!E233+MAYOR!E233+SPEAKER!E233+MM!E233+CORP!E233+PROP!E233+RATES!E233+THALL!E233+FIN!E233+SOCIAL!E233+CEMETERY!E233+LIBRARIES!E233+HOUSING!E233+TRAFFIC!E233+PARKS!E233+REFUSE!E233+SEWAGE!E233+PWORKS!E233+WATER!E233+ELECTRIC!E233</f>
        <v>2730000</v>
      </c>
      <c r="F233" s="428">
        <f>+COUNCIL!F233+MAYOR!F233+SPEAKER!F233+MM!F233+CORP!F233+PROP!F233+RATES!F233+THALL!F233+FIN!F233+SOCIAL!F233+CEMETERY!F233+LIBRARIES!F233+HOUSING!F233+TRAFFIC!F233+PARKS!F233+REFUSE!F233+SEWAGE!F233+PWORKS!F233+WATER!F233+ELECTRIC!F233</f>
        <v>2730000</v>
      </c>
      <c r="G233" s="428">
        <f>+COUNCIL!G233+MAYOR!G233+SPEAKER!G233+MM!G233+CORP!G233+PROP!G233+RATES!G233+THALL!G233+FIN!G233+SOCIAL!G233+CEMETERY!G233+LIBRARIES!G233+HOUSING!G233+TRAFFIC!G233+PARKS!G233+REFUSE!G233+SEWAGE!G233+PWORKS!G233+WATER!G233+ELECTRIC!G233</f>
        <v>2730001</v>
      </c>
      <c r="H233" s="428">
        <f>+COUNCIL!H233+MAYOR!H233+SPEAKER!H233+MM!H233+CORP!H233+PROP!H233+RATES!H233+THALL!H233+FIN!H233+SOCIAL!H233+CEMETERY!H233+LIBRARIES!H233+HOUSING!I233+TRAFFIC!H233+PARKS!H233+REFUSE!H233+SEWAGE!H233+PWORKS!H233+WATER!H233+ELECTRIC!H233</f>
        <v>3447000</v>
      </c>
      <c r="I233" s="428">
        <f>+COUNCIL!I233+MAYOR!I233+SPEAKER!I233+MM!I233+CORP!I233+PROP!I233+RATES!I233+THALL!I233+FIN!I233+SOCIAL!I233+CEMETERY!I233+LIBRARIES!I234+HOUSING!J233+TRAFFIC!I233+PARKS!I233+REFUSE!I233+SEWAGE!I233+PWORKS!I233+WATER!I233+ELECTRIC!I233+PLANNING!I233</f>
        <v>0</v>
      </c>
      <c r="J233" s="428">
        <f>+COUNCIL!J233+MAYOR!J233+SPEAKER!J233+MM!J233+CORP!J233+PROP!J233+RATES!J233+THALL!J233+FIN!J233+SOCIAL!J233+CEMETERY!J233+LIBRARIES!J234+HOUSING!K233+TRAFFIC!J233+PARKS!J233+REFUSE!J233+SEWAGE!J233+PWORKS!J233+WATER!J233+ELECTRIC!J233+PLANNING!J233</f>
        <v>0</v>
      </c>
      <c r="K233" s="428">
        <f>+COUNCIL!K233+MAYOR!K233+SPEAKER!K233+MM!K233+CORP!K233+PROP!K233+RATES!K233+THALL!K233+FIN!K233+SOCIAL!K233+CEMETERY!K233+LIBRARIES!K234+HOUSING!L233+TRAFFIC!K233+PARKS!K233+REFUSE!K233+SEWAGE!K233+PWORKS!K233+WATER!K233+ELECTRIC!K233+PLANNING!K233</f>
        <v>0</v>
      </c>
    </row>
    <row r="234" spans="1:11" s="285" customFormat="1" x14ac:dyDescent="0.25">
      <c r="A234" s="468"/>
      <c r="B234" s="468"/>
      <c r="C234" s="94" t="s">
        <v>184</v>
      </c>
      <c r="D234" s="428">
        <f>+COUNCIL!D234+MAYOR!D234+SPEAKER!D234+MM!D234+CORP!D234+PROP!D234+RATES!D234+THALL!D234+FIN!D234+SOCIAL!D234+CEMETERY!D234+LIBRARIES!D234+HOUSING!D234+TRAFFIC!D234+PARKS!D234+REFUSE!D234+SEWAGE!D234+PWORKS!D234+WATER!D234+ELECTRIC!D234</f>
        <v>0</v>
      </c>
      <c r="E234" s="428">
        <f>+COUNCIL!E234+MAYOR!E234+SPEAKER!E234+MM!E234+CORP!E234+PROP!E234+RATES!E234+THALL!E234+FIN!E234+SOCIAL!E234+CEMETERY!E234+LIBRARIES!E234+HOUSING!E234+TRAFFIC!E234+PARKS!E234+REFUSE!E234+SEWAGE!E234+PWORKS!E234+WATER!E234+ELECTRIC!E234</f>
        <v>0</v>
      </c>
      <c r="F234" s="428">
        <f>+COUNCIL!F234+MAYOR!F234+SPEAKER!F234+MM!F234+CORP!F234+PROP!F234+RATES!F234+THALL!F234+FIN!F234+SOCIAL!F234+CEMETERY!F234+LIBRARIES!F234+HOUSING!F234+TRAFFIC!F234+PARKS!F234+REFUSE!F234+SEWAGE!F234+PWORKS!F234+WATER!F234+ELECTRIC!F234</f>
        <v>0</v>
      </c>
      <c r="G234" s="428">
        <f>+COUNCIL!G234+MAYOR!G234+SPEAKER!G234+MM!G234+CORP!G234+PROP!G234+RATES!G234+THALL!G234+FIN!G234+SOCIAL!G234+CEMETERY!G234+LIBRARIES!G234+HOUSING!G234+TRAFFIC!G234+PARKS!G234+REFUSE!G234+SEWAGE!G234+PWORKS!G234+WATER!G234+ELECTRIC!G234</f>
        <v>0</v>
      </c>
      <c r="H234" s="428">
        <f>+COUNCIL!H234+MAYOR!H234+SPEAKER!H234+MM!H234+CORP!H234+PROP!H234+RATES!H234+THALL!H234+FIN!H234+SOCIAL!H234+CEMETERY!H234+LIBRARIES!H234+HOUSING!I234+TRAFFIC!H234+PARKS!H234+REFUSE!H234+SEWAGE!H234+PWORKS!H234+WATER!H234+ELECTRIC!H234</f>
        <v>0</v>
      </c>
      <c r="I234" s="428">
        <f>+COUNCIL!I234+MAYOR!I234+SPEAKER!I234+MM!I234+CORP!I234+PROP!I234+RATES!I234+THALL!I234+FIN!I234+SOCIAL!I234+CEMETERY!I234+LIBRARIES!I235+HOUSING!J234+TRAFFIC!I234+PARKS!I234+REFUSE!I234+SEWAGE!I234+PWORKS!I234+WATER!I234+ELECTRIC!I234+PLANNING!I234</f>
        <v>0</v>
      </c>
      <c r="J234" s="428">
        <f>+COUNCIL!J234+MAYOR!J234+SPEAKER!J234+MM!J234+CORP!J234+PROP!J234+RATES!J234+THALL!J234+FIN!J234+SOCIAL!J234+CEMETERY!J234+LIBRARIES!J235+HOUSING!K234+TRAFFIC!J234+PARKS!J234+REFUSE!J234+SEWAGE!J234+PWORKS!J234+WATER!J234+ELECTRIC!J234+PLANNING!J234</f>
        <v>0</v>
      </c>
      <c r="K234" s="428">
        <f>+COUNCIL!K234+MAYOR!K234+SPEAKER!K234+MM!K234+CORP!K234+PROP!K234+RATES!K234+THALL!K234+FIN!K234+SOCIAL!K234+CEMETERY!K234+LIBRARIES!K235+HOUSING!L234+TRAFFIC!K234+PARKS!K234+REFUSE!K234+SEWAGE!K234+PWORKS!K234+WATER!K234+ELECTRIC!K234+PLANNING!K234</f>
        <v>0</v>
      </c>
    </row>
    <row r="235" spans="1:11" s="285" customFormat="1" x14ac:dyDescent="0.25">
      <c r="A235" s="468"/>
      <c r="B235" s="468"/>
      <c r="C235" s="94" t="s">
        <v>77</v>
      </c>
      <c r="D235" s="428">
        <f>+COUNCIL!D235+MAYOR!D235+SPEAKER!D235+MM!D235+CORP!D235+PROP!D235+RATES!D235+THALL!D235+FIN!D235+SOCIAL!D235+CEMETERY!D235+LIBRARIES!D235+HOUSING!D235+TRAFFIC!D235+PARKS!D235+REFUSE!D235+SEWAGE!D235+PWORKS!D235+WATER!D235+ELECTRIC!D235</f>
        <v>0</v>
      </c>
      <c r="E235" s="428">
        <f>+COUNCIL!E235+MAYOR!E235+SPEAKER!E235+MM!E235+CORP!E235+PROP!E235+RATES!E235+THALL!E235+FIN!E235+SOCIAL!E235+CEMETERY!E235+LIBRARIES!E235+HOUSING!E235+TRAFFIC!E235+PARKS!E235+REFUSE!E235+SEWAGE!E235+PWORKS!E235+WATER!E235+ELECTRIC!E235</f>
        <v>0</v>
      </c>
      <c r="F235" s="428">
        <f>+COUNCIL!F235+MAYOR!F235+SPEAKER!F235+MM!F235+CORP!F235+PROP!F235+RATES!F235+THALL!F235+FIN!F235+SOCIAL!F235+CEMETERY!F235+LIBRARIES!F235+HOUSING!F235+TRAFFIC!F235+PARKS!F235+REFUSE!F235+SEWAGE!F235+PWORKS!F235+WATER!F235+ELECTRIC!F235</f>
        <v>0</v>
      </c>
      <c r="G235" s="428">
        <f>+COUNCIL!G235+MAYOR!G235+SPEAKER!G235+MM!G235+CORP!G235+PROP!G235+RATES!G235+THALL!G235+FIN!G235+SOCIAL!G235+CEMETERY!G235+LIBRARIES!G235+HOUSING!G235+TRAFFIC!G235+PARKS!G235+REFUSE!G235+SEWAGE!G235+PWORKS!G235+WATER!G235+ELECTRIC!G235</f>
        <v>0</v>
      </c>
      <c r="H235" s="428">
        <f>+COUNCIL!H235+MAYOR!H235+SPEAKER!H235+MM!H235+CORP!H235+PROP!H235+RATES!H235+THALL!H235+FIN!H235+SOCIAL!H235+CEMETERY!H235+LIBRARIES!H235+HOUSING!I235+TRAFFIC!H235+PARKS!H235+REFUSE!H235+SEWAGE!H235+PWORKS!H235+WATER!H235+ELECTRIC!H235</f>
        <v>0</v>
      </c>
      <c r="I235" s="428">
        <f>+COUNCIL!I235+MAYOR!I235+SPEAKER!I235+MM!I235+CORP!I235+PROP!I235+RATES!I235+THALL!I235+FIN!I235+SOCIAL!I235+CEMETERY!I235+LIBRARIES!I236+HOUSING!J235+TRAFFIC!I235+PARKS!I235+REFUSE!I235+SEWAGE!I235+PWORKS!I235+WATER!I235+ELECTRIC!I235+PLANNING!I235</f>
        <v>0</v>
      </c>
      <c r="J235" s="428">
        <f>+COUNCIL!J235+MAYOR!J235+SPEAKER!J235+MM!J235+CORP!J235+PROP!J235+RATES!J235+THALL!J235+FIN!J235+SOCIAL!J235+CEMETERY!J235+LIBRARIES!J236+HOUSING!K235+TRAFFIC!J235+PARKS!J235+REFUSE!J235+SEWAGE!J235+PWORKS!J235+WATER!J235+ELECTRIC!J235+PLANNING!J235</f>
        <v>0</v>
      </c>
      <c r="K235" s="428">
        <f>+COUNCIL!K235+MAYOR!K235+SPEAKER!K235+MM!K235+CORP!K235+PROP!K235+RATES!K235+THALL!K235+FIN!K235+SOCIAL!K235+CEMETERY!K235+LIBRARIES!K236+HOUSING!L235+TRAFFIC!K235+PARKS!K235+REFUSE!K235+SEWAGE!K235+PWORKS!K235+WATER!K235+ELECTRIC!K235+PLANNING!K235</f>
        <v>0</v>
      </c>
    </row>
    <row r="236" spans="1:11" s="285" customFormat="1" x14ac:dyDescent="0.25">
      <c r="A236" s="468"/>
      <c r="B236" s="468"/>
      <c r="C236" s="106" t="s">
        <v>78</v>
      </c>
      <c r="D236" s="428">
        <f>+COUNCIL!D236+MAYOR!D236+SPEAKER!D236+MM!D236+CORP!D236+PROP!D236+RATES!D236+THALL!D236+FIN!D236+SOCIAL!D236+CEMETERY!D236+LIBRARIES!D236+HOUSING!D236+TRAFFIC!D236+PARKS!D236+REFUSE!D236+SEWAGE!D236+PWORKS!D236+WATER!D236+ELECTRIC!D236</f>
        <v>44782000</v>
      </c>
      <c r="E236" s="428">
        <f>+COUNCIL!E236+MAYOR!E236+SPEAKER!E236+MM!E236+CORP!E236+PROP!E236+RATES!E236+THALL!E236+FIN!E236+SOCIAL!E236+CEMETERY!E236+LIBRARIES!E236+HOUSING!E236+TRAFFIC!E236+PARKS!E236+REFUSE!E236+SEWAGE!E236+PWORKS!E236+WATER!E236+ELECTRIC!E236</f>
        <v>34921000</v>
      </c>
      <c r="F236" s="428">
        <f>+COUNCIL!F236+MAYOR!F236+SPEAKER!F236+MM!F236+CORP!F236+PROP!F236+RATES!F236+THALL!F236+FIN!F236+SOCIAL!F236+CEMETERY!F236+LIBRARIES!F236+HOUSING!F236+TRAFFIC!F236+PARKS!F236+REFUSE!F236+SEWAGE!F236+PWORKS!F236+WATER!F236+ELECTRIC!F236</f>
        <v>34921000</v>
      </c>
      <c r="G236" s="428">
        <f>+COUNCIL!G236+MAYOR!G236+SPEAKER!G236+MM!G236+CORP!G236+PROP!G236+RATES!G236+THALL!G236+FIN!G236+SOCIAL!G236+CEMETERY!G236+LIBRARIES!G236+HOUSING!G236+TRAFFIC!G236+PARKS!G236+REFUSE!G236+SEWAGE!G236+PWORKS!G236+WATER!G236+ELECTRIC!G236</f>
        <v>34921000</v>
      </c>
      <c r="H236" s="428">
        <f>+COUNCIL!H236+MAYOR!H236+SPEAKER!H236+MM!H236+CORP!H236+PROP!H236+RATES!H236+THALL!H236+FIN!H236+SOCIAL!H236+CEMETERY!H236+LIBRARIES!H236+HOUSING!I236+TRAFFIC!H236+PARKS!H236+REFUSE!H236+SEWAGE!H236+PWORKS!H236+WATER!H236+ELECTRIC!H236</f>
        <v>28731000</v>
      </c>
      <c r="I236" s="428">
        <f>+COUNCIL!I236+MAYOR!I236+SPEAKER!I236+MM!I236+CORP!I236+PROP!I236+RATES!I236+THALL!I236+FIN!I236+SOCIAL!I236+CEMETERY!I236+LIBRARIES!I237+HOUSING!J236+TRAFFIC!I236+PARKS!I236+REFUSE!I236+SEWAGE!I236+PWORKS!I236+WATER!I236+ELECTRIC!I236+PLANNING!I236</f>
        <v>23730000</v>
      </c>
      <c r="J236" s="428">
        <f>+COUNCIL!J236+MAYOR!J236+SPEAKER!J236+MM!J236+CORP!J236+PROP!J236+RATES!J236+THALL!J236+FIN!J236+SOCIAL!J236+CEMETERY!J236+LIBRARIES!J237+HOUSING!K236+TRAFFIC!J236+PARKS!J236+REFUSE!J236+SEWAGE!J236+PWORKS!J236+WATER!J236+ELECTRIC!J236+PLANNING!J236</f>
        <v>24538000</v>
      </c>
      <c r="K236" s="428">
        <f>+COUNCIL!K236+MAYOR!K236+SPEAKER!K236+MM!K236+CORP!K236+PROP!K236+RATES!K236+THALL!K236+FIN!K236+SOCIAL!K236+CEMETERY!K236+LIBRARIES!K237+HOUSING!L236+TRAFFIC!K236+PARKS!K236+REFUSE!K236+SEWAGE!K236+PWORKS!K236+WATER!K236+ELECTRIC!K236+PLANNING!K236</f>
        <v>25750000</v>
      </c>
    </row>
    <row r="237" spans="1:11" s="285" customFormat="1" x14ac:dyDescent="0.25">
      <c r="A237" s="468"/>
      <c r="B237" s="468"/>
      <c r="C237" s="97" t="s">
        <v>200</v>
      </c>
      <c r="D237" s="428">
        <f>+COUNCIL!D237+MAYOR!D237+SPEAKER!D237+MM!D237+CORP!D237+PROP!D237+RATES!D237+THALL!D237+FIN!D237+SOCIAL!D237+CEMETERY!D237+LIBRARIES!D237+HOUSING!D237+TRAFFIC!D237+PARKS!D237+REFUSE!D237+SEWAGE!D237+PWORKS!D237+WATER!D237+ELECTRIC!D237</f>
        <v>800000</v>
      </c>
      <c r="E237" s="428">
        <f>+COUNCIL!E237+MAYOR!E237+SPEAKER!E237+MM!E237+CORP!E237+PROP!E237+RATES!E237+THALL!E237+FIN!E237+SOCIAL!E237+CEMETERY!E237+LIBRARIES!E237+HOUSING!E237+TRAFFIC!E237+PARKS!E237+REFUSE!E237+SEWAGE!E237+PWORKS!E237+WATER!E237+ELECTRIC!E237</f>
        <v>890000</v>
      </c>
      <c r="F237" s="428">
        <f>+COUNCIL!F237+MAYOR!F237+SPEAKER!F237+MM!F237+CORP!F237+PROP!F237+RATES!F237+THALL!F237+FIN!F237+SOCIAL!F237+CEMETERY!F237+LIBRARIES!F237+HOUSING!F237+TRAFFIC!F237+PARKS!F237+REFUSE!F237+SEWAGE!F237+PWORKS!F237+WATER!F237+ELECTRIC!F237</f>
        <v>890000</v>
      </c>
      <c r="G237" s="428">
        <f>+COUNCIL!G237+MAYOR!G237+SPEAKER!G237+MM!G237+CORP!G237+PROP!G237+RATES!G237+THALL!G237+FIN!G237+SOCIAL!G237+CEMETERY!G237+LIBRARIES!G237+HOUSING!G237+TRAFFIC!G237+PARKS!G237+REFUSE!G237+SEWAGE!G237+PWORKS!G237+WATER!G237+ELECTRIC!G237</f>
        <v>890000</v>
      </c>
      <c r="H237" s="428">
        <f>+COUNCIL!H237+MAYOR!H237+SPEAKER!H237+MM!H237+CORP!H237+PROP!H237+RATES!H237+THALL!H237+FIN!H237+SOCIAL!H237+CEMETERY!H237+LIBRARIES!H237+HOUSING!I237+TRAFFIC!H237+PARKS!H237+REFUSE!H237+SEWAGE!H237+PWORKS!H237+WATER!H237+ELECTRIC!H237</f>
        <v>934000</v>
      </c>
      <c r="I237" s="428">
        <f>+COUNCIL!I237+MAYOR!I237+SPEAKER!I237+MM!I237+CORP!I237+PROP!I237+RATES!I237+THALL!I237+FIN!I237+SOCIAL!I237+CEMETERY!I237+LIBRARIES!I238+HOUSING!J237+TRAFFIC!I237+PARKS!I237+REFUSE!I237+SEWAGE!I237+PWORKS!I237+WATER!I237+ELECTRIC!I237+PLANNING!I237</f>
        <v>930000</v>
      </c>
      <c r="J237" s="428">
        <f>+COUNCIL!J237+MAYOR!J237+SPEAKER!J237+MM!J237+CORP!J237+PROP!J237+RATES!J237+THALL!J237+FIN!J237+SOCIAL!J237+CEMETERY!J237+LIBRARIES!J238+HOUSING!K237+TRAFFIC!J237+PARKS!J237+REFUSE!J237+SEWAGE!J237+PWORKS!J237+WATER!J237+ELECTRIC!J237+PLANNING!J237</f>
        <v>957000</v>
      </c>
      <c r="K237" s="428">
        <f>+COUNCIL!K237+MAYOR!K237+SPEAKER!K237+MM!K237+CORP!K237+PROP!K237+RATES!K237+THALL!K237+FIN!K237+SOCIAL!K237+CEMETERY!K237+LIBRARIES!K238+HOUSING!L237+TRAFFIC!K237+PARKS!K237+REFUSE!K237+SEWAGE!K237+PWORKS!K237+WATER!K237+ELECTRIC!K237+PLANNING!K237</f>
        <v>1053000</v>
      </c>
    </row>
    <row r="238" spans="1:11" s="285" customFormat="1" x14ac:dyDescent="0.25">
      <c r="A238" s="468"/>
      <c r="B238" s="468"/>
      <c r="C238" s="94" t="s">
        <v>503</v>
      </c>
      <c r="D238" s="428">
        <f>+COUNCIL!D238+MAYOR!D238+SPEAKER!D238+MM!D238+CORP!D238+PROP!D238+RATES!D238+THALL!D238+FIN!D238+SOCIAL!D238+CEMETERY!D238+LIBRARIES!D238+HOUSING!D238+TRAFFIC!D238+PARKS!D238+REFUSE!D238+SEWAGE!D238+PWORKS!D238+WATER!D238+ELECTRIC!D238</f>
        <v>0</v>
      </c>
      <c r="E238" s="428">
        <f>+COUNCIL!E238+MAYOR!E238+SPEAKER!E238+MM!E238+CORP!E238+PROP!E238+RATES!E238+THALL!E238+FIN!E238+SOCIAL!E238+CEMETERY!E238+LIBRARIES!E238+HOUSING!E238+TRAFFIC!E238+PARKS!E238+REFUSE!E238+SEWAGE!E238+PWORKS!E238+WATER!E238+ELECTRIC!E238</f>
        <v>1000000</v>
      </c>
      <c r="F238" s="428">
        <f>+COUNCIL!F238+MAYOR!F238+SPEAKER!F238+MM!F238+CORP!F238+PROP!F238+RATES!F238+THALL!F238+FIN!F238+SOCIAL!F238+CEMETERY!F238+LIBRARIES!F238+HOUSING!F238+TRAFFIC!F238+PARKS!F238+REFUSE!F238+SEWAGE!F238+PWORKS!F238+WATER!F238+ELECTRIC!F238</f>
        <v>1000000</v>
      </c>
      <c r="G238" s="428">
        <f>+COUNCIL!G238+MAYOR!G238+SPEAKER!G238+MM!G238+CORP!G238+PROP!G238+RATES!G238+THALL!G238+FIN!G238+SOCIAL!G238+CEMETERY!G238+LIBRARIES!G238+HOUSING!G238+TRAFFIC!G238+PARKS!G238+REFUSE!G238+SEWAGE!G238+PWORKS!G238+WATER!G238+ELECTRIC!G238</f>
        <v>1000000</v>
      </c>
      <c r="H238" s="428">
        <f>+COUNCIL!H238+MAYOR!H238+SPEAKER!H238+MM!H238+CORP!H238+PROP!H238+RATES!H238+THALL!H238+FIN!H238+SOCIAL!H238+CEMETERY!H238+LIBRARIES!H238+HOUSING!I238+TRAFFIC!H238+PARKS!H238+REFUSE!H238+SEWAGE!H238+PWORKS!H238+WATER!H238+ELECTRIC!H238</f>
        <v>1023000</v>
      </c>
      <c r="I238" s="428">
        <f>+COUNCIL!I238+MAYOR!I238+SPEAKER!I238+MM!I238+CORP!I238+PROP!I238+RATES!I238+THALL!I238+FIN!I238+SOCIAL!I238+CEMETERY!I238+LIBRARIES!I239+HOUSING!J238+TRAFFIC!I238+PARKS!I238+REFUSE!I238+SEWAGE!I238+PWORKS!I238+WATER!I238+ELECTRIC!I238+PLANNING!I238</f>
        <v>1112000</v>
      </c>
      <c r="J238" s="428">
        <f>+COUNCIL!J238+MAYOR!J238+SPEAKER!J238+MM!J238+CORP!J238+PROP!J238+RATES!J238+THALL!J238+FIN!J238+SOCIAL!J238+CEMETERY!J238+LIBRARIES!J239+HOUSING!K238+TRAFFIC!J238+PARKS!J238+REFUSE!J238+SEWAGE!J238+PWORKS!J238+WATER!J238+ELECTRIC!J238+PLANNING!J238</f>
        <v>0</v>
      </c>
      <c r="K238" s="428">
        <f>+COUNCIL!K238+MAYOR!K238+SPEAKER!K238+MM!K238+CORP!K238+PROP!K238+RATES!K238+THALL!K238+FIN!K238+SOCIAL!K238+CEMETERY!K238+LIBRARIES!K239+HOUSING!L238+TRAFFIC!K238+PARKS!K238+REFUSE!K238+SEWAGE!K238+PWORKS!K238+WATER!K238+ELECTRIC!K238+PLANNING!K238</f>
        <v>0</v>
      </c>
    </row>
    <row r="239" spans="1:11" s="285" customFormat="1" x14ac:dyDescent="0.25">
      <c r="A239" s="468"/>
      <c r="B239" s="468"/>
      <c r="C239" s="94" t="s">
        <v>494</v>
      </c>
      <c r="D239" s="428">
        <f>+COUNCIL!D239+MAYOR!D239+SPEAKER!D239+MM!D239+CORP!D239+PROP!D239+RATES!D239+THALL!D239+FIN!D239+SOCIAL!D239+CEMETERY!D239+LIBRARIES!D239+HOUSING!D239+TRAFFIC!D239+PARKS!D239+REFUSE!D239+SEWAGE!D239+PWORKS!D239+WATER!D239+ELECTRIC!D239</f>
        <v>0</v>
      </c>
      <c r="E239" s="428">
        <f>+COUNCIL!E239+MAYOR!E239+SPEAKER!E239+MM!E239+CORP!E239+PROP!E239+RATES!E239+THALL!E239+FIN!E239+SOCIAL!E239+CEMETERY!E239+LIBRARIES!E239+HOUSING!E239+TRAFFIC!E239+PARKS!E239+REFUSE!E239+SEWAGE!E239+PWORKS!E239+WATER!E239+ELECTRIC!E239</f>
        <v>17000000</v>
      </c>
      <c r="F239" s="428">
        <f>+COUNCIL!F239+MAYOR!F239+SPEAKER!F239+MM!F239+CORP!F239+PROP!F239+RATES!F239+THALL!F239+FIN!F239+SOCIAL!F239+CEMETERY!F239+LIBRARIES!F239+HOUSING!F239+TRAFFIC!F239+PARKS!F239+REFUSE!F239+SEWAGE!F239+PWORKS!F239+WATER!F239+ELECTRIC!F239</f>
        <v>17000000</v>
      </c>
      <c r="G239" s="428">
        <f>+COUNCIL!G239+MAYOR!G239+SPEAKER!G239+MM!G239+CORP!G239+PROP!G239+RATES!G239+THALL!G239+FIN!G239+SOCIAL!G239+CEMETERY!G239+LIBRARIES!G239+HOUSING!G239+TRAFFIC!G239+PARKS!G239+REFUSE!G239+SEWAGE!G239+PWORKS!G239+WATER!G239+ELECTRIC!G239</f>
        <v>17000000</v>
      </c>
      <c r="H239" s="428">
        <f>+COUNCIL!H239+MAYOR!H239+SPEAKER!H239+MM!H239+CORP!H239+PROP!H239+RATES!H239+THALL!H239+FIN!H239+SOCIAL!H239+CEMETERY!H239+LIBRARIES!H239+HOUSING!I239+TRAFFIC!H239+PARKS!H239+REFUSE!H239+SEWAGE!H239+PWORKS!H239+WATER!H239+ELECTRIC!H239</f>
        <v>46000000</v>
      </c>
      <c r="I239" s="428">
        <f>+COUNCIL!I239+MAYOR!I239+SPEAKER!I239+MM!I239+CORP!I239+PROP!I239+RATES!I239+THALL!I239+FIN!I239+SOCIAL!I239+CEMETERY!I239+LIBRARIES!I240+HOUSING!J239+TRAFFIC!I239+PARKS!I239+REFUSE!I239+SEWAGE!I239+PWORKS!I239+WATER!I239+ELECTRIC!I239+PLANNING!I239</f>
        <v>55000000</v>
      </c>
      <c r="J239" s="428">
        <f>+COUNCIL!J239+MAYOR!J239+SPEAKER!J239+MM!J239+CORP!J239+PROP!J239+RATES!J239+THALL!J239+FIN!J239+SOCIAL!J239+CEMETERY!J239+LIBRARIES!J240+HOUSING!K239+TRAFFIC!J239+PARKS!J239+REFUSE!J239+SEWAGE!J239+PWORKS!J239+WATER!J239+ELECTRIC!J239+PLANNING!J239</f>
        <v>42000000</v>
      </c>
      <c r="K239" s="428">
        <f>+COUNCIL!K239+MAYOR!K239+SPEAKER!K239+MM!K239+CORP!K239+PROP!K239+RATES!K239+THALL!K239+FIN!K239+SOCIAL!K239+CEMETERY!K239+LIBRARIES!K240+HOUSING!L239+TRAFFIC!K239+PARKS!K239+REFUSE!K239+SEWAGE!K239+PWORKS!K239+WATER!K239+ELECTRIC!K239+PLANNING!K239</f>
        <v>30000000</v>
      </c>
    </row>
    <row r="240" spans="1:11" s="285" customFormat="1" x14ac:dyDescent="0.25">
      <c r="A240" s="468"/>
      <c r="B240" s="468"/>
      <c r="C240" s="94"/>
      <c r="D240" s="436">
        <f t="shared" ref="D240:K240" si="15">SUM(D227:D239)</f>
        <v>128173000</v>
      </c>
      <c r="E240" s="436">
        <f t="shared" si="15"/>
        <v>138042000</v>
      </c>
      <c r="F240" s="436">
        <f t="shared" si="15"/>
        <v>138042000</v>
      </c>
      <c r="G240" s="436">
        <f t="shared" si="15"/>
        <v>138042001</v>
      </c>
      <c r="H240" s="436">
        <f t="shared" si="15"/>
        <v>163338000</v>
      </c>
      <c r="I240" s="436">
        <f t="shared" si="15"/>
        <v>170893000</v>
      </c>
      <c r="J240" s="436">
        <f t="shared" si="15"/>
        <v>155333000.5</v>
      </c>
      <c r="K240" s="436">
        <f t="shared" si="15"/>
        <v>142278999.90649998</v>
      </c>
    </row>
    <row r="241" spans="1:11" s="285" customFormat="1" x14ac:dyDescent="0.25">
      <c r="A241" s="468"/>
      <c r="B241" s="468"/>
      <c r="C241" s="93" t="s">
        <v>79</v>
      </c>
      <c r="D241" s="444"/>
      <c r="E241" s="435"/>
      <c r="F241" s="435"/>
      <c r="G241" s="435"/>
      <c r="H241" s="435"/>
      <c r="I241" s="435"/>
      <c r="J241" s="435"/>
      <c r="K241" s="444"/>
    </row>
    <row r="242" spans="1:11" s="285" customFormat="1" x14ac:dyDescent="0.25">
      <c r="A242" s="468"/>
      <c r="B242" s="468"/>
      <c r="C242" s="94" t="s">
        <v>123</v>
      </c>
      <c r="D242" s="428">
        <f>+COUNCIL!D242+MAYOR!D242+SPEAKER!D242+MM!D242+CORP!D242+PROP!D242+RATES!D242+THALL!D242+FIN!D242+SOCIAL!D242+CEMETERY!D242+LIBRARIES!D242+HOUSING!D242+TRAFFIC!D242+PARKS!D242+REFUSE!D242+SEWAGE!D242+PWORKS!D242+WATER!D242+ELECTRIC!D242</f>
        <v>19925.100000000002</v>
      </c>
      <c r="E242" s="428">
        <f>+COUNCIL!E242+MAYOR!E242+SPEAKER!E242+MM!E242+CORP!E242+PROP!E242+RATES!E242+THALL!E242+FIN!E242+SOCIAL!E242+CEMETERY!E242+LIBRARIES!E242+HOUSING!E242+TRAFFIC!E242+PARKS!E242+REFUSE!E242+SEWAGE!E242+PWORKS!E242+WATER!E242+ELECTRIC!E242</f>
        <v>21040.905600000002</v>
      </c>
      <c r="F242" s="428">
        <f>+COUNCIL!F242+MAYOR!F242+SPEAKER!F242+MM!F242+CORP!F242+PROP!F242+RATES!F242+THALL!F242+FIN!F242+SOCIAL!F242+CEMETERY!F242+LIBRARIES!F242+HOUSING!F242+TRAFFIC!F242+PARKS!F242+REFUSE!F242+SEWAGE!F242+PWORKS!F242+WATER!F242+ELECTRIC!F242</f>
        <v>81040.905599999998</v>
      </c>
      <c r="G242" s="428">
        <f>+COUNCIL!G242+MAYOR!G242+SPEAKER!G242+MM!G242+CORP!G242+PROP!G242+RATES!G242+THALL!G242+FIN!G242+SOCIAL!G242+CEMETERY!G242+LIBRARIES!G242+HOUSING!G242+TRAFFIC!G242+PARKS!G242+REFUSE!G242+SEWAGE!G242+PWORKS!G242+WATER!G242+ELECTRIC!G242</f>
        <v>81040.905599999998</v>
      </c>
      <c r="H242" s="428">
        <f>+COUNCIL!H242+MAYOR!H242+SPEAKER!H242+MM!H242+CORP!H242+PROP!H242+RATES!H242+THALL!H242+FIN!H242+SOCIAL!H242+CEMETERY!H242+LIBRARIES!H242+HOUSING!I242+TRAFFIC!H242+PARKS!H242+REFUSE!H242+SEWAGE!H242+PWORKS!H242+WATER!H242+ELECTRIC!H242</f>
        <v>89144.996159999995</v>
      </c>
      <c r="I242" s="428">
        <f>+COUNCIL!I242+MAYOR!I242+SPEAKER!I242+MM!I242+CORP!I242+PROP!I242+RATES!I242+THALL!I242+FIN!I242+SOCIAL!I242+CEMETERY!I242+LIBRARIES!I243+HOUSING!J242+TRAFFIC!I242+PARKS!I242+REFUSE!I242+SEWAGE!I242+PWORKS!I242+WATER!I242+ELECTRIC!I242+PLANNING!I242</f>
        <v>5000</v>
      </c>
      <c r="J242" s="428">
        <f>+COUNCIL!J242+MAYOR!J242+SPEAKER!J242+MM!J242+CORP!J242+PROP!J242+RATES!J242+THALL!J242+FIN!J242+SOCIAL!J242+CEMETERY!J242+LIBRARIES!J243+HOUSING!K242+TRAFFIC!J242+PARKS!J242+REFUSE!J242+SEWAGE!J242+PWORKS!J242+WATER!J242+ELECTRIC!J242+PLANNING!J242</f>
        <v>5275</v>
      </c>
      <c r="K242" s="428">
        <f>+COUNCIL!K242+MAYOR!K242+SPEAKER!K242+MM!K242+CORP!K242+PROP!K242+RATES!K242+THALL!K242+FIN!K242+SOCIAL!K242+CEMETERY!K242+LIBRARIES!K243+HOUSING!L242+TRAFFIC!K242+PARKS!K242+REFUSE!K242+SEWAGE!K242+PWORKS!K242+WATER!K242+ELECTRIC!K242+PLANNING!K242</f>
        <v>5554.5749999999998</v>
      </c>
    </row>
    <row r="243" spans="1:11" s="285" customFormat="1" x14ac:dyDescent="0.25">
      <c r="A243" s="468"/>
      <c r="B243" s="468"/>
      <c r="C243" s="94" t="s">
        <v>242</v>
      </c>
      <c r="D243" s="428">
        <f>+COUNCIL!D243+MAYOR!D243+SPEAKER!D243+MM!D243+CORP!D243+PROP!D243+RATES!D243+THALL!D243+FIN!D243+SOCIAL!D243+CEMETERY!D243+LIBRARIES!D243+HOUSING!D243+TRAFFIC!D243+PARKS!D243+REFUSE!D243+SEWAGE!D243+PWORKS!D243+WATER!D243+ELECTRIC!D243</f>
        <v>10230.890400000002</v>
      </c>
      <c r="E243" s="428">
        <f>+COUNCIL!E243+MAYOR!E243+SPEAKER!E243+MM!E243+CORP!E243+PROP!E243+RATES!E243+THALL!E243+FIN!E243+SOCIAL!E243+CEMETERY!E243+LIBRARIES!E243+HOUSING!E243+TRAFFIC!E243+PARKS!E243+REFUSE!E243+SEWAGE!E243+PWORKS!E243+WATER!E243+ELECTRIC!E243</f>
        <v>10803.936</v>
      </c>
      <c r="F243" s="428">
        <f>+COUNCIL!F243+MAYOR!F243+SPEAKER!F243+MM!F243+CORP!F243+PROP!F243+RATES!F243+THALL!F243+FIN!F243+SOCIAL!F243+CEMETERY!F243+LIBRARIES!F243+HOUSING!F243+TRAFFIC!F243+PARKS!F243+REFUSE!F243+SEWAGE!F243+PWORKS!F243+WATER!F243+ELECTRIC!F243</f>
        <v>10803.936</v>
      </c>
      <c r="G243" s="428">
        <f>+COUNCIL!G243+MAYOR!G243+SPEAKER!G243+MM!G243+CORP!G243+PROP!G243+RATES!G243+THALL!G243+FIN!G243+SOCIAL!G243+CEMETERY!G243+LIBRARIES!G243+HOUSING!G243+TRAFFIC!G243+PARKS!G243+REFUSE!G243+SEWAGE!G243+PWORKS!G243+WATER!G243+ELECTRIC!G243</f>
        <v>10803.936</v>
      </c>
      <c r="H243" s="428">
        <f>+COUNCIL!H243+MAYOR!H243+SPEAKER!H243+MM!H243+CORP!H243+PROP!H243+RATES!H243+THALL!H243+FIN!H243+SOCIAL!H243+CEMETERY!H243+LIBRARIES!H243+HOUSING!I243+TRAFFIC!H243+PARKS!H243+REFUSE!H243+SEWAGE!H243+PWORKS!H243+WATER!H243+ELECTRIC!H243</f>
        <v>11884.329599999999</v>
      </c>
      <c r="I243" s="428">
        <f>+COUNCIL!I243+MAYOR!I243+SPEAKER!I243+MM!I243+CORP!I243+PROP!I243+RATES!I243+THALL!I243+FIN!I243+SOCIAL!I243+CEMETERY!I243+LIBRARIES!I244+HOUSING!J243+TRAFFIC!I243+PARKS!I243+REFUSE!I243+SEWAGE!I243+PWORKS!I243+WATER!I243+ELECTRIC!I243+PLANNING!I243</f>
        <v>5050</v>
      </c>
      <c r="J243" s="428">
        <f>+COUNCIL!J243+MAYOR!J243+SPEAKER!J243+MM!J243+CORP!J243+PROP!J243+RATES!J243+THALL!J243+FIN!J243+SOCIAL!J243+CEMETERY!J243+LIBRARIES!J244+HOUSING!K243+TRAFFIC!J243+PARKS!J243+REFUSE!J243+SEWAGE!J243+PWORKS!J243+WATER!J243+ELECTRIC!J243+PLANNING!J243</f>
        <v>5327.75</v>
      </c>
      <c r="K243" s="428">
        <f>+COUNCIL!K243+MAYOR!K243+SPEAKER!K243+MM!K243+CORP!K243+PROP!K243+RATES!K243+THALL!K243+FIN!K243+SOCIAL!K243+CEMETERY!K243+LIBRARIES!K244+HOUSING!L243+TRAFFIC!K243+PARKS!K243+REFUSE!K243+SEWAGE!K243+PWORKS!K243+WATER!K243+ELECTRIC!K243+PLANNING!K243</f>
        <v>5610.12075</v>
      </c>
    </row>
    <row r="244" spans="1:11" s="285" customFormat="1" x14ac:dyDescent="0.25">
      <c r="A244" s="468"/>
      <c r="B244" s="468"/>
      <c r="C244" s="94" t="s">
        <v>183</v>
      </c>
      <c r="D244" s="428">
        <f>+COUNCIL!D244+MAYOR!D244+SPEAKER!D244+MM!D244+CORP!D244+PROP!D244+RATES!D244+THALL!D244+FIN!D244+SOCIAL!D244+CEMETERY!D244+LIBRARIES!D244+HOUSING!D244+TRAFFIC!D244+PARKS!D244+REFUSE!D244+SEWAGE!D244+PWORKS!D244+WATER!D244+ELECTRIC!D244</f>
        <v>1120</v>
      </c>
      <c r="E244" s="428">
        <f>+COUNCIL!E244+MAYOR!E244+SPEAKER!E244+MM!E244+CORP!E244+PROP!E244+RATES!E244+THALL!E244+FIN!E244+SOCIAL!E244+CEMETERY!E244+LIBRARIES!E244+HOUSING!E244+TRAFFIC!E244+PARKS!E244+REFUSE!E244+SEWAGE!E244+PWORKS!E244+WATER!E244+ELECTRIC!E244</f>
        <v>510438.72</v>
      </c>
      <c r="F244" s="428">
        <f>+COUNCIL!F244+MAYOR!F244+SPEAKER!F244+MM!F244+CORP!F244+PROP!F244+RATES!F244+THALL!F244+FIN!F244+SOCIAL!F244+CEMETERY!F244+LIBRARIES!F244+HOUSING!F244+TRAFFIC!F244+PARKS!F244+REFUSE!F244+SEWAGE!F244+PWORKS!F244+WATER!F244+ELECTRIC!F244</f>
        <v>510438.72</v>
      </c>
      <c r="G244" s="428">
        <f>+COUNCIL!G244+MAYOR!G244+SPEAKER!G244+MM!G244+CORP!G244+PROP!G244+RATES!G244+THALL!G244+FIN!G244+SOCIAL!G244+CEMETERY!G244+LIBRARIES!G244+HOUSING!G244+TRAFFIC!G244+PARKS!G244+REFUSE!G244+SEWAGE!G244+PWORKS!G244+WATER!G244+ELECTRIC!G244</f>
        <v>510438.72</v>
      </c>
      <c r="H244" s="428">
        <f>+COUNCIL!H244+MAYOR!H244+SPEAKER!H244+MM!H244+CORP!H244+PROP!H244+RATES!H244+THALL!H244+FIN!H244+SOCIAL!H244+CEMETERY!H244+LIBRARIES!H244+HOUSING!I244+TRAFFIC!H244+PARKS!H244+REFUSE!H244+SEWAGE!H244+PWORKS!H244+WATER!H244+ELECTRIC!H244</f>
        <v>2300.9920000000002</v>
      </c>
      <c r="I244" s="428">
        <f>+COUNCIL!I244+MAYOR!I244+SPEAKER!I244+MM!I244+CORP!I244+PROP!I244+RATES!I244+THALL!I244+FIN!I244+SOCIAL!I244+CEMETERY!I244+LIBRARIES!I245+HOUSING!J244+TRAFFIC!I244+PARKS!I244+REFUSE!I244+SEWAGE!I244+PWORKS!I244+WATER!I244+ELECTRIC!I244+PLANNING!I244</f>
        <v>671.30100000000004</v>
      </c>
      <c r="J244" s="428">
        <f>+COUNCIL!J244+MAYOR!J244+SPEAKER!J244+MM!J244+CORP!J244+PROP!J244+RATES!J244+THALL!J244+FIN!J244+SOCIAL!J244+CEMETERY!J244+LIBRARIES!J245+HOUSING!K244+TRAFFIC!J244+PARKS!J244+REFUSE!J244+SEWAGE!J244+PWORKS!J244+WATER!J244+ELECTRIC!J244+PLANNING!J244</f>
        <v>708.22255500000006</v>
      </c>
      <c r="K244" s="428">
        <f>+COUNCIL!K244+MAYOR!K244+SPEAKER!K244+MM!K244+CORP!K244+PROP!K244+RATES!K244+THALL!K244+FIN!K244+SOCIAL!K244+CEMETERY!K244+LIBRARIES!K245+HOUSING!L244+TRAFFIC!K244+PARKS!K244+REFUSE!K244+SEWAGE!K244+PWORKS!K244+WATER!K244+ELECTRIC!K244+PLANNING!K244</f>
        <v>745.758350415</v>
      </c>
    </row>
    <row r="245" spans="1:11" s="285" customFormat="1" x14ac:dyDescent="0.25">
      <c r="A245" s="468"/>
      <c r="B245" s="468"/>
      <c r="C245" s="94" t="s">
        <v>103</v>
      </c>
      <c r="D245" s="428">
        <f>+COUNCIL!D245+MAYOR!D245+SPEAKER!D245+MM!D245+CORP!D245+PROP!D245+RATES!D245+THALL!D245+FIN!D245+SOCIAL!D245+CEMETERY!D245+LIBRARIES!D245+HOUSING!D245+TRAFFIC!D245+PARKS!D245+REFUSE!D245+SEWAGE!D245+PWORKS!D245+WATER!D245+ELECTRIC!D245</f>
        <v>0</v>
      </c>
      <c r="E245" s="428">
        <f>+COUNCIL!E245+MAYOR!E245+SPEAKER!E245+MM!E245+CORP!E245+PROP!E245+RATES!E245+THALL!E245+FIN!E245+SOCIAL!E245+CEMETERY!E245+LIBRARIES!E245+HOUSING!E245+TRAFFIC!E245+PARKS!E245+REFUSE!E245+SEWAGE!E245+PWORKS!E245+WATER!E245+ELECTRIC!E245</f>
        <v>0</v>
      </c>
      <c r="F245" s="428">
        <f>+COUNCIL!F245+MAYOR!F245+SPEAKER!F245+MM!F245+CORP!F245+PROP!F245+RATES!F245+THALL!F245+FIN!F245+SOCIAL!F245+CEMETERY!F245+LIBRARIES!F245+HOUSING!F245+TRAFFIC!F245+PARKS!F245+REFUSE!F245+SEWAGE!F245+PWORKS!F245+WATER!F245+ELECTRIC!F245</f>
        <v>0</v>
      </c>
      <c r="G245" s="428">
        <f>+COUNCIL!G245+MAYOR!G245+SPEAKER!G245+MM!G245+CORP!G245+PROP!G245+RATES!G245+THALL!G245+FIN!G245+SOCIAL!G245+CEMETERY!G245+LIBRARIES!G245+HOUSING!G245+TRAFFIC!G245+PARKS!G245+REFUSE!G245+SEWAGE!G245+PWORKS!G245+WATER!G245+ELECTRIC!G245</f>
        <v>0</v>
      </c>
      <c r="H245" s="428">
        <f>+COUNCIL!H245+MAYOR!H245+SPEAKER!H245+MM!H245+CORP!H245+PROP!H245+RATES!H245+THALL!H245+FIN!H245+SOCIAL!H245+CEMETERY!H245+LIBRARIES!H245+HOUSING!I245+TRAFFIC!H245+PARKS!H245+REFUSE!H245+SEWAGE!H245+PWORKS!H245+WATER!H245+ELECTRIC!H245</f>
        <v>0</v>
      </c>
      <c r="I245" s="428">
        <f>+COUNCIL!I245+MAYOR!I245+SPEAKER!I245+MM!I245+CORP!I245+PROP!I245+RATES!I245+THALL!I245+FIN!I245+SOCIAL!I245+CEMETERY!I245+LIBRARIES!I246+HOUSING!J245+TRAFFIC!I245+PARKS!I245+REFUSE!I245+SEWAGE!I245+PWORKS!I245+WATER!I245+ELECTRIC!I245+PLANNING!I245</f>
        <v>0</v>
      </c>
      <c r="J245" s="428">
        <f>+COUNCIL!J245+MAYOR!J245+SPEAKER!J245+MM!J245+CORP!J245+PROP!J245+RATES!J245+THALL!J245+FIN!J245+SOCIAL!J245+CEMETERY!J245+LIBRARIES!J246+HOUSING!K245+TRAFFIC!J245+PARKS!J245+REFUSE!J245+SEWAGE!J245+PWORKS!J245+WATER!J245+ELECTRIC!J245+PLANNING!J245</f>
        <v>0</v>
      </c>
      <c r="K245" s="428">
        <f>+COUNCIL!K245+MAYOR!K245+SPEAKER!K245+MM!K245+CORP!K245+PROP!K245+RATES!K245+THALL!K245+FIN!K245+SOCIAL!K245+CEMETERY!K245+LIBRARIES!K246+HOUSING!L245+TRAFFIC!K245+PARKS!K245+REFUSE!K245+SEWAGE!K245+PWORKS!K245+WATER!K245+ELECTRIC!K245+PLANNING!K245</f>
        <v>0</v>
      </c>
    </row>
    <row r="246" spans="1:11" s="285" customFormat="1" x14ac:dyDescent="0.25">
      <c r="A246" s="468"/>
      <c r="B246" s="468"/>
      <c r="C246" s="94" t="s">
        <v>107</v>
      </c>
      <c r="D246" s="428">
        <f>+COUNCIL!D246+MAYOR!D246+SPEAKER!D246+MM!D246+CORP!D246+PROP!D246+RATES!D246+THALL!D246+FIN!D246+SOCIAL!D246+CEMETERY!D246+LIBRARIES!D246+HOUSING!D246+TRAFFIC!D246+PARKS!D246+REFUSE!D246+SEWAGE!D246+PWORKS!D246+WATER!D246+ELECTRIC!D246</f>
        <v>180</v>
      </c>
      <c r="E246" s="428">
        <f>+COUNCIL!E246+MAYOR!E246+SPEAKER!E246+MM!E246+CORP!E246+PROP!E246+RATES!E246+THALL!E246+FIN!E246+SOCIAL!E246+CEMETERY!E246+LIBRARIES!E246+HOUSING!E246+TRAFFIC!E246+PARKS!E246+REFUSE!E246+SEWAGE!E246+PWORKS!E246+WATER!E246+ELECTRIC!E246</f>
        <v>190.08</v>
      </c>
      <c r="F246" s="428">
        <f>+COUNCIL!F246+MAYOR!F246+SPEAKER!F246+MM!F246+CORP!F246+PROP!F246+RATES!F246+THALL!F246+FIN!F246+SOCIAL!F246+CEMETERY!F246+LIBRARIES!F246+HOUSING!F246+TRAFFIC!F246+PARKS!F246+REFUSE!F246+SEWAGE!F246+PWORKS!F246+WATER!F246+ELECTRIC!F246</f>
        <v>190.08</v>
      </c>
      <c r="G246" s="428">
        <f>+COUNCIL!G246+MAYOR!G246+SPEAKER!G246+MM!G246+CORP!G246+PROP!G246+RATES!G246+THALL!G246+FIN!G246+SOCIAL!G246+CEMETERY!G246+LIBRARIES!G246+HOUSING!G246+TRAFFIC!G246+PARKS!G246+REFUSE!G246+SEWAGE!G246+PWORKS!G246+WATER!G246+ELECTRIC!G246</f>
        <v>190.08</v>
      </c>
      <c r="H246" s="428">
        <f>+COUNCIL!H246+MAYOR!H246+SPEAKER!H246+MM!H246+CORP!H246+PROP!H246+RATES!H246+THALL!H246+FIN!H246+SOCIAL!H246+CEMETERY!H246+LIBRARIES!H246+HOUSING!I246+TRAFFIC!H246+PARKS!H246+REFUSE!H246+SEWAGE!H246+PWORKS!H246+WATER!H246+ELECTRIC!H246</f>
        <v>209.08800000000002</v>
      </c>
      <c r="I246" s="428">
        <f>+COUNCIL!I246+MAYOR!I246+SPEAKER!I246+MM!I246+CORP!I246+PROP!I246+RATES!I246+THALL!I246+FIN!I246+SOCIAL!I246+CEMETERY!I246+LIBRARIES!I247+HOUSING!J246+TRAFFIC!I246+PARKS!I246+REFUSE!I246+SEWAGE!I246+PWORKS!I246+WATER!I246+ELECTRIC!I246+PLANNING!I246</f>
        <v>0</v>
      </c>
      <c r="J246" s="428">
        <f>+COUNCIL!J246+MAYOR!J246+SPEAKER!J246+MM!J246+CORP!J246+PROP!J246+RATES!J246+THALL!J246+FIN!J246+SOCIAL!J246+CEMETERY!J246+LIBRARIES!J247+HOUSING!K246+TRAFFIC!J246+PARKS!J246+REFUSE!J246+SEWAGE!J246+PWORKS!J246+WATER!J246+ELECTRIC!J246+PLANNING!J246</f>
        <v>0</v>
      </c>
      <c r="K246" s="428">
        <f>+COUNCIL!K246+MAYOR!K246+SPEAKER!K246+MM!K246+CORP!K246+PROP!K246+RATES!K246+THALL!K246+FIN!K246+SOCIAL!K246+CEMETERY!K246+LIBRARIES!K247+HOUSING!L246+TRAFFIC!K246+PARKS!K246+REFUSE!K246+SEWAGE!K246+PWORKS!K246+WATER!K246+ELECTRIC!K246+PLANNING!K246</f>
        <v>0</v>
      </c>
    </row>
    <row r="247" spans="1:11" s="285" customFormat="1" x14ac:dyDescent="0.25">
      <c r="A247" s="468"/>
      <c r="B247" s="468"/>
      <c r="C247" s="94" t="s">
        <v>537</v>
      </c>
      <c r="D247" s="428">
        <f>+COUNCIL!D247+MAYOR!D247+SPEAKER!D247+MM!D247+CORP!D247+PROP!D247+RATES!D247+THALL!D247+FIN!D247+SOCIAL!D247+CEMETERY!D247+LIBRARIES!D247+HOUSING!D247+TRAFFIC!D247+PARKS!D247+REFUSE!D247+SEWAGE!D247+PWORKS!D247+WATER!D247+ELECTRIC!D247</f>
        <v>0</v>
      </c>
      <c r="E247" s="428">
        <f>+COUNCIL!E247+MAYOR!E247+SPEAKER!E247+MM!E247+CORP!E247+PROP!E247+RATES!E247+THALL!E247+FIN!E247+SOCIAL!E247+CEMETERY!E247+LIBRARIES!E247+HOUSING!E247+TRAFFIC!E247+PARKS!E247+REFUSE!E247+SEWAGE!E247+PWORKS!E247+WATER!E247+ELECTRIC!E247</f>
        <v>0</v>
      </c>
      <c r="F247" s="428">
        <f>+COUNCIL!F247+MAYOR!F247+SPEAKER!F247+MM!F247+CORP!F247+PROP!F247+RATES!F247+THALL!F247+FIN!F247+SOCIAL!F247+CEMETERY!F247+LIBRARIES!F247+HOUSING!F247+TRAFFIC!F247+PARKS!F247+REFUSE!F247+SEWAGE!F247+PWORKS!F247+WATER!F247+ELECTRIC!F247</f>
        <v>0</v>
      </c>
      <c r="G247" s="428">
        <f>+COUNCIL!G247+MAYOR!G247+SPEAKER!G247+MM!G247+CORP!G247+PROP!G247+RATES!G247+THALL!G247+FIN!G247+SOCIAL!G247+CEMETERY!G247+LIBRARIES!G247+HOUSING!G247+TRAFFIC!G247+PARKS!G247+REFUSE!G247+SEWAGE!G247+PWORKS!G247+WATER!G247+ELECTRIC!G247</f>
        <v>0</v>
      </c>
      <c r="H247" s="428">
        <f>+COUNCIL!H247+MAYOR!H247+SPEAKER!H247+MM!H247+CORP!H247+PROP!H247+RATES!H247+THALL!H247+FIN!H247+SOCIAL!H247+CEMETERY!H247+LIBRARIES!H247+HOUSING!I247+TRAFFIC!H247+PARKS!H247+REFUSE!H247+SEWAGE!H247+PWORKS!H247+WATER!H247+ELECTRIC!H247</f>
        <v>0</v>
      </c>
      <c r="I247" s="428">
        <f>+COUNCIL!I247+MAYOR!I247+SPEAKER!I247+MM!I247+CORP!I247+PROP!I247+RATES!I247+THALL!I247+FIN!I247+SOCIAL!I247+CEMETERY!I247+LIBRARIES!I248+HOUSING!J247+TRAFFIC!I247+PARKS!I247+REFUSE!I247+SEWAGE!I247+PWORKS!I247+WATER!I247+ELECTRIC!I247+PLANNING!I247</f>
        <v>0</v>
      </c>
      <c r="J247" s="428">
        <f>+COUNCIL!J247+MAYOR!J247+SPEAKER!J247+MM!J247+CORP!J247+PROP!J247+RATES!J247+THALL!J247+FIN!J247+SOCIAL!J247+CEMETERY!J247+LIBRARIES!J248+HOUSING!K247+TRAFFIC!J247+PARKS!J247+REFUSE!J247+SEWAGE!J247+PWORKS!J247+WATER!J247+ELECTRIC!J247+PLANNING!J247</f>
        <v>0</v>
      </c>
      <c r="K247" s="428">
        <f>+COUNCIL!K247+MAYOR!K247+SPEAKER!K247+MM!K247+CORP!K247+PROP!K247+RATES!K247+THALL!K247+FIN!K247+SOCIAL!K247+CEMETERY!K247+LIBRARIES!K248+HOUSING!L247+TRAFFIC!K247+PARKS!K247+REFUSE!K247+SEWAGE!K247+PWORKS!K247+WATER!K247+ELECTRIC!K247+PLANNING!K247</f>
        <v>0</v>
      </c>
    </row>
    <row r="248" spans="1:11" s="285" customFormat="1" x14ac:dyDescent="0.25">
      <c r="A248" s="468"/>
      <c r="B248" s="468"/>
      <c r="C248" s="94"/>
      <c r="D248" s="436">
        <f t="shared" ref="D248:K248" si="16">SUM(D242:D247)</f>
        <v>31455.990400000002</v>
      </c>
      <c r="E248" s="436">
        <f t="shared" si="16"/>
        <v>542473.64159999997</v>
      </c>
      <c r="F248" s="436">
        <f t="shared" si="16"/>
        <v>602473.64159999997</v>
      </c>
      <c r="G248" s="436">
        <f t="shared" si="16"/>
        <v>602473.64159999997</v>
      </c>
      <c r="H248" s="436">
        <f t="shared" si="16"/>
        <v>103539.40575999999</v>
      </c>
      <c r="I248" s="436">
        <f t="shared" si="16"/>
        <v>10721.300999999999</v>
      </c>
      <c r="J248" s="436">
        <f t="shared" si="16"/>
        <v>11310.972555</v>
      </c>
      <c r="K248" s="436">
        <f t="shared" si="16"/>
        <v>11910.454100415</v>
      </c>
    </row>
    <row r="249" spans="1:11" s="285" customFormat="1" x14ac:dyDescent="0.25">
      <c r="A249" s="468"/>
      <c r="B249" s="468"/>
      <c r="C249" s="93" t="s">
        <v>80</v>
      </c>
      <c r="D249" s="444"/>
      <c r="E249" s="435"/>
      <c r="F249" s="435"/>
      <c r="G249" s="435"/>
      <c r="H249" s="435"/>
      <c r="I249" s="435"/>
      <c r="J249" s="435"/>
      <c r="K249" s="444"/>
    </row>
    <row r="250" spans="1:11" s="285" customFormat="1" x14ac:dyDescent="0.25">
      <c r="A250" s="468"/>
      <c r="B250" s="468"/>
      <c r="C250" s="94" t="s">
        <v>81</v>
      </c>
      <c r="D250" s="428">
        <f>+COUNCIL!D250+MAYOR!D250+SPEAKER!D250+MM!D250+CORP!D250+PROP!D250+RATES!D250+THALL!D250+FIN!D250+SOCIAL!D250+CEMETERY!D250+LIBRARIES!D250+HOUSING!D250+TRAFFIC!D250+PARKS!D250+REFUSE!D250+SEWAGE!D250+PWORKS!D250+WATER!D250+ELECTRIC!D250</f>
        <v>0</v>
      </c>
      <c r="E250" s="428">
        <f>+COUNCIL!E250+MAYOR!E250+SPEAKER!E250+MM!E250+CORP!E250+PROP!E250+RATES!E250+THALL!E250+FIN!E250+SOCIAL!E250+CEMETERY!E250+LIBRARIES!E250+HOUSING!E250+TRAFFIC!E250+PARKS!E250+REFUSE!E250+SEWAGE!E250+PWORKS!E250+WATER!E250+ELECTRIC!E250</f>
        <v>0</v>
      </c>
      <c r="F250" s="428">
        <f>+COUNCIL!F250+MAYOR!F250+SPEAKER!F250+MM!F250+CORP!F250+PROP!F250+RATES!F250+THALL!F250+FIN!F250+SOCIAL!F250+CEMETERY!F250+LIBRARIES!F250+HOUSING!F250+TRAFFIC!F250+PARKS!F250+REFUSE!F250+SEWAGE!F250+PWORKS!F250+WATER!F250+ELECTRIC!F250</f>
        <v>0</v>
      </c>
      <c r="G250" s="428">
        <f>+COUNCIL!G250+MAYOR!G250+SPEAKER!G250+MM!G250+CORP!G250+PROP!G250+RATES!G250+THALL!G250+FIN!G250+SOCIAL!G250+CEMETERY!G250+LIBRARIES!G250+HOUSING!G250+TRAFFIC!G250+PARKS!G250+REFUSE!G250+SEWAGE!G250+PWORKS!G250+WATER!G250+ELECTRIC!G250</f>
        <v>0</v>
      </c>
      <c r="H250" s="428">
        <f>+COUNCIL!H250+MAYOR!H250+SPEAKER!H250+MM!H250+CORP!H250+PROP!H250+RATES!H250+THALL!H250+FIN!H250+SOCIAL!H250+CEMETERY!H250+LIBRARIES!H250+HOUSING!I250+TRAFFIC!H250+PARKS!H250+REFUSE!H250+SEWAGE!H250+PWORKS!H250+WATER!H250+ELECTRIC!H250</f>
        <v>0</v>
      </c>
      <c r="I250" s="428"/>
      <c r="J250" s="428"/>
      <c r="K250" s="428"/>
    </row>
    <row r="251" spans="1:11" s="285" customFormat="1" x14ac:dyDescent="0.25">
      <c r="A251" s="468"/>
      <c r="B251" s="468"/>
      <c r="C251" s="94"/>
      <c r="D251" s="436">
        <v>0</v>
      </c>
      <c r="E251" s="436">
        <f>E250</f>
        <v>0</v>
      </c>
      <c r="F251" s="436">
        <f>F250</f>
        <v>0</v>
      </c>
      <c r="G251" s="436">
        <v>0</v>
      </c>
      <c r="H251" s="436"/>
      <c r="I251" s="436"/>
      <c r="J251" s="436"/>
      <c r="K251" s="436"/>
    </row>
    <row r="252" spans="1:11" s="285" customFormat="1" x14ac:dyDescent="0.25">
      <c r="A252" s="468"/>
      <c r="B252" s="468"/>
      <c r="C252" s="93" t="s">
        <v>538</v>
      </c>
      <c r="D252" s="442">
        <f t="shared" ref="D252:K252" si="17">+D251+D248+D240+D225+D221+D216+D212+D206+D174</f>
        <v>206865428.7053</v>
      </c>
      <c r="E252" s="442">
        <f t="shared" si="17"/>
        <v>233941335.55657205</v>
      </c>
      <c r="F252" s="442">
        <f t="shared" si="17"/>
        <v>232160641.20457205</v>
      </c>
      <c r="G252" s="442">
        <f t="shared" si="17"/>
        <v>222038183.45257205</v>
      </c>
      <c r="H252" s="442">
        <f t="shared" si="17"/>
        <v>256239558.66202921</v>
      </c>
      <c r="I252" s="442">
        <f t="shared" si="17"/>
        <v>300749343.08745098</v>
      </c>
      <c r="J252" s="442">
        <f t="shared" si="17"/>
        <v>292374151.26572013</v>
      </c>
      <c r="K252" s="442">
        <f t="shared" si="17"/>
        <v>286487994.16041142</v>
      </c>
    </row>
    <row r="253" spans="1:11" s="468" customFormat="1" ht="16.2" customHeight="1" x14ac:dyDescent="0.25">
      <c r="A253" s="344"/>
      <c r="B253" s="151"/>
      <c r="C253" s="94"/>
      <c r="D253" s="442"/>
      <c r="E253" s="442"/>
      <c r="F253" s="442"/>
      <c r="G253" s="442"/>
      <c r="H253" s="442"/>
      <c r="I253" s="442"/>
      <c r="J253" s="442"/>
      <c r="K253" s="442"/>
    </row>
    <row r="254" spans="1:11" s="468" customFormat="1" x14ac:dyDescent="0.25">
      <c r="A254" s="344"/>
      <c r="B254" s="151"/>
      <c r="C254" s="145" t="s">
        <v>193</v>
      </c>
      <c r="D254" s="445"/>
      <c r="E254" s="146"/>
      <c r="F254" s="445"/>
      <c r="G254" s="445"/>
      <c r="H254" s="445"/>
      <c r="I254" s="445"/>
      <c r="J254" s="445"/>
      <c r="K254" s="445"/>
    </row>
    <row r="255" spans="1:11" s="468" customFormat="1" x14ac:dyDescent="0.25">
      <c r="A255" s="118"/>
      <c r="B255" s="151"/>
      <c r="C255" s="118" t="s">
        <v>194</v>
      </c>
      <c r="D255" s="428">
        <f>+COUNCIL!D255+MAYOR!D255+SPEAKER!D255+MM!D255+CORP!D255+PROP!D255+RATES!D255+THALL!D255+FIN!D255+SOCIAL!D255+CEMETERY!D255+LIBRARIES!D255+HOUSING!D255+TRAFFIC!D255+PARKS!D255+REFUSE!D255+SEWAGE!D255+PWORKS!D255+WATER!D255+ELECTRIC!D255</f>
        <v>0</v>
      </c>
      <c r="E255" s="428">
        <f>+COUNCIL!E255+MAYOR!E255+SPEAKER!E255+MM!E255+CORP!E255+PROP!E255+RATES!E255+THALL!E255+FIN!E255+SOCIAL!E255+CEMETERY!E255+LIBRARIES!E255+HOUSING!E255+TRAFFIC!E255+PARKS!E255+REFUSE!E255+SEWAGE!E255+PWORKS!E255+WATER!E255+ELECTRIC!E255</f>
        <v>980000</v>
      </c>
      <c r="F255" s="428">
        <f>+COUNCIL!F255+MAYOR!F255+SPEAKER!F255+MM!F255+CORP!F255+PROP!F255+RATES!F255+THALL!F255+FIN!F255+SOCIAL!F255+CEMETERY!F255+LIBRARIES!F255+HOUSING!F255+TRAFFIC!F255+PARKS!F255+REFUSE!F255+SEWAGE!F255+PWORKS!F255+WATER!F255+ELECTRIC!F255</f>
        <v>980000</v>
      </c>
      <c r="G255" s="428">
        <f>+COUNCIL!G255+MAYOR!G255+SPEAKER!G255+MM!G255+CORP!G255+PROP!G255+RATES!G255+THALL!G255+FIN!G255+SOCIAL!G255+CEMETERY!G255+LIBRARIES!G255+HOUSING!G255+TRAFFIC!G255+PARKS!G255+REFUSE!G255+SEWAGE!G255+PWORKS!G255+WATER!G255+ELECTRIC!G255</f>
        <v>980001</v>
      </c>
      <c r="H255" s="428">
        <f>+COUNCIL!H255+MAYOR!H255+SPEAKER!H255+MM!H255+CORP!H255+PROP!H255+RATES!H255+THALL!H255+FIN!H255+SOCIAL!H255+CEMETERY!H255+LIBRARIES!H255+HOUSING!I255+TRAFFIC!H255+PARKS!H255+REFUSE!H255+SEWAGE!H255+PWORKS!H255+WATER!H255+ELECTRIC!H255</f>
        <v>0</v>
      </c>
      <c r="I255" s="428"/>
      <c r="J255" s="428"/>
      <c r="K255" s="428"/>
    </row>
    <row r="256" spans="1:11" s="468" customFormat="1" ht="13.2" customHeight="1" x14ac:dyDescent="0.25">
      <c r="A256" s="344"/>
      <c r="B256" s="151"/>
      <c r="C256" s="94"/>
      <c r="D256" s="442">
        <v>0</v>
      </c>
      <c r="E256" s="442">
        <f>SUM(E255)</f>
        <v>980000</v>
      </c>
      <c r="F256" s="442">
        <f>SUM(F255)</f>
        <v>980000</v>
      </c>
      <c r="G256" s="442">
        <v>0</v>
      </c>
      <c r="H256" s="442"/>
      <c r="I256" s="442"/>
      <c r="J256" s="442"/>
      <c r="K256" s="442"/>
    </row>
    <row r="257" spans="1:14" s="468" customFormat="1" x14ac:dyDescent="0.25">
      <c r="A257" s="344"/>
      <c r="B257" s="151"/>
      <c r="C257" s="93" t="s">
        <v>192</v>
      </c>
      <c r="D257" s="442">
        <f t="shared" ref="D257:K257" si="18">D252+D256</f>
        <v>206865428.7053</v>
      </c>
      <c r="E257" s="442">
        <f t="shared" si="18"/>
        <v>234921335.55657205</v>
      </c>
      <c r="F257" s="442">
        <f t="shared" si="18"/>
        <v>233140641.20457205</v>
      </c>
      <c r="G257" s="442">
        <f t="shared" si="18"/>
        <v>222038183.45257205</v>
      </c>
      <c r="H257" s="442">
        <f t="shared" si="18"/>
        <v>256239558.66202921</v>
      </c>
      <c r="I257" s="442">
        <f t="shared" si="18"/>
        <v>300749343.08745098</v>
      </c>
      <c r="J257" s="442">
        <f t="shared" si="18"/>
        <v>292374151.26572013</v>
      </c>
      <c r="K257" s="442">
        <f t="shared" si="18"/>
        <v>286487994.16041142</v>
      </c>
    </row>
    <row r="258" spans="1:14" s="468" customFormat="1" x14ac:dyDescent="0.25">
      <c r="A258" s="344"/>
      <c r="B258" s="151"/>
      <c r="C258" s="145" t="s">
        <v>195</v>
      </c>
      <c r="D258" s="445"/>
      <c r="E258" s="148"/>
      <c r="F258" s="446"/>
      <c r="G258" s="446"/>
      <c r="H258" s="446"/>
      <c r="I258" s="446"/>
      <c r="J258" s="446"/>
      <c r="K258" s="446"/>
    </row>
    <row r="259" spans="1:14" s="468" customFormat="1" x14ac:dyDescent="0.25">
      <c r="A259" s="118"/>
      <c r="B259" s="151"/>
      <c r="C259" s="118"/>
      <c r="D259" s="127">
        <v>0</v>
      </c>
      <c r="E259" s="147"/>
      <c r="F259" s="435"/>
      <c r="G259" s="435"/>
      <c r="H259" s="435"/>
      <c r="I259" s="435"/>
      <c r="J259" s="435"/>
      <c r="K259" s="123"/>
    </row>
    <row r="260" spans="1:14" s="285" customFormat="1" x14ac:dyDescent="0.25">
      <c r="A260" s="468"/>
      <c r="B260" s="468"/>
      <c r="C260" s="94" t="s">
        <v>197</v>
      </c>
      <c r="D260" s="445">
        <f t="shared" ref="D260:K260" si="19">+D257+D258</f>
        <v>206865428.7053</v>
      </c>
      <c r="E260" s="445">
        <f t="shared" si="19"/>
        <v>234921335.55657205</v>
      </c>
      <c r="F260" s="445">
        <f t="shared" si="19"/>
        <v>233140641.20457205</v>
      </c>
      <c r="G260" s="445">
        <f t="shared" si="19"/>
        <v>222038183.45257205</v>
      </c>
      <c r="H260" s="445">
        <f t="shared" si="19"/>
        <v>256239558.66202921</v>
      </c>
      <c r="I260" s="445">
        <f t="shared" si="19"/>
        <v>300749343.08745098</v>
      </c>
      <c r="J260" s="445">
        <f t="shared" si="19"/>
        <v>292374151.26572013</v>
      </c>
      <c r="K260" s="445">
        <f t="shared" si="19"/>
        <v>286487994.16041142</v>
      </c>
    </row>
    <row r="261" spans="1:14" s="285" customFormat="1" x14ac:dyDescent="0.25">
      <c r="A261" s="468"/>
      <c r="B261" s="468"/>
      <c r="C261" s="126" t="s">
        <v>82</v>
      </c>
      <c r="D261" s="449">
        <f t="shared" ref="D261:K261" si="20">+D260-D165</f>
        <v>44286772.969300002</v>
      </c>
      <c r="E261" s="449">
        <f t="shared" si="20"/>
        <v>51860373.713080019</v>
      </c>
      <c r="F261" s="449">
        <f t="shared" si="20"/>
        <v>56291169.766080052</v>
      </c>
      <c r="G261" s="449">
        <f t="shared" si="20"/>
        <v>48460782.014080048</v>
      </c>
      <c r="H261" s="449">
        <f t="shared" si="20"/>
        <v>75056393.454782426</v>
      </c>
      <c r="I261" s="449">
        <f t="shared" si="20"/>
        <v>-5839961.7179501057</v>
      </c>
      <c r="J261" s="449">
        <f t="shared" si="20"/>
        <v>18993798.300188065</v>
      </c>
      <c r="K261" s="449">
        <f t="shared" si="20"/>
        <v>343885.052503407</v>
      </c>
      <c r="M261" s="244"/>
      <c r="N261" s="356"/>
    </row>
    <row r="262" spans="1:14" s="285" customFormat="1" x14ac:dyDescent="0.25">
      <c r="A262" s="468"/>
      <c r="B262" s="468"/>
      <c r="C262" s="459" t="s">
        <v>522</v>
      </c>
      <c r="D262" s="449">
        <f t="shared" ref="D262:K262" si="21">+D261-D236-D239</f>
        <v>-495227.03069999814</v>
      </c>
      <c r="E262" s="449">
        <f t="shared" si="21"/>
        <v>-60626.286919981241</v>
      </c>
      <c r="F262" s="449">
        <f t="shared" si="21"/>
        <v>4370169.7660800517</v>
      </c>
      <c r="G262" s="449">
        <f t="shared" si="21"/>
        <v>-3460217.9859199524</v>
      </c>
      <c r="H262" s="449">
        <f t="shared" si="21"/>
        <v>325393.45478242636</v>
      </c>
      <c r="I262" s="449">
        <f t="shared" si="21"/>
        <v>-84569961.717950106</v>
      </c>
      <c r="J262" s="449">
        <f t="shared" si="21"/>
        <v>-47544201.699811935</v>
      </c>
      <c r="K262" s="449">
        <f t="shared" si="21"/>
        <v>-55406114.947496593</v>
      </c>
    </row>
    <row r="263" spans="1:14" s="285" customFormat="1" x14ac:dyDescent="0.25">
      <c r="A263" s="468"/>
      <c r="B263" s="468"/>
      <c r="C263" s="459"/>
      <c r="G263" s="468"/>
      <c r="I263" s="468"/>
    </row>
    <row r="264" spans="1:14" s="285" customFormat="1" x14ac:dyDescent="0.25">
      <c r="A264" s="468"/>
      <c r="B264" s="468"/>
      <c r="C264" s="459" t="s">
        <v>521</v>
      </c>
      <c r="D264" s="449">
        <f t="shared" ref="D264:K264" si="22">+D260-D236-D239</f>
        <v>162083428.7053</v>
      </c>
      <c r="E264" s="449">
        <f t="shared" si="22"/>
        <v>183000335.55657205</v>
      </c>
      <c r="F264" s="449">
        <f t="shared" si="22"/>
        <v>181219641.20457205</v>
      </c>
      <c r="G264" s="449">
        <f t="shared" si="22"/>
        <v>170117183.45257205</v>
      </c>
      <c r="H264" s="449">
        <f t="shared" si="22"/>
        <v>181508558.66202921</v>
      </c>
      <c r="I264" s="449">
        <f t="shared" si="22"/>
        <v>222019343.08745098</v>
      </c>
      <c r="J264" s="449">
        <f t="shared" si="22"/>
        <v>225836151.26572013</v>
      </c>
      <c r="K264" s="449">
        <f t="shared" si="22"/>
        <v>230737994.16041142</v>
      </c>
    </row>
    <row r="265" spans="1:14" s="285" customFormat="1" x14ac:dyDescent="0.25">
      <c r="A265" s="468"/>
      <c r="B265" s="468"/>
      <c r="C265" s="459" t="s">
        <v>523</v>
      </c>
      <c r="D265" s="449">
        <f t="shared" ref="D265:K265" si="23">+D165</f>
        <v>162578655.736</v>
      </c>
      <c r="E265" s="449">
        <f t="shared" si="23"/>
        <v>183060961.84349203</v>
      </c>
      <c r="F265" s="449">
        <f t="shared" si="23"/>
        <v>176849471.438492</v>
      </c>
      <c r="G265" s="449">
        <f t="shared" si="23"/>
        <v>173577401.438492</v>
      </c>
      <c r="H265" s="449">
        <f t="shared" si="23"/>
        <v>181183165.20724678</v>
      </c>
      <c r="I265" s="449">
        <f t="shared" si="23"/>
        <v>306589304.80540109</v>
      </c>
      <c r="J265" s="449">
        <f t="shared" si="23"/>
        <v>273380352.96553206</v>
      </c>
      <c r="K265" s="449">
        <f t="shared" si="23"/>
        <v>286144109.10790801</v>
      </c>
    </row>
    <row r="266" spans="1:14" s="285" customFormat="1" x14ac:dyDescent="0.25">
      <c r="A266" s="468"/>
      <c r="B266" s="468"/>
      <c r="C266" s="459" t="s">
        <v>524</v>
      </c>
      <c r="D266" s="449">
        <f t="shared" ref="D266:K266" si="24">+D264-D265</f>
        <v>-495227.03069999814</v>
      </c>
      <c r="E266" s="449">
        <f t="shared" si="24"/>
        <v>-60626.286919981241</v>
      </c>
      <c r="F266" s="449">
        <f t="shared" si="24"/>
        <v>4370169.7660800517</v>
      </c>
      <c r="G266" s="449">
        <f t="shared" si="24"/>
        <v>-3460217.9859199524</v>
      </c>
      <c r="H266" s="449">
        <f t="shared" si="24"/>
        <v>325393.45478242636</v>
      </c>
      <c r="I266" s="449">
        <f t="shared" si="24"/>
        <v>-84569961.717950106</v>
      </c>
      <c r="J266" s="449">
        <f t="shared" si="24"/>
        <v>-47544201.699811935</v>
      </c>
      <c r="K266" s="449">
        <f t="shared" si="24"/>
        <v>-55406114.947496593</v>
      </c>
    </row>
    <row r="267" spans="1:14" s="285" customFormat="1" x14ac:dyDescent="0.25">
      <c r="A267" s="468"/>
      <c r="B267" s="468"/>
      <c r="G267" s="468"/>
      <c r="I267" s="468"/>
    </row>
    <row r="268" spans="1:14" s="285" customFormat="1" x14ac:dyDescent="0.25">
      <c r="A268" s="468"/>
      <c r="B268" s="468"/>
      <c r="G268" s="468"/>
      <c r="I268" s="468"/>
    </row>
    <row r="269" spans="1:14" s="285" customFormat="1" x14ac:dyDescent="0.25">
      <c r="A269" s="468"/>
      <c r="B269" s="468"/>
      <c r="G269" s="468"/>
      <c r="I269" s="468"/>
    </row>
    <row r="270" spans="1:14" s="285" customFormat="1" x14ac:dyDescent="0.25">
      <c r="A270" s="468"/>
      <c r="B270" s="468"/>
      <c r="G270" s="468"/>
      <c r="I270" s="468"/>
    </row>
    <row r="271" spans="1:14" s="285" customFormat="1" x14ac:dyDescent="0.25">
      <c r="A271" s="468"/>
      <c r="B271" s="468"/>
      <c r="G271" s="468"/>
      <c r="I271" s="468"/>
    </row>
    <row r="272" spans="1:14" s="285" customFormat="1" x14ac:dyDescent="0.25">
      <c r="A272" s="468"/>
      <c r="B272" s="468"/>
      <c r="G272" s="468"/>
      <c r="I272" s="468"/>
    </row>
    <row r="273" spans="1:9" s="285" customFormat="1" x14ac:dyDescent="0.25">
      <c r="A273" s="468"/>
      <c r="B273" s="468"/>
      <c r="G273" s="468"/>
      <c r="I273" s="468"/>
    </row>
    <row r="274" spans="1:9" s="285" customFormat="1" x14ac:dyDescent="0.25">
      <c r="A274" s="468"/>
      <c r="B274" s="468"/>
      <c r="G274" s="468"/>
      <c r="I274" s="468"/>
    </row>
    <row r="275" spans="1:9" s="285" customFormat="1" x14ac:dyDescent="0.25">
      <c r="A275" s="468"/>
      <c r="B275" s="468"/>
      <c r="G275" s="468"/>
      <c r="I275" s="468"/>
    </row>
    <row r="276" spans="1:9" s="285" customFormat="1" x14ac:dyDescent="0.25">
      <c r="A276" s="468"/>
      <c r="B276" s="468"/>
      <c r="G276" s="468"/>
      <c r="I276" s="468"/>
    </row>
    <row r="277" spans="1:9" s="285" customFormat="1" x14ac:dyDescent="0.25">
      <c r="A277" s="468"/>
      <c r="B277" s="468"/>
      <c r="G277" s="468"/>
      <c r="I277" s="468"/>
    </row>
    <row r="278" spans="1:9" s="285" customFormat="1" x14ac:dyDescent="0.25">
      <c r="A278" s="468"/>
      <c r="B278" s="468"/>
      <c r="G278" s="468"/>
      <c r="I278" s="468"/>
    </row>
    <row r="279" spans="1:9" s="285" customFormat="1" x14ac:dyDescent="0.25">
      <c r="A279" s="468"/>
      <c r="B279" s="468"/>
      <c r="G279" s="468"/>
      <c r="I279" s="468"/>
    </row>
    <row r="280" spans="1:9" s="285" customFormat="1" x14ac:dyDescent="0.25">
      <c r="A280" s="468"/>
      <c r="B280" s="468"/>
      <c r="G280" s="468"/>
      <c r="I280" s="468"/>
    </row>
    <row r="281" spans="1:9" s="285" customFormat="1" x14ac:dyDescent="0.25">
      <c r="A281" s="468"/>
      <c r="B281" s="468"/>
      <c r="G281" s="468"/>
      <c r="I281" s="468"/>
    </row>
    <row r="282" spans="1:9" s="285" customFormat="1" x14ac:dyDescent="0.25">
      <c r="A282" s="468"/>
      <c r="B282" s="468"/>
      <c r="G282" s="468"/>
      <c r="I282" s="468"/>
    </row>
    <row r="283" spans="1:9" s="285" customFormat="1" x14ac:dyDescent="0.25">
      <c r="A283" s="468"/>
      <c r="B283" s="468"/>
      <c r="G283" s="468"/>
      <c r="I283" s="468"/>
    </row>
    <row r="284" spans="1:9" s="285" customFormat="1" x14ac:dyDescent="0.25">
      <c r="A284" s="468"/>
      <c r="B284" s="468"/>
      <c r="G284" s="468"/>
      <c r="I284" s="468"/>
    </row>
    <row r="285" spans="1:9" s="285" customFormat="1" x14ac:dyDescent="0.25">
      <c r="A285" s="468"/>
      <c r="B285" s="468"/>
      <c r="G285" s="468"/>
      <c r="I285" s="468"/>
    </row>
    <row r="286" spans="1:9" s="285" customFormat="1" x14ac:dyDescent="0.25">
      <c r="A286" s="468"/>
      <c r="B286" s="468"/>
      <c r="G286" s="468"/>
      <c r="I286" s="468"/>
    </row>
    <row r="287" spans="1:9" s="285" customFormat="1" x14ac:dyDescent="0.25">
      <c r="A287" s="468"/>
      <c r="B287" s="468"/>
      <c r="G287" s="468"/>
      <c r="I287" s="468"/>
    </row>
    <row r="288" spans="1:9" s="285" customFormat="1" x14ac:dyDescent="0.25">
      <c r="A288" s="468"/>
      <c r="B288" s="468"/>
      <c r="G288" s="468"/>
      <c r="I288" s="468"/>
    </row>
    <row r="289" spans="1:9" s="285" customFormat="1" x14ac:dyDescent="0.25">
      <c r="A289" s="468"/>
      <c r="B289" s="468"/>
      <c r="G289" s="468"/>
      <c r="I289" s="468"/>
    </row>
    <row r="290" spans="1:9" s="285" customFormat="1" x14ac:dyDescent="0.25">
      <c r="A290" s="468"/>
      <c r="B290" s="468"/>
      <c r="G290" s="468"/>
      <c r="I290" s="468"/>
    </row>
    <row r="291" spans="1:9" s="285" customFormat="1" x14ac:dyDescent="0.25">
      <c r="A291" s="468"/>
      <c r="B291" s="468"/>
      <c r="G291" s="468"/>
      <c r="I291" s="468"/>
    </row>
    <row r="292" spans="1:9" s="285" customFormat="1" x14ac:dyDescent="0.25">
      <c r="A292" s="468"/>
      <c r="B292" s="468"/>
      <c r="G292" s="468"/>
      <c r="I292" s="468"/>
    </row>
    <row r="293" spans="1:9" s="285" customFormat="1" x14ac:dyDescent="0.25">
      <c r="A293" s="468"/>
      <c r="B293" s="468"/>
      <c r="G293" s="468"/>
      <c r="I293" s="468"/>
    </row>
    <row r="294" spans="1:9" s="285" customFormat="1" x14ac:dyDescent="0.25">
      <c r="A294" s="468"/>
      <c r="B294" s="468"/>
      <c r="G294" s="468"/>
      <c r="I294" s="468"/>
    </row>
    <row r="295" spans="1:9" s="285" customFormat="1" x14ac:dyDescent="0.25">
      <c r="A295" s="468"/>
      <c r="B295" s="468"/>
      <c r="G295" s="468"/>
      <c r="I295" s="468"/>
    </row>
    <row r="296" spans="1:9" s="285" customFormat="1" x14ac:dyDescent="0.25">
      <c r="A296" s="468"/>
      <c r="B296" s="468"/>
      <c r="G296" s="468"/>
      <c r="I296" s="468"/>
    </row>
    <row r="297" spans="1:9" s="285" customFormat="1" x14ac:dyDescent="0.25">
      <c r="A297" s="468"/>
      <c r="B297" s="468"/>
      <c r="G297" s="468"/>
      <c r="I297" s="468"/>
    </row>
    <row r="298" spans="1:9" s="285" customFormat="1" x14ac:dyDescent="0.25">
      <c r="A298" s="468"/>
      <c r="B298" s="468"/>
      <c r="G298" s="468"/>
      <c r="I298" s="468"/>
    </row>
    <row r="299" spans="1:9" s="285" customFormat="1" x14ac:dyDescent="0.25">
      <c r="A299" s="468"/>
      <c r="B299" s="468"/>
      <c r="G299" s="468"/>
      <c r="I299" s="468"/>
    </row>
    <row r="300" spans="1:9" s="285" customFormat="1" x14ac:dyDescent="0.25">
      <c r="A300" s="468"/>
      <c r="B300" s="468"/>
      <c r="G300" s="468"/>
      <c r="I300" s="468"/>
    </row>
    <row r="301" spans="1:9" s="285" customFormat="1" x14ac:dyDescent="0.25">
      <c r="A301" s="468"/>
      <c r="B301" s="468"/>
      <c r="G301" s="468"/>
      <c r="I301" s="468"/>
    </row>
    <row r="302" spans="1:9" s="285" customFormat="1" x14ac:dyDescent="0.25">
      <c r="A302" s="468"/>
      <c r="B302" s="468"/>
      <c r="G302" s="468"/>
      <c r="I302" s="468"/>
    </row>
    <row r="303" spans="1:9" s="285" customFormat="1" x14ac:dyDescent="0.25">
      <c r="A303" s="468"/>
      <c r="B303" s="468"/>
      <c r="G303" s="468"/>
      <c r="I303" s="468"/>
    </row>
    <row r="304" spans="1:9" s="285" customFormat="1" x14ac:dyDescent="0.25">
      <c r="A304" s="468"/>
      <c r="B304" s="468"/>
      <c r="G304" s="468"/>
      <c r="I304" s="468"/>
    </row>
    <row r="305" spans="1:9" s="285" customFormat="1" x14ac:dyDescent="0.25">
      <c r="A305" s="468"/>
      <c r="B305" s="468"/>
      <c r="G305" s="468"/>
      <c r="I305" s="468"/>
    </row>
    <row r="306" spans="1:9" s="285" customFormat="1" x14ac:dyDescent="0.25">
      <c r="A306" s="468"/>
      <c r="B306" s="468"/>
      <c r="G306" s="468"/>
      <c r="I306" s="468"/>
    </row>
    <row r="307" spans="1:9" s="285" customFormat="1" x14ac:dyDescent="0.25">
      <c r="A307" s="468"/>
      <c r="B307" s="468"/>
      <c r="G307" s="468"/>
      <c r="I307" s="468"/>
    </row>
    <row r="308" spans="1:9" s="285" customFormat="1" x14ac:dyDescent="0.25">
      <c r="A308" s="468"/>
      <c r="B308" s="468"/>
      <c r="G308" s="468"/>
      <c r="I308" s="468"/>
    </row>
    <row r="309" spans="1:9" s="285" customFormat="1" x14ac:dyDescent="0.25">
      <c r="A309" s="468"/>
      <c r="B309" s="468"/>
      <c r="G309" s="468"/>
      <c r="I309" s="468"/>
    </row>
    <row r="310" spans="1:9" s="285" customFormat="1" x14ac:dyDescent="0.25">
      <c r="A310" s="468"/>
      <c r="B310" s="468"/>
      <c r="G310" s="468"/>
      <c r="I310" s="468"/>
    </row>
    <row r="311" spans="1:9" s="285" customFormat="1" x14ac:dyDescent="0.25">
      <c r="A311" s="468"/>
      <c r="B311" s="468"/>
      <c r="G311" s="468"/>
      <c r="I311" s="468"/>
    </row>
    <row r="312" spans="1:9" s="285" customFormat="1" x14ac:dyDescent="0.25">
      <c r="A312" s="468"/>
      <c r="B312" s="468"/>
      <c r="G312" s="468"/>
      <c r="I312" s="468"/>
    </row>
  </sheetData>
  <pageMargins left="0.7" right="0.7" top="0.75" bottom="0.75" header="0.3" footer="0.3"/>
  <pageSetup paperSize="9" scale="72" fitToHeight="0" orientation="portrait" r:id="rId1"/>
  <rowBreaks count="1" manualBreakCount="1">
    <brk id="230" max="16383" man="1"/>
  </rowBreaks>
  <colBreaks count="1" manualBreakCount="1">
    <brk id="13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FF0000"/>
    <pageSetUpPr fitToPage="1"/>
  </sheetPr>
  <dimension ref="A1:O268"/>
  <sheetViews>
    <sheetView zoomScaleSheetLayoutView="100" workbookViewId="0">
      <selection activeCell="G40" sqref="G40"/>
    </sheetView>
  </sheetViews>
  <sheetFormatPr defaultColWidth="9.109375" defaultRowHeight="13.2" x14ac:dyDescent="0.25"/>
  <cols>
    <col min="1" max="1" width="3.33203125" style="96" customWidth="1"/>
    <col min="2" max="2" width="9" style="131" customWidth="1"/>
    <col min="3" max="3" width="30.44140625" style="96" customWidth="1"/>
    <col min="4" max="4" width="12" style="174" customWidth="1"/>
    <col min="5" max="5" width="12.88671875" style="96" customWidth="1"/>
    <col min="6" max="6" width="11.44140625" style="96" customWidth="1"/>
    <col min="7" max="7" width="11.5546875" style="434" customWidth="1"/>
    <col min="8" max="8" width="11" style="96" customWidth="1"/>
    <col min="9" max="9" width="11" style="434" customWidth="1"/>
    <col min="10" max="10" width="11" style="96" customWidth="1"/>
    <col min="11" max="11" width="12" style="96" customWidth="1"/>
    <col min="12" max="12" width="12.33203125" style="96" bestFit="1" customWidth="1"/>
    <col min="13" max="13" width="12.109375" style="96" customWidth="1"/>
    <col min="14" max="14" width="15.6640625" style="96" customWidth="1"/>
    <col min="15" max="15" width="11.44140625" style="96" bestFit="1" customWidth="1"/>
    <col min="16" max="16384" width="9.109375" style="96"/>
  </cols>
  <sheetData>
    <row r="1" spans="1:11" ht="12.75" customHeight="1" x14ac:dyDescent="0.25">
      <c r="A1" s="937" t="s">
        <v>12</v>
      </c>
      <c r="B1" s="938"/>
      <c r="C1" s="938"/>
      <c r="D1" s="938"/>
      <c r="E1" s="938"/>
      <c r="F1" s="938"/>
      <c r="G1" s="938"/>
      <c r="H1" s="938"/>
      <c r="I1" s="938"/>
      <c r="J1" s="938"/>
      <c r="K1" s="953"/>
    </row>
    <row r="2" spans="1:11" ht="12.75" customHeight="1" x14ac:dyDescent="0.25">
      <c r="A2" s="552"/>
      <c r="B2" s="553"/>
      <c r="C2" s="553"/>
      <c r="D2" s="553"/>
      <c r="E2" s="553"/>
      <c r="F2" s="553"/>
      <c r="G2" s="553"/>
      <c r="H2" s="553"/>
      <c r="I2" s="553"/>
      <c r="J2" s="553"/>
      <c r="K2" s="554"/>
    </row>
    <row r="3" spans="1:11" s="285" customFormat="1" x14ac:dyDescent="0.25">
      <c r="A3" s="941" t="s">
        <v>533</v>
      </c>
      <c r="B3" s="942"/>
      <c r="C3" s="942"/>
      <c r="D3" s="942"/>
      <c r="E3" s="942"/>
      <c r="F3" s="942"/>
      <c r="G3" s="942"/>
      <c r="H3" s="942"/>
      <c r="I3" s="942"/>
      <c r="J3" s="942"/>
      <c r="K3" s="943"/>
    </row>
    <row r="4" spans="1:11" s="285" customFormat="1" x14ac:dyDescent="0.25">
      <c r="A4" s="944" t="s">
        <v>21</v>
      </c>
      <c r="B4" s="945"/>
      <c r="C4" s="150" t="s">
        <v>22</v>
      </c>
      <c r="D4" s="103" t="s">
        <v>23</v>
      </c>
      <c r="E4" s="104" t="s">
        <v>24</v>
      </c>
      <c r="F4" s="103" t="s">
        <v>535</v>
      </c>
      <c r="G4" s="103" t="s">
        <v>877</v>
      </c>
      <c r="H4" s="104" t="s">
        <v>24</v>
      </c>
      <c r="I4" s="583" t="s">
        <v>24</v>
      </c>
      <c r="J4" s="583" t="s">
        <v>24</v>
      </c>
      <c r="K4" s="583" t="s">
        <v>24</v>
      </c>
    </row>
    <row r="5" spans="1:11" s="285" customFormat="1" x14ac:dyDescent="0.25">
      <c r="A5" s="946"/>
      <c r="B5" s="947"/>
      <c r="C5" s="106"/>
      <c r="D5" s="333" t="s">
        <v>257</v>
      </c>
      <c r="E5" s="107" t="s">
        <v>382</v>
      </c>
      <c r="F5" s="107" t="s">
        <v>382</v>
      </c>
      <c r="G5" s="107" t="s">
        <v>382</v>
      </c>
      <c r="H5" s="107" t="s">
        <v>407</v>
      </c>
      <c r="I5" s="586" t="s">
        <v>414</v>
      </c>
      <c r="J5" s="586" t="s">
        <v>530</v>
      </c>
      <c r="K5" s="586" t="s">
        <v>886</v>
      </c>
    </row>
    <row r="6" spans="1:11" s="285" customFormat="1" hidden="1" x14ac:dyDescent="0.25">
      <c r="A6" s="344"/>
      <c r="B6" s="151"/>
      <c r="C6" s="93" t="s">
        <v>33</v>
      </c>
      <c r="D6" s="85"/>
      <c r="E6" s="85"/>
      <c r="F6" s="85"/>
      <c r="G6" s="428"/>
      <c r="H6" s="85"/>
      <c r="I6" s="428"/>
      <c r="J6" s="85"/>
      <c r="K6" s="85"/>
    </row>
    <row r="7" spans="1:11" s="285" customFormat="1" hidden="1" x14ac:dyDescent="0.25">
      <c r="A7" s="118">
        <v>10</v>
      </c>
      <c r="B7" s="155">
        <v>5005</v>
      </c>
      <c r="C7" s="94" t="s">
        <v>241</v>
      </c>
      <c r="D7" s="85"/>
      <c r="E7" s="85"/>
      <c r="F7" s="85"/>
      <c r="G7" s="428"/>
      <c r="H7" s="85"/>
      <c r="I7" s="428"/>
      <c r="J7" s="85"/>
      <c r="K7" s="85">
        <f>E7*(1+[1]INPUT!C$6)</f>
        <v>0</v>
      </c>
    </row>
    <row r="8" spans="1:11" s="285" customFormat="1" hidden="1" x14ac:dyDescent="0.25">
      <c r="A8" s="118">
        <v>10</v>
      </c>
      <c r="B8" s="151">
        <v>5010</v>
      </c>
      <c r="C8" s="94" t="s">
        <v>34</v>
      </c>
      <c r="D8" s="85"/>
      <c r="E8" s="85"/>
      <c r="F8" s="85"/>
      <c r="G8" s="428"/>
      <c r="H8" s="85"/>
      <c r="I8" s="428"/>
      <c r="J8" s="85"/>
      <c r="K8" s="85">
        <f>E8*(1+[1]INPUT!C$6)</f>
        <v>0</v>
      </c>
    </row>
    <row r="9" spans="1:11" s="285" customFormat="1" hidden="1" x14ac:dyDescent="0.25">
      <c r="A9" s="118">
        <v>10</v>
      </c>
      <c r="B9" s="151">
        <v>5015</v>
      </c>
      <c r="C9" s="94" t="s">
        <v>35</v>
      </c>
      <c r="D9" s="85"/>
      <c r="E9" s="85"/>
      <c r="F9" s="85"/>
      <c r="G9" s="428"/>
      <c r="H9" s="85"/>
      <c r="I9" s="428"/>
      <c r="J9" s="85"/>
      <c r="K9" s="85">
        <f>E9*(1+[1]INPUT!C$6)</f>
        <v>0</v>
      </c>
    </row>
    <row r="10" spans="1:11" s="285" customFormat="1" hidden="1" x14ac:dyDescent="0.25">
      <c r="A10" s="118">
        <v>10</v>
      </c>
      <c r="B10" s="151">
        <v>5020</v>
      </c>
      <c r="C10" s="94" t="s">
        <v>350</v>
      </c>
      <c r="D10" s="85"/>
      <c r="E10" s="85"/>
      <c r="F10" s="85"/>
      <c r="G10" s="428"/>
      <c r="H10" s="85"/>
      <c r="I10" s="428"/>
      <c r="J10" s="85"/>
      <c r="K10" s="85">
        <f>E10*(1+[1]INPUT!C$6)</f>
        <v>0</v>
      </c>
    </row>
    <row r="11" spans="1:11" s="285" customFormat="1" hidden="1" x14ac:dyDescent="0.25">
      <c r="A11" s="118">
        <v>10</v>
      </c>
      <c r="B11" s="151">
        <v>5025</v>
      </c>
      <c r="C11" s="94" t="s">
        <v>36</v>
      </c>
      <c r="D11" s="85"/>
      <c r="E11" s="85"/>
      <c r="F11" s="85"/>
      <c r="G11" s="428"/>
      <c r="H11" s="85"/>
      <c r="I11" s="428"/>
      <c r="J11" s="85"/>
      <c r="K11" s="85">
        <f>E11*(1+[1]INPUT!C$6)</f>
        <v>0</v>
      </c>
    </row>
    <row r="12" spans="1:11" s="285" customFormat="1" hidden="1" x14ac:dyDescent="0.25">
      <c r="A12" s="118">
        <v>10</v>
      </c>
      <c r="B12" s="151">
        <v>5030</v>
      </c>
      <c r="C12" s="94" t="s">
        <v>85</v>
      </c>
      <c r="D12" s="85"/>
      <c r="E12" s="85"/>
      <c r="F12" s="85"/>
      <c r="G12" s="428"/>
      <c r="H12" s="85"/>
      <c r="I12" s="428"/>
      <c r="J12" s="85"/>
      <c r="K12" s="85">
        <f>E12*(1+[1]INPUT!C$6)</f>
        <v>0</v>
      </c>
    </row>
    <row r="13" spans="1:11" s="285" customFormat="1" hidden="1" x14ac:dyDescent="0.25">
      <c r="A13" s="118">
        <v>10</v>
      </c>
      <c r="B13" s="151">
        <v>5035</v>
      </c>
      <c r="C13" s="94" t="s">
        <v>84</v>
      </c>
      <c r="D13" s="85"/>
      <c r="E13" s="85"/>
      <c r="F13" s="85"/>
      <c r="G13" s="428"/>
      <c r="H13" s="85"/>
      <c r="I13" s="428"/>
      <c r="J13" s="85"/>
      <c r="K13" s="85">
        <f>E13*(1+[1]INPUT!C$6)</f>
        <v>0</v>
      </c>
    </row>
    <row r="14" spans="1:11" s="285" customFormat="1" hidden="1" x14ac:dyDescent="0.25">
      <c r="A14" s="118">
        <v>10</v>
      </c>
      <c r="B14" s="151">
        <v>5040</v>
      </c>
      <c r="C14" s="94" t="s">
        <v>37</v>
      </c>
      <c r="D14" s="85"/>
      <c r="E14" s="85"/>
      <c r="F14" s="85"/>
      <c r="G14" s="428"/>
      <c r="H14" s="85"/>
      <c r="I14" s="428"/>
      <c r="J14" s="85"/>
      <c r="K14" s="85">
        <f>E14*(1+[1]INPUT!C$6)</f>
        <v>0</v>
      </c>
    </row>
    <row r="15" spans="1:11" s="285" customFormat="1" hidden="1" x14ac:dyDescent="0.25">
      <c r="A15" s="118">
        <v>10</v>
      </c>
      <c r="B15" s="151">
        <v>5045</v>
      </c>
      <c r="C15" s="94" t="s">
        <v>38</v>
      </c>
      <c r="D15" s="85"/>
      <c r="E15" s="85"/>
      <c r="F15" s="85"/>
      <c r="G15" s="428"/>
      <c r="H15" s="85"/>
      <c r="I15" s="428"/>
      <c r="J15" s="85"/>
      <c r="K15" s="85">
        <f>E15*(1+[1]INPUT!C$6)</f>
        <v>0</v>
      </c>
    </row>
    <row r="16" spans="1:11" s="285" customFormat="1" hidden="1" x14ac:dyDescent="0.25">
      <c r="A16" s="118">
        <v>10</v>
      </c>
      <c r="B16" s="151">
        <v>5050</v>
      </c>
      <c r="C16" s="94" t="s">
        <v>83</v>
      </c>
      <c r="D16" s="85"/>
      <c r="E16" s="85"/>
      <c r="F16" s="85"/>
      <c r="G16" s="428"/>
      <c r="H16" s="85"/>
      <c r="I16" s="428"/>
      <c r="J16" s="85"/>
      <c r="K16" s="85">
        <f>E16*(1+[1]INPUT!C$6)</f>
        <v>0</v>
      </c>
    </row>
    <row r="17" spans="1:13" s="285" customFormat="1" hidden="1" x14ac:dyDescent="0.25">
      <c r="A17" s="118">
        <v>10</v>
      </c>
      <c r="B17" s="151">
        <v>5055</v>
      </c>
      <c r="C17" s="94" t="s">
        <v>39</v>
      </c>
      <c r="D17" s="85"/>
      <c r="E17" s="85"/>
      <c r="F17" s="85"/>
      <c r="G17" s="428"/>
      <c r="H17" s="85"/>
      <c r="I17" s="428"/>
      <c r="J17" s="85"/>
      <c r="K17" s="85">
        <f>E17*(1+[1]INPUT!C$6)</f>
        <v>0</v>
      </c>
    </row>
    <row r="18" spans="1:13" s="285" customFormat="1" hidden="1" x14ac:dyDescent="0.25">
      <c r="A18" s="344"/>
      <c r="B18" s="151"/>
      <c r="C18" s="94"/>
      <c r="D18" s="89">
        <v>0</v>
      </c>
      <c r="E18" s="89"/>
      <c r="F18" s="89"/>
      <c r="G18" s="429"/>
      <c r="H18" s="89"/>
      <c r="I18" s="429"/>
      <c r="J18" s="89"/>
      <c r="K18" s="89">
        <f>SUM(K7:K17)</f>
        <v>0</v>
      </c>
    </row>
    <row r="19" spans="1:13" s="285" customFormat="1" hidden="1" x14ac:dyDescent="0.25">
      <c r="A19" s="344"/>
      <c r="B19" s="151"/>
      <c r="C19" s="93" t="s">
        <v>40</v>
      </c>
      <c r="D19" s="85"/>
      <c r="E19" s="86"/>
      <c r="F19" s="86"/>
      <c r="G19" s="86"/>
      <c r="H19" s="86"/>
      <c r="I19" s="86"/>
      <c r="J19" s="86"/>
      <c r="K19" s="85"/>
    </row>
    <row r="20" spans="1:13" s="285" customFormat="1" hidden="1" x14ac:dyDescent="0.25">
      <c r="A20" s="118">
        <v>10</v>
      </c>
      <c r="B20" s="151">
        <v>5105</v>
      </c>
      <c r="C20" s="94" t="s">
        <v>41</v>
      </c>
      <c r="D20" s="85"/>
      <c r="E20" s="108"/>
      <c r="F20" s="85"/>
      <c r="G20" s="428"/>
      <c r="H20" s="85"/>
      <c r="I20" s="428"/>
      <c r="J20" s="85"/>
      <c r="K20" s="85">
        <f>E20*(1+[1]INPUT!C$6)</f>
        <v>0</v>
      </c>
    </row>
    <row r="21" spans="1:13" s="285" customFormat="1" hidden="1" x14ac:dyDescent="0.25">
      <c r="A21" s="118">
        <v>10</v>
      </c>
      <c r="B21" s="151">
        <v>5115</v>
      </c>
      <c r="C21" s="94" t="s">
        <v>42</v>
      </c>
      <c r="D21" s="85">
        <v>0</v>
      </c>
      <c r="E21" s="85"/>
      <c r="F21" s="85"/>
      <c r="G21" s="428"/>
      <c r="H21" s="85"/>
      <c r="I21" s="428"/>
      <c r="J21" s="85"/>
      <c r="K21" s="85">
        <v>0</v>
      </c>
    </row>
    <row r="22" spans="1:13" s="285" customFormat="1" hidden="1" x14ac:dyDescent="0.25">
      <c r="A22" s="118">
        <v>10</v>
      </c>
      <c r="B22" s="151">
        <v>5120</v>
      </c>
      <c r="C22" s="94" t="s">
        <v>43</v>
      </c>
      <c r="D22" s="85"/>
      <c r="E22" s="108"/>
      <c r="F22" s="85"/>
      <c r="G22" s="428"/>
      <c r="H22" s="85"/>
      <c r="I22" s="428"/>
      <c r="J22" s="85"/>
      <c r="K22" s="85">
        <f>E22*(1+[1]INPUT!C$6)</f>
        <v>0</v>
      </c>
    </row>
    <row r="23" spans="1:13" s="285" customFormat="1" hidden="1" x14ac:dyDescent="0.25">
      <c r="A23" s="118">
        <v>10</v>
      </c>
      <c r="B23" s="151">
        <v>5125</v>
      </c>
      <c r="C23" s="94" t="s">
        <v>44</v>
      </c>
      <c r="D23" s="85"/>
      <c r="E23" s="108"/>
      <c r="F23" s="85"/>
      <c r="G23" s="428"/>
      <c r="H23" s="85"/>
      <c r="I23" s="428"/>
      <c r="J23" s="85"/>
      <c r="K23" s="85">
        <f>E23*(1+[1]INPUT!C$6)</f>
        <v>0</v>
      </c>
    </row>
    <row r="24" spans="1:13" s="285" customFormat="1" hidden="1" x14ac:dyDescent="0.25">
      <c r="A24" s="118">
        <v>10</v>
      </c>
      <c r="B24" s="151">
        <v>5130</v>
      </c>
      <c r="C24" s="94" t="s">
        <v>45</v>
      </c>
      <c r="D24" s="85"/>
      <c r="E24" s="108"/>
      <c r="F24" s="85"/>
      <c r="G24" s="428"/>
      <c r="H24" s="85"/>
      <c r="I24" s="428"/>
      <c r="J24" s="85"/>
      <c r="K24" s="85">
        <f>E24*(1+[1]INPUT!C$6)</f>
        <v>0</v>
      </c>
    </row>
    <row r="25" spans="1:13" s="285" customFormat="1" hidden="1" x14ac:dyDescent="0.25">
      <c r="A25" s="344"/>
      <c r="B25" s="151"/>
      <c r="C25" s="94"/>
      <c r="D25" s="429"/>
      <c r="E25" s="89"/>
      <c r="F25" s="89"/>
      <c r="G25" s="429"/>
      <c r="H25" s="89"/>
      <c r="I25" s="429"/>
      <c r="J25" s="89"/>
      <c r="K25" s="89">
        <f>SUM(K20:K24)</f>
        <v>0</v>
      </c>
    </row>
    <row r="26" spans="1:13" s="285" customFormat="1" x14ac:dyDescent="0.25">
      <c r="A26" s="344"/>
      <c r="B26" s="151"/>
      <c r="C26" s="93" t="s">
        <v>46</v>
      </c>
      <c r="D26" s="225"/>
      <c r="E26" s="86"/>
      <c r="F26" s="86"/>
      <c r="G26" s="86"/>
      <c r="H26" s="86"/>
      <c r="I26" s="86"/>
      <c r="J26" s="86"/>
      <c r="K26" s="85"/>
    </row>
    <row r="27" spans="1:13" s="285" customFormat="1" x14ac:dyDescent="0.25">
      <c r="A27" s="344"/>
      <c r="B27" s="151"/>
      <c r="C27" s="93" t="s">
        <v>47</v>
      </c>
      <c r="D27" s="225"/>
      <c r="E27" s="86"/>
      <c r="F27" s="85"/>
      <c r="G27" s="86"/>
      <c r="H27" s="86"/>
      <c r="I27" s="86"/>
      <c r="J27" s="86"/>
      <c r="K27" s="85"/>
    </row>
    <row r="28" spans="1:13" s="285" customFormat="1" x14ac:dyDescent="0.25">
      <c r="A28" s="118">
        <v>10</v>
      </c>
      <c r="B28" s="151">
        <v>5150</v>
      </c>
      <c r="C28" s="94" t="s">
        <v>48</v>
      </c>
      <c r="D28" s="225">
        <v>4407754</v>
      </c>
      <c r="E28" s="86">
        <v>4970000</v>
      </c>
      <c r="F28" s="86">
        <v>4970000</v>
      </c>
      <c r="G28" s="86">
        <v>4970000</v>
      </c>
      <c r="H28" s="85">
        <f>(F28*0.068)+F28</f>
        <v>5307960</v>
      </c>
      <c r="I28" s="428">
        <f>+H28*1.058</f>
        <v>5615821.6800000006</v>
      </c>
      <c r="J28" s="428">
        <f>+I28*1.055</f>
        <v>5924691.8724000007</v>
      </c>
      <c r="K28" s="428">
        <f>+J28*1.053</f>
        <v>6238700.5416371999</v>
      </c>
      <c r="M28" s="355"/>
    </row>
    <row r="29" spans="1:13" s="285" customFormat="1" x14ac:dyDescent="0.25">
      <c r="A29" s="344"/>
      <c r="B29" s="151"/>
      <c r="C29" s="94"/>
      <c r="D29" s="226">
        <v>4407754</v>
      </c>
      <c r="E29" s="89">
        <f>E28</f>
        <v>4970000</v>
      </c>
      <c r="F29" s="89">
        <f>F28</f>
        <v>4970000</v>
      </c>
      <c r="G29" s="429">
        <v>4970000</v>
      </c>
      <c r="H29" s="429">
        <f>H28</f>
        <v>5307960</v>
      </c>
      <c r="I29" s="429">
        <f>I28</f>
        <v>5615821.6800000006</v>
      </c>
      <c r="J29" s="429">
        <f>J28</f>
        <v>5924691.8724000007</v>
      </c>
      <c r="K29" s="429">
        <f>K28</f>
        <v>6238700.5416371999</v>
      </c>
      <c r="L29" s="355"/>
      <c r="M29" s="111"/>
    </row>
    <row r="30" spans="1:13" s="285" customFormat="1" x14ac:dyDescent="0.25">
      <c r="A30" s="344"/>
      <c r="B30" s="151"/>
      <c r="C30" s="93" t="s">
        <v>49</v>
      </c>
      <c r="D30" s="225"/>
      <c r="E30" s="86"/>
      <c r="F30" s="86"/>
      <c r="G30" s="86"/>
      <c r="H30" s="86"/>
      <c r="I30" s="86"/>
      <c r="J30" s="86"/>
      <c r="K30" s="85"/>
    </row>
    <row r="31" spans="1:13" s="285" customFormat="1" x14ac:dyDescent="0.25">
      <c r="A31" s="118">
        <v>10</v>
      </c>
      <c r="B31" s="151">
        <v>5170</v>
      </c>
      <c r="C31" s="94" t="s">
        <v>341</v>
      </c>
      <c r="D31" s="425"/>
      <c r="E31" s="108"/>
      <c r="F31" s="425"/>
      <c r="G31" s="428"/>
      <c r="H31" s="85"/>
      <c r="I31" s="428"/>
      <c r="J31" s="85"/>
      <c r="K31" s="85"/>
    </row>
    <row r="32" spans="1:13" s="285" customFormat="1" x14ac:dyDescent="0.25">
      <c r="A32" s="344"/>
      <c r="B32" s="151"/>
      <c r="C32" s="94"/>
      <c r="D32" s="226">
        <v>0</v>
      </c>
      <c r="E32" s="226">
        <v>0</v>
      </c>
      <c r="F32" s="226">
        <v>0</v>
      </c>
      <c r="G32" s="226">
        <v>0</v>
      </c>
      <c r="H32" s="226">
        <v>0</v>
      </c>
      <c r="I32" s="226"/>
      <c r="J32" s="226">
        <v>0</v>
      </c>
      <c r="K32" s="226">
        <v>0</v>
      </c>
    </row>
    <row r="33" spans="1:11" s="285" customFormat="1" x14ac:dyDescent="0.25">
      <c r="A33" s="344"/>
      <c r="B33" s="151"/>
      <c r="C33" s="93" t="s">
        <v>50</v>
      </c>
      <c r="D33" s="225"/>
      <c r="E33" s="86"/>
      <c r="F33" s="86"/>
      <c r="G33" s="86"/>
      <c r="H33" s="86"/>
      <c r="I33" s="86"/>
      <c r="J33" s="86"/>
      <c r="K33" s="85"/>
    </row>
    <row r="34" spans="1:11" s="285" customFormat="1" x14ac:dyDescent="0.25">
      <c r="A34" s="118">
        <v>10</v>
      </c>
      <c r="B34" s="151">
        <v>5180</v>
      </c>
      <c r="C34" s="94" t="s">
        <v>51</v>
      </c>
      <c r="D34" s="225"/>
      <c r="E34" s="108"/>
      <c r="F34" s="85"/>
      <c r="G34" s="428"/>
      <c r="H34" s="85"/>
      <c r="I34" s="428"/>
      <c r="J34" s="85"/>
      <c r="K34" s="108"/>
    </row>
    <row r="35" spans="1:11" s="285" customFormat="1" x14ac:dyDescent="0.25">
      <c r="A35" s="344"/>
      <c r="B35" s="151"/>
      <c r="C35" s="94"/>
      <c r="D35" s="226">
        <v>0</v>
      </c>
      <c r="E35" s="226">
        <f t="shared" ref="E35:K35" si="0">SUM(E34)</f>
        <v>0</v>
      </c>
      <c r="F35" s="226">
        <f t="shared" si="0"/>
        <v>0</v>
      </c>
      <c r="G35" s="226"/>
      <c r="H35" s="226">
        <f t="shared" si="0"/>
        <v>0</v>
      </c>
      <c r="I35" s="226"/>
      <c r="J35" s="226">
        <f t="shared" si="0"/>
        <v>0</v>
      </c>
      <c r="K35" s="226">
        <f t="shared" si="0"/>
        <v>0</v>
      </c>
    </row>
    <row r="36" spans="1:11" s="285" customFormat="1" x14ac:dyDescent="0.25">
      <c r="A36" s="344"/>
      <c r="B36" s="151"/>
      <c r="C36" s="93" t="s">
        <v>52</v>
      </c>
      <c r="D36" s="225"/>
      <c r="E36" s="86"/>
      <c r="F36" s="86"/>
      <c r="G36" s="86"/>
      <c r="H36" s="86"/>
      <c r="I36" s="86"/>
      <c r="J36" s="86"/>
      <c r="K36" s="85"/>
    </row>
    <row r="37" spans="1:11" s="285" customFormat="1" x14ac:dyDescent="0.25">
      <c r="A37" s="118">
        <v>10</v>
      </c>
      <c r="B37" s="151">
        <v>5190</v>
      </c>
      <c r="C37" s="94" t="s">
        <v>53</v>
      </c>
      <c r="D37" s="225"/>
      <c r="E37" s="108"/>
      <c r="F37" s="85"/>
      <c r="G37" s="428"/>
      <c r="H37" s="85"/>
      <c r="I37" s="428"/>
      <c r="J37" s="85"/>
      <c r="K37" s="85"/>
    </row>
    <row r="38" spans="1:11" s="285" customFormat="1" x14ac:dyDescent="0.25">
      <c r="A38" s="344"/>
      <c r="B38" s="151"/>
      <c r="C38" s="94"/>
      <c r="D38" s="226">
        <v>0</v>
      </c>
      <c r="E38" s="226">
        <f t="shared" ref="E38:K38" si="1">E37</f>
        <v>0</v>
      </c>
      <c r="F38" s="226">
        <f t="shared" si="1"/>
        <v>0</v>
      </c>
      <c r="G38" s="226"/>
      <c r="H38" s="226">
        <f t="shared" si="1"/>
        <v>0</v>
      </c>
      <c r="I38" s="226"/>
      <c r="J38" s="226">
        <f t="shared" si="1"/>
        <v>0</v>
      </c>
      <c r="K38" s="226">
        <f t="shared" si="1"/>
        <v>0</v>
      </c>
    </row>
    <row r="39" spans="1:11" s="285" customFormat="1" x14ac:dyDescent="0.25">
      <c r="A39" s="344"/>
      <c r="B39" s="151"/>
      <c r="C39" s="93" t="s">
        <v>54</v>
      </c>
      <c r="D39" s="225"/>
      <c r="E39" s="86"/>
      <c r="F39" s="86"/>
      <c r="G39" s="86"/>
      <c r="H39" s="86"/>
      <c r="I39" s="86"/>
      <c r="J39" s="86"/>
      <c r="K39" s="85"/>
    </row>
    <row r="40" spans="1:11" s="285" customFormat="1" x14ac:dyDescent="0.25">
      <c r="A40" s="118">
        <v>10</v>
      </c>
      <c r="B40" s="151">
        <v>5200</v>
      </c>
      <c r="C40" s="94" t="s">
        <v>55</v>
      </c>
      <c r="D40" s="225"/>
      <c r="E40" s="108"/>
      <c r="F40" s="85"/>
      <c r="G40" s="428"/>
      <c r="H40" s="85"/>
      <c r="I40" s="428"/>
      <c r="J40" s="85"/>
      <c r="K40" s="85">
        <f>F40*(1+[1]INPUT!C$10)</f>
        <v>0</v>
      </c>
    </row>
    <row r="41" spans="1:11" s="285" customFormat="1" x14ac:dyDescent="0.25">
      <c r="A41" s="118">
        <v>10</v>
      </c>
      <c r="B41" s="151">
        <v>5205</v>
      </c>
      <c r="C41" s="94" t="s">
        <v>56</v>
      </c>
      <c r="D41" s="225"/>
      <c r="E41" s="108"/>
      <c r="F41" s="85"/>
      <c r="G41" s="428"/>
      <c r="H41" s="85"/>
      <c r="I41" s="428"/>
      <c r="J41" s="85"/>
      <c r="K41" s="85">
        <f>F41*(1+[1]INPUT!C$10)</f>
        <v>0</v>
      </c>
    </row>
    <row r="42" spans="1:11" s="285" customFormat="1" x14ac:dyDescent="0.25">
      <c r="A42" s="118">
        <v>10</v>
      </c>
      <c r="B42" s="151">
        <v>5210</v>
      </c>
      <c r="C42" s="94" t="s">
        <v>57</v>
      </c>
      <c r="D42" s="225"/>
      <c r="E42" s="108"/>
      <c r="F42" s="85"/>
      <c r="G42" s="428"/>
      <c r="H42" s="85"/>
      <c r="I42" s="428"/>
      <c r="J42" s="85"/>
      <c r="K42" s="85">
        <f>F42*(1+[1]INPUT!C$10)</f>
        <v>0</v>
      </c>
    </row>
    <row r="43" spans="1:11" s="285" customFormat="1" x14ac:dyDescent="0.25">
      <c r="A43" s="118">
        <v>10</v>
      </c>
      <c r="B43" s="151">
        <v>5215</v>
      </c>
      <c r="C43" s="94" t="s">
        <v>95</v>
      </c>
      <c r="D43" s="225"/>
      <c r="E43" s="108"/>
      <c r="F43" s="85"/>
      <c r="G43" s="428"/>
      <c r="H43" s="85"/>
      <c r="I43" s="428"/>
      <c r="J43" s="85"/>
      <c r="K43" s="85">
        <f>F43*(1+[1]INPUT!C$10)</f>
        <v>0</v>
      </c>
    </row>
    <row r="44" spans="1:11" s="285" customFormat="1" x14ac:dyDescent="0.25">
      <c r="A44" s="118">
        <v>10</v>
      </c>
      <c r="B44" s="151">
        <v>5220</v>
      </c>
      <c r="C44" s="94" t="s">
        <v>58</v>
      </c>
      <c r="D44" s="225"/>
      <c r="E44" s="108"/>
      <c r="F44" s="85"/>
      <c r="G44" s="428"/>
      <c r="H44" s="85"/>
      <c r="I44" s="428"/>
      <c r="J44" s="85"/>
      <c r="K44" s="85">
        <f>F44*(1+[1]INPUT!C$10)</f>
        <v>0</v>
      </c>
    </row>
    <row r="45" spans="1:11" s="285" customFormat="1" x14ac:dyDescent="0.25">
      <c r="A45" s="118">
        <v>10</v>
      </c>
      <c r="B45" s="151">
        <v>5225</v>
      </c>
      <c r="C45" s="94" t="s">
        <v>92</v>
      </c>
      <c r="D45" s="225"/>
      <c r="E45" s="108"/>
      <c r="F45" s="85"/>
      <c r="G45" s="428"/>
      <c r="H45" s="85"/>
      <c r="I45" s="428"/>
      <c r="J45" s="85"/>
      <c r="K45" s="85">
        <f>F45*(1+[1]INPUT!C$10)</f>
        <v>0</v>
      </c>
    </row>
    <row r="46" spans="1:11" s="285" customFormat="1" x14ac:dyDescent="0.25">
      <c r="A46" s="118">
        <v>10</v>
      </c>
      <c r="B46" s="151">
        <v>5230</v>
      </c>
      <c r="C46" s="94" t="s">
        <v>86</v>
      </c>
      <c r="D46" s="225"/>
      <c r="E46" s="108"/>
      <c r="F46" s="85"/>
      <c r="G46" s="428"/>
      <c r="H46" s="85"/>
      <c r="I46" s="428"/>
      <c r="J46" s="85"/>
      <c r="K46" s="85">
        <f>F46*(1+[1]INPUT!C$10)</f>
        <v>0</v>
      </c>
    </row>
    <row r="47" spans="1:11" s="285" customFormat="1" x14ac:dyDescent="0.25">
      <c r="A47" s="118">
        <v>10</v>
      </c>
      <c r="B47" s="151">
        <v>5235</v>
      </c>
      <c r="C47" s="94" t="s">
        <v>124</v>
      </c>
      <c r="D47" s="225"/>
      <c r="E47" s="108"/>
      <c r="F47" s="85"/>
      <c r="G47" s="428"/>
      <c r="H47" s="85"/>
      <c r="I47" s="428"/>
      <c r="J47" s="85"/>
      <c r="K47" s="85">
        <f>F47*(1+[1]INPUT!C$10)</f>
        <v>0</v>
      </c>
    </row>
    <row r="48" spans="1:11" s="285" customFormat="1" x14ac:dyDescent="0.25">
      <c r="A48" s="118">
        <v>10</v>
      </c>
      <c r="B48" s="151">
        <v>5240</v>
      </c>
      <c r="C48" s="94" t="s">
        <v>59</v>
      </c>
      <c r="D48" s="225"/>
      <c r="E48" s="108"/>
      <c r="F48" s="85"/>
      <c r="G48" s="428"/>
      <c r="H48" s="85"/>
      <c r="I48" s="428"/>
      <c r="J48" s="85"/>
      <c r="K48" s="85">
        <f>F48*(1+[1]INPUT!C$10)</f>
        <v>0</v>
      </c>
    </row>
    <row r="49" spans="1:11" s="285" customFormat="1" x14ac:dyDescent="0.25">
      <c r="A49" s="118">
        <v>10</v>
      </c>
      <c r="B49" s="151">
        <v>5245</v>
      </c>
      <c r="C49" s="94" t="s">
        <v>91</v>
      </c>
      <c r="D49" s="225"/>
      <c r="E49" s="108"/>
      <c r="F49" s="85"/>
      <c r="G49" s="428"/>
      <c r="H49" s="85"/>
      <c r="I49" s="428"/>
      <c r="J49" s="85"/>
      <c r="K49" s="85">
        <f>F49*(1+[1]INPUT!C$10)</f>
        <v>0</v>
      </c>
    </row>
    <row r="50" spans="1:11" s="285" customFormat="1" x14ac:dyDescent="0.25">
      <c r="A50" s="118">
        <v>10</v>
      </c>
      <c r="B50" s="151">
        <v>5250</v>
      </c>
      <c r="C50" s="94" t="s">
        <v>88</v>
      </c>
      <c r="D50" s="225"/>
      <c r="E50" s="108"/>
      <c r="F50" s="85"/>
      <c r="G50" s="428"/>
      <c r="H50" s="85"/>
      <c r="I50" s="428"/>
      <c r="J50" s="85"/>
      <c r="K50" s="85">
        <f>F50*(1+[1]INPUT!C$10)</f>
        <v>0</v>
      </c>
    </row>
    <row r="51" spans="1:11" s="285" customFormat="1" x14ac:dyDescent="0.25">
      <c r="A51" s="118">
        <v>10</v>
      </c>
      <c r="B51" s="151">
        <v>5255</v>
      </c>
      <c r="C51" s="94" t="s">
        <v>125</v>
      </c>
      <c r="D51" s="225"/>
      <c r="E51" s="108"/>
      <c r="F51" s="85"/>
      <c r="G51" s="428"/>
      <c r="H51" s="85"/>
      <c r="I51" s="428"/>
      <c r="J51" s="85"/>
      <c r="K51" s="85">
        <f>F51*(1+[1]INPUT!C$10)</f>
        <v>0</v>
      </c>
    </row>
    <row r="52" spans="1:11" s="285" customFormat="1" x14ac:dyDescent="0.25">
      <c r="A52" s="118">
        <v>10</v>
      </c>
      <c r="B52" s="151">
        <v>5260</v>
      </c>
      <c r="C52" s="94" t="s">
        <v>90</v>
      </c>
      <c r="D52" s="225"/>
      <c r="E52" s="108"/>
      <c r="F52" s="85"/>
      <c r="G52" s="428"/>
      <c r="H52" s="85"/>
      <c r="I52" s="428"/>
      <c r="J52" s="85"/>
      <c r="K52" s="85">
        <f>F52*(1+[1]INPUT!C$10)</f>
        <v>0</v>
      </c>
    </row>
    <row r="53" spans="1:11" s="285" customFormat="1" x14ac:dyDescent="0.25">
      <c r="A53" s="118">
        <v>10</v>
      </c>
      <c r="B53" s="151">
        <v>5265</v>
      </c>
      <c r="C53" s="94" t="s">
        <v>87</v>
      </c>
      <c r="D53" s="225"/>
      <c r="E53" s="108"/>
      <c r="F53" s="85"/>
      <c r="G53" s="428"/>
      <c r="H53" s="85"/>
      <c r="I53" s="428"/>
      <c r="J53" s="85"/>
      <c r="K53" s="85">
        <f>F53*(1+[1]INPUT!C$10)</f>
        <v>0</v>
      </c>
    </row>
    <row r="54" spans="1:11" s="285" customFormat="1" x14ac:dyDescent="0.25">
      <c r="A54" s="118">
        <v>10</v>
      </c>
      <c r="B54" s="151">
        <v>5270</v>
      </c>
      <c r="C54" s="94" t="s">
        <v>89</v>
      </c>
      <c r="D54" s="225"/>
      <c r="E54" s="108"/>
      <c r="F54" s="85"/>
      <c r="G54" s="428"/>
      <c r="H54" s="85"/>
      <c r="I54" s="428"/>
      <c r="J54" s="85"/>
      <c r="K54" s="85">
        <f>F54*(1+[1]INPUT!C$10)</f>
        <v>0</v>
      </c>
    </row>
    <row r="55" spans="1:11" s="285" customFormat="1" x14ac:dyDescent="0.25">
      <c r="A55" s="118">
        <v>10</v>
      </c>
      <c r="B55" s="151">
        <v>5275</v>
      </c>
      <c r="C55" s="94" t="s">
        <v>93</v>
      </c>
      <c r="D55" s="225"/>
      <c r="E55" s="108"/>
      <c r="F55" s="85"/>
      <c r="G55" s="428"/>
      <c r="H55" s="85"/>
      <c r="I55" s="428"/>
      <c r="J55" s="85"/>
      <c r="K55" s="85">
        <f>F55*(1+[1]INPUT!C$10)</f>
        <v>0</v>
      </c>
    </row>
    <row r="56" spans="1:11" s="285" customFormat="1" x14ac:dyDescent="0.25">
      <c r="A56" s="118">
        <v>10</v>
      </c>
      <c r="B56" s="151">
        <v>5280</v>
      </c>
      <c r="C56" s="94" t="s">
        <v>94</v>
      </c>
      <c r="D56" s="225"/>
      <c r="E56" s="108"/>
      <c r="F56" s="85"/>
      <c r="G56" s="428"/>
      <c r="H56" s="85"/>
      <c r="I56" s="428"/>
      <c r="J56" s="85"/>
      <c r="K56" s="85">
        <f>F56*(1+[1]INPUT!C$10)</f>
        <v>0</v>
      </c>
    </row>
    <row r="57" spans="1:11" s="285" customFormat="1" x14ac:dyDescent="0.25">
      <c r="A57" s="118">
        <v>10</v>
      </c>
      <c r="B57" s="151">
        <v>5285</v>
      </c>
      <c r="C57" s="94" t="s">
        <v>60</v>
      </c>
      <c r="D57" s="225"/>
      <c r="E57" s="85"/>
      <c r="F57" s="85"/>
      <c r="G57" s="428"/>
      <c r="H57" s="85"/>
      <c r="I57" s="428"/>
      <c r="J57" s="85"/>
      <c r="K57" s="85">
        <f>F57*(1+[1]INPUT!C$10)</f>
        <v>0</v>
      </c>
    </row>
    <row r="58" spans="1:11" s="285" customFormat="1" x14ac:dyDescent="0.25">
      <c r="A58" s="118">
        <v>10</v>
      </c>
      <c r="B58" s="151">
        <v>5290</v>
      </c>
      <c r="C58" s="94" t="s">
        <v>186</v>
      </c>
      <c r="D58" s="225"/>
      <c r="E58" s="108"/>
      <c r="F58" s="85"/>
      <c r="G58" s="428"/>
      <c r="H58" s="85"/>
      <c r="I58" s="428"/>
      <c r="J58" s="85"/>
      <c r="K58" s="85">
        <f>F58*(1+[1]INPUT!C$10)</f>
        <v>0</v>
      </c>
    </row>
    <row r="59" spans="1:11" s="285" customFormat="1" x14ac:dyDescent="0.25">
      <c r="A59" s="344"/>
      <c r="B59" s="151"/>
      <c r="C59" s="94"/>
      <c r="D59" s="227">
        <f t="shared" ref="D59:K59" si="2">SUM(D40:D58)</f>
        <v>0</v>
      </c>
      <c r="E59" s="227">
        <f t="shared" si="2"/>
        <v>0</v>
      </c>
      <c r="F59" s="227">
        <f t="shared" si="2"/>
        <v>0</v>
      </c>
      <c r="G59" s="227">
        <f t="shared" si="2"/>
        <v>0</v>
      </c>
      <c r="H59" s="227">
        <f t="shared" si="2"/>
        <v>0</v>
      </c>
      <c r="I59" s="227"/>
      <c r="J59" s="227">
        <f t="shared" si="2"/>
        <v>0</v>
      </c>
      <c r="K59" s="227">
        <f t="shared" si="2"/>
        <v>0</v>
      </c>
    </row>
    <row r="60" spans="1:11" s="285" customFormat="1" x14ac:dyDescent="0.25">
      <c r="A60" s="344"/>
      <c r="B60" s="151"/>
      <c r="C60" s="93" t="s">
        <v>198</v>
      </c>
      <c r="D60" s="225"/>
      <c r="E60" s="112"/>
      <c r="F60" s="112"/>
      <c r="G60" s="112"/>
      <c r="H60" s="112"/>
      <c r="I60" s="112"/>
      <c r="J60" s="112"/>
      <c r="K60" s="108"/>
    </row>
    <row r="61" spans="1:11" s="285" customFormat="1" x14ac:dyDescent="0.25">
      <c r="A61" s="118">
        <v>10</v>
      </c>
      <c r="B61" s="151">
        <v>5400</v>
      </c>
      <c r="C61" s="94" t="s">
        <v>334</v>
      </c>
      <c r="D61" s="225"/>
      <c r="E61" s="86"/>
      <c r="F61" s="85"/>
      <c r="G61" s="86"/>
      <c r="H61" s="86"/>
      <c r="I61" s="86"/>
      <c r="J61" s="86"/>
      <c r="K61" s="85"/>
    </row>
    <row r="62" spans="1:11" s="285" customFormat="1" x14ac:dyDescent="0.25">
      <c r="A62" s="118">
        <v>10</v>
      </c>
      <c r="B62" s="151">
        <v>5405</v>
      </c>
      <c r="C62" s="94" t="s">
        <v>335</v>
      </c>
      <c r="D62" s="225"/>
      <c r="E62" s="108"/>
      <c r="F62" s="85"/>
      <c r="G62" s="428"/>
      <c r="H62" s="85"/>
      <c r="I62" s="428"/>
      <c r="J62" s="85"/>
      <c r="K62" s="108"/>
    </row>
    <row r="63" spans="1:11" s="285" customFormat="1" x14ac:dyDescent="0.25">
      <c r="A63" s="344"/>
      <c r="B63" s="151"/>
      <c r="C63" s="94"/>
      <c r="D63" s="226">
        <f t="shared" ref="D63:K63" si="3">D62</f>
        <v>0</v>
      </c>
      <c r="E63" s="226">
        <f t="shared" si="3"/>
        <v>0</v>
      </c>
      <c r="F63" s="226">
        <f t="shared" si="3"/>
        <v>0</v>
      </c>
      <c r="G63" s="226">
        <f t="shared" si="3"/>
        <v>0</v>
      </c>
      <c r="H63" s="226">
        <f t="shared" si="3"/>
        <v>0</v>
      </c>
      <c r="I63" s="226"/>
      <c r="J63" s="226">
        <f t="shared" si="3"/>
        <v>0</v>
      </c>
      <c r="K63" s="226">
        <f t="shared" si="3"/>
        <v>0</v>
      </c>
    </row>
    <row r="64" spans="1:11" s="285" customFormat="1" x14ac:dyDescent="0.25">
      <c r="A64" s="344"/>
      <c r="B64" s="151"/>
      <c r="C64" s="93" t="s">
        <v>61</v>
      </c>
      <c r="D64" s="225"/>
      <c r="E64" s="86"/>
      <c r="F64" s="86"/>
      <c r="G64" s="86"/>
      <c r="H64" s="86"/>
      <c r="I64" s="86"/>
      <c r="J64" s="86"/>
      <c r="K64" s="85"/>
    </row>
    <row r="65" spans="1:14" s="285" customFormat="1" x14ac:dyDescent="0.25">
      <c r="A65" s="118">
        <v>10</v>
      </c>
      <c r="B65" s="151">
        <v>5450</v>
      </c>
      <c r="C65" s="94" t="s">
        <v>351</v>
      </c>
      <c r="D65" s="225"/>
      <c r="E65" s="108"/>
      <c r="F65" s="85"/>
      <c r="G65" s="428"/>
      <c r="H65" s="85"/>
      <c r="I65" s="428"/>
      <c r="J65" s="85"/>
      <c r="K65" s="108"/>
    </row>
    <row r="66" spans="1:14" s="285" customFormat="1" x14ac:dyDescent="0.25">
      <c r="A66" s="344"/>
      <c r="B66" s="151"/>
      <c r="C66" s="94"/>
      <c r="D66" s="226">
        <v>0</v>
      </c>
      <c r="E66" s="226">
        <f t="shared" ref="E66:K66" si="4">E65</f>
        <v>0</v>
      </c>
      <c r="F66" s="226">
        <f t="shared" si="4"/>
        <v>0</v>
      </c>
      <c r="G66" s="226"/>
      <c r="H66" s="226">
        <f t="shared" si="4"/>
        <v>0</v>
      </c>
      <c r="I66" s="226"/>
      <c r="J66" s="226">
        <f t="shared" si="4"/>
        <v>0</v>
      </c>
      <c r="K66" s="226">
        <f t="shared" si="4"/>
        <v>0</v>
      </c>
    </row>
    <row r="67" spans="1:14" s="285" customFormat="1" x14ac:dyDescent="0.25">
      <c r="A67" s="344"/>
      <c r="B67" s="151"/>
      <c r="C67" s="93" t="s">
        <v>96</v>
      </c>
      <c r="D67" s="225"/>
      <c r="E67" s="86"/>
      <c r="F67" s="86"/>
      <c r="G67" s="86"/>
      <c r="H67" s="86"/>
      <c r="I67" s="86"/>
      <c r="J67" s="86"/>
      <c r="K67" s="85"/>
    </row>
    <row r="68" spans="1:14" s="285" customFormat="1" x14ac:dyDescent="0.25">
      <c r="A68" s="118">
        <v>10</v>
      </c>
      <c r="B68" s="151">
        <v>5470</v>
      </c>
      <c r="C68" s="94" t="s">
        <v>97</v>
      </c>
      <c r="D68" s="225"/>
      <c r="E68" s="86"/>
      <c r="F68" s="85"/>
      <c r="G68" s="428"/>
      <c r="H68" s="85"/>
      <c r="I68" s="428"/>
      <c r="J68" s="85"/>
      <c r="K68" s="85">
        <f>F68*(1+[1]INPUT!C11)</f>
        <v>0</v>
      </c>
    </row>
    <row r="69" spans="1:14" s="285" customFormat="1" x14ac:dyDescent="0.25">
      <c r="A69" s="118">
        <v>10</v>
      </c>
      <c r="B69" s="151">
        <v>5475</v>
      </c>
      <c r="C69" s="94" t="s">
        <v>134</v>
      </c>
      <c r="D69" s="225"/>
      <c r="E69" s="86"/>
      <c r="F69" s="85"/>
      <c r="G69" s="428"/>
      <c r="H69" s="85"/>
      <c r="I69" s="428"/>
      <c r="J69" s="85"/>
      <c r="K69" s="85">
        <f>F69*(1+[1]INPUT!C12)</f>
        <v>0</v>
      </c>
    </row>
    <row r="70" spans="1:14" s="285" customFormat="1" x14ac:dyDescent="0.25">
      <c r="A70" s="344"/>
      <c r="B70" s="151"/>
      <c r="C70" s="94"/>
      <c r="D70" s="227">
        <v>0</v>
      </c>
      <c r="E70" s="227">
        <f t="shared" ref="E70:K70" si="5">SUM(E68:E69)</f>
        <v>0</v>
      </c>
      <c r="F70" s="227">
        <f t="shared" si="5"/>
        <v>0</v>
      </c>
      <c r="G70" s="227"/>
      <c r="H70" s="227">
        <f t="shared" si="5"/>
        <v>0</v>
      </c>
      <c r="I70" s="227"/>
      <c r="J70" s="227">
        <f t="shared" si="5"/>
        <v>0</v>
      </c>
      <c r="K70" s="227">
        <f t="shared" si="5"/>
        <v>0</v>
      </c>
    </row>
    <row r="71" spans="1:14" s="285" customFormat="1" x14ac:dyDescent="0.25">
      <c r="A71" s="344"/>
      <c r="B71" s="151"/>
      <c r="C71" s="93" t="s">
        <v>62</v>
      </c>
      <c r="D71" s="228"/>
      <c r="E71" s="113"/>
      <c r="F71" s="113"/>
      <c r="G71" s="113"/>
      <c r="H71" s="113"/>
      <c r="I71" s="113"/>
      <c r="J71" s="113"/>
      <c r="K71" s="336"/>
    </row>
    <row r="72" spans="1:14" s="285" customFormat="1" x14ac:dyDescent="0.25">
      <c r="A72" s="118">
        <v>10</v>
      </c>
      <c r="B72" s="151">
        <v>5505</v>
      </c>
      <c r="C72" s="94" t="s">
        <v>259</v>
      </c>
      <c r="D72" s="229"/>
      <c r="E72" s="85"/>
      <c r="F72" s="85"/>
      <c r="G72" s="428"/>
      <c r="H72" s="428">
        <f t="shared" ref="H72:H87" si="6">(F72*0.1)+F72</f>
        <v>0</v>
      </c>
      <c r="I72" s="428"/>
      <c r="J72" s="428">
        <f>(H72*0.1)+H72</f>
        <v>0</v>
      </c>
      <c r="K72" s="428">
        <f>(J72*0.1)+J72</f>
        <v>0</v>
      </c>
    </row>
    <row r="73" spans="1:14" s="285" customFormat="1" x14ac:dyDescent="0.25">
      <c r="A73" s="118">
        <v>10</v>
      </c>
      <c r="B73" s="151">
        <v>5510</v>
      </c>
      <c r="C73" s="94" t="s">
        <v>63</v>
      </c>
      <c r="D73" s="229">
        <v>42556</v>
      </c>
      <c r="E73" s="85">
        <v>18939</v>
      </c>
      <c r="F73" s="428">
        <v>18939</v>
      </c>
      <c r="G73" s="428">
        <v>18939</v>
      </c>
      <c r="H73" s="428">
        <f t="shared" si="6"/>
        <v>20832.900000000001</v>
      </c>
      <c r="I73" s="428"/>
      <c r="J73" s="428">
        <f t="shared" ref="J73:J136" si="7">+I73*1.055</f>
        <v>0</v>
      </c>
      <c r="K73" s="428">
        <f t="shared" ref="K73:K136" si="8">+J73*1.053</f>
        <v>0</v>
      </c>
      <c r="N73" s="355"/>
    </row>
    <row r="74" spans="1:14" s="285" customFormat="1" hidden="1" x14ac:dyDescent="0.25">
      <c r="A74" s="118">
        <v>10</v>
      </c>
      <c r="B74" s="151">
        <v>5520</v>
      </c>
      <c r="C74" s="94" t="s">
        <v>260</v>
      </c>
      <c r="D74" s="229"/>
      <c r="E74" s="85"/>
      <c r="F74" s="428"/>
      <c r="G74" s="428"/>
      <c r="H74" s="428">
        <f t="shared" si="6"/>
        <v>0</v>
      </c>
      <c r="I74" s="428"/>
      <c r="J74" s="428">
        <f t="shared" si="7"/>
        <v>0</v>
      </c>
      <c r="K74" s="428">
        <f t="shared" si="8"/>
        <v>0</v>
      </c>
    </row>
    <row r="75" spans="1:14" s="285" customFormat="1" hidden="1" x14ac:dyDescent="0.25">
      <c r="A75" s="118">
        <v>10</v>
      </c>
      <c r="B75" s="151">
        <v>5525</v>
      </c>
      <c r="C75" s="94" t="s">
        <v>261</v>
      </c>
      <c r="D75" s="229"/>
      <c r="E75" s="85"/>
      <c r="F75" s="428"/>
      <c r="G75" s="428"/>
      <c r="H75" s="428">
        <f t="shared" si="6"/>
        <v>0</v>
      </c>
      <c r="I75" s="428"/>
      <c r="J75" s="428">
        <f t="shared" si="7"/>
        <v>0</v>
      </c>
      <c r="K75" s="428">
        <f t="shared" si="8"/>
        <v>0</v>
      </c>
    </row>
    <row r="76" spans="1:14" s="285" customFormat="1" hidden="1" x14ac:dyDescent="0.25">
      <c r="A76" s="118">
        <v>10</v>
      </c>
      <c r="B76" s="151">
        <v>5530</v>
      </c>
      <c r="C76" s="94" t="s">
        <v>262</v>
      </c>
      <c r="D76" s="229"/>
      <c r="E76" s="85"/>
      <c r="F76" s="428"/>
      <c r="G76" s="428"/>
      <c r="H76" s="428">
        <f t="shared" si="6"/>
        <v>0</v>
      </c>
      <c r="I76" s="428"/>
      <c r="J76" s="428">
        <f t="shared" si="7"/>
        <v>0</v>
      </c>
      <c r="K76" s="428">
        <f t="shared" si="8"/>
        <v>0</v>
      </c>
    </row>
    <row r="77" spans="1:14" s="285" customFormat="1" hidden="1" x14ac:dyDescent="0.25">
      <c r="A77" s="118">
        <v>10</v>
      </c>
      <c r="B77" s="151">
        <v>5535</v>
      </c>
      <c r="C77" s="94" t="s">
        <v>263</v>
      </c>
      <c r="D77" s="229"/>
      <c r="E77" s="85"/>
      <c r="F77" s="428"/>
      <c r="G77" s="428"/>
      <c r="H77" s="428">
        <f t="shared" si="6"/>
        <v>0</v>
      </c>
      <c r="I77" s="428"/>
      <c r="J77" s="428">
        <f t="shared" si="7"/>
        <v>0</v>
      </c>
      <c r="K77" s="428">
        <f t="shared" si="8"/>
        <v>0</v>
      </c>
    </row>
    <row r="78" spans="1:14" s="285" customFormat="1" x14ac:dyDescent="0.25">
      <c r="A78" s="118">
        <v>10</v>
      </c>
      <c r="B78" s="151">
        <v>5540</v>
      </c>
      <c r="C78" s="94" t="s">
        <v>264</v>
      </c>
      <c r="D78" s="229">
        <v>5669</v>
      </c>
      <c r="E78" s="85">
        <v>7271</v>
      </c>
      <c r="F78" s="428">
        <v>7271</v>
      </c>
      <c r="G78" s="428">
        <v>7271</v>
      </c>
      <c r="H78" s="428">
        <f t="shared" si="6"/>
        <v>7998.1</v>
      </c>
      <c r="I78" s="428"/>
      <c r="J78" s="428">
        <f t="shared" si="7"/>
        <v>0</v>
      </c>
      <c r="K78" s="428">
        <f t="shared" si="8"/>
        <v>0</v>
      </c>
    </row>
    <row r="79" spans="1:14" s="285" customFormat="1" ht="13.5" hidden="1" customHeight="1" x14ac:dyDescent="0.25">
      <c r="A79" s="118">
        <v>10</v>
      </c>
      <c r="B79" s="151">
        <v>5545</v>
      </c>
      <c r="C79" s="94" t="s">
        <v>265</v>
      </c>
      <c r="D79" s="229"/>
      <c r="E79" s="85"/>
      <c r="F79" s="428"/>
      <c r="G79" s="428"/>
      <c r="H79" s="428">
        <f t="shared" si="6"/>
        <v>0</v>
      </c>
      <c r="I79" s="428"/>
      <c r="J79" s="428">
        <f t="shared" si="7"/>
        <v>0</v>
      </c>
      <c r="K79" s="428">
        <f t="shared" si="8"/>
        <v>0</v>
      </c>
    </row>
    <row r="80" spans="1:14" s="285" customFormat="1" hidden="1" x14ac:dyDescent="0.25">
      <c r="A80" s="118">
        <v>10</v>
      </c>
      <c r="B80" s="151">
        <v>5550</v>
      </c>
      <c r="C80" s="94" t="s">
        <v>267</v>
      </c>
      <c r="D80" s="229"/>
      <c r="E80" s="85"/>
      <c r="F80" s="428"/>
      <c r="G80" s="428"/>
      <c r="H80" s="428">
        <f t="shared" si="6"/>
        <v>0</v>
      </c>
      <c r="I80" s="428"/>
      <c r="J80" s="428">
        <f t="shared" si="7"/>
        <v>0</v>
      </c>
      <c r="K80" s="428">
        <f t="shared" si="8"/>
        <v>0</v>
      </c>
    </row>
    <row r="81" spans="1:11" s="285" customFormat="1" hidden="1" x14ac:dyDescent="0.25">
      <c r="A81" s="118">
        <v>10</v>
      </c>
      <c r="B81" s="151">
        <v>5555</v>
      </c>
      <c r="C81" s="94" t="s">
        <v>268</v>
      </c>
      <c r="D81" s="229"/>
      <c r="E81" s="85"/>
      <c r="F81" s="428"/>
      <c r="G81" s="428"/>
      <c r="H81" s="428">
        <f t="shared" si="6"/>
        <v>0</v>
      </c>
      <c r="I81" s="428"/>
      <c r="J81" s="428">
        <f t="shared" si="7"/>
        <v>0</v>
      </c>
      <c r="K81" s="428">
        <f t="shared" si="8"/>
        <v>0</v>
      </c>
    </row>
    <row r="82" spans="1:11" s="285" customFormat="1" hidden="1" x14ac:dyDescent="0.25">
      <c r="A82" s="118">
        <v>10</v>
      </c>
      <c r="B82" s="151">
        <v>5560</v>
      </c>
      <c r="C82" s="94" t="s">
        <v>269</v>
      </c>
      <c r="D82" s="229"/>
      <c r="E82" s="85"/>
      <c r="F82" s="428"/>
      <c r="G82" s="428"/>
      <c r="H82" s="428">
        <f t="shared" si="6"/>
        <v>0</v>
      </c>
      <c r="I82" s="428"/>
      <c r="J82" s="428">
        <f t="shared" si="7"/>
        <v>0</v>
      </c>
      <c r="K82" s="428">
        <f t="shared" si="8"/>
        <v>0</v>
      </c>
    </row>
    <row r="83" spans="1:11" s="285" customFormat="1" hidden="1" x14ac:dyDescent="0.25">
      <c r="A83" s="118">
        <v>10</v>
      </c>
      <c r="B83" s="151">
        <v>5565</v>
      </c>
      <c r="C83" s="94" t="s">
        <v>246</v>
      </c>
      <c r="D83" s="229"/>
      <c r="E83" s="85"/>
      <c r="F83" s="428"/>
      <c r="G83" s="428"/>
      <c r="H83" s="428">
        <f t="shared" si="6"/>
        <v>0</v>
      </c>
      <c r="I83" s="428"/>
      <c r="J83" s="428">
        <f t="shared" si="7"/>
        <v>0</v>
      </c>
      <c r="K83" s="428">
        <f t="shared" si="8"/>
        <v>0</v>
      </c>
    </row>
    <row r="84" spans="1:11" s="285" customFormat="1" x14ac:dyDescent="0.25">
      <c r="A84" s="118">
        <v>10</v>
      </c>
      <c r="B84" s="151">
        <v>5570</v>
      </c>
      <c r="C84" s="94" t="s">
        <v>270</v>
      </c>
      <c r="D84" s="229">
        <v>1958</v>
      </c>
      <c r="E84" s="85">
        <v>2164</v>
      </c>
      <c r="F84" s="428">
        <v>2164</v>
      </c>
      <c r="G84" s="428">
        <v>2164</v>
      </c>
      <c r="H84" s="428">
        <f t="shared" si="6"/>
        <v>2380.4</v>
      </c>
      <c r="I84" s="428"/>
      <c r="J84" s="428">
        <f t="shared" si="7"/>
        <v>0</v>
      </c>
      <c r="K84" s="428">
        <f t="shared" si="8"/>
        <v>0</v>
      </c>
    </row>
    <row r="85" spans="1:11" s="285" customFormat="1" x14ac:dyDescent="0.25">
      <c r="A85" s="118">
        <v>10</v>
      </c>
      <c r="B85" s="151">
        <v>5575</v>
      </c>
      <c r="C85" s="94" t="s">
        <v>271</v>
      </c>
      <c r="D85" s="229">
        <v>23129</v>
      </c>
      <c r="E85" s="85">
        <v>0</v>
      </c>
      <c r="F85" s="428">
        <v>0</v>
      </c>
      <c r="G85" s="428"/>
      <c r="H85" s="428">
        <f t="shared" si="6"/>
        <v>0</v>
      </c>
      <c r="I85" s="428"/>
      <c r="J85" s="428">
        <f t="shared" si="7"/>
        <v>0</v>
      </c>
      <c r="K85" s="428">
        <f t="shared" si="8"/>
        <v>0</v>
      </c>
    </row>
    <row r="86" spans="1:11" s="285" customFormat="1" x14ac:dyDescent="0.25">
      <c r="A86" s="118">
        <v>10</v>
      </c>
      <c r="B86" s="151">
        <v>5580</v>
      </c>
      <c r="C86" s="94" t="s">
        <v>272</v>
      </c>
      <c r="D86" s="229"/>
      <c r="E86" s="85"/>
      <c r="F86" s="428"/>
      <c r="G86" s="428">
        <v>0</v>
      </c>
      <c r="H86" s="428">
        <f t="shared" si="6"/>
        <v>0</v>
      </c>
      <c r="I86" s="428"/>
      <c r="J86" s="428">
        <f t="shared" si="7"/>
        <v>0</v>
      </c>
      <c r="K86" s="428">
        <f t="shared" si="8"/>
        <v>0</v>
      </c>
    </row>
    <row r="87" spans="1:11" s="285" customFormat="1" x14ac:dyDescent="0.25">
      <c r="A87" s="118">
        <v>10</v>
      </c>
      <c r="B87" s="151">
        <v>5585</v>
      </c>
      <c r="C87" s="94" t="s">
        <v>273</v>
      </c>
      <c r="D87" s="229">
        <v>130464</v>
      </c>
      <c r="E87" s="85">
        <v>39000</v>
      </c>
      <c r="F87" s="428">
        <v>39000</v>
      </c>
      <c r="G87" s="428">
        <v>39000</v>
      </c>
      <c r="H87" s="428">
        <f t="shared" si="6"/>
        <v>42900</v>
      </c>
      <c r="I87" s="428"/>
      <c r="J87" s="428">
        <f t="shared" si="7"/>
        <v>0</v>
      </c>
      <c r="K87" s="428">
        <f t="shared" si="8"/>
        <v>0</v>
      </c>
    </row>
    <row r="88" spans="1:11" s="285" customFormat="1" x14ac:dyDescent="0.25">
      <c r="A88" s="118">
        <v>10</v>
      </c>
      <c r="B88" s="151">
        <v>5590</v>
      </c>
      <c r="C88" s="94" t="s">
        <v>274</v>
      </c>
      <c r="D88" s="229">
        <v>36828</v>
      </c>
      <c r="E88" s="85">
        <v>51784</v>
      </c>
      <c r="F88" s="428">
        <v>101784</v>
      </c>
      <c r="G88" s="428">
        <v>101784</v>
      </c>
      <c r="H88" s="428">
        <v>120000</v>
      </c>
      <c r="I88" s="428">
        <f>88018*1.71428571428571*1.058</f>
        <v>159639.50399999961</v>
      </c>
      <c r="J88" s="428">
        <f>+I88*1.055</f>
        <v>168419.67671999958</v>
      </c>
      <c r="K88" s="428">
        <f>+J88*1.053</f>
        <v>177345.91958615955</v>
      </c>
    </row>
    <row r="89" spans="1:11" s="285" customFormat="1" hidden="1" x14ac:dyDescent="0.25">
      <c r="A89" s="118">
        <v>10</v>
      </c>
      <c r="B89" s="151">
        <v>5595</v>
      </c>
      <c r="C89" s="94" t="s">
        <v>275</v>
      </c>
      <c r="D89" s="229"/>
      <c r="E89" s="85"/>
      <c r="F89" s="428"/>
      <c r="G89" s="428">
        <v>0</v>
      </c>
      <c r="H89" s="428">
        <f t="shared" ref="H89:H97" si="9">(F89*0.1)+F89</f>
        <v>0</v>
      </c>
      <c r="I89" s="428"/>
      <c r="J89" s="428">
        <f t="shared" si="7"/>
        <v>0</v>
      </c>
      <c r="K89" s="428">
        <f t="shared" si="8"/>
        <v>0</v>
      </c>
    </row>
    <row r="90" spans="1:11" s="285" customFormat="1" hidden="1" x14ac:dyDescent="0.25">
      <c r="A90" s="371">
        <v>10</v>
      </c>
      <c r="B90" s="152">
        <v>5600</v>
      </c>
      <c r="C90" s="382" t="s">
        <v>276</v>
      </c>
      <c r="D90" s="372"/>
      <c r="E90" s="383"/>
      <c r="F90" s="383"/>
      <c r="G90" s="428">
        <v>0</v>
      </c>
      <c r="H90" s="428">
        <f t="shared" si="9"/>
        <v>0</v>
      </c>
      <c r="I90" s="428"/>
      <c r="J90" s="428">
        <f t="shared" si="7"/>
        <v>0</v>
      </c>
      <c r="K90" s="428">
        <f t="shared" si="8"/>
        <v>0</v>
      </c>
    </row>
    <row r="91" spans="1:11" s="285" customFormat="1" hidden="1" x14ac:dyDescent="0.25">
      <c r="A91" s="374">
        <v>10</v>
      </c>
      <c r="B91" s="153">
        <v>5605</v>
      </c>
      <c r="C91" s="384" t="s">
        <v>277</v>
      </c>
      <c r="D91" s="228"/>
      <c r="E91" s="88"/>
      <c r="F91" s="88"/>
      <c r="G91" s="428"/>
      <c r="H91" s="428">
        <f t="shared" si="9"/>
        <v>0</v>
      </c>
      <c r="I91" s="428"/>
      <c r="J91" s="428">
        <f t="shared" si="7"/>
        <v>0</v>
      </c>
      <c r="K91" s="428">
        <f t="shared" si="8"/>
        <v>0</v>
      </c>
    </row>
    <row r="92" spans="1:11" s="285" customFormat="1" hidden="1" x14ac:dyDescent="0.25">
      <c r="A92" s="118">
        <v>10</v>
      </c>
      <c r="B92" s="151">
        <v>5610</v>
      </c>
      <c r="C92" s="159" t="s">
        <v>278</v>
      </c>
      <c r="D92" s="225"/>
      <c r="E92" s="85"/>
      <c r="F92" s="428"/>
      <c r="G92" s="428"/>
      <c r="H92" s="428">
        <f t="shared" si="9"/>
        <v>0</v>
      </c>
      <c r="I92" s="428"/>
      <c r="J92" s="428">
        <f t="shared" si="7"/>
        <v>0</v>
      </c>
      <c r="K92" s="428">
        <f t="shared" si="8"/>
        <v>0</v>
      </c>
    </row>
    <row r="93" spans="1:11" s="285" customFormat="1" hidden="1" x14ac:dyDescent="0.25">
      <c r="A93" s="118">
        <v>10</v>
      </c>
      <c r="B93" s="151">
        <v>5615</v>
      </c>
      <c r="C93" s="159" t="s">
        <v>279</v>
      </c>
      <c r="D93" s="225"/>
      <c r="E93" s="85"/>
      <c r="F93" s="428"/>
      <c r="G93" s="428"/>
      <c r="H93" s="428">
        <f t="shared" si="9"/>
        <v>0</v>
      </c>
      <c r="I93" s="428"/>
      <c r="J93" s="428">
        <f t="shared" si="7"/>
        <v>0</v>
      </c>
      <c r="K93" s="428">
        <f t="shared" si="8"/>
        <v>0</v>
      </c>
    </row>
    <row r="94" spans="1:11" s="285" customFormat="1" hidden="1" x14ac:dyDescent="0.25">
      <c r="A94" s="118">
        <v>10</v>
      </c>
      <c r="B94" s="151">
        <v>5620</v>
      </c>
      <c r="C94" s="159" t="s">
        <v>280</v>
      </c>
      <c r="D94" s="225"/>
      <c r="E94" s="85"/>
      <c r="F94" s="428"/>
      <c r="G94" s="428"/>
      <c r="H94" s="428">
        <f t="shared" si="9"/>
        <v>0</v>
      </c>
      <c r="I94" s="428"/>
      <c r="J94" s="428">
        <f t="shared" si="7"/>
        <v>0</v>
      </c>
      <c r="K94" s="428">
        <f t="shared" si="8"/>
        <v>0</v>
      </c>
    </row>
    <row r="95" spans="1:11" s="285" customFormat="1" hidden="1" x14ac:dyDescent="0.25">
      <c r="A95" s="118">
        <v>10</v>
      </c>
      <c r="B95" s="151">
        <v>5625</v>
      </c>
      <c r="C95" s="159" t="s">
        <v>281</v>
      </c>
      <c r="D95" s="225"/>
      <c r="E95" s="85"/>
      <c r="F95" s="428"/>
      <c r="G95" s="428"/>
      <c r="H95" s="428">
        <f t="shared" si="9"/>
        <v>0</v>
      </c>
      <c r="I95" s="428"/>
      <c r="J95" s="428">
        <f t="shared" si="7"/>
        <v>0</v>
      </c>
      <c r="K95" s="428">
        <f t="shared" si="8"/>
        <v>0</v>
      </c>
    </row>
    <row r="96" spans="1:11" s="285" customFormat="1" hidden="1" x14ac:dyDescent="0.25">
      <c r="A96" s="118">
        <v>10</v>
      </c>
      <c r="B96" s="151">
        <v>5630</v>
      </c>
      <c r="C96" s="159" t="s">
        <v>282</v>
      </c>
      <c r="D96" s="225"/>
      <c r="E96" s="85"/>
      <c r="F96" s="428"/>
      <c r="G96" s="428"/>
      <c r="H96" s="428">
        <f t="shared" si="9"/>
        <v>0</v>
      </c>
      <c r="I96" s="428"/>
      <c r="J96" s="428">
        <f t="shared" si="7"/>
        <v>0</v>
      </c>
      <c r="K96" s="428">
        <f t="shared" si="8"/>
        <v>0</v>
      </c>
    </row>
    <row r="97" spans="1:11" s="285" customFormat="1" hidden="1" x14ac:dyDescent="0.25">
      <c r="A97" s="118">
        <v>10</v>
      </c>
      <c r="B97" s="151">
        <v>5635</v>
      </c>
      <c r="C97" s="159" t="s">
        <v>283</v>
      </c>
      <c r="D97" s="225"/>
      <c r="E97" s="85"/>
      <c r="F97" s="428"/>
      <c r="G97" s="428"/>
      <c r="H97" s="428">
        <f t="shared" si="9"/>
        <v>0</v>
      </c>
      <c r="I97" s="428"/>
      <c r="J97" s="428">
        <f t="shared" si="7"/>
        <v>0</v>
      </c>
      <c r="K97" s="428">
        <f t="shared" si="8"/>
        <v>0</v>
      </c>
    </row>
    <row r="98" spans="1:11" s="285" customFormat="1" x14ac:dyDescent="0.25">
      <c r="A98" s="118">
        <v>10</v>
      </c>
      <c r="B98" s="151">
        <v>5640</v>
      </c>
      <c r="C98" s="159" t="s">
        <v>284</v>
      </c>
      <c r="D98" s="225">
        <v>8604</v>
      </c>
      <c r="E98" s="85">
        <v>9513</v>
      </c>
      <c r="F98" s="428">
        <v>9513</v>
      </c>
      <c r="G98" s="428">
        <v>9513</v>
      </c>
      <c r="H98" s="428">
        <v>260000</v>
      </c>
      <c r="I98" s="428"/>
      <c r="J98" s="428">
        <f t="shared" si="7"/>
        <v>0</v>
      </c>
      <c r="K98" s="428">
        <f t="shared" si="8"/>
        <v>0</v>
      </c>
    </row>
    <row r="99" spans="1:11" s="285" customFormat="1" hidden="1" x14ac:dyDescent="0.25">
      <c r="A99" s="118">
        <v>10</v>
      </c>
      <c r="B99" s="151">
        <v>5645</v>
      </c>
      <c r="C99" s="159" t="s">
        <v>285</v>
      </c>
      <c r="D99" s="225"/>
      <c r="E99" s="85"/>
      <c r="F99" s="428"/>
      <c r="G99" s="428">
        <v>0</v>
      </c>
      <c r="H99" s="428">
        <f t="shared" ref="H99:H122" si="10">(F99*0.1)+F99</f>
        <v>0</v>
      </c>
      <c r="I99" s="428"/>
      <c r="J99" s="428">
        <f t="shared" si="7"/>
        <v>0</v>
      </c>
      <c r="K99" s="428">
        <f t="shared" si="8"/>
        <v>0</v>
      </c>
    </row>
    <row r="100" spans="1:11" s="285" customFormat="1" hidden="1" x14ac:dyDescent="0.25">
      <c r="A100" s="118">
        <v>10</v>
      </c>
      <c r="B100" s="151">
        <v>5650</v>
      </c>
      <c r="C100" s="159" t="s">
        <v>286</v>
      </c>
      <c r="D100" s="225"/>
      <c r="E100" s="85"/>
      <c r="F100" s="428"/>
      <c r="G100" s="428">
        <v>0</v>
      </c>
      <c r="H100" s="428">
        <f t="shared" si="10"/>
        <v>0</v>
      </c>
      <c r="I100" s="428"/>
      <c r="J100" s="428">
        <f t="shared" si="7"/>
        <v>0</v>
      </c>
      <c r="K100" s="428">
        <f t="shared" si="8"/>
        <v>0</v>
      </c>
    </row>
    <row r="101" spans="1:11" s="285" customFormat="1" hidden="1" x14ac:dyDescent="0.25">
      <c r="A101" s="118">
        <v>10</v>
      </c>
      <c r="B101" s="151">
        <v>5655</v>
      </c>
      <c r="C101" s="159" t="s">
        <v>287</v>
      </c>
      <c r="D101" s="225"/>
      <c r="E101" s="85"/>
      <c r="F101" s="428"/>
      <c r="G101" s="428">
        <v>0</v>
      </c>
      <c r="H101" s="428">
        <f t="shared" si="10"/>
        <v>0</v>
      </c>
      <c r="I101" s="428"/>
      <c r="J101" s="428">
        <f t="shared" si="7"/>
        <v>0</v>
      </c>
      <c r="K101" s="428">
        <f t="shared" si="8"/>
        <v>0</v>
      </c>
    </row>
    <row r="102" spans="1:11" s="285" customFormat="1" hidden="1" x14ac:dyDescent="0.25">
      <c r="A102" s="118">
        <v>10</v>
      </c>
      <c r="B102" s="151">
        <v>5660</v>
      </c>
      <c r="C102" s="159" t="s">
        <v>288</v>
      </c>
      <c r="D102" s="225"/>
      <c r="E102" s="85"/>
      <c r="F102" s="428"/>
      <c r="G102" s="428">
        <v>0</v>
      </c>
      <c r="H102" s="428">
        <f t="shared" si="10"/>
        <v>0</v>
      </c>
      <c r="I102" s="428"/>
      <c r="J102" s="428">
        <f t="shared" si="7"/>
        <v>0</v>
      </c>
      <c r="K102" s="428">
        <f t="shared" si="8"/>
        <v>0</v>
      </c>
    </row>
    <row r="103" spans="1:11" s="285" customFormat="1" hidden="1" x14ac:dyDescent="0.25">
      <c r="A103" s="118">
        <v>10</v>
      </c>
      <c r="B103" s="151">
        <v>5665</v>
      </c>
      <c r="C103" s="94" t="s">
        <v>501</v>
      </c>
      <c r="D103" s="225"/>
      <c r="E103" s="85"/>
      <c r="F103" s="428"/>
      <c r="G103" s="428">
        <v>0</v>
      </c>
      <c r="H103" s="428">
        <f t="shared" si="10"/>
        <v>0</v>
      </c>
      <c r="I103" s="428"/>
      <c r="J103" s="428">
        <f t="shared" si="7"/>
        <v>0</v>
      </c>
      <c r="K103" s="428">
        <f t="shared" si="8"/>
        <v>0</v>
      </c>
    </row>
    <row r="104" spans="1:11" s="285" customFormat="1" hidden="1" x14ac:dyDescent="0.25">
      <c r="A104" s="118">
        <v>10</v>
      </c>
      <c r="B104" s="151">
        <v>5670</v>
      </c>
      <c r="C104" s="94" t="s">
        <v>290</v>
      </c>
      <c r="D104" s="225"/>
      <c r="E104" s="85"/>
      <c r="F104" s="428"/>
      <c r="G104" s="428">
        <v>0</v>
      </c>
      <c r="H104" s="428">
        <f t="shared" si="10"/>
        <v>0</v>
      </c>
      <c r="I104" s="428"/>
      <c r="J104" s="428">
        <f t="shared" si="7"/>
        <v>0</v>
      </c>
      <c r="K104" s="428">
        <f t="shared" si="8"/>
        <v>0</v>
      </c>
    </row>
    <row r="105" spans="1:11" s="285" customFormat="1" hidden="1" x14ac:dyDescent="0.25">
      <c r="A105" s="118">
        <v>10</v>
      </c>
      <c r="B105" s="151">
        <v>5675</v>
      </c>
      <c r="C105" s="94" t="s">
        <v>291</v>
      </c>
      <c r="D105" s="225"/>
      <c r="E105" s="85"/>
      <c r="F105" s="428"/>
      <c r="G105" s="428">
        <v>0</v>
      </c>
      <c r="H105" s="428">
        <f t="shared" si="10"/>
        <v>0</v>
      </c>
      <c r="I105" s="428"/>
      <c r="J105" s="428">
        <f t="shared" si="7"/>
        <v>0</v>
      </c>
      <c r="K105" s="428">
        <f t="shared" si="8"/>
        <v>0</v>
      </c>
    </row>
    <row r="106" spans="1:11" s="285" customFormat="1" hidden="1" x14ac:dyDescent="0.25">
      <c r="A106" s="118">
        <v>10</v>
      </c>
      <c r="B106" s="151">
        <v>5680</v>
      </c>
      <c r="C106" s="94" t="s">
        <v>292</v>
      </c>
      <c r="D106" s="225"/>
      <c r="E106" s="85"/>
      <c r="F106" s="428"/>
      <c r="G106" s="428">
        <v>0</v>
      </c>
      <c r="H106" s="428">
        <f t="shared" si="10"/>
        <v>0</v>
      </c>
      <c r="I106" s="428"/>
      <c r="J106" s="428">
        <f t="shared" si="7"/>
        <v>0</v>
      </c>
      <c r="K106" s="428">
        <f t="shared" si="8"/>
        <v>0</v>
      </c>
    </row>
    <row r="107" spans="1:11" s="285" customFormat="1" hidden="1" x14ac:dyDescent="0.25">
      <c r="A107" s="118">
        <v>10</v>
      </c>
      <c r="B107" s="151">
        <v>5685</v>
      </c>
      <c r="C107" s="94" t="s">
        <v>293</v>
      </c>
      <c r="D107" s="225"/>
      <c r="E107" s="85"/>
      <c r="F107" s="428"/>
      <c r="G107" s="428">
        <v>0</v>
      </c>
      <c r="H107" s="428">
        <f t="shared" si="10"/>
        <v>0</v>
      </c>
      <c r="I107" s="428"/>
      <c r="J107" s="428">
        <f t="shared" si="7"/>
        <v>0</v>
      </c>
      <c r="K107" s="428">
        <f t="shared" si="8"/>
        <v>0</v>
      </c>
    </row>
    <row r="108" spans="1:11" s="285" customFormat="1" hidden="1" x14ac:dyDescent="0.25">
      <c r="A108" s="118">
        <v>10</v>
      </c>
      <c r="B108" s="151">
        <v>5690</v>
      </c>
      <c r="C108" s="94" t="s">
        <v>247</v>
      </c>
      <c r="D108" s="225"/>
      <c r="E108" s="85"/>
      <c r="F108" s="428"/>
      <c r="G108" s="428">
        <v>0</v>
      </c>
      <c r="H108" s="428">
        <f t="shared" si="10"/>
        <v>0</v>
      </c>
      <c r="I108" s="428"/>
      <c r="J108" s="428">
        <f t="shared" si="7"/>
        <v>0</v>
      </c>
      <c r="K108" s="428">
        <f t="shared" si="8"/>
        <v>0</v>
      </c>
    </row>
    <row r="109" spans="1:11" s="285" customFormat="1" hidden="1" x14ac:dyDescent="0.25">
      <c r="A109" s="118">
        <v>10</v>
      </c>
      <c r="B109" s="151">
        <v>5695</v>
      </c>
      <c r="C109" s="94" t="s">
        <v>294</v>
      </c>
      <c r="D109" s="225"/>
      <c r="E109" s="85"/>
      <c r="F109" s="428"/>
      <c r="G109" s="428">
        <v>0</v>
      </c>
      <c r="H109" s="428">
        <f t="shared" si="10"/>
        <v>0</v>
      </c>
      <c r="I109" s="428"/>
      <c r="J109" s="428">
        <f t="shared" si="7"/>
        <v>0</v>
      </c>
      <c r="K109" s="428">
        <f t="shared" si="8"/>
        <v>0</v>
      </c>
    </row>
    <row r="110" spans="1:11" s="285" customFormat="1" hidden="1" x14ac:dyDescent="0.25">
      <c r="A110" s="118">
        <v>10</v>
      </c>
      <c r="B110" s="151">
        <v>5700</v>
      </c>
      <c r="C110" s="94" t="s">
        <v>295</v>
      </c>
      <c r="D110" s="225"/>
      <c r="E110" s="85"/>
      <c r="F110" s="428"/>
      <c r="G110" s="428">
        <v>0</v>
      </c>
      <c r="H110" s="428">
        <f t="shared" si="10"/>
        <v>0</v>
      </c>
      <c r="I110" s="428"/>
      <c r="J110" s="428">
        <f t="shared" si="7"/>
        <v>0</v>
      </c>
      <c r="K110" s="428">
        <f t="shared" si="8"/>
        <v>0</v>
      </c>
    </row>
    <row r="111" spans="1:11" s="285" customFormat="1" hidden="1" x14ac:dyDescent="0.25">
      <c r="A111" s="118">
        <v>10</v>
      </c>
      <c r="B111" s="151">
        <v>5710</v>
      </c>
      <c r="C111" s="94" t="s">
        <v>297</v>
      </c>
      <c r="D111" s="225"/>
      <c r="E111" s="85"/>
      <c r="F111" s="428"/>
      <c r="G111" s="428">
        <v>0</v>
      </c>
      <c r="H111" s="428">
        <f t="shared" si="10"/>
        <v>0</v>
      </c>
      <c r="I111" s="428"/>
      <c r="J111" s="428">
        <f t="shared" si="7"/>
        <v>0</v>
      </c>
      <c r="K111" s="428">
        <f t="shared" si="8"/>
        <v>0</v>
      </c>
    </row>
    <row r="112" spans="1:11" s="285" customFormat="1" hidden="1" x14ac:dyDescent="0.25">
      <c r="A112" s="118">
        <v>10</v>
      </c>
      <c r="B112" s="151">
        <v>5715</v>
      </c>
      <c r="C112" s="94" t="s">
        <v>298</v>
      </c>
      <c r="D112" s="225"/>
      <c r="E112" s="85"/>
      <c r="F112" s="428"/>
      <c r="G112" s="428">
        <v>0</v>
      </c>
      <c r="H112" s="428">
        <f t="shared" si="10"/>
        <v>0</v>
      </c>
      <c r="I112" s="428"/>
      <c r="J112" s="428">
        <f t="shared" si="7"/>
        <v>0</v>
      </c>
      <c r="K112" s="428">
        <f t="shared" si="8"/>
        <v>0</v>
      </c>
    </row>
    <row r="113" spans="1:11" s="285" customFormat="1" hidden="1" x14ac:dyDescent="0.25">
      <c r="A113" s="118">
        <v>10</v>
      </c>
      <c r="B113" s="151">
        <v>5720</v>
      </c>
      <c r="C113" s="94" t="s">
        <v>299</v>
      </c>
      <c r="D113" s="225"/>
      <c r="E113" s="85"/>
      <c r="F113" s="428"/>
      <c r="G113" s="428">
        <v>0</v>
      </c>
      <c r="H113" s="428">
        <f t="shared" si="10"/>
        <v>0</v>
      </c>
      <c r="I113" s="428"/>
      <c r="J113" s="428">
        <f t="shared" si="7"/>
        <v>0</v>
      </c>
      <c r="K113" s="428">
        <f t="shared" si="8"/>
        <v>0</v>
      </c>
    </row>
    <row r="114" spans="1:11" s="285" customFormat="1" hidden="1" x14ac:dyDescent="0.25">
      <c r="A114" s="118">
        <v>10</v>
      </c>
      <c r="B114" s="151">
        <v>5730</v>
      </c>
      <c r="C114" s="94" t="s">
        <v>300</v>
      </c>
      <c r="D114" s="225"/>
      <c r="E114" s="85"/>
      <c r="F114" s="428"/>
      <c r="G114" s="428">
        <v>0</v>
      </c>
      <c r="H114" s="428">
        <f t="shared" si="10"/>
        <v>0</v>
      </c>
      <c r="I114" s="428"/>
      <c r="J114" s="428">
        <f t="shared" si="7"/>
        <v>0</v>
      </c>
      <c r="K114" s="428">
        <f t="shared" si="8"/>
        <v>0</v>
      </c>
    </row>
    <row r="115" spans="1:11" s="285" customFormat="1" hidden="1" x14ac:dyDescent="0.25">
      <c r="A115" s="118">
        <v>10</v>
      </c>
      <c r="B115" s="151">
        <v>5735</v>
      </c>
      <c r="C115" s="94" t="s">
        <v>301</v>
      </c>
      <c r="D115" s="225"/>
      <c r="E115" s="85"/>
      <c r="F115" s="428"/>
      <c r="G115" s="428">
        <v>0</v>
      </c>
      <c r="H115" s="428">
        <f t="shared" si="10"/>
        <v>0</v>
      </c>
      <c r="I115" s="428"/>
      <c r="J115" s="428">
        <f t="shared" si="7"/>
        <v>0</v>
      </c>
      <c r="K115" s="428">
        <f t="shared" si="8"/>
        <v>0</v>
      </c>
    </row>
    <row r="116" spans="1:11" s="285" customFormat="1" hidden="1" x14ac:dyDescent="0.25">
      <c r="A116" s="118">
        <v>10</v>
      </c>
      <c r="B116" s="151">
        <v>5740</v>
      </c>
      <c r="C116" s="94" t="s">
        <v>302</v>
      </c>
      <c r="D116" s="225"/>
      <c r="E116" s="85"/>
      <c r="F116" s="428"/>
      <c r="G116" s="428">
        <v>0</v>
      </c>
      <c r="H116" s="428">
        <f t="shared" si="10"/>
        <v>0</v>
      </c>
      <c r="I116" s="428"/>
      <c r="J116" s="428">
        <f t="shared" si="7"/>
        <v>0</v>
      </c>
      <c r="K116" s="428">
        <f t="shared" si="8"/>
        <v>0</v>
      </c>
    </row>
    <row r="117" spans="1:11" s="285" customFormat="1" hidden="1" x14ac:dyDescent="0.25">
      <c r="A117" s="118">
        <v>10</v>
      </c>
      <c r="B117" s="151">
        <v>5745</v>
      </c>
      <c r="C117" s="94" t="s">
        <v>303</v>
      </c>
      <c r="D117" s="225"/>
      <c r="E117" s="85"/>
      <c r="F117" s="428"/>
      <c r="G117" s="428">
        <v>0</v>
      </c>
      <c r="H117" s="428">
        <f t="shared" si="10"/>
        <v>0</v>
      </c>
      <c r="I117" s="428"/>
      <c r="J117" s="428">
        <f t="shared" si="7"/>
        <v>0</v>
      </c>
      <c r="K117" s="428">
        <f t="shared" si="8"/>
        <v>0</v>
      </c>
    </row>
    <row r="118" spans="1:11" s="285" customFormat="1" hidden="1" x14ac:dyDescent="0.25">
      <c r="A118" s="118">
        <v>10</v>
      </c>
      <c r="B118" s="151">
        <v>5750</v>
      </c>
      <c r="C118" s="94" t="s">
        <v>304</v>
      </c>
      <c r="D118" s="225"/>
      <c r="E118" s="85"/>
      <c r="F118" s="428"/>
      <c r="G118" s="428">
        <v>0</v>
      </c>
      <c r="H118" s="428">
        <f t="shared" si="10"/>
        <v>0</v>
      </c>
      <c r="I118" s="428"/>
      <c r="J118" s="428">
        <f t="shared" si="7"/>
        <v>0</v>
      </c>
      <c r="K118" s="428">
        <f t="shared" si="8"/>
        <v>0</v>
      </c>
    </row>
    <row r="119" spans="1:11" s="285" customFormat="1" hidden="1" x14ac:dyDescent="0.25">
      <c r="A119" s="118">
        <v>10</v>
      </c>
      <c r="B119" s="151">
        <v>5755</v>
      </c>
      <c r="C119" s="94" t="s">
        <v>305</v>
      </c>
      <c r="D119" s="225"/>
      <c r="E119" s="85"/>
      <c r="F119" s="428"/>
      <c r="G119" s="428">
        <v>0</v>
      </c>
      <c r="H119" s="428">
        <f t="shared" si="10"/>
        <v>0</v>
      </c>
      <c r="I119" s="428"/>
      <c r="J119" s="428">
        <f t="shared" si="7"/>
        <v>0</v>
      </c>
      <c r="K119" s="428">
        <f t="shared" si="8"/>
        <v>0</v>
      </c>
    </row>
    <row r="120" spans="1:11" s="285" customFormat="1" ht="12" customHeight="1" x14ac:dyDescent="0.25">
      <c r="A120" s="118">
        <v>10</v>
      </c>
      <c r="B120" s="151">
        <v>5760</v>
      </c>
      <c r="C120" s="94" t="s">
        <v>384</v>
      </c>
      <c r="D120" s="225">
        <v>150000</v>
      </c>
      <c r="E120" s="85"/>
      <c r="F120" s="428"/>
      <c r="G120" s="428"/>
      <c r="H120" s="428">
        <f t="shared" si="10"/>
        <v>0</v>
      </c>
      <c r="I120" s="428"/>
      <c r="J120" s="428">
        <f t="shared" si="7"/>
        <v>0</v>
      </c>
      <c r="K120" s="428">
        <f t="shared" si="8"/>
        <v>0</v>
      </c>
    </row>
    <row r="121" spans="1:11" s="285" customFormat="1" x14ac:dyDescent="0.25">
      <c r="A121" s="118">
        <v>10</v>
      </c>
      <c r="B121" s="151">
        <v>5765</v>
      </c>
      <c r="C121" s="94" t="s">
        <v>307</v>
      </c>
      <c r="D121" s="225"/>
      <c r="E121" s="85"/>
      <c r="F121" s="428"/>
      <c r="G121" s="428">
        <v>0</v>
      </c>
      <c r="H121" s="428">
        <f t="shared" si="10"/>
        <v>0</v>
      </c>
      <c r="I121" s="428"/>
      <c r="J121" s="428">
        <f t="shared" si="7"/>
        <v>0</v>
      </c>
      <c r="K121" s="428">
        <f t="shared" si="8"/>
        <v>0</v>
      </c>
    </row>
    <row r="122" spans="1:11" s="285" customFormat="1" x14ac:dyDescent="0.25">
      <c r="A122" s="118">
        <v>10</v>
      </c>
      <c r="B122" s="151">
        <v>5770</v>
      </c>
      <c r="C122" s="94" t="s">
        <v>308</v>
      </c>
      <c r="D122" s="225">
        <v>693</v>
      </c>
      <c r="E122" s="85">
        <v>766</v>
      </c>
      <c r="F122" s="428">
        <v>766</v>
      </c>
      <c r="G122" s="428">
        <v>766</v>
      </c>
      <c r="H122" s="428">
        <f t="shared" si="10"/>
        <v>842.6</v>
      </c>
      <c r="I122" s="428"/>
      <c r="J122" s="428">
        <f t="shared" si="7"/>
        <v>0</v>
      </c>
      <c r="K122" s="428">
        <f t="shared" si="8"/>
        <v>0</v>
      </c>
    </row>
    <row r="123" spans="1:11" s="285" customFormat="1" x14ac:dyDescent="0.25">
      <c r="A123" s="118">
        <v>10</v>
      </c>
      <c r="B123" s="151">
        <v>5775</v>
      </c>
      <c r="C123" s="94" t="s">
        <v>309</v>
      </c>
      <c r="D123" s="225">
        <v>415000</v>
      </c>
      <c r="E123" s="85">
        <v>437825</v>
      </c>
      <c r="F123" s="428">
        <v>907825</v>
      </c>
      <c r="G123" s="428">
        <v>907825</v>
      </c>
      <c r="H123" s="428">
        <v>500000</v>
      </c>
      <c r="I123" s="428"/>
      <c r="J123" s="428">
        <f t="shared" si="7"/>
        <v>0</v>
      </c>
      <c r="K123" s="428">
        <f t="shared" si="8"/>
        <v>0</v>
      </c>
    </row>
    <row r="124" spans="1:11" s="285" customFormat="1" x14ac:dyDescent="0.25">
      <c r="A124" s="118">
        <v>10</v>
      </c>
      <c r="B124" s="151">
        <v>5780</v>
      </c>
      <c r="C124" s="94" t="s">
        <v>310</v>
      </c>
      <c r="D124" s="225"/>
      <c r="E124" s="85"/>
      <c r="F124" s="428">
        <v>0</v>
      </c>
      <c r="G124" s="428">
        <v>0</v>
      </c>
      <c r="H124" s="428">
        <f>(F124*0.1)+F124</f>
        <v>0</v>
      </c>
      <c r="I124" s="428"/>
      <c r="J124" s="428">
        <f t="shared" si="7"/>
        <v>0</v>
      </c>
      <c r="K124" s="428">
        <f t="shared" si="8"/>
        <v>0</v>
      </c>
    </row>
    <row r="125" spans="1:11" s="285" customFormat="1" x14ac:dyDescent="0.25">
      <c r="A125" s="118">
        <v>10</v>
      </c>
      <c r="B125" s="151">
        <v>5785</v>
      </c>
      <c r="C125" s="94" t="s">
        <v>311</v>
      </c>
      <c r="D125" s="225">
        <v>88316</v>
      </c>
      <c r="E125" s="85">
        <v>97646</v>
      </c>
      <c r="F125" s="428">
        <v>111646</v>
      </c>
      <c r="G125" s="428">
        <v>111646</v>
      </c>
      <c r="H125" s="428">
        <v>100000</v>
      </c>
      <c r="I125" s="428">
        <f>26000*1.71428571428571*1.058</f>
        <v>47156.571428571311</v>
      </c>
      <c r="J125" s="428">
        <f t="shared" si="7"/>
        <v>49750.182857142732</v>
      </c>
      <c r="K125" s="428">
        <f t="shared" si="8"/>
        <v>52386.942548571293</v>
      </c>
    </row>
    <row r="126" spans="1:11" s="285" customFormat="1" x14ac:dyDescent="0.25">
      <c r="A126" s="118">
        <v>10</v>
      </c>
      <c r="B126" s="151">
        <v>5790</v>
      </c>
      <c r="C126" s="94" t="s">
        <v>312</v>
      </c>
      <c r="D126" s="225">
        <v>305983</v>
      </c>
      <c r="E126" s="85"/>
      <c r="F126" s="428"/>
      <c r="G126" s="428">
        <v>0</v>
      </c>
      <c r="H126" s="428">
        <f t="shared" ref="H126:H133" si="11">(F126*0.1)+F126</f>
        <v>0</v>
      </c>
      <c r="I126" s="428"/>
      <c r="J126" s="428">
        <f t="shared" si="7"/>
        <v>0</v>
      </c>
      <c r="K126" s="428">
        <f t="shared" si="8"/>
        <v>0</v>
      </c>
    </row>
    <row r="127" spans="1:11" s="285" customFormat="1" hidden="1" x14ac:dyDescent="0.25">
      <c r="A127" s="118">
        <v>10</v>
      </c>
      <c r="B127" s="151">
        <v>5795</v>
      </c>
      <c r="C127" s="94" t="s">
        <v>313</v>
      </c>
      <c r="D127" s="225"/>
      <c r="E127" s="85"/>
      <c r="F127" s="428"/>
      <c r="G127" s="428">
        <v>0</v>
      </c>
      <c r="H127" s="428">
        <f t="shared" si="11"/>
        <v>0</v>
      </c>
      <c r="I127" s="428"/>
      <c r="J127" s="428">
        <f t="shared" si="7"/>
        <v>0</v>
      </c>
      <c r="K127" s="428">
        <f t="shared" si="8"/>
        <v>0</v>
      </c>
    </row>
    <row r="128" spans="1:11" s="285" customFormat="1" hidden="1" x14ac:dyDescent="0.25">
      <c r="A128" s="118">
        <v>10</v>
      </c>
      <c r="B128" s="151">
        <v>5800</v>
      </c>
      <c r="C128" s="94" t="s">
        <v>314</v>
      </c>
      <c r="D128" s="225"/>
      <c r="E128" s="85"/>
      <c r="F128" s="428"/>
      <c r="G128" s="428">
        <v>0</v>
      </c>
      <c r="H128" s="428">
        <f t="shared" si="11"/>
        <v>0</v>
      </c>
      <c r="I128" s="428"/>
      <c r="J128" s="428">
        <f t="shared" si="7"/>
        <v>0</v>
      </c>
      <c r="K128" s="428">
        <f t="shared" si="8"/>
        <v>0</v>
      </c>
    </row>
    <row r="129" spans="1:14" s="285" customFormat="1" hidden="1" x14ac:dyDescent="0.25">
      <c r="A129" s="118">
        <v>10</v>
      </c>
      <c r="B129" s="151">
        <v>5805</v>
      </c>
      <c r="C129" s="94" t="s">
        <v>315</v>
      </c>
      <c r="D129" s="225"/>
      <c r="E129" s="85"/>
      <c r="F129" s="428"/>
      <c r="G129" s="428">
        <v>0</v>
      </c>
      <c r="H129" s="428">
        <f t="shared" si="11"/>
        <v>0</v>
      </c>
      <c r="I129" s="428"/>
      <c r="J129" s="428">
        <f t="shared" si="7"/>
        <v>0</v>
      </c>
      <c r="K129" s="428">
        <f t="shared" si="8"/>
        <v>0</v>
      </c>
    </row>
    <row r="130" spans="1:14" s="285" customFormat="1" hidden="1" x14ac:dyDescent="0.25">
      <c r="A130" s="118">
        <v>10</v>
      </c>
      <c r="B130" s="151">
        <v>5810</v>
      </c>
      <c r="C130" s="94" t="s">
        <v>316</v>
      </c>
      <c r="D130" s="225"/>
      <c r="E130" s="85"/>
      <c r="F130" s="428"/>
      <c r="G130" s="428">
        <v>0</v>
      </c>
      <c r="H130" s="428">
        <f t="shared" si="11"/>
        <v>0</v>
      </c>
      <c r="I130" s="428"/>
      <c r="J130" s="428">
        <f t="shared" si="7"/>
        <v>0</v>
      </c>
      <c r="K130" s="428">
        <f t="shared" si="8"/>
        <v>0</v>
      </c>
    </row>
    <row r="131" spans="1:14" s="285" customFormat="1" hidden="1" x14ac:dyDescent="0.25">
      <c r="A131" s="118">
        <v>10</v>
      </c>
      <c r="B131" s="151">
        <v>5815</v>
      </c>
      <c r="C131" s="94" t="s">
        <v>99</v>
      </c>
      <c r="D131" s="225"/>
      <c r="E131" s="85"/>
      <c r="F131" s="428"/>
      <c r="G131" s="428">
        <v>0</v>
      </c>
      <c r="H131" s="428">
        <f t="shared" si="11"/>
        <v>0</v>
      </c>
      <c r="I131" s="428"/>
      <c r="J131" s="428">
        <f t="shared" si="7"/>
        <v>0</v>
      </c>
      <c r="K131" s="428">
        <f t="shared" si="8"/>
        <v>0</v>
      </c>
    </row>
    <row r="132" spans="1:14" s="285" customFormat="1" hidden="1" x14ac:dyDescent="0.25">
      <c r="A132" s="118">
        <v>10</v>
      </c>
      <c r="B132" s="151">
        <v>5820</v>
      </c>
      <c r="C132" s="94" t="s">
        <v>114</v>
      </c>
      <c r="D132" s="230"/>
      <c r="E132" s="85"/>
      <c r="F132" s="428"/>
      <c r="G132" s="428">
        <v>0</v>
      </c>
      <c r="H132" s="428">
        <f t="shared" si="11"/>
        <v>0</v>
      </c>
      <c r="I132" s="428"/>
      <c r="J132" s="428">
        <f t="shared" si="7"/>
        <v>0</v>
      </c>
      <c r="K132" s="428">
        <f t="shared" si="8"/>
        <v>0</v>
      </c>
    </row>
    <row r="133" spans="1:14" s="285" customFormat="1" hidden="1" x14ac:dyDescent="0.25">
      <c r="A133" s="118">
        <v>10</v>
      </c>
      <c r="B133" s="151">
        <v>5825</v>
      </c>
      <c r="C133" s="94" t="s">
        <v>317</v>
      </c>
      <c r="D133" s="230">
        <v>0</v>
      </c>
      <c r="E133" s="85">
        <v>0</v>
      </c>
      <c r="F133" s="428">
        <v>0</v>
      </c>
      <c r="G133" s="428">
        <v>0</v>
      </c>
      <c r="H133" s="428">
        <f t="shared" si="11"/>
        <v>0</v>
      </c>
      <c r="I133" s="428"/>
      <c r="J133" s="428">
        <f t="shared" si="7"/>
        <v>0</v>
      </c>
      <c r="K133" s="428">
        <f t="shared" si="8"/>
        <v>0</v>
      </c>
    </row>
    <row r="134" spans="1:14" s="285" customFormat="1" x14ac:dyDescent="0.25">
      <c r="A134" s="118">
        <v>10</v>
      </c>
      <c r="B134" s="151">
        <v>5830</v>
      </c>
      <c r="C134" s="94" t="s">
        <v>318</v>
      </c>
      <c r="D134" s="230">
        <v>79908</v>
      </c>
      <c r="E134" s="85">
        <v>88350</v>
      </c>
      <c r="F134" s="428">
        <v>88350</v>
      </c>
      <c r="G134" s="428">
        <v>88350</v>
      </c>
      <c r="H134" s="428">
        <v>100000</v>
      </c>
      <c r="I134" s="428"/>
      <c r="J134" s="428">
        <f t="shared" si="7"/>
        <v>0</v>
      </c>
      <c r="K134" s="428">
        <f t="shared" si="8"/>
        <v>0</v>
      </c>
    </row>
    <row r="135" spans="1:14" s="285" customFormat="1" hidden="1" x14ac:dyDescent="0.25">
      <c r="A135" s="118">
        <v>10</v>
      </c>
      <c r="B135" s="151">
        <v>5835</v>
      </c>
      <c r="C135" s="94" t="s">
        <v>319</v>
      </c>
      <c r="D135" s="230"/>
      <c r="E135" s="85"/>
      <c r="F135" s="428"/>
      <c r="G135" s="428">
        <v>0</v>
      </c>
      <c r="H135" s="428">
        <f t="shared" ref="H135:H147" si="12">(F135*0.1)+F135</f>
        <v>0</v>
      </c>
      <c r="I135" s="428"/>
      <c r="J135" s="428">
        <f t="shared" si="7"/>
        <v>0</v>
      </c>
      <c r="K135" s="428">
        <f t="shared" si="8"/>
        <v>0</v>
      </c>
    </row>
    <row r="136" spans="1:14" s="285" customFormat="1" hidden="1" x14ac:dyDescent="0.25">
      <c r="A136" s="118">
        <v>10</v>
      </c>
      <c r="B136" s="151">
        <v>5840</v>
      </c>
      <c r="C136" s="94" t="s">
        <v>332</v>
      </c>
      <c r="D136" s="229"/>
      <c r="E136" s="85"/>
      <c r="F136" s="428"/>
      <c r="G136" s="428">
        <v>0</v>
      </c>
      <c r="H136" s="428">
        <f t="shared" si="12"/>
        <v>0</v>
      </c>
      <c r="I136" s="428"/>
      <c r="J136" s="428">
        <f t="shared" si="7"/>
        <v>0</v>
      </c>
      <c r="K136" s="428">
        <f t="shared" si="8"/>
        <v>0</v>
      </c>
    </row>
    <row r="137" spans="1:14" s="285" customFormat="1" x14ac:dyDescent="0.25">
      <c r="A137" s="118">
        <v>10</v>
      </c>
      <c r="B137" s="151">
        <v>5845</v>
      </c>
      <c r="C137" s="94" t="s">
        <v>320</v>
      </c>
      <c r="D137" s="230">
        <v>155430</v>
      </c>
      <c r="E137" s="85"/>
      <c r="F137" s="428"/>
      <c r="G137" s="428"/>
      <c r="H137" s="428">
        <f t="shared" si="12"/>
        <v>0</v>
      </c>
      <c r="I137" s="428"/>
      <c r="J137" s="428">
        <f>+I137*1.055</f>
        <v>0</v>
      </c>
      <c r="K137" s="428">
        <f>+J137*1.053</f>
        <v>0</v>
      </c>
      <c r="N137" s="355"/>
    </row>
    <row r="138" spans="1:14" s="285" customFormat="1" hidden="1" x14ac:dyDescent="0.25">
      <c r="A138" s="118">
        <v>10</v>
      </c>
      <c r="B138" s="151">
        <v>5855</v>
      </c>
      <c r="C138" s="94" t="s">
        <v>321</v>
      </c>
      <c r="D138" s="225"/>
      <c r="E138" s="85"/>
      <c r="F138" s="428"/>
      <c r="G138" s="428"/>
      <c r="H138" s="428">
        <f t="shared" si="12"/>
        <v>0</v>
      </c>
      <c r="I138" s="428"/>
      <c r="J138" s="428">
        <f t="shared" ref="J138:J147" si="13">(H138*0.1)+H138</f>
        <v>0</v>
      </c>
      <c r="K138" s="428">
        <f t="shared" ref="K138:K147" si="14">(J138*0.1)+J138</f>
        <v>0</v>
      </c>
    </row>
    <row r="139" spans="1:14" s="285" customFormat="1" hidden="1" x14ac:dyDescent="0.25">
      <c r="A139" s="118">
        <v>10</v>
      </c>
      <c r="B139" s="151">
        <v>5860</v>
      </c>
      <c r="C139" s="94" t="s">
        <v>322</v>
      </c>
      <c r="D139" s="225"/>
      <c r="E139" s="85"/>
      <c r="F139" s="428"/>
      <c r="G139" s="428"/>
      <c r="H139" s="428">
        <f t="shared" si="12"/>
        <v>0</v>
      </c>
      <c r="I139" s="428"/>
      <c r="J139" s="428">
        <f t="shared" si="13"/>
        <v>0</v>
      </c>
      <c r="K139" s="428">
        <f t="shared" si="14"/>
        <v>0</v>
      </c>
    </row>
    <row r="140" spans="1:14" s="285" customFormat="1" hidden="1" x14ac:dyDescent="0.25">
      <c r="A140" s="118">
        <v>10</v>
      </c>
      <c r="B140" s="151">
        <v>5865</v>
      </c>
      <c r="C140" s="94" t="s">
        <v>323</v>
      </c>
      <c r="D140" s="225"/>
      <c r="E140" s="85"/>
      <c r="F140" s="428"/>
      <c r="G140" s="428"/>
      <c r="H140" s="428">
        <f t="shared" si="12"/>
        <v>0</v>
      </c>
      <c r="I140" s="428"/>
      <c r="J140" s="428">
        <f t="shared" si="13"/>
        <v>0</v>
      </c>
      <c r="K140" s="428">
        <f t="shared" si="14"/>
        <v>0</v>
      </c>
    </row>
    <row r="141" spans="1:14" s="285" customFormat="1" hidden="1" x14ac:dyDescent="0.25">
      <c r="A141" s="118">
        <v>10</v>
      </c>
      <c r="B141" s="151">
        <v>5870</v>
      </c>
      <c r="C141" s="94" t="s">
        <v>324</v>
      </c>
      <c r="D141" s="225"/>
      <c r="E141" s="85"/>
      <c r="F141" s="428"/>
      <c r="G141" s="428"/>
      <c r="H141" s="428">
        <f t="shared" si="12"/>
        <v>0</v>
      </c>
      <c r="I141" s="428"/>
      <c r="J141" s="428">
        <f t="shared" si="13"/>
        <v>0</v>
      </c>
      <c r="K141" s="428">
        <f t="shared" si="14"/>
        <v>0</v>
      </c>
    </row>
    <row r="142" spans="1:14" s="285" customFormat="1" hidden="1" x14ac:dyDescent="0.25">
      <c r="A142" s="118">
        <v>10</v>
      </c>
      <c r="B142" s="151">
        <v>5875</v>
      </c>
      <c r="C142" s="94" t="s">
        <v>325</v>
      </c>
      <c r="D142" s="225"/>
      <c r="E142" s="85"/>
      <c r="F142" s="428"/>
      <c r="G142" s="428"/>
      <c r="H142" s="428">
        <f t="shared" si="12"/>
        <v>0</v>
      </c>
      <c r="I142" s="428"/>
      <c r="J142" s="428">
        <f t="shared" si="13"/>
        <v>0</v>
      </c>
      <c r="K142" s="428">
        <f t="shared" si="14"/>
        <v>0</v>
      </c>
    </row>
    <row r="143" spans="1:14" s="285" customFormat="1" hidden="1" x14ac:dyDescent="0.25">
      <c r="A143" s="118">
        <v>10</v>
      </c>
      <c r="B143" s="151">
        <v>5880</v>
      </c>
      <c r="C143" s="94" t="s">
        <v>326</v>
      </c>
      <c r="D143" s="225"/>
      <c r="E143" s="85"/>
      <c r="F143" s="428"/>
      <c r="G143" s="428"/>
      <c r="H143" s="428">
        <f t="shared" si="12"/>
        <v>0</v>
      </c>
      <c r="I143" s="428"/>
      <c r="J143" s="428">
        <f t="shared" si="13"/>
        <v>0</v>
      </c>
      <c r="K143" s="428">
        <f t="shared" si="14"/>
        <v>0</v>
      </c>
    </row>
    <row r="144" spans="1:14" s="285" customFormat="1" hidden="1" x14ac:dyDescent="0.25">
      <c r="A144" s="118">
        <v>10</v>
      </c>
      <c r="B144" s="151">
        <v>5885</v>
      </c>
      <c r="C144" s="94" t="s">
        <v>331</v>
      </c>
      <c r="D144" s="225"/>
      <c r="E144" s="85"/>
      <c r="F144" s="428"/>
      <c r="G144" s="428"/>
      <c r="H144" s="428">
        <f t="shared" si="12"/>
        <v>0</v>
      </c>
      <c r="I144" s="428"/>
      <c r="J144" s="428">
        <f t="shared" si="13"/>
        <v>0</v>
      </c>
      <c r="K144" s="428">
        <f t="shared" si="14"/>
        <v>0</v>
      </c>
    </row>
    <row r="145" spans="1:13" s="285" customFormat="1" hidden="1" x14ac:dyDescent="0.25">
      <c r="A145" s="118">
        <v>10</v>
      </c>
      <c r="B145" s="151">
        <v>5890</v>
      </c>
      <c r="C145" s="94" t="s">
        <v>327</v>
      </c>
      <c r="D145" s="225"/>
      <c r="E145" s="85"/>
      <c r="F145" s="428"/>
      <c r="G145" s="428"/>
      <c r="H145" s="428">
        <f t="shared" si="12"/>
        <v>0</v>
      </c>
      <c r="I145" s="428"/>
      <c r="J145" s="428">
        <f t="shared" si="13"/>
        <v>0</v>
      </c>
      <c r="K145" s="428">
        <f t="shared" si="14"/>
        <v>0</v>
      </c>
    </row>
    <row r="146" spans="1:13" s="285" customFormat="1" hidden="1" x14ac:dyDescent="0.25">
      <c r="A146" s="118">
        <v>10</v>
      </c>
      <c r="B146" s="151">
        <v>5895</v>
      </c>
      <c r="C146" s="94" t="s">
        <v>328</v>
      </c>
      <c r="D146" s="225"/>
      <c r="E146" s="85"/>
      <c r="F146" s="428"/>
      <c r="G146" s="428"/>
      <c r="H146" s="428">
        <f t="shared" si="12"/>
        <v>0</v>
      </c>
      <c r="I146" s="428"/>
      <c r="J146" s="428">
        <f t="shared" si="13"/>
        <v>0</v>
      </c>
      <c r="K146" s="428">
        <f t="shared" si="14"/>
        <v>0</v>
      </c>
    </row>
    <row r="147" spans="1:13" s="285" customFormat="1" hidden="1" x14ac:dyDescent="0.25">
      <c r="A147" s="118">
        <v>10</v>
      </c>
      <c r="B147" s="151">
        <v>5910</v>
      </c>
      <c r="C147" s="94" t="s">
        <v>330</v>
      </c>
      <c r="D147" s="225"/>
      <c r="E147" s="85"/>
      <c r="F147" s="428"/>
      <c r="G147" s="428"/>
      <c r="H147" s="428">
        <f t="shared" si="12"/>
        <v>0</v>
      </c>
      <c r="I147" s="428"/>
      <c r="J147" s="428">
        <f t="shared" si="13"/>
        <v>0</v>
      </c>
      <c r="K147" s="428">
        <f t="shared" si="14"/>
        <v>0</v>
      </c>
    </row>
    <row r="148" spans="1:13" s="285" customFormat="1" x14ac:dyDescent="0.25">
      <c r="A148" s="344"/>
      <c r="B148" s="151"/>
      <c r="C148" s="94"/>
      <c r="D148" s="429">
        <f>SUM(D72:D147)</f>
        <v>1444538</v>
      </c>
      <c r="E148" s="89">
        <f>SUM(E72:E147)</f>
        <v>753258</v>
      </c>
      <c r="F148" s="89">
        <f t="shared" ref="F148:K148" si="15">SUM(F72:F147)</f>
        <v>1287258</v>
      </c>
      <c r="G148" s="429">
        <f t="shared" si="15"/>
        <v>1287258</v>
      </c>
      <c r="H148" s="429">
        <f t="shared" si="15"/>
        <v>1154954</v>
      </c>
      <c r="I148" s="429">
        <f t="shared" si="15"/>
        <v>206796.07542857091</v>
      </c>
      <c r="J148" s="429">
        <f t="shared" si="15"/>
        <v>218169.85957714231</v>
      </c>
      <c r="K148" s="429">
        <f t="shared" si="15"/>
        <v>229732.86213473085</v>
      </c>
      <c r="M148" s="111"/>
    </row>
    <row r="149" spans="1:13" s="285" customFormat="1" hidden="1" x14ac:dyDescent="0.25">
      <c r="A149" s="344"/>
      <c r="B149" s="151"/>
      <c r="C149" s="93" t="s">
        <v>187</v>
      </c>
      <c r="D149" s="225"/>
      <c r="E149" s="108"/>
      <c r="F149" s="108"/>
      <c r="G149" s="425"/>
      <c r="H149" s="108"/>
      <c r="I149" s="425"/>
      <c r="J149" s="108"/>
      <c r="K149" s="108"/>
    </row>
    <row r="150" spans="1:13" s="285" customFormat="1" hidden="1" x14ac:dyDescent="0.25">
      <c r="A150" s="118">
        <v>10</v>
      </c>
      <c r="B150" s="151">
        <v>6005</v>
      </c>
      <c r="C150" s="94" t="s">
        <v>188</v>
      </c>
      <c r="D150" s="225"/>
      <c r="E150" s="108"/>
      <c r="F150" s="85"/>
      <c r="G150" s="428"/>
      <c r="H150" s="85"/>
      <c r="I150" s="428"/>
      <c r="J150" s="85"/>
      <c r="K150" s="108"/>
    </row>
    <row r="151" spans="1:13" s="285" customFormat="1" hidden="1" x14ac:dyDescent="0.25">
      <c r="A151" s="344"/>
      <c r="B151" s="151"/>
      <c r="C151" s="94"/>
      <c r="D151" s="226"/>
      <c r="E151" s="226">
        <f t="shared" ref="E151:K151" si="16">SUM(E150)</f>
        <v>0</v>
      </c>
      <c r="F151" s="226">
        <f t="shared" si="16"/>
        <v>0</v>
      </c>
      <c r="G151" s="226"/>
      <c r="H151" s="226">
        <f t="shared" si="16"/>
        <v>0</v>
      </c>
      <c r="I151" s="226"/>
      <c r="J151" s="226">
        <f t="shared" si="16"/>
        <v>0</v>
      </c>
      <c r="K151" s="226">
        <f t="shared" si="16"/>
        <v>0</v>
      </c>
    </row>
    <row r="152" spans="1:13" s="285" customFormat="1" hidden="1" x14ac:dyDescent="0.25">
      <c r="A152" s="344"/>
      <c r="B152" s="151"/>
      <c r="C152" s="93" t="s">
        <v>64</v>
      </c>
      <c r="D152" s="228"/>
      <c r="E152" s="113"/>
      <c r="F152" s="113"/>
      <c r="G152" s="113"/>
      <c r="H152" s="113"/>
      <c r="I152" s="113"/>
      <c r="J152" s="113"/>
      <c r="K152" s="88"/>
    </row>
    <row r="153" spans="1:13" s="285" customFormat="1" hidden="1" x14ac:dyDescent="0.25">
      <c r="A153" s="118">
        <v>10</v>
      </c>
      <c r="B153" s="151">
        <v>6105</v>
      </c>
      <c r="C153" s="94" t="s">
        <v>336</v>
      </c>
      <c r="D153" s="225"/>
      <c r="E153" s="108"/>
      <c r="F153" s="85"/>
      <c r="G153" s="428"/>
      <c r="H153" s="85"/>
      <c r="I153" s="428"/>
      <c r="J153" s="85"/>
      <c r="K153" s="108"/>
    </row>
    <row r="154" spans="1:13" s="285" customFormat="1" hidden="1" x14ac:dyDescent="0.25">
      <c r="A154" s="118">
        <v>10</v>
      </c>
      <c r="B154" s="151">
        <v>6110</v>
      </c>
      <c r="C154" s="94" t="s">
        <v>337</v>
      </c>
      <c r="D154" s="225"/>
      <c r="E154" s="108"/>
      <c r="F154" s="85"/>
      <c r="G154" s="428"/>
      <c r="H154" s="85"/>
      <c r="I154" s="428"/>
      <c r="J154" s="85"/>
      <c r="K154" s="108"/>
    </row>
    <row r="155" spans="1:13" s="285" customFormat="1" hidden="1" x14ac:dyDescent="0.25">
      <c r="A155" s="118">
        <v>10</v>
      </c>
      <c r="B155" s="151">
        <v>6115</v>
      </c>
      <c r="C155" s="94" t="s">
        <v>60</v>
      </c>
      <c r="D155" s="225"/>
      <c r="E155" s="108"/>
      <c r="F155" s="85"/>
      <c r="G155" s="428"/>
      <c r="H155" s="85"/>
      <c r="I155" s="428"/>
      <c r="J155" s="85"/>
      <c r="K155" s="108"/>
    </row>
    <row r="156" spans="1:13" s="285" customFormat="1" hidden="1" x14ac:dyDescent="0.25">
      <c r="A156" s="344"/>
      <c r="B156" s="151"/>
      <c r="C156" s="94"/>
      <c r="D156" s="226">
        <f t="shared" ref="D156:K156" si="17">D153</f>
        <v>0</v>
      </c>
      <c r="E156" s="226">
        <f t="shared" si="17"/>
        <v>0</v>
      </c>
      <c r="F156" s="226">
        <f t="shared" si="17"/>
        <v>0</v>
      </c>
      <c r="G156" s="226">
        <f t="shared" si="17"/>
        <v>0</v>
      </c>
      <c r="H156" s="226">
        <f t="shared" si="17"/>
        <v>0</v>
      </c>
      <c r="I156" s="226"/>
      <c r="J156" s="226">
        <f t="shared" si="17"/>
        <v>0</v>
      </c>
      <c r="K156" s="226">
        <f t="shared" si="17"/>
        <v>0</v>
      </c>
    </row>
    <row r="157" spans="1:13" s="285" customFormat="1" hidden="1" x14ac:dyDescent="0.25">
      <c r="A157" s="344"/>
      <c r="B157" s="151"/>
      <c r="C157" s="184" t="s">
        <v>65</v>
      </c>
      <c r="D157" s="228"/>
      <c r="E157" s="113"/>
      <c r="F157" s="113"/>
      <c r="G157" s="113"/>
      <c r="H157" s="113"/>
      <c r="I157" s="113"/>
      <c r="J157" s="113"/>
      <c r="K157" s="88"/>
    </row>
    <row r="158" spans="1:13" s="285" customFormat="1" hidden="1" x14ac:dyDescent="0.25">
      <c r="A158" s="118">
        <v>10</v>
      </c>
      <c r="B158" s="151">
        <v>6205</v>
      </c>
      <c r="C158" s="94" t="s">
        <v>375</v>
      </c>
      <c r="D158" s="225"/>
      <c r="E158" s="85"/>
      <c r="F158" s="85"/>
      <c r="G158" s="428"/>
      <c r="H158" s="85"/>
      <c r="I158" s="428"/>
      <c r="J158" s="85"/>
      <c r="K158" s="85"/>
    </row>
    <row r="159" spans="1:13" s="285" customFormat="1" hidden="1" x14ac:dyDescent="0.25">
      <c r="A159" s="118">
        <v>10</v>
      </c>
      <c r="B159" s="151">
        <v>6210</v>
      </c>
      <c r="C159" s="94" t="s">
        <v>339</v>
      </c>
      <c r="D159" s="225"/>
      <c r="E159" s="85"/>
      <c r="F159" s="85"/>
      <c r="G159" s="428"/>
      <c r="H159" s="85"/>
      <c r="I159" s="428"/>
      <c r="J159" s="85"/>
      <c r="K159" s="85"/>
    </row>
    <row r="160" spans="1:13" s="285" customFormat="1" hidden="1" x14ac:dyDescent="0.25">
      <c r="A160" s="344"/>
      <c r="B160" s="346"/>
      <c r="C160" s="347"/>
      <c r="D160" s="116">
        <v>0</v>
      </c>
      <c r="E160" s="441">
        <f t="shared" ref="E160:K160" si="18">SUM(E158:E159)</f>
        <v>0</v>
      </c>
      <c r="F160" s="441">
        <f t="shared" si="18"/>
        <v>0</v>
      </c>
      <c r="G160" s="441"/>
      <c r="H160" s="441">
        <f t="shared" si="18"/>
        <v>0</v>
      </c>
      <c r="I160" s="441"/>
      <c r="J160" s="441">
        <f t="shared" si="18"/>
        <v>0</v>
      </c>
      <c r="K160" s="441">
        <f t="shared" si="18"/>
        <v>0</v>
      </c>
    </row>
    <row r="161" spans="1:15" s="285" customFormat="1" x14ac:dyDescent="0.25">
      <c r="A161" s="344"/>
      <c r="B161" s="346"/>
      <c r="C161" s="93" t="s">
        <v>189</v>
      </c>
      <c r="D161" s="441">
        <f t="shared" ref="D161:K161" si="19">+D160+D148+D29</f>
        <v>5852292</v>
      </c>
      <c r="E161" s="116">
        <f t="shared" si="19"/>
        <v>5723258</v>
      </c>
      <c r="F161" s="116">
        <f t="shared" si="19"/>
        <v>6257258</v>
      </c>
      <c r="G161" s="441">
        <f t="shared" si="19"/>
        <v>6257258</v>
      </c>
      <c r="H161" s="441">
        <f t="shared" si="19"/>
        <v>6462914</v>
      </c>
      <c r="I161" s="441">
        <f t="shared" si="19"/>
        <v>5822617.7554285713</v>
      </c>
      <c r="J161" s="116">
        <f t="shared" si="19"/>
        <v>6142861.7319771433</v>
      </c>
      <c r="K161" s="116">
        <f t="shared" si="19"/>
        <v>6468433.4037719304</v>
      </c>
    </row>
    <row r="162" spans="1:15" s="285" customFormat="1" x14ac:dyDescent="0.25">
      <c r="A162" s="344"/>
      <c r="B162" s="151"/>
      <c r="C162" s="93" t="s">
        <v>258</v>
      </c>
      <c r="D162" s="117"/>
      <c r="E162" s="117"/>
      <c r="F162" s="117"/>
      <c r="G162" s="442"/>
      <c r="H162" s="117"/>
      <c r="I162" s="442"/>
      <c r="J162" s="117"/>
      <c r="K162" s="117"/>
    </row>
    <row r="163" spans="1:15" s="285" customFormat="1" x14ac:dyDescent="0.25">
      <c r="A163" s="118">
        <v>10</v>
      </c>
      <c r="B163" s="151">
        <v>6305</v>
      </c>
      <c r="C163" s="94" t="s">
        <v>190</v>
      </c>
      <c r="D163" s="85"/>
      <c r="E163" s="85"/>
      <c r="F163" s="85"/>
      <c r="G163" s="428"/>
      <c r="H163" s="85"/>
      <c r="I163" s="428"/>
      <c r="J163" s="85"/>
      <c r="K163" s="85"/>
    </row>
    <row r="164" spans="1:15" s="285" customFormat="1" ht="14.25" hidden="1" customHeight="1" x14ac:dyDescent="0.25">
      <c r="A164" s="344"/>
      <c r="B164" s="151"/>
      <c r="C164" s="94"/>
      <c r="D164" s="116"/>
      <c r="E164" s="116">
        <f t="shared" ref="E164:K164" si="20">E163</f>
        <v>0</v>
      </c>
      <c r="F164" s="116">
        <f t="shared" si="20"/>
        <v>0</v>
      </c>
      <c r="G164" s="441"/>
      <c r="H164" s="441">
        <f t="shared" si="20"/>
        <v>0</v>
      </c>
      <c r="I164" s="441"/>
      <c r="J164" s="441">
        <f t="shared" si="20"/>
        <v>0</v>
      </c>
      <c r="K164" s="441">
        <f t="shared" si="20"/>
        <v>0</v>
      </c>
    </row>
    <row r="165" spans="1:15" s="285" customFormat="1" x14ac:dyDescent="0.25">
      <c r="A165" s="348"/>
      <c r="B165" s="152"/>
      <c r="C165" s="119" t="s">
        <v>191</v>
      </c>
      <c r="D165" s="448">
        <f t="shared" ref="D165:K165" si="21">SUM(D161+D164)</f>
        <v>5852292</v>
      </c>
      <c r="E165" s="160">
        <f t="shared" si="21"/>
        <v>5723258</v>
      </c>
      <c r="F165" s="160">
        <f t="shared" si="21"/>
        <v>6257258</v>
      </c>
      <c r="G165" s="448">
        <f t="shared" si="21"/>
        <v>6257258</v>
      </c>
      <c r="H165" s="448">
        <f t="shared" si="21"/>
        <v>6462914</v>
      </c>
      <c r="I165" s="448">
        <f t="shared" si="21"/>
        <v>5822617.7554285713</v>
      </c>
      <c r="J165" s="448">
        <f t="shared" si="21"/>
        <v>6142861.7319771433</v>
      </c>
      <c r="K165" s="160">
        <f t="shared" si="21"/>
        <v>6468433.4037719304</v>
      </c>
      <c r="L165" s="356"/>
      <c r="M165" s="356"/>
    </row>
    <row r="166" spans="1:15" s="285" customFormat="1" x14ac:dyDescent="0.25">
      <c r="A166" s="344"/>
      <c r="B166" s="130"/>
      <c r="C166" s="115"/>
      <c r="D166" s="111"/>
      <c r="E166" s="120"/>
      <c r="F166" s="271"/>
      <c r="G166" s="271"/>
      <c r="H166" s="271"/>
      <c r="I166" s="271"/>
      <c r="J166" s="271"/>
      <c r="K166" s="380"/>
      <c r="M166" s="356"/>
    </row>
    <row r="167" spans="1:15" s="285" customFormat="1" x14ac:dyDescent="0.25">
      <c r="A167" s="344"/>
      <c r="B167" s="130"/>
      <c r="C167" s="115"/>
      <c r="D167" s="111"/>
      <c r="E167" s="111"/>
      <c r="F167" s="111"/>
      <c r="G167" s="111"/>
      <c r="H167" s="111"/>
      <c r="I167" s="111"/>
      <c r="J167" s="111"/>
      <c r="K167" s="381"/>
      <c r="M167" s="356">
        <f>+MAYOR!I165+SPEAKER!I165</f>
        <v>6791799.8345142854</v>
      </c>
      <c r="N167" s="356">
        <f>+J165+MAYOR!J165+SPEAKER!K165</f>
        <v>13536820.076736066</v>
      </c>
      <c r="O167" s="356">
        <f>+K165+MAYOR!K165+SPEAKER!K165</f>
        <v>13991231.175516039</v>
      </c>
    </row>
    <row r="168" spans="1:15" s="285" customFormat="1" x14ac:dyDescent="0.25">
      <c r="A168" s="349"/>
      <c r="B168" s="546" t="s">
        <v>416</v>
      </c>
      <c r="C168" s="546"/>
      <c r="D168" s="547"/>
      <c r="E168" s="341"/>
      <c r="F168" s="341"/>
      <c r="G168" s="563"/>
      <c r="H168" s="421"/>
      <c r="I168" s="581"/>
      <c r="J168" s="341"/>
      <c r="K168" s="342"/>
    </row>
    <row r="169" spans="1:15" s="285" customFormat="1" x14ac:dyDescent="0.25">
      <c r="A169" s="944" t="s">
        <v>21</v>
      </c>
      <c r="B169" s="945"/>
      <c r="C169" s="150" t="s">
        <v>22</v>
      </c>
      <c r="D169" s="103" t="s">
        <v>23</v>
      </c>
      <c r="E169" s="104" t="s">
        <v>24</v>
      </c>
      <c r="F169" s="103" t="s">
        <v>535</v>
      </c>
      <c r="G169" s="103" t="s">
        <v>413</v>
      </c>
      <c r="H169" s="104" t="s">
        <v>24</v>
      </c>
      <c r="I169" s="583" t="s">
        <v>24</v>
      </c>
      <c r="J169" s="583" t="s">
        <v>24</v>
      </c>
      <c r="K169" s="583" t="s">
        <v>24</v>
      </c>
    </row>
    <row r="170" spans="1:15" s="285" customFormat="1" x14ac:dyDescent="0.25">
      <c r="A170" s="946"/>
      <c r="B170" s="947"/>
      <c r="C170" s="106"/>
      <c r="D170" s="333" t="s">
        <v>257</v>
      </c>
      <c r="E170" s="107" t="s">
        <v>382</v>
      </c>
      <c r="F170" s="107" t="s">
        <v>382</v>
      </c>
      <c r="G170" s="107" t="s">
        <v>382</v>
      </c>
      <c r="H170" s="107" t="s">
        <v>407</v>
      </c>
      <c r="I170" s="586" t="s">
        <v>414</v>
      </c>
      <c r="J170" s="586" t="s">
        <v>530</v>
      </c>
      <c r="K170" s="586" t="s">
        <v>886</v>
      </c>
      <c r="M170" s="356">
        <f>+I257+MAYOR!I261+SPEAKER!I257</f>
        <v>12759264.740800001</v>
      </c>
      <c r="N170" s="356">
        <f>+J257+MAYOR!J261+SPEAKER!J257</f>
        <v>12744458.801544001</v>
      </c>
      <c r="O170" s="356">
        <f>+K257+MAYOR!K261+SPEAKER!K257</f>
        <v>12720346.218025832</v>
      </c>
    </row>
    <row r="171" spans="1:15" s="285" customFormat="1" hidden="1" x14ac:dyDescent="0.25">
      <c r="A171" s="350"/>
      <c r="B171" s="153"/>
      <c r="C171" s="93" t="s">
        <v>98</v>
      </c>
      <c r="D171" s="122"/>
      <c r="E171" s="98"/>
      <c r="F171" s="98"/>
      <c r="G171" s="435"/>
      <c r="H171" s="98"/>
      <c r="I171" s="435"/>
      <c r="J171" s="98"/>
      <c r="K171" s="122"/>
    </row>
    <row r="172" spans="1:15" s="285" customFormat="1" hidden="1" x14ac:dyDescent="0.25">
      <c r="A172" s="118">
        <v>10</v>
      </c>
      <c r="B172" s="151">
        <v>1237</v>
      </c>
      <c r="C172" s="94" t="s">
        <v>99</v>
      </c>
      <c r="D172" s="122"/>
      <c r="E172" s="108"/>
      <c r="F172" s="85">
        <f>E172-D172</f>
        <v>0</v>
      </c>
      <c r="G172" s="86"/>
      <c r="H172" s="86"/>
      <c r="I172" s="86"/>
      <c r="J172" s="98"/>
      <c r="K172" s="85">
        <f>E172+J172</f>
        <v>0</v>
      </c>
    </row>
    <row r="173" spans="1:15" s="285" customFormat="1" hidden="1" x14ac:dyDescent="0.25">
      <c r="A173" s="118">
        <v>10</v>
      </c>
      <c r="B173" s="151">
        <v>5725</v>
      </c>
      <c r="C173" s="94" t="s">
        <v>400</v>
      </c>
      <c r="D173" s="225"/>
      <c r="E173" s="85"/>
      <c r="F173" s="85">
        <f>E173-D173</f>
        <v>0</v>
      </c>
      <c r="G173" s="428"/>
      <c r="H173" s="85"/>
      <c r="I173" s="428"/>
      <c r="J173" s="85"/>
      <c r="K173" s="85">
        <f>E173+J173</f>
        <v>0</v>
      </c>
    </row>
    <row r="174" spans="1:15" s="285" customFormat="1" hidden="1" x14ac:dyDescent="0.25">
      <c r="A174" s="344"/>
      <c r="B174" s="151"/>
      <c r="C174" s="94"/>
      <c r="D174" s="436"/>
      <c r="E174" s="99"/>
      <c r="F174" s="99"/>
      <c r="G174" s="436"/>
      <c r="H174" s="99"/>
      <c r="I174" s="436"/>
      <c r="J174" s="99"/>
      <c r="K174" s="99">
        <f>SUM(K172)</f>
        <v>0</v>
      </c>
    </row>
    <row r="175" spans="1:15" s="285" customFormat="1" x14ac:dyDescent="0.25">
      <c r="A175" s="344"/>
      <c r="B175" s="151"/>
      <c r="C175" s="93" t="s">
        <v>100</v>
      </c>
      <c r="D175" s="122"/>
      <c r="E175" s="98"/>
      <c r="F175" s="98"/>
      <c r="G175" s="435"/>
      <c r="H175" s="98"/>
      <c r="I175" s="435"/>
      <c r="J175" s="98"/>
      <c r="K175" s="122"/>
    </row>
    <row r="176" spans="1:15" s="285" customFormat="1" hidden="1" x14ac:dyDescent="0.25">
      <c r="A176" s="118">
        <v>10</v>
      </c>
      <c r="B176" s="151">
        <v>1147</v>
      </c>
      <c r="C176" s="94" t="s">
        <v>102</v>
      </c>
      <c r="D176" s="122"/>
      <c r="E176" s="98"/>
      <c r="F176" s="98"/>
      <c r="G176" s="435"/>
      <c r="H176" s="98"/>
      <c r="I176" s="435"/>
      <c r="J176" s="98"/>
      <c r="K176" s="122">
        <f>F176*(1+[1]INPUT!C18)</f>
        <v>0</v>
      </c>
    </row>
    <row r="177" spans="1:11" s="285" customFormat="1" hidden="1" x14ac:dyDescent="0.25">
      <c r="A177" s="118">
        <v>10</v>
      </c>
      <c r="B177" s="151">
        <v>1202</v>
      </c>
      <c r="C177" s="94" t="s">
        <v>343</v>
      </c>
      <c r="D177" s="122"/>
      <c r="E177" s="98"/>
      <c r="F177" s="98"/>
      <c r="G177" s="435"/>
      <c r="H177" s="98"/>
      <c r="I177" s="435"/>
      <c r="J177" s="98"/>
      <c r="K177" s="122">
        <f>F177*(1+[1]INPUT!C19)</f>
        <v>0</v>
      </c>
    </row>
    <row r="178" spans="1:11" s="285" customFormat="1" hidden="1" x14ac:dyDescent="0.25">
      <c r="A178" s="118">
        <v>10</v>
      </c>
      <c r="B178" s="151">
        <v>1207</v>
      </c>
      <c r="C178" s="94" t="s">
        <v>104</v>
      </c>
      <c r="D178" s="122"/>
      <c r="E178" s="98"/>
      <c r="F178" s="98"/>
      <c r="G178" s="435"/>
      <c r="H178" s="98"/>
      <c r="I178" s="435"/>
      <c r="J178" s="98"/>
      <c r="K178" s="122">
        <f>F178*(1+[1]INPUT!C20)</f>
        <v>0</v>
      </c>
    </row>
    <row r="179" spans="1:11" s="285" customFormat="1" hidden="1" x14ac:dyDescent="0.25">
      <c r="A179" s="118">
        <v>10</v>
      </c>
      <c r="B179" s="151">
        <v>1153</v>
      </c>
      <c r="C179" s="94" t="s">
        <v>115</v>
      </c>
      <c r="D179" s="122"/>
      <c r="E179" s="98"/>
      <c r="F179" s="98"/>
      <c r="G179" s="435"/>
      <c r="H179" s="98"/>
      <c r="I179" s="435"/>
      <c r="J179" s="98"/>
      <c r="K179" s="122">
        <f>F179*(1+[1]INPUT!C21)</f>
        <v>0</v>
      </c>
    </row>
    <row r="180" spans="1:11" s="285" customFormat="1" hidden="1" x14ac:dyDescent="0.25">
      <c r="A180" s="371">
        <v>10</v>
      </c>
      <c r="B180" s="152">
        <v>1143</v>
      </c>
      <c r="C180" s="106" t="s">
        <v>109</v>
      </c>
      <c r="D180" s="375"/>
      <c r="E180" s="376"/>
      <c r="F180" s="376"/>
      <c r="G180" s="376"/>
      <c r="H180" s="376"/>
      <c r="I180" s="376"/>
      <c r="J180" s="376"/>
      <c r="K180" s="375">
        <f>F180*(1+[1]INPUT!C22)</f>
        <v>0</v>
      </c>
    </row>
    <row r="181" spans="1:11" s="285" customFormat="1" x14ac:dyDescent="0.25">
      <c r="A181" s="374">
        <v>10</v>
      </c>
      <c r="B181" s="153">
        <v>5500</v>
      </c>
      <c r="C181" s="97" t="s">
        <v>266</v>
      </c>
      <c r="D181" s="88">
        <v>-42000</v>
      </c>
      <c r="E181" s="88">
        <v>-33969</v>
      </c>
      <c r="F181" s="88">
        <f t="shared" ref="F181:F200" si="22">E181-D181</f>
        <v>8031</v>
      </c>
      <c r="G181" s="88">
        <v>8031</v>
      </c>
      <c r="H181" s="577">
        <f>+(F181*0.1)+F181</f>
        <v>8834.1</v>
      </c>
      <c r="I181" s="577">
        <f>+H181*1.058</f>
        <v>9346.4778000000006</v>
      </c>
      <c r="J181" s="577">
        <f>+I181*1.055</f>
        <v>9860.5340790000009</v>
      </c>
      <c r="K181" s="577">
        <f>+J181*1.053</f>
        <v>10383.142385187</v>
      </c>
    </row>
    <row r="182" spans="1:11" s="285" customFormat="1" hidden="1" x14ac:dyDescent="0.25">
      <c r="A182" s="118">
        <v>10</v>
      </c>
      <c r="B182" s="151">
        <v>5705</v>
      </c>
      <c r="C182" s="94" t="s">
        <v>296</v>
      </c>
      <c r="D182" s="85"/>
      <c r="E182" s="85"/>
      <c r="F182" s="85">
        <f t="shared" si="22"/>
        <v>0</v>
      </c>
      <c r="G182" s="428"/>
      <c r="H182" s="530"/>
      <c r="I182" s="577">
        <f t="shared" ref="I182:I205" si="23">+H182*1.058</f>
        <v>0</v>
      </c>
      <c r="J182" s="577">
        <f t="shared" ref="J182:J205" si="24">+I182*1.055</f>
        <v>0</v>
      </c>
      <c r="K182" s="577">
        <f t="shared" ref="K182:K205" si="25">+J182*1.053</f>
        <v>0</v>
      </c>
    </row>
    <row r="183" spans="1:11" s="285" customFormat="1" hidden="1" x14ac:dyDescent="0.25">
      <c r="A183" s="118">
        <v>10</v>
      </c>
      <c r="B183" s="151">
        <v>1140</v>
      </c>
      <c r="C183" s="94" t="s">
        <v>113</v>
      </c>
      <c r="D183" s="98"/>
      <c r="E183" s="98"/>
      <c r="F183" s="85">
        <f t="shared" si="22"/>
        <v>0</v>
      </c>
      <c r="G183" s="86"/>
      <c r="H183" s="578"/>
      <c r="I183" s="577">
        <f t="shared" si="23"/>
        <v>0</v>
      </c>
      <c r="J183" s="577">
        <f t="shared" si="24"/>
        <v>0</v>
      </c>
      <c r="K183" s="577">
        <f t="shared" si="25"/>
        <v>0</v>
      </c>
    </row>
    <row r="184" spans="1:11" s="285" customFormat="1" hidden="1" x14ac:dyDescent="0.25">
      <c r="A184" s="118">
        <v>10</v>
      </c>
      <c r="B184" s="151">
        <v>1145</v>
      </c>
      <c r="C184" s="94" t="s">
        <v>132</v>
      </c>
      <c r="D184" s="98"/>
      <c r="E184" s="98"/>
      <c r="F184" s="85">
        <f t="shared" si="22"/>
        <v>0</v>
      </c>
      <c r="G184" s="86"/>
      <c r="H184" s="578"/>
      <c r="I184" s="577">
        <f t="shared" si="23"/>
        <v>0</v>
      </c>
      <c r="J184" s="577">
        <f t="shared" si="24"/>
        <v>0</v>
      </c>
      <c r="K184" s="577">
        <f t="shared" si="25"/>
        <v>0</v>
      </c>
    </row>
    <row r="185" spans="1:11" s="285" customFormat="1" hidden="1" x14ac:dyDescent="0.25">
      <c r="A185" s="118">
        <v>10</v>
      </c>
      <c r="B185" s="151">
        <v>1150</v>
      </c>
      <c r="C185" s="94" t="s">
        <v>120</v>
      </c>
      <c r="D185" s="98"/>
      <c r="E185" s="98"/>
      <c r="F185" s="85">
        <f t="shared" si="22"/>
        <v>0</v>
      </c>
      <c r="G185" s="86"/>
      <c r="H185" s="578"/>
      <c r="I185" s="577">
        <f t="shared" si="23"/>
        <v>0</v>
      </c>
      <c r="J185" s="577">
        <f t="shared" si="24"/>
        <v>0</v>
      </c>
      <c r="K185" s="577">
        <f t="shared" si="25"/>
        <v>0</v>
      </c>
    </row>
    <row r="186" spans="1:11" s="285" customFormat="1" hidden="1" x14ac:dyDescent="0.25">
      <c r="A186" s="118">
        <v>10</v>
      </c>
      <c r="B186" s="151">
        <v>1155</v>
      </c>
      <c r="C186" s="94" t="s">
        <v>116</v>
      </c>
      <c r="D186" s="98"/>
      <c r="E186" s="98"/>
      <c r="F186" s="85">
        <f t="shared" si="22"/>
        <v>0</v>
      </c>
      <c r="G186" s="86"/>
      <c r="H186" s="578"/>
      <c r="I186" s="577">
        <f t="shared" si="23"/>
        <v>0</v>
      </c>
      <c r="J186" s="577">
        <f t="shared" si="24"/>
        <v>0</v>
      </c>
      <c r="K186" s="577">
        <f t="shared" si="25"/>
        <v>0</v>
      </c>
    </row>
    <row r="187" spans="1:11" s="285" customFormat="1" hidden="1" x14ac:dyDescent="0.25">
      <c r="A187" s="118">
        <v>10</v>
      </c>
      <c r="B187" s="151">
        <v>1160</v>
      </c>
      <c r="C187" s="94" t="s">
        <v>101</v>
      </c>
      <c r="D187" s="98"/>
      <c r="E187" s="98"/>
      <c r="F187" s="85">
        <f t="shared" si="22"/>
        <v>0</v>
      </c>
      <c r="G187" s="86"/>
      <c r="H187" s="578"/>
      <c r="I187" s="577">
        <f t="shared" si="23"/>
        <v>0</v>
      </c>
      <c r="J187" s="577">
        <f t="shared" si="24"/>
        <v>0</v>
      </c>
      <c r="K187" s="577">
        <f t="shared" si="25"/>
        <v>0</v>
      </c>
    </row>
    <row r="188" spans="1:11" s="285" customFormat="1" hidden="1" x14ac:dyDescent="0.25">
      <c r="A188" s="118">
        <v>10</v>
      </c>
      <c r="B188" s="151">
        <v>1165</v>
      </c>
      <c r="C188" s="94" t="s">
        <v>114</v>
      </c>
      <c r="D188" s="98"/>
      <c r="E188" s="98"/>
      <c r="F188" s="85">
        <f t="shared" si="22"/>
        <v>0</v>
      </c>
      <c r="G188" s="86"/>
      <c r="H188" s="578"/>
      <c r="I188" s="577">
        <f t="shared" si="23"/>
        <v>0</v>
      </c>
      <c r="J188" s="577">
        <f t="shared" si="24"/>
        <v>0</v>
      </c>
      <c r="K188" s="577">
        <f t="shared" si="25"/>
        <v>0</v>
      </c>
    </row>
    <row r="189" spans="1:11" s="285" customFormat="1" hidden="1" x14ac:dyDescent="0.25">
      <c r="A189" s="118"/>
      <c r="B189" s="151"/>
      <c r="C189" s="94" t="s">
        <v>401</v>
      </c>
      <c r="D189" s="98"/>
      <c r="E189" s="98"/>
      <c r="F189" s="85">
        <f t="shared" si="22"/>
        <v>0</v>
      </c>
      <c r="G189" s="86"/>
      <c r="H189" s="578"/>
      <c r="I189" s="577">
        <f t="shared" si="23"/>
        <v>0</v>
      </c>
      <c r="J189" s="577">
        <f t="shared" si="24"/>
        <v>0</v>
      </c>
      <c r="K189" s="577">
        <f t="shared" si="25"/>
        <v>0</v>
      </c>
    </row>
    <row r="190" spans="1:11" s="285" customFormat="1" hidden="1" x14ac:dyDescent="0.25">
      <c r="A190" s="118">
        <v>10</v>
      </c>
      <c r="B190" s="151">
        <v>1180</v>
      </c>
      <c r="C190" s="94" t="s">
        <v>402</v>
      </c>
      <c r="D190" s="98"/>
      <c r="E190" s="98"/>
      <c r="F190" s="85">
        <f t="shared" si="22"/>
        <v>0</v>
      </c>
      <c r="G190" s="86"/>
      <c r="H190" s="578"/>
      <c r="I190" s="577">
        <f t="shared" si="23"/>
        <v>0</v>
      </c>
      <c r="J190" s="577">
        <f t="shared" si="24"/>
        <v>0</v>
      </c>
      <c r="K190" s="577">
        <f t="shared" si="25"/>
        <v>0</v>
      </c>
    </row>
    <row r="191" spans="1:11" s="285" customFormat="1" hidden="1" x14ac:dyDescent="0.25">
      <c r="A191" s="118">
        <v>10</v>
      </c>
      <c r="B191" s="151">
        <v>1185</v>
      </c>
      <c r="C191" s="94" t="s">
        <v>403</v>
      </c>
      <c r="D191" s="98"/>
      <c r="E191" s="98"/>
      <c r="F191" s="85">
        <f t="shared" si="22"/>
        <v>0</v>
      </c>
      <c r="G191" s="86"/>
      <c r="H191" s="578"/>
      <c r="I191" s="577">
        <f t="shared" si="23"/>
        <v>0</v>
      </c>
      <c r="J191" s="577">
        <f t="shared" si="24"/>
        <v>0</v>
      </c>
      <c r="K191" s="577">
        <f t="shared" si="25"/>
        <v>0</v>
      </c>
    </row>
    <row r="192" spans="1:11" s="285" customFormat="1" hidden="1" x14ac:dyDescent="0.25">
      <c r="A192" s="118">
        <v>10</v>
      </c>
      <c r="B192" s="151">
        <v>1190</v>
      </c>
      <c r="C192" s="94" t="s">
        <v>404</v>
      </c>
      <c r="D192" s="98"/>
      <c r="E192" s="98"/>
      <c r="F192" s="85">
        <f t="shared" si="22"/>
        <v>0</v>
      </c>
      <c r="G192" s="86"/>
      <c r="H192" s="578"/>
      <c r="I192" s="577">
        <f t="shared" si="23"/>
        <v>0</v>
      </c>
      <c r="J192" s="577">
        <f t="shared" si="24"/>
        <v>0</v>
      </c>
      <c r="K192" s="577">
        <f t="shared" si="25"/>
        <v>0</v>
      </c>
    </row>
    <row r="193" spans="1:11" s="285" customFormat="1" hidden="1" x14ac:dyDescent="0.25">
      <c r="A193" s="118"/>
      <c r="B193" s="151"/>
      <c r="C193" s="94" t="s">
        <v>405</v>
      </c>
      <c r="D193" s="98"/>
      <c r="E193" s="98"/>
      <c r="F193" s="85">
        <f t="shared" si="22"/>
        <v>0</v>
      </c>
      <c r="G193" s="86"/>
      <c r="H193" s="578"/>
      <c r="I193" s="577">
        <f t="shared" si="23"/>
        <v>0</v>
      </c>
      <c r="J193" s="577">
        <f t="shared" si="24"/>
        <v>0</v>
      </c>
      <c r="K193" s="577">
        <f t="shared" si="25"/>
        <v>0</v>
      </c>
    </row>
    <row r="194" spans="1:11" s="285" customFormat="1" hidden="1" x14ac:dyDescent="0.25">
      <c r="A194" s="118">
        <v>10</v>
      </c>
      <c r="B194" s="151">
        <v>1195</v>
      </c>
      <c r="C194" s="94" t="s">
        <v>199</v>
      </c>
      <c r="D194" s="98"/>
      <c r="E194" s="98"/>
      <c r="F194" s="85">
        <f t="shared" si="22"/>
        <v>0</v>
      </c>
      <c r="G194" s="86"/>
      <c r="H194" s="578"/>
      <c r="I194" s="577">
        <f t="shared" si="23"/>
        <v>0</v>
      </c>
      <c r="J194" s="577">
        <f t="shared" si="24"/>
        <v>0</v>
      </c>
      <c r="K194" s="577">
        <f t="shared" si="25"/>
        <v>0</v>
      </c>
    </row>
    <row r="195" spans="1:11" s="285" customFormat="1" hidden="1" x14ac:dyDescent="0.25">
      <c r="A195" s="118">
        <v>10</v>
      </c>
      <c r="B195" s="151">
        <v>1200</v>
      </c>
      <c r="C195" s="94" t="s">
        <v>117</v>
      </c>
      <c r="D195" s="98"/>
      <c r="E195" s="98"/>
      <c r="F195" s="85">
        <f t="shared" si="22"/>
        <v>0</v>
      </c>
      <c r="G195" s="86"/>
      <c r="H195" s="578"/>
      <c r="I195" s="577">
        <f t="shared" si="23"/>
        <v>0</v>
      </c>
      <c r="J195" s="577">
        <f t="shared" si="24"/>
        <v>0</v>
      </c>
      <c r="K195" s="577">
        <f t="shared" si="25"/>
        <v>0</v>
      </c>
    </row>
    <row r="196" spans="1:11" s="285" customFormat="1" hidden="1" x14ac:dyDescent="0.25">
      <c r="A196" s="118">
        <v>10</v>
      </c>
      <c r="B196" s="151">
        <v>1205</v>
      </c>
      <c r="C196" s="115" t="s">
        <v>105</v>
      </c>
      <c r="D196" s="98"/>
      <c r="E196" s="98"/>
      <c r="F196" s="85">
        <f t="shared" si="22"/>
        <v>0</v>
      </c>
      <c r="G196" s="86"/>
      <c r="H196" s="578"/>
      <c r="I196" s="577">
        <f t="shared" si="23"/>
        <v>0</v>
      </c>
      <c r="J196" s="577">
        <f t="shared" si="24"/>
        <v>0</v>
      </c>
      <c r="K196" s="577">
        <f t="shared" si="25"/>
        <v>0</v>
      </c>
    </row>
    <row r="197" spans="1:11" s="285" customFormat="1" hidden="1" x14ac:dyDescent="0.25">
      <c r="A197" s="118">
        <v>10</v>
      </c>
      <c r="B197" s="151">
        <v>1210</v>
      </c>
      <c r="C197" s="94" t="s">
        <v>118</v>
      </c>
      <c r="D197" s="98"/>
      <c r="E197" s="98"/>
      <c r="F197" s="85">
        <f t="shared" si="22"/>
        <v>0</v>
      </c>
      <c r="G197" s="86"/>
      <c r="H197" s="578"/>
      <c r="I197" s="577">
        <f t="shared" si="23"/>
        <v>0</v>
      </c>
      <c r="J197" s="577">
        <f t="shared" si="24"/>
        <v>0</v>
      </c>
      <c r="K197" s="577">
        <f t="shared" si="25"/>
        <v>0</v>
      </c>
    </row>
    <row r="198" spans="1:11" s="285" customFormat="1" hidden="1" x14ac:dyDescent="0.25">
      <c r="A198" s="118">
        <v>10</v>
      </c>
      <c r="B198" s="151">
        <v>1215</v>
      </c>
      <c r="C198" s="94" t="s">
        <v>133</v>
      </c>
      <c r="D198" s="98"/>
      <c r="E198" s="98"/>
      <c r="F198" s="85">
        <f t="shared" si="22"/>
        <v>0</v>
      </c>
      <c r="G198" s="86"/>
      <c r="H198" s="578"/>
      <c r="I198" s="577">
        <f t="shared" si="23"/>
        <v>0</v>
      </c>
      <c r="J198" s="577">
        <f t="shared" si="24"/>
        <v>0</v>
      </c>
      <c r="K198" s="577">
        <f t="shared" si="25"/>
        <v>0</v>
      </c>
    </row>
    <row r="199" spans="1:11" s="285" customFormat="1" hidden="1" x14ac:dyDescent="0.25">
      <c r="A199" s="118">
        <v>10</v>
      </c>
      <c r="B199" s="151">
        <v>5905</v>
      </c>
      <c r="C199" s="94" t="s">
        <v>329</v>
      </c>
      <c r="D199" s="85"/>
      <c r="E199" s="85"/>
      <c r="F199" s="85">
        <f t="shared" si="22"/>
        <v>0</v>
      </c>
      <c r="G199" s="428"/>
      <c r="H199" s="530"/>
      <c r="I199" s="577">
        <f t="shared" si="23"/>
        <v>0</v>
      </c>
      <c r="J199" s="577">
        <f t="shared" si="24"/>
        <v>0</v>
      </c>
      <c r="K199" s="577">
        <f t="shared" si="25"/>
        <v>0</v>
      </c>
    </row>
    <row r="200" spans="1:11" s="285" customFormat="1" x14ac:dyDescent="0.25">
      <c r="A200" s="118">
        <v>10</v>
      </c>
      <c r="B200" s="151">
        <v>5900</v>
      </c>
      <c r="C200" s="94" t="s">
        <v>333</v>
      </c>
      <c r="D200" s="85">
        <v>-16500</v>
      </c>
      <c r="E200" s="85">
        <v>-17024</v>
      </c>
      <c r="F200" s="85">
        <f t="shared" si="22"/>
        <v>-524</v>
      </c>
      <c r="G200" s="428">
        <v>-524</v>
      </c>
      <c r="H200" s="530">
        <f>+(F200*0.1)+F200</f>
        <v>-576.4</v>
      </c>
      <c r="I200" s="577">
        <f>+H200*1.058</f>
        <v>-609.83119999999997</v>
      </c>
      <c r="J200" s="577">
        <f t="shared" si="24"/>
        <v>-643.37191599999994</v>
      </c>
      <c r="K200" s="577">
        <f t="shared" si="25"/>
        <v>-677.47062754799992</v>
      </c>
    </row>
    <row r="201" spans="1:11" s="285" customFormat="1" hidden="1" x14ac:dyDescent="0.25">
      <c r="A201" s="118">
        <v>10</v>
      </c>
      <c r="B201" s="151">
        <v>1220</v>
      </c>
      <c r="C201" s="94" t="s">
        <v>340</v>
      </c>
      <c r="D201" s="122"/>
      <c r="E201" s="98"/>
      <c r="F201" s="98"/>
      <c r="G201" s="435"/>
      <c r="H201" s="98"/>
      <c r="I201" s="577">
        <f t="shared" si="23"/>
        <v>0</v>
      </c>
      <c r="J201" s="577">
        <f t="shared" si="24"/>
        <v>0</v>
      </c>
      <c r="K201" s="577">
        <f t="shared" si="25"/>
        <v>0</v>
      </c>
    </row>
    <row r="202" spans="1:11" s="285" customFormat="1" hidden="1" x14ac:dyDescent="0.25">
      <c r="A202" s="118">
        <v>10</v>
      </c>
      <c r="B202" s="151">
        <v>1225</v>
      </c>
      <c r="C202" s="94" t="s">
        <v>370</v>
      </c>
      <c r="D202" s="122"/>
      <c r="E202" s="98"/>
      <c r="F202" s="98"/>
      <c r="G202" s="435"/>
      <c r="H202" s="98"/>
      <c r="I202" s="577">
        <f t="shared" si="23"/>
        <v>0</v>
      </c>
      <c r="J202" s="577">
        <f t="shared" si="24"/>
        <v>0</v>
      </c>
      <c r="K202" s="577">
        <f t="shared" si="25"/>
        <v>0</v>
      </c>
    </row>
    <row r="203" spans="1:11" s="285" customFormat="1" hidden="1" x14ac:dyDescent="0.25">
      <c r="A203" s="118">
        <v>10</v>
      </c>
      <c r="B203" s="151">
        <v>1230</v>
      </c>
      <c r="C203" s="94" t="s">
        <v>119</v>
      </c>
      <c r="D203" s="122"/>
      <c r="E203" s="98"/>
      <c r="F203" s="98"/>
      <c r="G203" s="435"/>
      <c r="H203" s="98"/>
      <c r="I203" s="577">
        <f t="shared" si="23"/>
        <v>0</v>
      </c>
      <c r="J203" s="577">
        <f t="shared" si="24"/>
        <v>0</v>
      </c>
      <c r="K203" s="577">
        <f t="shared" si="25"/>
        <v>0</v>
      </c>
    </row>
    <row r="204" spans="1:11" s="285" customFormat="1" hidden="1" x14ac:dyDescent="0.25">
      <c r="A204" s="118">
        <v>10</v>
      </c>
      <c r="B204" s="151">
        <v>1235</v>
      </c>
      <c r="C204" s="94" t="s">
        <v>347</v>
      </c>
      <c r="D204" s="122"/>
      <c r="E204" s="98"/>
      <c r="F204" s="98"/>
      <c r="G204" s="435"/>
      <c r="H204" s="98"/>
      <c r="I204" s="577">
        <f t="shared" si="23"/>
        <v>0</v>
      </c>
      <c r="J204" s="577">
        <f t="shared" si="24"/>
        <v>0</v>
      </c>
      <c r="K204" s="577">
        <f t="shared" si="25"/>
        <v>0</v>
      </c>
    </row>
    <row r="205" spans="1:11" s="285" customFormat="1" hidden="1" x14ac:dyDescent="0.25">
      <c r="A205" s="118"/>
      <c r="B205" s="151"/>
      <c r="C205" s="94" t="s">
        <v>510</v>
      </c>
      <c r="D205" s="225"/>
      <c r="E205" s="85"/>
      <c r="F205" s="85"/>
      <c r="G205" s="428"/>
      <c r="H205" s="85"/>
      <c r="I205" s="577">
        <f t="shared" si="23"/>
        <v>0</v>
      </c>
      <c r="J205" s="577">
        <f t="shared" si="24"/>
        <v>0</v>
      </c>
      <c r="K205" s="577">
        <f t="shared" si="25"/>
        <v>0</v>
      </c>
    </row>
    <row r="206" spans="1:11" s="285" customFormat="1" x14ac:dyDescent="0.25">
      <c r="A206" s="344"/>
      <c r="B206" s="151"/>
      <c r="C206" s="94"/>
      <c r="D206" s="437">
        <f t="shared" ref="D206:K206" si="26">SUM(D176:D204)</f>
        <v>-58500</v>
      </c>
      <c r="E206" s="437">
        <f t="shared" si="26"/>
        <v>-50993</v>
      </c>
      <c r="F206" s="437">
        <f t="shared" si="26"/>
        <v>7507</v>
      </c>
      <c r="G206" s="437">
        <f t="shared" si="26"/>
        <v>7507</v>
      </c>
      <c r="H206" s="437">
        <f t="shared" si="26"/>
        <v>8257.7000000000007</v>
      </c>
      <c r="I206" s="437">
        <f t="shared" si="26"/>
        <v>8736.6466</v>
      </c>
      <c r="J206" s="437">
        <f t="shared" si="26"/>
        <v>9217.1621630000009</v>
      </c>
      <c r="K206" s="437">
        <f t="shared" si="26"/>
        <v>9705.6717576390001</v>
      </c>
    </row>
    <row r="207" spans="1:11" s="285" customFormat="1" hidden="1" x14ac:dyDescent="0.25">
      <c r="A207" s="344"/>
      <c r="B207" s="151"/>
      <c r="C207" s="93" t="s">
        <v>66</v>
      </c>
      <c r="D207" s="122"/>
      <c r="E207" s="98"/>
      <c r="F207" s="98"/>
      <c r="G207" s="435"/>
      <c r="H207" s="98"/>
      <c r="I207" s="435"/>
      <c r="J207" s="98"/>
      <c r="K207" s="122"/>
    </row>
    <row r="208" spans="1:11" s="285" customFormat="1" hidden="1" x14ac:dyDescent="0.25">
      <c r="A208" s="118">
        <v>10</v>
      </c>
      <c r="B208" s="151">
        <v>1305</v>
      </c>
      <c r="C208" s="94" t="s">
        <v>342</v>
      </c>
      <c r="D208" s="122"/>
      <c r="E208" s="98"/>
      <c r="F208" s="98"/>
      <c r="G208" s="435"/>
      <c r="H208" s="98"/>
      <c r="I208" s="435"/>
      <c r="J208" s="98"/>
      <c r="K208" s="122">
        <f>F208*(1+[1]INPUT!C43)</f>
        <v>0</v>
      </c>
    </row>
    <row r="209" spans="1:11" s="285" customFormat="1" hidden="1" x14ac:dyDescent="0.25">
      <c r="A209" s="118">
        <v>10</v>
      </c>
      <c r="B209" s="151">
        <v>1310</v>
      </c>
      <c r="C209" s="94" t="s">
        <v>344</v>
      </c>
      <c r="D209" s="122"/>
      <c r="E209" s="98"/>
      <c r="F209" s="98"/>
      <c r="G209" s="435"/>
      <c r="H209" s="98"/>
      <c r="I209" s="435"/>
      <c r="J209" s="98"/>
      <c r="K209" s="122">
        <f>F209*(1+[1]INPUT!C44)</f>
        <v>0</v>
      </c>
    </row>
    <row r="210" spans="1:11" s="285" customFormat="1" hidden="1" x14ac:dyDescent="0.25">
      <c r="A210" s="118">
        <v>10</v>
      </c>
      <c r="B210" s="151">
        <v>1320</v>
      </c>
      <c r="C210" s="94" t="s">
        <v>345</v>
      </c>
      <c r="D210" s="122"/>
      <c r="E210" s="98"/>
      <c r="F210" s="98"/>
      <c r="G210" s="435"/>
      <c r="H210" s="98"/>
      <c r="I210" s="435"/>
      <c r="J210" s="98"/>
      <c r="K210" s="122">
        <f>F210*(1+[1]INPUT!C45)</f>
        <v>0</v>
      </c>
    </row>
    <row r="211" spans="1:11" s="285" customFormat="1" hidden="1" x14ac:dyDescent="0.25">
      <c r="A211" s="118">
        <v>10</v>
      </c>
      <c r="B211" s="151">
        <v>1315</v>
      </c>
      <c r="C211" s="94" t="s">
        <v>346</v>
      </c>
      <c r="D211" s="122"/>
      <c r="E211" s="108"/>
      <c r="F211" s="98"/>
      <c r="G211" s="435"/>
      <c r="H211" s="98"/>
      <c r="I211" s="435"/>
      <c r="J211" s="98"/>
      <c r="K211" s="108"/>
    </row>
    <row r="212" spans="1:11" s="285" customFormat="1" hidden="1" x14ac:dyDescent="0.25">
      <c r="A212" s="344"/>
      <c r="B212" s="151"/>
      <c r="C212" s="94"/>
      <c r="D212" s="99"/>
      <c r="E212" s="99"/>
      <c r="F212" s="99"/>
      <c r="G212" s="436"/>
      <c r="H212" s="99"/>
      <c r="I212" s="436"/>
      <c r="J212" s="99"/>
      <c r="K212" s="99">
        <f>SUM(K208:K211)</f>
        <v>0</v>
      </c>
    </row>
    <row r="213" spans="1:11" s="285" customFormat="1" hidden="1" x14ac:dyDescent="0.25">
      <c r="A213" s="344"/>
      <c r="B213" s="151"/>
      <c r="C213" s="93" t="s">
        <v>67</v>
      </c>
      <c r="D213" s="122"/>
      <c r="E213" s="98"/>
      <c r="F213" s="98"/>
      <c r="G213" s="435"/>
      <c r="H213" s="98"/>
      <c r="I213" s="435"/>
      <c r="J213" s="98"/>
      <c r="K213" s="122"/>
    </row>
    <row r="214" spans="1:11" s="285" customFormat="1" hidden="1" x14ac:dyDescent="0.25">
      <c r="A214" s="118">
        <v>10</v>
      </c>
      <c r="B214" s="151">
        <v>1400</v>
      </c>
      <c r="C214" s="94" t="s">
        <v>68</v>
      </c>
      <c r="D214" s="122"/>
      <c r="E214" s="108"/>
      <c r="F214" s="98"/>
      <c r="G214" s="435"/>
      <c r="H214" s="98"/>
      <c r="I214" s="435"/>
      <c r="J214" s="98"/>
      <c r="K214" s="108"/>
    </row>
    <row r="215" spans="1:11" s="285" customFormat="1" hidden="1" x14ac:dyDescent="0.25">
      <c r="A215" s="118">
        <v>10</v>
      </c>
      <c r="B215" s="151">
        <v>1405</v>
      </c>
      <c r="C215" s="94" t="s">
        <v>69</v>
      </c>
      <c r="D215" s="122"/>
      <c r="E215" s="108"/>
      <c r="F215" s="98"/>
      <c r="G215" s="435"/>
      <c r="H215" s="98"/>
      <c r="I215" s="435"/>
      <c r="J215" s="98"/>
      <c r="K215" s="108"/>
    </row>
    <row r="216" spans="1:11" s="285" customFormat="1" hidden="1" x14ac:dyDescent="0.25">
      <c r="A216" s="344"/>
      <c r="B216" s="151"/>
      <c r="C216" s="94"/>
      <c r="D216" s="436"/>
      <c r="E216" s="99"/>
      <c r="F216" s="99"/>
      <c r="G216" s="436"/>
      <c r="H216" s="99"/>
      <c r="I216" s="436"/>
      <c r="J216" s="99"/>
      <c r="K216" s="99">
        <f>SUM(K214:K215)</f>
        <v>0</v>
      </c>
    </row>
    <row r="217" spans="1:11" s="285" customFormat="1" hidden="1" x14ac:dyDescent="0.25">
      <c r="A217" s="344"/>
      <c r="B217" s="151"/>
      <c r="C217" s="93" t="s">
        <v>70</v>
      </c>
      <c r="D217" s="122"/>
      <c r="E217" s="98"/>
      <c r="F217" s="98"/>
      <c r="G217" s="435"/>
      <c r="H217" s="98"/>
      <c r="I217" s="435"/>
      <c r="J217" s="98"/>
      <c r="K217" s="122"/>
    </row>
    <row r="218" spans="1:11" s="285" customFormat="1" hidden="1" x14ac:dyDescent="0.25">
      <c r="A218" s="118">
        <v>10</v>
      </c>
      <c r="B218" s="151">
        <v>1500</v>
      </c>
      <c r="C218" s="94" t="s">
        <v>106</v>
      </c>
      <c r="D218" s="122"/>
      <c r="E218" s="108"/>
      <c r="F218" s="98"/>
      <c r="G218" s="435"/>
      <c r="H218" s="98"/>
      <c r="I218" s="435"/>
      <c r="J218" s="98"/>
      <c r="K218" s="108"/>
    </row>
    <row r="219" spans="1:11" s="285" customFormat="1" hidden="1" x14ac:dyDescent="0.25">
      <c r="A219" s="118">
        <v>10</v>
      </c>
      <c r="B219" s="151">
        <v>1505</v>
      </c>
      <c r="C219" s="94" t="s">
        <v>71</v>
      </c>
      <c r="D219" s="122"/>
      <c r="E219" s="108"/>
      <c r="F219" s="98"/>
      <c r="G219" s="435"/>
      <c r="H219" s="98"/>
      <c r="I219" s="435"/>
      <c r="J219" s="98"/>
      <c r="K219" s="108"/>
    </row>
    <row r="220" spans="1:11" s="285" customFormat="1" hidden="1" x14ac:dyDescent="0.25">
      <c r="A220" s="118">
        <v>10</v>
      </c>
      <c r="B220" s="151">
        <v>1510</v>
      </c>
      <c r="C220" s="94" t="s">
        <v>72</v>
      </c>
      <c r="D220" s="122"/>
      <c r="E220" s="108"/>
      <c r="F220" s="98"/>
      <c r="G220" s="435"/>
      <c r="H220" s="98"/>
      <c r="I220" s="435"/>
      <c r="J220" s="98"/>
      <c r="K220" s="108"/>
    </row>
    <row r="221" spans="1:11" s="285" customFormat="1" hidden="1" x14ac:dyDescent="0.25">
      <c r="A221" s="344"/>
      <c r="B221" s="151"/>
      <c r="C221" s="94"/>
      <c r="D221" s="436"/>
      <c r="E221" s="99"/>
      <c r="F221" s="99"/>
      <c r="G221" s="436"/>
      <c r="H221" s="99"/>
      <c r="I221" s="436"/>
      <c r="J221" s="99"/>
      <c r="K221" s="99">
        <f>SUM(K218:K220)</f>
        <v>0</v>
      </c>
    </row>
    <row r="222" spans="1:11" s="285" customFormat="1" hidden="1" x14ac:dyDescent="0.25">
      <c r="A222" s="344"/>
      <c r="B222" s="151"/>
      <c r="C222" s="93" t="s">
        <v>73</v>
      </c>
      <c r="D222" s="122"/>
      <c r="E222" s="98"/>
      <c r="F222" s="98"/>
      <c r="G222" s="435"/>
      <c r="H222" s="98"/>
      <c r="I222" s="435"/>
      <c r="J222" s="98"/>
      <c r="K222" s="122"/>
    </row>
    <row r="223" spans="1:11" s="285" customFormat="1" hidden="1" x14ac:dyDescent="0.25">
      <c r="A223" s="118">
        <v>10</v>
      </c>
      <c r="B223" s="151">
        <v>1550</v>
      </c>
      <c r="C223" s="94" t="s">
        <v>349</v>
      </c>
      <c r="D223" s="122"/>
      <c r="E223" s="98"/>
      <c r="F223" s="98"/>
      <c r="G223" s="435"/>
      <c r="H223" s="98"/>
      <c r="I223" s="435"/>
      <c r="J223" s="98"/>
      <c r="K223" s="122"/>
    </row>
    <row r="224" spans="1:11" s="285" customFormat="1" hidden="1" x14ac:dyDescent="0.25">
      <c r="A224" s="118">
        <v>10</v>
      </c>
      <c r="B224" s="151">
        <v>1555</v>
      </c>
      <c r="C224" s="94" t="s">
        <v>348</v>
      </c>
      <c r="D224" s="122"/>
      <c r="E224" s="98"/>
      <c r="F224" s="98"/>
      <c r="G224" s="435"/>
      <c r="H224" s="98"/>
      <c r="I224" s="435"/>
      <c r="J224" s="98"/>
      <c r="K224" s="108"/>
    </row>
    <row r="225" spans="1:12" s="285" customFormat="1" hidden="1" x14ac:dyDescent="0.25">
      <c r="A225" s="344"/>
      <c r="B225" s="151"/>
      <c r="C225" s="94"/>
      <c r="D225" s="100"/>
      <c r="E225" s="100"/>
      <c r="F225" s="100"/>
      <c r="G225" s="437"/>
      <c r="H225" s="100"/>
      <c r="I225" s="437"/>
      <c r="J225" s="100"/>
      <c r="K225" s="99">
        <f>SUM(K223:K224)</f>
        <v>0</v>
      </c>
    </row>
    <row r="226" spans="1:12" s="285" customFormat="1" ht="13.5" customHeight="1" x14ac:dyDescent="0.25">
      <c r="A226" s="344"/>
      <c r="B226" s="151"/>
      <c r="C226" s="93" t="s">
        <v>74</v>
      </c>
      <c r="D226" s="122"/>
      <c r="E226" s="98"/>
      <c r="F226" s="98"/>
      <c r="G226" s="435"/>
      <c r="H226" s="98"/>
      <c r="I226" s="435"/>
      <c r="J226" s="98"/>
      <c r="K226" s="122"/>
    </row>
    <row r="227" spans="1:12" s="285" customFormat="1" x14ac:dyDescent="0.25">
      <c r="A227" s="118">
        <v>10</v>
      </c>
      <c r="B227" s="151">
        <v>1605</v>
      </c>
      <c r="C227" s="94" t="s">
        <v>75</v>
      </c>
      <c r="D227" s="98">
        <v>41091000</v>
      </c>
      <c r="E227" s="98">
        <v>24851000</v>
      </c>
      <c r="F227" s="98">
        <v>24851000</v>
      </c>
      <c r="G227" s="435">
        <v>24851000</v>
      </c>
      <c r="H227" s="98">
        <v>22858000</v>
      </c>
      <c r="I227" s="435">
        <f>88321000*0.1</f>
        <v>8832100</v>
      </c>
      <c r="J227" s="98">
        <f>86013000*0.1</f>
        <v>8601300</v>
      </c>
      <c r="K227" s="85">
        <f>83576000*0.1</f>
        <v>8357600</v>
      </c>
      <c r="L227" s="358"/>
    </row>
    <row r="228" spans="1:12" s="285" customFormat="1" hidden="1" x14ac:dyDescent="0.25">
      <c r="A228" s="118">
        <v>10</v>
      </c>
      <c r="B228" s="151">
        <v>1610</v>
      </c>
      <c r="C228" s="94" t="s">
        <v>131</v>
      </c>
      <c r="D228" s="98"/>
      <c r="E228" s="98">
        <v>0</v>
      </c>
      <c r="F228" s="85">
        <f>E228-D228</f>
        <v>0</v>
      </c>
      <c r="G228" s="86">
        <v>0</v>
      </c>
      <c r="H228" s="86"/>
      <c r="I228" s="86"/>
      <c r="J228" s="98"/>
      <c r="K228" s="85"/>
    </row>
    <row r="229" spans="1:12" s="285" customFormat="1" hidden="1" x14ac:dyDescent="0.25">
      <c r="A229" s="118">
        <v>10</v>
      </c>
      <c r="B229" s="151">
        <v>1615</v>
      </c>
      <c r="C229" s="94" t="s">
        <v>182</v>
      </c>
      <c r="D229" s="98"/>
      <c r="E229" s="98">
        <v>0</v>
      </c>
      <c r="F229" s="85">
        <f>E229-D229</f>
        <v>0</v>
      </c>
      <c r="G229" s="86">
        <v>0</v>
      </c>
      <c r="H229" s="86"/>
      <c r="I229" s="86"/>
      <c r="J229" s="98"/>
      <c r="K229" s="85"/>
    </row>
    <row r="230" spans="1:12" s="285" customFormat="1" hidden="1" x14ac:dyDescent="0.25">
      <c r="A230" s="118">
        <v>10</v>
      </c>
      <c r="B230" s="151">
        <v>1620</v>
      </c>
      <c r="C230" s="94" t="s">
        <v>255</v>
      </c>
      <c r="D230" s="98"/>
      <c r="E230" s="98">
        <v>0</v>
      </c>
      <c r="F230" s="85">
        <f>E230-D230</f>
        <v>0</v>
      </c>
      <c r="G230" s="86">
        <v>0</v>
      </c>
      <c r="H230" s="86"/>
      <c r="I230" s="86"/>
      <c r="J230" s="98"/>
      <c r="K230" s="85"/>
    </row>
    <row r="231" spans="1:12" s="285" customFormat="1" hidden="1" x14ac:dyDescent="0.25">
      <c r="A231" s="118">
        <v>10</v>
      </c>
      <c r="B231" s="151">
        <v>1625</v>
      </c>
      <c r="C231" s="94" t="s">
        <v>108</v>
      </c>
      <c r="D231" s="98"/>
      <c r="E231" s="98"/>
      <c r="F231" s="85">
        <f>E231-D231</f>
        <v>0</v>
      </c>
      <c r="G231" s="86">
        <v>0</v>
      </c>
      <c r="H231" s="86"/>
      <c r="I231" s="86"/>
      <c r="J231" s="98"/>
      <c r="K231" s="85"/>
    </row>
    <row r="232" spans="1:12" s="285" customFormat="1" hidden="1" x14ac:dyDescent="0.25">
      <c r="A232" s="118">
        <v>10</v>
      </c>
      <c r="B232" s="151">
        <v>1630</v>
      </c>
      <c r="C232" s="94" t="s">
        <v>76</v>
      </c>
      <c r="D232" s="98"/>
      <c r="E232" s="98"/>
      <c r="F232" s="85">
        <f>E232-D232</f>
        <v>0</v>
      </c>
      <c r="G232" s="86">
        <v>0</v>
      </c>
      <c r="H232" s="86"/>
      <c r="I232" s="86"/>
      <c r="J232" s="98"/>
      <c r="K232" s="85"/>
    </row>
    <row r="233" spans="1:12" s="285" customFormat="1" x14ac:dyDescent="0.25">
      <c r="A233" s="118">
        <v>10</v>
      </c>
      <c r="B233" s="151">
        <v>1635</v>
      </c>
      <c r="C233" s="94" t="s">
        <v>505</v>
      </c>
      <c r="D233" s="98"/>
      <c r="E233" s="98">
        <v>2730000</v>
      </c>
      <c r="F233" s="435">
        <v>2730000</v>
      </c>
      <c r="G233" s="435">
        <v>2730000</v>
      </c>
      <c r="H233" s="86">
        <v>3447000</v>
      </c>
      <c r="I233" s="86"/>
      <c r="J233" s="98"/>
      <c r="K233" s="85"/>
    </row>
    <row r="234" spans="1:12" s="285" customFormat="1" hidden="1" x14ac:dyDescent="0.25">
      <c r="A234" s="118">
        <v>10</v>
      </c>
      <c r="B234" s="151">
        <v>1640</v>
      </c>
      <c r="C234" s="94" t="s">
        <v>184</v>
      </c>
      <c r="D234" s="122"/>
      <c r="E234" s="108"/>
      <c r="F234" s="98"/>
      <c r="G234" s="435"/>
      <c r="H234" s="98"/>
      <c r="I234" s="435"/>
      <c r="J234" s="98"/>
      <c r="K234" s="122"/>
    </row>
    <row r="235" spans="1:12" s="285" customFormat="1" hidden="1" x14ac:dyDescent="0.25">
      <c r="A235" s="118">
        <v>10</v>
      </c>
      <c r="B235" s="151">
        <v>1645</v>
      </c>
      <c r="C235" s="94" t="s">
        <v>77</v>
      </c>
      <c r="D235" s="122"/>
      <c r="E235" s="108"/>
      <c r="F235" s="98"/>
      <c r="G235" s="435"/>
      <c r="H235" s="98"/>
      <c r="I235" s="435"/>
      <c r="J235" s="98"/>
      <c r="K235" s="122"/>
    </row>
    <row r="236" spans="1:12" s="285" customFormat="1" hidden="1" x14ac:dyDescent="0.25">
      <c r="A236" s="118">
        <v>10</v>
      </c>
      <c r="B236" s="151">
        <v>1650</v>
      </c>
      <c r="C236" s="94" t="s">
        <v>78</v>
      </c>
      <c r="D236" s="122"/>
      <c r="E236" s="108"/>
      <c r="F236" s="98"/>
      <c r="G236" s="435"/>
      <c r="H236" s="98"/>
      <c r="I236" s="435"/>
      <c r="J236" s="98"/>
      <c r="K236" s="122"/>
    </row>
    <row r="237" spans="1:12" s="285" customFormat="1" hidden="1" x14ac:dyDescent="0.25">
      <c r="A237" s="118">
        <v>10</v>
      </c>
      <c r="B237" s="151"/>
      <c r="C237" s="94" t="s">
        <v>200</v>
      </c>
      <c r="D237" s="122"/>
      <c r="E237" s="108"/>
      <c r="F237" s="98"/>
      <c r="G237" s="435"/>
      <c r="H237" s="98"/>
      <c r="I237" s="435"/>
      <c r="J237" s="98"/>
      <c r="K237" s="122"/>
    </row>
    <row r="238" spans="1:12" s="285" customFormat="1" hidden="1" x14ac:dyDescent="0.25">
      <c r="A238" s="118">
        <v>10</v>
      </c>
      <c r="B238" s="151">
        <v>1660</v>
      </c>
      <c r="C238" s="94" t="s">
        <v>185</v>
      </c>
      <c r="D238" s="122"/>
      <c r="E238" s="108"/>
      <c r="F238" s="98"/>
      <c r="G238" s="435"/>
      <c r="H238" s="98"/>
      <c r="I238" s="435"/>
      <c r="J238" s="98"/>
      <c r="K238" s="122"/>
    </row>
    <row r="239" spans="1:12" s="285" customFormat="1" hidden="1" x14ac:dyDescent="0.25">
      <c r="A239" s="118">
        <v>10</v>
      </c>
      <c r="B239" s="151">
        <v>1665</v>
      </c>
      <c r="C239" s="94" t="s">
        <v>181</v>
      </c>
      <c r="D239" s="122"/>
      <c r="E239" s="108"/>
      <c r="F239" s="98"/>
      <c r="G239" s="435"/>
      <c r="H239" s="98"/>
      <c r="I239" s="435"/>
      <c r="J239" s="98"/>
      <c r="K239" s="122"/>
    </row>
    <row r="240" spans="1:12" s="285" customFormat="1" x14ac:dyDescent="0.25">
      <c r="A240" s="344"/>
      <c r="B240" s="151"/>
      <c r="C240" s="94"/>
      <c r="D240" s="436">
        <f t="shared" ref="D240:K240" si="27">SUM(D227:D239)</f>
        <v>41091000</v>
      </c>
      <c r="E240" s="99">
        <f t="shared" si="27"/>
        <v>27581000</v>
      </c>
      <c r="F240" s="99">
        <f t="shared" si="27"/>
        <v>27581000</v>
      </c>
      <c r="G240" s="436">
        <f t="shared" si="27"/>
        <v>27581000</v>
      </c>
      <c r="H240" s="99">
        <f t="shared" si="27"/>
        <v>26305000</v>
      </c>
      <c r="I240" s="436">
        <f t="shared" si="27"/>
        <v>8832100</v>
      </c>
      <c r="J240" s="436">
        <f>SUM(J227:J239)</f>
        <v>8601300</v>
      </c>
      <c r="K240" s="436">
        <f t="shared" si="27"/>
        <v>8357600</v>
      </c>
    </row>
    <row r="241" spans="1:14" s="285" customFormat="1" x14ac:dyDescent="0.25">
      <c r="A241" s="344"/>
      <c r="B241" s="151"/>
      <c r="C241" s="93" t="s">
        <v>79</v>
      </c>
      <c r="D241" s="122"/>
      <c r="E241" s="98"/>
      <c r="F241" s="98"/>
      <c r="G241" s="435"/>
      <c r="H241" s="98"/>
      <c r="I241" s="435"/>
      <c r="J241" s="98"/>
      <c r="K241" s="122"/>
    </row>
    <row r="242" spans="1:14" s="285" customFormat="1" hidden="1" x14ac:dyDescent="0.25">
      <c r="A242" s="118">
        <v>10</v>
      </c>
      <c r="B242" s="151">
        <v>1705</v>
      </c>
      <c r="C242" s="94" t="s">
        <v>123</v>
      </c>
      <c r="D242" s="122"/>
      <c r="E242" s="98"/>
      <c r="F242" s="98"/>
      <c r="G242" s="435"/>
      <c r="H242" s="98"/>
      <c r="I242" s="435"/>
      <c r="J242" s="98"/>
      <c r="K242" s="122"/>
    </row>
    <row r="243" spans="1:14" s="285" customFormat="1" hidden="1" x14ac:dyDescent="0.25">
      <c r="A243" s="118">
        <v>10</v>
      </c>
      <c r="B243" s="151">
        <v>1710</v>
      </c>
      <c r="C243" s="94" t="s">
        <v>242</v>
      </c>
      <c r="D243" s="122"/>
      <c r="E243" s="98"/>
      <c r="F243" s="98"/>
      <c r="G243" s="435"/>
      <c r="H243" s="98"/>
      <c r="I243" s="435"/>
      <c r="J243" s="98"/>
      <c r="K243" s="122"/>
    </row>
    <row r="244" spans="1:14" s="285" customFormat="1" hidden="1" x14ac:dyDescent="0.25">
      <c r="A244" s="118">
        <v>10</v>
      </c>
      <c r="B244" s="151">
        <v>1715</v>
      </c>
      <c r="C244" s="94" t="s">
        <v>183</v>
      </c>
      <c r="D244" s="122"/>
      <c r="E244" s="98"/>
      <c r="F244" s="98"/>
      <c r="G244" s="435"/>
      <c r="H244" s="98"/>
      <c r="I244" s="435"/>
      <c r="J244" s="98"/>
      <c r="K244" s="122"/>
    </row>
    <row r="245" spans="1:14" s="285" customFormat="1" hidden="1" x14ac:dyDescent="0.25">
      <c r="A245" s="118">
        <v>10</v>
      </c>
      <c r="B245" s="151">
        <v>1720</v>
      </c>
      <c r="C245" s="94" t="s">
        <v>103</v>
      </c>
      <c r="D245" s="122"/>
      <c r="E245" s="98"/>
      <c r="F245" s="98"/>
      <c r="G245" s="435"/>
      <c r="H245" s="98"/>
      <c r="I245" s="435"/>
      <c r="J245" s="98"/>
      <c r="K245" s="122"/>
    </row>
    <row r="246" spans="1:14" s="285" customFormat="1" hidden="1" x14ac:dyDescent="0.25">
      <c r="A246" s="118">
        <v>10</v>
      </c>
      <c r="B246" s="151">
        <v>1725</v>
      </c>
      <c r="C246" s="94" t="s">
        <v>107</v>
      </c>
      <c r="D246" s="122"/>
      <c r="E246" s="98"/>
      <c r="F246" s="98"/>
      <c r="G246" s="435"/>
      <c r="H246" s="98"/>
      <c r="I246" s="435"/>
      <c r="J246" s="98"/>
      <c r="K246" s="122"/>
    </row>
    <row r="247" spans="1:14" s="285" customFormat="1" hidden="1" x14ac:dyDescent="0.25">
      <c r="A247" s="118">
        <v>10</v>
      </c>
      <c r="B247" s="151">
        <v>1730</v>
      </c>
      <c r="C247" s="94" t="s">
        <v>537</v>
      </c>
      <c r="D247" s="122"/>
      <c r="E247" s="98"/>
      <c r="F247" s="98"/>
      <c r="G247" s="435"/>
      <c r="H247" s="98"/>
      <c r="I247" s="435"/>
      <c r="J247" s="98"/>
      <c r="K247" s="122"/>
    </row>
    <row r="248" spans="1:14" s="285" customFormat="1" hidden="1" x14ac:dyDescent="0.25">
      <c r="A248" s="344"/>
      <c r="B248" s="151"/>
      <c r="C248" s="94"/>
      <c r="D248" s="436">
        <f t="shared" ref="D248:K248" si="28">D247</f>
        <v>0</v>
      </c>
      <c r="E248" s="99">
        <f t="shared" si="28"/>
        <v>0</v>
      </c>
      <c r="F248" s="99">
        <f t="shared" si="28"/>
        <v>0</v>
      </c>
      <c r="G248" s="436">
        <f t="shared" si="28"/>
        <v>0</v>
      </c>
      <c r="H248" s="436">
        <f t="shared" si="28"/>
        <v>0</v>
      </c>
      <c r="I248" s="436"/>
      <c r="J248" s="436">
        <f t="shared" si="28"/>
        <v>0</v>
      </c>
      <c r="K248" s="436">
        <f t="shared" si="28"/>
        <v>0</v>
      </c>
    </row>
    <row r="249" spans="1:14" s="285" customFormat="1" hidden="1" x14ac:dyDescent="0.25">
      <c r="A249" s="344"/>
      <c r="B249" s="151"/>
      <c r="C249" s="93" t="s">
        <v>80</v>
      </c>
      <c r="D249" s="122"/>
      <c r="E249" s="98"/>
      <c r="F249" s="98"/>
      <c r="G249" s="435"/>
      <c r="H249" s="98"/>
      <c r="I249" s="435"/>
      <c r="J249" s="98"/>
      <c r="K249" s="122"/>
    </row>
    <row r="250" spans="1:14" s="285" customFormat="1" hidden="1" x14ac:dyDescent="0.25">
      <c r="A250" s="118">
        <v>10</v>
      </c>
      <c r="B250" s="151">
        <v>1805</v>
      </c>
      <c r="C250" s="94" t="s">
        <v>81</v>
      </c>
      <c r="D250" s="122"/>
      <c r="E250" s="108"/>
      <c r="F250" s="98"/>
      <c r="G250" s="435"/>
      <c r="H250" s="98"/>
      <c r="I250" s="435"/>
      <c r="J250" s="98"/>
      <c r="K250" s="108"/>
    </row>
    <row r="251" spans="1:14" s="285" customFormat="1" ht="16.2" customHeight="1" x14ac:dyDescent="0.25">
      <c r="A251" s="344"/>
      <c r="B251" s="151"/>
      <c r="C251" s="94"/>
      <c r="D251" s="99">
        <v>0</v>
      </c>
      <c r="E251" s="99">
        <f t="shared" ref="E251:K251" si="29">E250</f>
        <v>0</v>
      </c>
      <c r="F251" s="99">
        <f t="shared" si="29"/>
        <v>0</v>
      </c>
      <c r="G251" s="436"/>
      <c r="H251" s="99"/>
      <c r="I251" s="436"/>
      <c r="J251" s="99">
        <f t="shared" si="29"/>
        <v>0</v>
      </c>
      <c r="K251" s="99">
        <f t="shared" si="29"/>
        <v>0</v>
      </c>
    </row>
    <row r="252" spans="1:14" s="285" customFormat="1" ht="19.95" customHeight="1" x14ac:dyDescent="0.25">
      <c r="A252" s="344"/>
      <c r="B252" s="346"/>
      <c r="C252" s="93" t="s">
        <v>192</v>
      </c>
      <c r="D252" s="442">
        <f t="shared" ref="D252:K252" si="30">SUM(D171:D251)/2</f>
        <v>41032500</v>
      </c>
      <c r="E252" s="117">
        <f t="shared" si="30"/>
        <v>27530007</v>
      </c>
      <c r="F252" s="117">
        <f t="shared" si="30"/>
        <v>27588507</v>
      </c>
      <c r="G252" s="442">
        <f t="shared" si="30"/>
        <v>27588507</v>
      </c>
      <c r="H252" s="442">
        <f t="shared" si="30"/>
        <v>26313257.699999999</v>
      </c>
      <c r="I252" s="442">
        <f>SUM(I171:I251)/2</f>
        <v>8840836.6466000006</v>
      </c>
      <c r="J252" s="442">
        <f t="shared" si="30"/>
        <v>8610517.1621630006</v>
      </c>
      <c r="K252" s="442">
        <f t="shared" si="30"/>
        <v>8367305.6717576385</v>
      </c>
      <c r="L252" s="356"/>
      <c r="M252" s="356"/>
      <c r="N252" s="356"/>
    </row>
    <row r="253" spans="1:14" s="285" customFormat="1" ht="16.2" customHeight="1" x14ac:dyDescent="0.25">
      <c r="A253" s="344"/>
      <c r="B253" s="151"/>
      <c r="C253" s="94"/>
      <c r="D253" s="117"/>
      <c r="E253" s="117"/>
      <c r="F253" s="117"/>
      <c r="G253" s="442"/>
      <c r="H253" s="117"/>
      <c r="I253" s="442"/>
      <c r="J253" s="117"/>
      <c r="K253" s="117"/>
    </row>
    <row r="254" spans="1:14" s="285" customFormat="1" x14ac:dyDescent="0.25">
      <c r="A254" s="344"/>
      <c r="B254" s="151"/>
      <c r="C254" s="145" t="s">
        <v>193</v>
      </c>
      <c r="D254" s="124"/>
      <c r="E254" s="146"/>
      <c r="F254" s="124"/>
      <c r="G254" s="445"/>
      <c r="H254" s="124"/>
      <c r="I254" s="445"/>
      <c r="J254" s="124"/>
      <c r="K254" s="124"/>
    </row>
    <row r="255" spans="1:14" s="285" customFormat="1" x14ac:dyDescent="0.25">
      <c r="A255" s="118">
        <v>10</v>
      </c>
      <c r="B255" s="151">
        <v>1905</v>
      </c>
      <c r="C255" s="118" t="s">
        <v>194</v>
      </c>
      <c r="D255" s="127">
        <v>0</v>
      </c>
      <c r="E255" s="147"/>
      <c r="F255" s="98"/>
      <c r="G255" s="435"/>
      <c r="H255" s="98"/>
      <c r="I255" s="435"/>
      <c r="J255" s="98"/>
      <c r="K255" s="123"/>
    </row>
    <row r="256" spans="1:14" s="285" customFormat="1" ht="13.2" customHeight="1" x14ac:dyDescent="0.25">
      <c r="A256" s="344"/>
      <c r="B256" s="151"/>
      <c r="C256" s="94"/>
      <c r="D256" s="117">
        <v>0</v>
      </c>
      <c r="E256" s="117">
        <f t="shared" ref="E256:J256" si="31">SUM(E255)</f>
        <v>0</v>
      </c>
      <c r="F256" s="117">
        <f t="shared" si="31"/>
        <v>0</v>
      </c>
      <c r="G256" s="442">
        <v>0</v>
      </c>
      <c r="H256" s="117"/>
      <c r="I256" s="442"/>
      <c r="J256" s="117">
        <f t="shared" si="31"/>
        <v>0</v>
      </c>
      <c r="K256" s="117">
        <f>SUM(K255)</f>
        <v>0</v>
      </c>
    </row>
    <row r="257" spans="1:12" s="285" customFormat="1" x14ac:dyDescent="0.25">
      <c r="A257" s="344"/>
      <c r="B257" s="151"/>
      <c r="C257" s="93" t="s">
        <v>518</v>
      </c>
      <c r="D257" s="442">
        <f t="shared" ref="D257:K257" si="32">D252+D256</f>
        <v>41032500</v>
      </c>
      <c r="E257" s="117">
        <f t="shared" si="32"/>
        <v>27530007</v>
      </c>
      <c r="F257" s="117">
        <f t="shared" si="32"/>
        <v>27588507</v>
      </c>
      <c r="G257" s="442">
        <f t="shared" si="32"/>
        <v>27588507</v>
      </c>
      <c r="H257" s="442">
        <f t="shared" si="32"/>
        <v>26313257.699999999</v>
      </c>
      <c r="I257" s="442">
        <f>I252+I256</f>
        <v>8840836.6466000006</v>
      </c>
      <c r="J257" s="442">
        <f t="shared" si="32"/>
        <v>8610517.1621630006</v>
      </c>
      <c r="K257" s="442">
        <f t="shared" si="32"/>
        <v>8367305.6717576385</v>
      </c>
    </row>
    <row r="258" spans="1:12" s="285" customFormat="1" hidden="1" x14ac:dyDescent="0.25">
      <c r="A258" s="344"/>
      <c r="B258" s="151"/>
      <c r="C258" s="145" t="s">
        <v>195</v>
      </c>
      <c r="D258" s="124"/>
      <c r="E258" s="148"/>
      <c r="F258" s="125"/>
      <c r="G258" s="446"/>
      <c r="H258" s="125"/>
      <c r="I258" s="446"/>
      <c r="J258" s="125"/>
      <c r="K258" s="125"/>
    </row>
    <row r="259" spans="1:12" s="285" customFormat="1" hidden="1" x14ac:dyDescent="0.25">
      <c r="A259" s="118">
        <v>10</v>
      </c>
      <c r="B259" s="151">
        <v>1950</v>
      </c>
      <c r="C259" s="118" t="s">
        <v>196</v>
      </c>
      <c r="D259" s="127">
        <v>0</v>
      </c>
      <c r="E259" s="147"/>
      <c r="F259" s="98"/>
      <c r="G259" s="435"/>
      <c r="H259" s="98"/>
      <c r="I259" s="435"/>
      <c r="J259" s="98"/>
      <c r="K259" s="123"/>
    </row>
    <row r="260" spans="1:12" s="285" customFormat="1" hidden="1" x14ac:dyDescent="0.25">
      <c r="A260" s="344"/>
      <c r="B260" s="346"/>
      <c r="C260" s="94"/>
      <c r="D260" s="124">
        <v>0</v>
      </c>
      <c r="E260" s="124">
        <f t="shared" ref="E260:K260" si="33">E259</f>
        <v>0</v>
      </c>
      <c r="F260" s="124">
        <f t="shared" si="33"/>
        <v>0</v>
      </c>
      <c r="G260" s="445">
        <v>0</v>
      </c>
      <c r="H260" s="445">
        <f t="shared" si="33"/>
        <v>0</v>
      </c>
      <c r="I260" s="445">
        <f>I259</f>
        <v>0</v>
      </c>
      <c r="J260" s="124">
        <f t="shared" si="33"/>
        <v>0</v>
      </c>
      <c r="K260" s="124">
        <f t="shared" si="33"/>
        <v>0</v>
      </c>
    </row>
    <row r="261" spans="1:12" s="285" customFormat="1" x14ac:dyDescent="0.25">
      <c r="A261" s="348"/>
      <c r="B261" s="351"/>
      <c r="C261" s="93" t="s">
        <v>534</v>
      </c>
      <c r="D261" s="448">
        <f t="shared" ref="D261:K261" si="34">D257+D260</f>
        <v>41032500</v>
      </c>
      <c r="E261" s="160">
        <f t="shared" si="34"/>
        <v>27530007</v>
      </c>
      <c r="F261" s="160">
        <f t="shared" si="34"/>
        <v>27588507</v>
      </c>
      <c r="G261" s="448">
        <f t="shared" si="34"/>
        <v>27588507</v>
      </c>
      <c r="H261" s="448">
        <f t="shared" si="34"/>
        <v>26313257.699999999</v>
      </c>
      <c r="I261" s="448">
        <f>I257+I260</f>
        <v>8840836.6466000006</v>
      </c>
      <c r="J261" s="160">
        <f t="shared" si="34"/>
        <v>8610517.1621630006</v>
      </c>
      <c r="K261" s="160">
        <f t="shared" si="34"/>
        <v>8367305.6717576385</v>
      </c>
      <c r="L261" s="356"/>
    </row>
    <row r="262" spans="1:12" s="285" customFormat="1" x14ac:dyDescent="0.25">
      <c r="A262" s="349"/>
      <c r="B262" s="154"/>
      <c r="C262" s="126" t="s">
        <v>82</v>
      </c>
      <c r="D262" s="449">
        <f t="shared" ref="D262:K262" si="35">D261-D165</f>
        <v>35180208</v>
      </c>
      <c r="E262" s="161">
        <f t="shared" si="35"/>
        <v>21806749</v>
      </c>
      <c r="F262" s="161">
        <f t="shared" si="35"/>
        <v>21331249</v>
      </c>
      <c r="G262" s="449">
        <f t="shared" si="35"/>
        <v>21331249</v>
      </c>
      <c r="H262" s="449">
        <f t="shared" si="35"/>
        <v>19850343.699999999</v>
      </c>
      <c r="I262" s="449">
        <f>I261-I165</f>
        <v>3018218.8911714293</v>
      </c>
      <c r="J262" s="161">
        <f t="shared" si="35"/>
        <v>2467655.4301858572</v>
      </c>
      <c r="K262" s="161">
        <f t="shared" si="35"/>
        <v>1898872.2679857081</v>
      </c>
    </row>
    <row r="263" spans="1:12" s="285" customFormat="1" x14ac:dyDescent="0.25">
      <c r="A263" s="284"/>
      <c r="B263" s="352"/>
      <c r="D263" s="174"/>
      <c r="F263" s="356"/>
      <c r="G263" s="356"/>
      <c r="H263" s="356"/>
      <c r="I263" s="356"/>
      <c r="J263" s="356"/>
      <c r="L263" s="356"/>
    </row>
    <row r="264" spans="1:12" x14ac:dyDescent="0.25">
      <c r="A264" s="101"/>
    </row>
    <row r="265" spans="1:12" x14ac:dyDescent="0.25">
      <c r="D265" s="275"/>
      <c r="F265" s="95"/>
      <c r="G265" s="433"/>
      <c r="H265" s="95"/>
      <c r="I265" s="433"/>
      <c r="J265" s="95"/>
    </row>
    <row r="266" spans="1:12" x14ac:dyDescent="0.25">
      <c r="D266" s="275"/>
      <c r="E266" s="128"/>
      <c r="F266" s="128"/>
      <c r="G266" s="128"/>
      <c r="H266" s="128"/>
      <c r="I266" s="128"/>
      <c r="J266" s="128"/>
    </row>
    <row r="267" spans="1:12" x14ac:dyDescent="0.25">
      <c r="E267" s="128"/>
      <c r="F267" s="128"/>
      <c r="G267" s="128"/>
      <c r="H267" s="128"/>
      <c r="I267" s="128"/>
      <c r="J267" s="128"/>
      <c r="K267" s="109"/>
    </row>
    <row r="268" spans="1:12" x14ac:dyDescent="0.25">
      <c r="E268" s="128"/>
      <c r="F268" s="128"/>
      <c r="G268" s="128"/>
      <c r="H268" s="128"/>
      <c r="I268" s="128"/>
      <c r="J268" s="128"/>
    </row>
  </sheetData>
  <mergeCells count="4">
    <mergeCell ref="A169:B170"/>
    <mergeCell ref="A4:B5"/>
    <mergeCell ref="A1:K1"/>
    <mergeCell ref="A3:K3"/>
  </mergeCells>
  <phoneticPr fontId="0" type="noConversion"/>
  <pageMargins left="0.7" right="0.7" top="0.75" bottom="0.75" header="0.3" footer="0.3"/>
  <pageSetup paperSize="17" scale="68" fitToHeight="0" orientation="portrait" r:id="rId1"/>
  <headerFooter alignWithMargins="0"/>
  <rowBreaks count="1" manualBreakCount="1">
    <brk id="262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rgb="FFFF0000"/>
    <pageSetUpPr fitToPage="1"/>
  </sheetPr>
  <dimension ref="A1:M268"/>
  <sheetViews>
    <sheetView zoomScaleSheetLayoutView="100" workbookViewId="0">
      <selection activeCell="I28" sqref="I28:K28"/>
    </sheetView>
  </sheetViews>
  <sheetFormatPr defaultColWidth="9.109375" defaultRowHeight="13.2" x14ac:dyDescent="0.25"/>
  <cols>
    <col min="1" max="1" width="3.33203125" style="96" customWidth="1"/>
    <col min="2" max="2" width="9" style="131" customWidth="1"/>
    <col min="3" max="3" width="28.6640625" style="96" customWidth="1"/>
    <col min="4" max="4" width="10.5546875" style="96" customWidth="1"/>
    <col min="5" max="5" width="10.109375" style="96" customWidth="1"/>
    <col min="6" max="6" width="10.44140625" style="96" customWidth="1"/>
    <col min="7" max="7" width="10.5546875" style="434" customWidth="1"/>
    <col min="8" max="8" width="10.33203125" style="96" customWidth="1"/>
    <col min="9" max="9" width="10.33203125" style="434" customWidth="1"/>
    <col min="10" max="10" width="9.88671875" style="96" customWidth="1"/>
    <col min="11" max="11" width="10.33203125" style="96" customWidth="1"/>
    <col min="12" max="12" width="10.109375" style="96" customWidth="1"/>
    <col min="13" max="16384" width="9.109375" style="96"/>
  </cols>
  <sheetData>
    <row r="1" spans="1:11" s="434" customFormat="1" x14ac:dyDescent="0.25">
      <c r="A1" s="957"/>
      <c r="B1" s="957"/>
      <c r="C1" s="957"/>
      <c r="D1" s="957"/>
      <c r="E1" s="957"/>
      <c r="F1" s="957"/>
      <c r="G1" s="957"/>
      <c r="H1" s="957"/>
      <c r="I1" s="957"/>
      <c r="J1" s="957"/>
      <c r="K1" s="957"/>
    </row>
    <row r="2" spans="1:11" ht="12.75" customHeight="1" x14ac:dyDescent="0.25">
      <c r="A2" s="954" t="s">
        <v>352</v>
      </c>
      <c r="B2" s="955"/>
      <c r="C2" s="955"/>
      <c r="D2" s="955"/>
      <c r="E2" s="955"/>
      <c r="F2" s="955"/>
      <c r="G2" s="955"/>
      <c r="H2" s="955"/>
      <c r="I2" s="955"/>
      <c r="J2" s="955"/>
      <c r="K2" s="956"/>
    </row>
    <row r="3" spans="1:11" s="285" customFormat="1" x14ac:dyDescent="0.25">
      <c r="A3" s="941" t="s">
        <v>542</v>
      </c>
      <c r="B3" s="942"/>
      <c r="C3" s="942"/>
      <c r="D3" s="942"/>
      <c r="E3" s="942"/>
      <c r="F3" s="942"/>
      <c r="G3" s="942"/>
      <c r="H3" s="942"/>
      <c r="I3" s="942"/>
      <c r="J3" s="942"/>
      <c r="K3" s="943"/>
    </row>
    <row r="4" spans="1:11" s="285" customFormat="1" x14ac:dyDescent="0.25">
      <c r="A4" s="944" t="s">
        <v>21</v>
      </c>
      <c r="B4" s="945"/>
      <c r="C4" s="150" t="s">
        <v>22</v>
      </c>
      <c r="D4" s="103" t="s">
        <v>23</v>
      </c>
      <c r="E4" s="104" t="s">
        <v>24</v>
      </c>
      <c r="F4" s="103" t="s">
        <v>535</v>
      </c>
      <c r="G4" s="103" t="s">
        <v>413</v>
      </c>
      <c r="H4" s="104" t="s">
        <v>24</v>
      </c>
      <c r="I4" s="583" t="s">
        <v>24</v>
      </c>
      <c r="J4" s="583" t="s">
        <v>24</v>
      </c>
      <c r="K4" s="583" t="s">
        <v>24</v>
      </c>
    </row>
    <row r="5" spans="1:11" s="285" customFormat="1" x14ac:dyDescent="0.25">
      <c r="A5" s="946"/>
      <c r="B5" s="947"/>
      <c r="C5" s="106"/>
      <c r="D5" s="333" t="s">
        <v>257</v>
      </c>
      <c r="E5" s="107" t="s">
        <v>382</v>
      </c>
      <c r="F5" s="107" t="s">
        <v>382</v>
      </c>
      <c r="G5" s="107" t="s">
        <v>382</v>
      </c>
      <c r="H5" s="107" t="s">
        <v>407</v>
      </c>
      <c r="I5" s="586" t="s">
        <v>414</v>
      </c>
      <c r="J5" s="586" t="s">
        <v>530</v>
      </c>
      <c r="K5" s="586" t="s">
        <v>886</v>
      </c>
    </row>
    <row r="6" spans="1:11" s="285" customFormat="1" x14ac:dyDescent="0.25">
      <c r="A6" s="344"/>
      <c r="B6" s="151"/>
      <c r="C6" s="93" t="s">
        <v>33</v>
      </c>
      <c r="D6" s="428"/>
      <c r="E6" s="428"/>
      <c r="F6" s="428"/>
      <c r="G6" s="428"/>
      <c r="H6" s="428"/>
      <c r="I6" s="428"/>
      <c r="J6" s="428"/>
      <c r="K6" s="428"/>
    </row>
    <row r="7" spans="1:11" s="285" customFormat="1" x14ac:dyDescent="0.25">
      <c r="A7" s="118">
        <v>12</v>
      </c>
      <c r="B7" s="155">
        <v>5005</v>
      </c>
      <c r="C7" s="94" t="s">
        <v>241</v>
      </c>
      <c r="D7" s="428">
        <v>19600</v>
      </c>
      <c r="E7" s="428">
        <v>21000</v>
      </c>
      <c r="F7" s="428">
        <v>21000</v>
      </c>
      <c r="G7" s="428">
        <v>21000</v>
      </c>
      <c r="H7" s="428">
        <f t="shared" ref="H7:H17" si="0">(F7*0.068)+F7</f>
        <v>22428</v>
      </c>
      <c r="I7" s="428">
        <f>+H7*1.058</f>
        <v>23728.824000000001</v>
      </c>
      <c r="J7" s="428">
        <f>+I7*1.055</f>
        <v>25033.909319999999</v>
      </c>
      <c r="K7" s="428">
        <f>+J7*1.053</f>
        <v>26360.706513959998</v>
      </c>
    </row>
    <row r="8" spans="1:11" s="285" customFormat="1" hidden="1" x14ac:dyDescent="0.25">
      <c r="A8" s="118">
        <v>12</v>
      </c>
      <c r="B8" s="151">
        <v>5010</v>
      </c>
      <c r="C8" s="94" t="s">
        <v>34</v>
      </c>
      <c r="D8" s="428"/>
      <c r="E8" s="428"/>
      <c r="F8" s="428"/>
      <c r="G8" s="428"/>
      <c r="H8" s="428">
        <f t="shared" si="0"/>
        <v>0</v>
      </c>
      <c r="I8" s="428">
        <f t="shared" ref="I8:I17" si="1">+H8*1.058</f>
        <v>0</v>
      </c>
      <c r="J8" s="428">
        <f t="shared" ref="J8:J17" si="2">+I8*1.055</f>
        <v>0</v>
      </c>
      <c r="K8" s="428">
        <f t="shared" ref="K8:K17" si="3">+J8*1.053</f>
        <v>0</v>
      </c>
    </row>
    <row r="9" spans="1:11" s="285" customFormat="1" hidden="1" x14ac:dyDescent="0.25">
      <c r="A9" s="118">
        <v>12</v>
      </c>
      <c r="B9" s="151">
        <v>5015</v>
      </c>
      <c r="C9" s="94" t="s">
        <v>35</v>
      </c>
      <c r="D9" s="428"/>
      <c r="E9" s="428"/>
      <c r="F9" s="428"/>
      <c r="G9" s="428"/>
      <c r="H9" s="428">
        <f t="shared" si="0"/>
        <v>0</v>
      </c>
      <c r="I9" s="428">
        <f t="shared" si="1"/>
        <v>0</v>
      </c>
      <c r="J9" s="428">
        <f t="shared" si="2"/>
        <v>0</v>
      </c>
      <c r="K9" s="428">
        <f t="shared" si="3"/>
        <v>0</v>
      </c>
    </row>
    <row r="10" spans="1:11" s="285" customFormat="1" x14ac:dyDescent="0.25">
      <c r="A10" s="118">
        <v>12</v>
      </c>
      <c r="B10" s="151">
        <v>5020</v>
      </c>
      <c r="C10" s="94" t="s">
        <v>350</v>
      </c>
      <c r="D10" s="428">
        <v>222800</v>
      </c>
      <c r="E10" s="428">
        <v>303000</v>
      </c>
      <c r="F10" s="428">
        <v>303000</v>
      </c>
      <c r="G10" s="428">
        <v>303000</v>
      </c>
      <c r="H10" s="428">
        <f t="shared" si="0"/>
        <v>323604</v>
      </c>
      <c r="I10" s="428">
        <f t="shared" si="1"/>
        <v>342373.03200000001</v>
      </c>
      <c r="J10" s="428">
        <f t="shared" si="2"/>
        <v>361203.54875999998</v>
      </c>
      <c r="K10" s="428">
        <f t="shared" si="3"/>
        <v>380347.33684427995</v>
      </c>
    </row>
    <row r="11" spans="1:11" s="285" customFormat="1" hidden="1" x14ac:dyDescent="0.25">
      <c r="A11" s="118">
        <v>12</v>
      </c>
      <c r="B11" s="151">
        <v>5025</v>
      </c>
      <c r="C11" s="94" t="s">
        <v>36</v>
      </c>
      <c r="D11" s="428"/>
      <c r="E11" s="428"/>
      <c r="F11" s="428"/>
      <c r="G11" s="428"/>
      <c r="H11" s="428">
        <f t="shared" si="0"/>
        <v>0</v>
      </c>
      <c r="I11" s="428">
        <f t="shared" si="1"/>
        <v>0</v>
      </c>
      <c r="J11" s="428">
        <f t="shared" si="2"/>
        <v>0</v>
      </c>
      <c r="K11" s="428">
        <f t="shared" si="3"/>
        <v>0</v>
      </c>
    </row>
    <row r="12" spans="1:11" s="285" customFormat="1" hidden="1" x14ac:dyDescent="0.25">
      <c r="A12" s="118">
        <v>12</v>
      </c>
      <c r="B12" s="151">
        <v>5030</v>
      </c>
      <c r="C12" s="94" t="s">
        <v>85</v>
      </c>
      <c r="D12" s="428"/>
      <c r="E12" s="428"/>
      <c r="F12" s="428"/>
      <c r="G12" s="428"/>
      <c r="H12" s="428">
        <f t="shared" si="0"/>
        <v>0</v>
      </c>
      <c r="I12" s="428">
        <f t="shared" si="1"/>
        <v>0</v>
      </c>
      <c r="J12" s="428">
        <f t="shared" si="2"/>
        <v>0</v>
      </c>
      <c r="K12" s="428">
        <f t="shared" si="3"/>
        <v>0</v>
      </c>
    </row>
    <row r="13" spans="1:11" s="285" customFormat="1" hidden="1" x14ac:dyDescent="0.25">
      <c r="A13" s="118">
        <v>12</v>
      </c>
      <c r="B13" s="151">
        <v>5035</v>
      </c>
      <c r="C13" s="94" t="s">
        <v>84</v>
      </c>
      <c r="D13" s="428"/>
      <c r="E13" s="428"/>
      <c r="F13" s="428"/>
      <c r="G13" s="428"/>
      <c r="H13" s="428">
        <f t="shared" si="0"/>
        <v>0</v>
      </c>
      <c r="I13" s="428">
        <f t="shared" si="1"/>
        <v>0</v>
      </c>
      <c r="J13" s="428">
        <f t="shared" si="2"/>
        <v>0</v>
      </c>
      <c r="K13" s="428">
        <f t="shared" si="3"/>
        <v>0</v>
      </c>
    </row>
    <row r="14" spans="1:11" s="285" customFormat="1" x14ac:dyDescent="0.25">
      <c r="A14" s="118">
        <v>12</v>
      </c>
      <c r="B14" s="151">
        <v>5040</v>
      </c>
      <c r="C14" s="94" t="s">
        <v>37</v>
      </c>
      <c r="D14" s="428">
        <v>46300</v>
      </c>
      <c r="E14" s="428">
        <v>135000</v>
      </c>
      <c r="F14" s="428">
        <v>135000</v>
      </c>
      <c r="G14" s="428">
        <v>135000</v>
      </c>
      <c r="H14" s="428">
        <f t="shared" si="0"/>
        <v>144180</v>
      </c>
      <c r="I14" s="428">
        <f t="shared" si="1"/>
        <v>152542.44</v>
      </c>
      <c r="J14" s="428">
        <f t="shared" si="2"/>
        <v>160932.27419999999</v>
      </c>
      <c r="K14" s="428">
        <f t="shared" si="3"/>
        <v>169461.68473259997</v>
      </c>
    </row>
    <row r="15" spans="1:11" s="285" customFormat="1" hidden="1" x14ac:dyDescent="0.25">
      <c r="A15" s="118">
        <v>12</v>
      </c>
      <c r="B15" s="151">
        <v>5045</v>
      </c>
      <c r="C15" s="94" t="s">
        <v>38</v>
      </c>
      <c r="D15" s="428"/>
      <c r="E15" s="428"/>
      <c r="F15" s="428"/>
      <c r="G15" s="428"/>
      <c r="H15" s="428">
        <f t="shared" si="0"/>
        <v>0</v>
      </c>
      <c r="I15" s="428">
        <f t="shared" si="1"/>
        <v>0</v>
      </c>
      <c r="J15" s="428">
        <f t="shared" si="2"/>
        <v>0</v>
      </c>
      <c r="K15" s="428">
        <f t="shared" si="3"/>
        <v>0</v>
      </c>
    </row>
    <row r="16" spans="1:11" s="285" customFormat="1" x14ac:dyDescent="0.25">
      <c r="A16" s="118">
        <v>12</v>
      </c>
      <c r="B16" s="151">
        <v>5050</v>
      </c>
      <c r="C16" s="94" t="s">
        <v>83</v>
      </c>
      <c r="D16" s="428"/>
      <c r="E16" s="428">
        <v>13000</v>
      </c>
      <c r="F16" s="428">
        <v>13000</v>
      </c>
      <c r="G16" s="428">
        <v>13000</v>
      </c>
      <c r="H16" s="428">
        <f t="shared" si="0"/>
        <v>13884</v>
      </c>
      <c r="I16" s="428">
        <f t="shared" si="1"/>
        <v>14689.272000000001</v>
      </c>
      <c r="J16" s="428">
        <f t="shared" si="2"/>
        <v>15497.18196</v>
      </c>
      <c r="K16" s="428">
        <f t="shared" si="3"/>
        <v>16318.532603879999</v>
      </c>
    </row>
    <row r="17" spans="1:13" s="285" customFormat="1" x14ac:dyDescent="0.25">
      <c r="A17" s="118">
        <v>12</v>
      </c>
      <c r="B17" s="151">
        <v>5055</v>
      </c>
      <c r="C17" s="94" t="s">
        <v>39</v>
      </c>
      <c r="D17" s="428">
        <v>554700</v>
      </c>
      <c r="E17" s="428">
        <v>1612000</v>
      </c>
      <c r="F17" s="428">
        <v>1612000</v>
      </c>
      <c r="G17" s="428">
        <v>1612000</v>
      </c>
      <c r="H17" s="428">
        <f t="shared" si="0"/>
        <v>1721616</v>
      </c>
      <c r="I17" s="428">
        <f t="shared" si="1"/>
        <v>1821469.7280000001</v>
      </c>
      <c r="J17" s="428">
        <f t="shared" si="2"/>
        <v>1921650.5630399999</v>
      </c>
      <c r="K17" s="428">
        <f t="shared" si="3"/>
        <v>2023498.0428811198</v>
      </c>
    </row>
    <row r="18" spans="1:13" s="285" customFormat="1" x14ac:dyDescent="0.25">
      <c r="A18" s="344"/>
      <c r="B18" s="151"/>
      <c r="C18" s="94"/>
      <c r="D18" s="429">
        <f t="shared" ref="D18:K18" si="4">SUM(D7:D17)</f>
        <v>843400</v>
      </c>
      <c r="E18" s="429">
        <f t="shared" si="4"/>
        <v>2084000</v>
      </c>
      <c r="F18" s="429">
        <f t="shared" si="4"/>
        <v>2084000</v>
      </c>
      <c r="G18" s="429">
        <f t="shared" si="4"/>
        <v>2084000</v>
      </c>
      <c r="H18" s="429">
        <f t="shared" si="4"/>
        <v>2225712</v>
      </c>
      <c r="I18" s="429">
        <f t="shared" si="4"/>
        <v>2354803.2960000001</v>
      </c>
      <c r="J18" s="429">
        <f t="shared" si="4"/>
        <v>2484317.4772799998</v>
      </c>
      <c r="K18" s="429">
        <f t="shared" si="4"/>
        <v>2615986.3035758398</v>
      </c>
      <c r="L18" s="355"/>
    </row>
    <row r="19" spans="1:13" s="285" customFormat="1" x14ac:dyDescent="0.25">
      <c r="A19" s="344"/>
      <c r="B19" s="151"/>
      <c r="C19" s="93" t="s">
        <v>40</v>
      </c>
      <c r="D19" s="428"/>
      <c r="E19" s="86"/>
      <c r="F19" s="86"/>
      <c r="G19" s="86"/>
      <c r="H19" s="86"/>
      <c r="I19" s="86"/>
      <c r="J19" s="86"/>
      <c r="K19" s="428"/>
    </row>
    <row r="20" spans="1:13" s="285" customFormat="1" x14ac:dyDescent="0.25">
      <c r="A20" s="118">
        <v>12</v>
      </c>
      <c r="B20" s="151">
        <v>5105</v>
      </c>
      <c r="C20" s="94" t="s">
        <v>41</v>
      </c>
      <c r="D20" s="428">
        <v>46500</v>
      </c>
      <c r="E20" s="428">
        <v>226000</v>
      </c>
      <c r="F20" s="428">
        <v>226000</v>
      </c>
      <c r="G20" s="428">
        <v>226000</v>
      </c>
      <c r="H20" s="428">
        <f>(F20*0.068)+F20</f>
        <v>241368</v>
      </c>
      <c r="I20" s="428">
        <f>+H20*1.058</f>
        <v>255367.34400000001</v>
      </c>
      <c r="J20" s="428">
        <f>(H20*0.068)+H20</f>
        <v>257781.024</v>
      </c>
      <c r="K20" s="428">
        <f>(J20*0.068)+J20</f>
        <v>275310.13363200001</v>
      </c>
    </row>
    <row r="21" spans="1:13" s="285" customFormat="1" x14ac:dyDescent="0.25">
      <c r="A21" s="118">
        <v>12</v>
      </c>
      <c r="B21" s="151">
        <v>5115</v>
      </c>
      <c r="C21" s="94" t="s">
        <v>42</v>
      </c>
      <c r="D21" s="428">
        <v>24186.848000000002</v>
      </c>
      <c r="E21" s="428">
        <v>192000</v>
      </c>
      <c r="F21" s="428">
        <v>192000</v>
      </c>
      <c r="G21" s="428">
        <v>192000</v>
      </c>
      <c r="H21" s="428">
        <f>(F21*0.068)+F21</f>
        <v>205056</v>
      </c>
      <c r="I21" s="428">
        <f>+H21*1.058</f>
        <v>216949.24800000002</v>
      </c>
      <c r="J21" s="428">
        <f>(H21*0.068)+H21</f>
        <v>218999.80799999999</v>
      </c>
      <c r="K21" s="428">
        <f>(J21*0.068)+J21</f>
        <v>233891.79494399999</v>
      </c>
    </row>
    <row r="22" spans="1:13" s="285" customFormat="1" x14ac:dyDescent="0.25">
      <c r="A22" s="118">
        <v>12</v>
      </c>
      <c r="B22" s="151">
        <v>5120</v>
      </c>
      <c r="C22" s="94" t="s">
        <v>43</v>
      </c>
      <c r="D22" s="428">
        <v>99694.672000000006</v>
      </c>
      <c r="E22" s="428"/>
      <c r="F22" s="428"/>
      <c r="G22" s="428"/>
      <c r="H22" s="428">
        <f>(F22*0.068)+F22</f>
        <v>0</v>
      </c>
      <c r="I22" s="428">
        <f>+H22*1.058</f>
        <v>0</v>
      </c>
      <c r="J22" s="428">
        <f>(H22*0.068)+H22</f>
        <v>0</v>
      </c>
      <c r="K22" s="428">
        <f>(J22*0.068)+J22</f>
        <v>0</v>
      </c>
    </row>
    <row r="23" spans="1:13" s="285" customFormat="1" x14ac:dyDescent="0.25">
      <c r="A23" s="118">
        <v>12</v>
      </c>
      <c r="B23" s="151">
        <v>5125</v>
      </c>
      <c r="C23" s="94" t="s">
        <v>44</v>
      </c>
      <c r="D23" s="428">
        <v>0</v>
      </c>
      <c r="E23" s="428"/>
      <c r="F23" s="428"/>
      <c r="G23" s="428"/>
      <c r="H23" s="428">
        <f>(F23*0.068)+F23</f>
        <v>0</v>
      </c>
      <c r="I23" s="428">
        <f>+H23*1.058</f>
        <v>0</v>
      </c>
      <c r="J23" s="428">
        <f>(H23*0.068)+H23</f>
        <v>0</v>
      </c>
      <c r="K23" s="428">
        <f>(J23*0.068)+J23</f>
        <v>0</v>
      </c>
    </row>
    <row r="24" spans="1:13" s="285" customFormat="1" x14ac:dyDescent="0.25">
      <c r="A24" s="118">
        <v>12</v>
      </c>
      <c r="B24" s="151">
        <v>5130</v>
      </c>
      <c r="C24" s="94" t="s">
        <v>45</v>
      </c>
      <c r="D24" s="428">
        <v>3250</v>
      </c>
      <c r="E24" s="428">
        <v>15000</v>
      </c>
      <c r="F24" s="428">
        <v>15000</v>
      </c>
      <c r="G24" s="428">
        <v>15000</v>
      </c>
      <c r="H24" s="428">
        <f>(F24*0.068)+F24</f>
        <v>16020</v>
      </c>
      <c r="I24" s="428">
        <f>+H24*1.058</f>
        <v>16949.16</v>
      </c>
      <c r="J24" s="428">
        <f>(H24*0.068)+H24</f>
        <v>17109.36</v>
      </c>
      <c r="K24" s="428">
        <f>(J24*0.068)+J24</f>
        <v>18272.796480000001</v>
      </c>
    </row>
    <row r="25" spans="1:13" s="285" customFormat="1" x14ac:dyDescent="0.25">
      <c r="A25" s="344"/>
      <c r="B25" s="151"/>
      <c r="C25" s="94"/>
      <c r="D25" s="429">
        <f t="shared" ref="D25:K25" si="5">SUM(D20:D24)</f>
        <v>173631.52000000002</v>
      </c>
      <c r="E25" s="429">
        <f t="shared" si="5"/>
        <v>433000</v>
      </c>
      <c r="F25" s="429">
        <f t="shared" si="5"/>
        <v>433000</v>
      </c>
      <c r="G25" s="429">
        <f t="shared" si="5"/>
        <v>433000</v>
      </c>
      <c r="H25" s="429">
        <f t="shared" si="5"/>
        <v>462444</v>
      </c>
      <c r="I25" s="429">
        <f t="shared" si="5"/>
        <v>489265.75200000004</v>
      </c>
      <c r="J25" s="429">
        <f t="shared" si="5"/>
        <v>493890.19199999998</v>
      </c>
      <c r="K25" s="429">
        <f t="shared" si="5"/>
        <v>527474.72505600005</v>
      </c>
    </row>
    <row r="26" spans="1:13" s="285" customFormat="1" x14ac:dyDescent="0.25">
      <c r="A26" s="344"/>
      <c r="B26" s="151"/>
      <c r="C26" s="93" t="s">
        <v>46</v>
      </c>
      <c r="D26" s="428"/>
      <c r="E26" s="86"/>
      <c r="F26" s="86"/>
      <c r="G26" s="86"/>
      <c r="H26" s="86"/>
      <c r="I26" s="86"/>
      <c r="J26" s="86"/>
      <c r="K26" s="428"/>
    </row>
    <row r="27" spans="1:13" s="285" customFormat="1" x14ac:dyDescent="0.25">
      <c r="A27" s="344"/>
      <c r="B27" s="151"/>
      <c r="C27" s="93" t="s">
        <v>47</v>
      </c>
      <c r="D27" s="428"/>
      <c r="E27" s="86"/>
      <c r="F27" s="86"/>
      <c r="G27" s="86"/>
      <c r="H27" s="86"/>
      <c r="I27" s="86"/>
      <c r="J27" s="86"/>
      <c r="K27" s="428"/>
    </row>
    <row r="28" spans="1:13" s="285" customFormat="1" x14ac:dyDescent="0.25">
      <c r="A28" s="118">
        <v>12</v>
      </c>
      <c r="B28" s="151">
        <v>5150</v>
      </c>
      <c r="C28" s="94" t="s">
        <v>48</v>
      </c>
      <c r="D28" s="428">
        <v>710000</v>
      </c>
      <c r="E28" s="428">
        <v>737000</v>
      </c>
      <c r="F28" s="428">
        <v>737000</v>
      </c>
      <c r="G28" s="428">
        <v>737000</v>
      </c>
      <c r="H28" s="428">
        <f>(F28*0.068)+F28</f>
        <v>787116</v>
      </c>
      <c r="I28" s="428">
        <f>+H28*1.058</f>
        <v>832768.728</v>
      </c>
      <c r="J28" s="428">
        <f>+I28*1.058</f>
        <v>881069.31422400009</v>
      </c>
      <c r="K28" s="428">
        <f>+J28*1.053</f>
        <v>927765.98787787207</v>
      </c>
    </row>
    <row r="29" spans="1:13" s="285" customFormat="1" x14ac:dyDescent="0.25">
      <c r="A29" s="344"/>
      <c r="B29" s="151"/>
      <c r="C29" s="94"/>
      <c r="D29" s="429">
        <f t="shared" ref="D29:K29" si="6">D28</f>
        <v>710000</v>
      </c>
      <c r="E29" s="429">
        <f t="shared" si="6"/>
        <v>737000</v>
      </c>
      <c r="F29" s="429">
        <f t="shared" si="6"/>
        <v>737000</v>
      </c>
      <c r="G29" s="429">
        <f t="shared" si="6"/>
        <v>737000</v>
      </c>
      <c r="H29" s="429">
        <f t="shared" si="6"/>
        <v>787116</v>
      </c>
      <c r="I29" s="429">
        <f t="shared" si="6"/>
        <v>832768.728</v>
      </c>
      <c r="J29" s="429">
        <f t="shared" si="6"/>
        <v>881069.31422400009</v>
      </c>
      <c r="K29" s="429">
        <f t="shared" si="6"/>
        <v>927765.98787787207</v>
      </c>
      <c r="M29" s="111"/>
    </row>
    <row r="30" spans="1:13" s="285" customFormat="1" hidden="1" x14ac:dyDescent="0.25">
      <c r="A30" s="344"/>
      <c r="B30" s="151"/>
      <c r="C30" s="93" t="s">
        <v>49</v>
      </c>
      <c r="D30" s="428"/>
      <c r="E30" s="86"/>
      <c r="F30" s="86"/>
      <c r="G30" s="86"/>
      <c r="H30" s="86"/>
      <c r="I30" s="86"/>
      <c r="J30" s="86"/>
      <c r="K30" s="428"/>
    </row>
    <row r="31" spans="1:13" s="285" customFormat="1" hidden="1" x14ac:dyDescent="0.25">
      <c r="A31" s="118">
        <v>12</v>
      </c>
      <c r="B31" s="151">
        <v>5170</v>
      </c>
      <c r="C31" s="94" t="s">
        <v>341</v>
      </c>
      <c r="D31" s="425"/>
      <c r="E31" s="425"/>
      <c r="F31" s="425"/>
      <c r="G31" s="428">
        <v>0</v>
      </c>
      <c r="H31" s="428"/>
      <c r="I31" s="428"/>
      <c r="J31" s="428"/>
      <c r="K31" s="428"/>
    </row>
    <row r="32" spans="1:13" s="285" customFormat="1" hidden="1" x14ac:dyDescent="0.25">
      <c r="A32" s="344"/>
      <c r="B32" s="151"/>
      <c r="C32" s="94"/>
      <c r="D32" s="429"/>
      <c r="E32" s="429"/>
      <c r="F32" s="429"/>
      <c r="G32" s="429"/>
      <c r="H32" s="429"/>
      <c r="I32" s="429"/>
      <c r="J32" s="429"/>
      <c r="K32" s="429"/>
    </row>
    <row r="33" spans="1:11" s="285" customFormat="1" hidden="1" x14ac:dyDescent="0.25">
      <c r="A33" s="344"/>
      <c r="B33" s="151"/>
      <c r="C33" s="93" t="s">
        <v>50</v>
      </c>
      <c r="D33" s="428"/>
      <c r="E33" s="86"/>
      <c r="F33" s="86"/>
      <c r="G33" s="86"/>
      <c r="H33" s="86"/>
      <c r="I33" s="86"/>
      <c r="J33" s="86"/>
      <c r="K33" s="428"/>
    </row>
    <row r="34" spans="1:11" s="285" customFormat="1" hidden="1" x14ac:dyDescent="0.25">
      <c r="A34" s="118">
        <v>12</v>
      </c>
      <c r="B34" s="151">
        <v>5180</v>
      </c>
      <c r="C34" s="94" t="s">
        <v>51</v>
      </c>
      <c r="D34" s="428"/>
      <c r="E34" s="425"/>
      <c r="F34" s="428">
        <f>0/8*12</f>
        <v>0</v>
      </c>
      <c r="G34" s="428">
        <v>0</v>
      </c>
      <c r="H34" s="428"/>
      <c r="I34" s="428"/>
      <c r="J34" s="428"/>
      <c r="K34" s="425"/>
    </row>
    <row r="35" spans="1:11" s="285" customFormat="1" hidden="1" x14ac:dyDescent="0.25">
      <c r="A35" s="344"/>
      <c r="B35" s="151"/>
      <c r="C35" s="94"/>
      <c r="D35" s="429"/>
      <c r="E35" s="429">
        <f t="shared" ref="E35:K35" si="7">SUM(E34)</f>
        <v>0</v>
      </c>
      <c r="F35" s="429">
        <f t="shared" si="7"/>
        <v>0</v>
      </c>
      <c r="G35" s="429">
        <v>0</v>
      </c>
      <c r="H35" s="429"/>
      <c r="I35" s="429"/>
      <c r="J35" s="429"/>
      <c r="K35" s="429">
        <f t="shared" si="7"/>
        <v>0</v>
      </c>
    </row>
    <row r="36" spans="1:11" s="285" customFormat="1" hidden="1" x14ac:dyDescent="0.25">
      <c r="A36" s="344"/>
      <c r="B36" s="151"/>
      <c r="C36" s="93" t="s">
        <v>52</v>
      </c>
      <c r="D36" s="428"/>
      <c r="E36" s="86"/>
      <c r="F36" s="86"/>
      <c r="G36" s="86"/>
      <c r="H36" s="86"/>
      <c r="I36" s="86"/>
      <c r="J36" s="86"/>
      <c r="K36" s="428"/>
    </row>
    <row r="37" spans="1:11" s="285" customFormat="1" hidden="1" x14ac:dyDescent="0.25">
      <c r="A37" s="118">
        <v>12</v>
      </c>
      <c r="B37" s="151">
        <v>5190</v>
      </c>
      <c r="C37" s="94" t="s">
        <v>53</v>
      </c>
      <c r="D37" s="428"/>
      <c r="E37" s="425"/>
      <c r="F37" s="428">
        <f>0/8*12</f>
        <v>0</v>
      </c>
      <c r="G37" s="428">
        <v>0</v>
      </c>
      <c r="H37" s="428"/>
      <c r="I37" s="428"/>
      <c r="J37" s="428"/>
      <c r="K37" s="428"/>
    </row>
    <row r="38" spans="1:11" s="285" customFormat="1" hidden="1" x14ac:dyDescent="0.25">
      <c r="A38" s="344"/>
      <c r="B38" s="151"/>
      <c r="C38" s="94"/>
      <c r="D38" s="429"/>
      <c r="E38" s="429">
        <f t="shared" ref="E38:K38" si="8">E37</f>
        <v>0</v>
      </c>
      <c r="F38" s="429">
        <f t="shared" si="8"/>
        <v>0</v>
      </c>
      <c r="G38" s="429">
        <v>0</v>
      </c>
      <c r="H38" s="429"/>
      <c r="I38" s="429"/>
      <c r="J38" s="429"/>
      <c r="K38" s="429">
        <f t="shared" si="8"/>
        <v>0</v>
      </c>
    </row>
    <row r="39" spans="1:11" s="285" customFormat="1" x14ac:dyDescent="0.25">
      <c r="A39" s="344"/>
      <c r="B39" s="151"/>
      <c r="C39" s="93" t="s">
        <v>54</v>
      </c>
      <c r="D39" s="428"/>
      <c r="E39" s="86"/>
      <c r="F39" s="86"/>
      <c r="G39" s="86"/>
      <c r="H39" s="86"/>
      <c r="I39" s="86"/>
      <c r="J39" s="86"/>
      <c r="K39" s="428"/>
    </row>
    <row r="40" spans="1:11" s="285" customFormat="1" hidden="1" x14ac:dyDescent="0.25">
      <c r="A40" s="118">
        <v>12</v>
      </c>
      <c r="B40" s="151">
        <v>5200</v>
      </c>
      <c r="C40" s="94" t="s">
        <v>55</v>
      </c>
      <c r="D40" s="428"/>
      <c r="E40" s="425"/>
      <c r="F40" s="428">
        <f t="shared" ref="F40:F58" si="9">0/8*12</f>
        <v>0</v>
      </c>
      <c r="G40" s="428">
        <v>0</v>
      </c>
      <c r="H40" s="428"/>
      <c r="I40" s="428"/>
      <c r="J40" s="428"/>
      <c r="K40" s="428">
        <f>F40*(1+[1]INPUT!C$10)</f>
        <v>0</v>
      </c>
    </row>
    <row r="41" spans="1:11" s="285" customFormat="1" hidden="1" x14ac:dyDescent="0.25">
      <c r="A41" s="118">
        <v>12</v>
      </c>
      <c r="B41" s="151">
        <v>5205</v>
      </c>
      <c r="C41" s="94" t="s">
        <v>56</v>
      </c>
      <c r="D41" s="428"/>
      <c r="E41" s="425"/>
      <c r="F41" s="428">
        <f t="shared" si="9"/>
        <v>0</v>
      </c>
      <c r="G41" s="428">
        <v>0</v>
      </c>
      <c r="H41" s="428"/>
      <c r="I41" s="428"/>
      <c r="J41" s="428"/>
      <c r="K41" s="428">
        <f>F41*(1+[1]INPUT!C$10)</f>
        <v>0</v>
      </c>
    </row>
    <row r="42" spans="1:11" s="285" customFormat="1" hidden="1" x14ac:dyDescent="0.25">
      <c r="A42" s="118">
        <v>12</v>
      </c>
      <c r="B42" s="151">
        <v>5210</v>
      </c>
      <c r="C42" s="94" t="s">
        <v>57</v>
      </c>
      <c r="D42" s="428"/>
      <c r="E42" s="425"/>
      <c r="F42" s="428">
        <f t="shared" si="9"/>
        <v>0</v>
      </c>
      <c r="G42" s="428">
        <v>0</v>
      </c>
      <c r="H42" s="428"/>
      <c r="I42" s="428"/>
      <c r="J42" s="428"/>
      <c r="K42" s="428">
        <f>F42*(1+[1]INPUT!C$10)</f>
        <v>0</v>
      </c>
    </row>
    <row r="43" spans="1:11" s="285" customFormat="1" hidden="1" x14ac:dyDescent="0.25">
      <c r="A43" s="118">
        <v>12</v>
      </c>
      <c r="B43" s="151">
        <v>5215</v>
      </c>
      <c r="C43" s="94" t="s">
        <v>95</v>
      </c>
      <c r="D43" s="428"/>
      <c r="E43" s="425"/>
      <c r="F43" s="428">
        <f t="shared" si="9"/>
        <v>0</v>
      </c>
      <c r="G43" s="428">
        <v>0</v>
      </c>
      <c r="H43" s="428"/>
      <c r="I43" s="428"/>
      <c r="J43" s="428"/>
      <c r="K43" s="428">
        <f>F43*(1+[1]INPUT!C$10)</f>
        <v>0</v>
      </c>
    </row>
    <row r="44" spans="1:11" s="285" customFormat="1" hidden="1" x14ac:dyDescent="0.25">
      <c r="A44" s="118">
        <v>12</v>
      </c>
      <c r="B44" s="151">
        <v>5220</v>
      </c>
      <c r="C44" s="94" t="s">
        <v>58</v>
      </c>
      <c r="D44" s="428"/>
      <c r="E44" s="425"/>
      <c r="F44" s="428">
        <f t="shared" si="9"/>
        <v>0</v>
      </c>
      <c r="G44" s="428">
        <v>0</v>
      </c>
      <c r="H44" s="428"/>
      <c r="I44" s="428"/>
      <c r="J44" s="428"/>
      <c r="K44" s="428">
        <f>F44*(1+[1]INPUT!C$10)</f>
        <v>0</v>
      </c>
    </row>
    <row r="45" spans="1:11" s="285" customFormat="1" hidden="1" x14ac:dyDescent="0.25">
      <c r="A45" s="118">
        <v>12</v>
      </c>
      <c r="B45" s="151">
        <v>5225</v>
      </c>
      <c r="C45" s="94" t="s">
        <v>92</v>
      </c>
      <c r="D45" s="428"/>
      <c r="E45" s="425"/>
      <c r="F45" s="428">
        <f t="shared" si="9"/>
        <v>0</v>
      </c>
      <c r="G45" s="428">
        <v>0</v>
      </c>
      <c r="H45" s="428"/>
      <c r="I45" s="428"/>
      <c r="J45" s="428"/>
      <c r="K45" s="428">
        <f>F45*(1+[1]INPUT!C$10)</f>
        <v>0</v>
      </c>
    </row>
    <row r="46" spans="1:11" s="285" customFormat="1" hidden="1" x14ac:dyDescent="0.25">
      <c r="A46" s="118">
        <v>12</v>
      </c>
      <c r="B46" s="151">
        <v>5230</v>
      </c>
      <c r="C46" s="94" t="s">
        <v>86</v>
      </c>
      <c r="D46" s="428"/>
      <c r="E46" s="425"/>
      <c r="F46" s="428">
        <f t="shared" si="9"/>
        <v>0</v>
      </c>
      <c r="G46" s="428">
        <v>0</v>
      </c>
      <c r="H46" s="428"/>
      <c r="I46" s="428"/>
      <c r="J46" s="428"/>
      <c r="K46" s="428">
        <f>F46*(1+[1]INPUT!C$10)</f>
        <v>0</v>
      </c>
    </row>
    <row r="47" spans="1:11" s="285" customFormat="1" hidden="1" x14ac:dyDescent="0.25">
      <c r="A47" s="118">
        <v>12</v>
      </c>
      <c r="B47" s="151">
        <v>5235</v>
      </c>
      <c r="C47" s="94" t="s">
        <v>124</v>
      </c>
      <c r="D47" s="428"/>
      <c r="E47" s="425"/>
      <c r="F47" s="428">
        <f t="shared" si="9"/>
        <v>0</v>
      </c>
      <c r="G47" s="428">
        <v>0</v>
      </c>
      <c r="H47" s="428"/>
      <c r="I47" s="428"/>
      <c r="J47" s="428"/>
      <c r="K47" s="428">
        <f>F47*(1+[1]INPUT!C$10)</f>
        <v>0</v>
      </c>
    </row>
    <row r="48" spans="1:11" s="285" customFormat="1" x14ac:dyDescent="0.25">
      <c r="A48" s="118">
        <v>12</v>
      </c>
      <c r="B48" s="151">
        <v>5240</v>
      </c>
      <c r="C48" s="94" t="s">
        <v>59</v>
      </c>
      <c r="D48" s="428">
        <v>10964</v>
      </c>
      <c r="E48" s="428">
        <v>12122</v>
      </c>
      <c r="F48" s="428">
        <v>12122</v>
      </c>
      <c r="G48" s="428">
        <v>12122</v>
      </c>
      <c r="H48" s="428"/>
      <c r="I48" s="428"/>
      <c r="J48" s="428"/>
      <c r="K48" s="428"/>
    </row>
    <row r="49" spans="1:11" s="285" customFormat="1" x14ac:dyDescent="0.25">
      <c r="A49" s="118">
        <v>12</v>
      </c>
      <c r="B49" s="151">
        <v>5245</v>
      </c>
      <c r="C49" s="94" t="s">
        <v>91</v>
      </c>
      <c r="D49" s="428"/>
      <c r="E49" s="425"/>
      <c r="F49" s="428">
        <f t="shared" si="9"/>
        <v>0</v>
      </c>
      <c r="G49" s="428">
        <v>0</v>
      </c>
      <c r="H49" s="428"/>
      <c r="I49" s="428"/>
      <c r="J49" s="428"/>
      <c r="K49" s="428">
        <f>F49*(1+[1]INPUT!C$10)</f>
        <v>0</v>
      </c>
    </row>
    <row r="50" spans="1:11" s="285" customFormat="1" x14ac:dyDescent="0.25">
      <c r="A50" s="118">
        <v>12</v>
      </c>
      <c r="B50" s="151">
        <v>5250</v>
      </c>
      <c r="C50" s="94" t="s">
        <v>88</v>
      </c>
      <c r="D50" s="428"/>
      <c r="E50" s="425"/>
      <c r="F50" s="428">
        <f t="shared" si="9"/>
        <v>0</v>
      </c>
      <c r="G50" s="428">
        <v>0</v>
      </c>
      <c r="H50" s="428"/>
      <c r="I50" s="428"/>
      <c r="J50" s="428"/>
      <c r="K50" s="428">
        <f>F50*(1+[1]INPUT!C$10)</f>
        <v>0</v>
      </c>
    </row>
    <row r="51" spans="1:11" s="285" customFormat="1" x14ac:dyDescent="0.25">
      <c r="A51" s="118">
        <v>12</v>
      </c>
      <c r="B51" s="151">
        <v>5255</v>
      </c>
      <c r="C51" s="94" t="s">
        <v>125</v>
      </c>
      <c r="D51" s="428"/>
      <c r="E51" s="425"/>
      <c r="F51" s="428">
        <f t="shared" si="9"/>
        <v>0</v>
      </c>
      <c r="G51" s="428">
        <v>0</v>
      </c>
      <c r="H51" s="428"/>
      <c r="I51" s="428"/>
      <c r="J51" s="428"/>
      <c r="K51" s="428">
        <f>F51*(1+[1]INPUT!C$10)</f>
        <v>0</v>
      </c>
    </row>
    <row r="52" spans="1:11" s="285" customFormat="1" x14ac:dyDescent="0.25">
      <c r="A52" s="118">
        <v>12</v>
      </c>
      <c r="B52" s="151">
        <v>5260</v>
      </c>
      <c r="C52" s="94" t="s">
        <v>90</v>
      </c>
      <c r="D52" s="428"/>
      <c r="E52" s="425"/>
      <c r="F52" s="428">
        <f t="shared" si="9"/>
        <v>0</v>
      </c>
      <c r="G52" s="428">
        <v>0</v>
      </c>
      <c r="H52" s="428"/>
      <c r="I52" s="428"/>
      <c r="J52" s="428"/>
      <c r="K52" s="428">
        <f>F52*(1+[1]INPUT!C$10)</f>
        <v>0</v>
      </c>
    </row>
    <row r="53" spans="1:11" s="285" customFormat="1" x14ac:dyDescent="0.25">
      <c r="A53" s="118">
        <v>12</v>
      </c>
      <c r="B53" s="151">
        <v>5265</v>
      </c>
      <c r="C53" s="94" t="s">
        <v>87</v>
      </c>
      <c r="D53" s="428"/>
      <c r="E53" s="425"/>
      <c r="F53" s="428">
        <f t="shared" si="9"/>
        <v>0</v>
      </c>
      <c r="G53" s="428">
        <v>0</v>
      </c>
      <c r="H53" s="428"/>
      <c r="I53" s="428"/>
      <c r="J53" s="428"/>
      <c r="K53" s="428">
        <f>F53*(1+[1]INPUT!C$10)</f>
        <v>0</v>
      </c>
    </row>
    <row r="54" spans="1:11" s="285" customFormat="1" x14ac:dyDescent="0.25">
      <c r="A54" s="118">
        <v>12</v>
      </c>
      <c r="B54" s="151">
        <v>5270</v>
      </c>
      <c r="C54" s="94" t="s">
        <v>89</v>
      </c>
      <c r="D54" s="428"/>
      <c r="E54" s="425"/>
      <c r="F54" s="428">
        <f t="shared" si="9"/>
        <v>0</v>
      </c>
      <c r="G54" s="428">
        <v>0</v>
      </c>
      <c r="H54" s="428"/>
      <c r="I54" s="428"/>
      <c r="J54" s="428"/>
      <c r="K54" s="428">
        <f>F54*(1+[1]INPUT!C$10)</f>
        <v>0</v>
      </c>
    </row>
    <row r="55" spans="1:11" s="285" customFormat="1" x14ac:dyDescent="0.25">
      <c r="A55" s="118">
        <v>12</v>
      </c>
      <c r="B55" s="151">
        <v>5275</v>
      </c>
      <c r="C55" s="94" t="s">
        <v>93</v>
      </c>
      <c r="D55" s="428"/>
      <c r="E55" s="425"/>
      <c r="F55" s="428">
        <f t="shared" si="9"/>
        <v>0</v>
      </c>
      <c r="G55" s="428">
        <v>0</v>
      </c>
      <c r="H55" s="428"/>
      <c r="I55" s="428"/>
      <c r="J55" s="428"/>
      <c r="K55" s="428">
        <f>F55*(1+[1]INPUT!C$10)</f>
        <v>0</v>
      </c>
    </row>
    <row r="56" spans="1:11" s="285" customFormat="1" x14ac:dyDescent="0.25">
      <c r="A56" s="118">
        <v>12</v>
      </c>
      <c r="B56" s="151">
        <v>5280</v>
      </c>
      <c r="C56" s="94" t="s">
        <v>94</v>
      </c>
      <c r="D56" s="428"/>
      <c r="E56" s="425"/>
      <c r="F56" s="428">
        <f t="shared" si="9"/>
        <v>0</v>
      </c>
      <c r="G56" s="428">
        <v>0</v>
      </c>
      <c r="H56" s="428"/>
      <c r="I56" s="428"/>
      <c r="J56" s="428"/>
      <c r="K56" s="428">
        <f>F56*(1+[1]INPUT!C$10)</f>
        <v>0</v>
      </c>
    </row>
    <row r="57" spans="1:11" s="285" customFormat="1" x14ac:dyDescent="0.25">
      <c r="A57" s="118">
        <v>12</v>
      </c>
      <c r="B57" s="151">
        <v>5285</v>
      </c>
      <c r="C57" s="94" t="s">
        <v>60</v>
      </c>
      <c r="D57" s="428"/>
      <c r="E57" s="428"/>
      <c r="F57" s="428">
        <f t="shared" si="9"/>
        <v>0</v>
      </c>
      <c r="G57" s="428">
        <v>0</v>
      </c>
      <c r="H57" s="428"/>
      <c r="I57" s="428"/>
      <c r="J57" s="428"/>
      <c r="K57" s="428">
        <f>F57*(1+[1]INPUT!C$10)</f>
        <v>0</v>
      </c>
    </row>
    <row r="58" spans="1:11" s="285" customFormat="1" x14ac:dyDescent="0.25">
      <c r="A58" s="118">
        <v>12</v>
      </c>
      <c r="B58" s="151">
        <v>5290</v>
      </c>
      <c r="C58" s="94" t="s">
        <v>186</v>
      </c>
      <c r="D58" s="428"/>
      <c r="E58" s="425"/>
      <c r="F58" s="428">
        <f t="shared" si="9"/>
        <v>0</v>
      </c>
      <c r="G58" s="428">
        <v>0</v>
      </c>
      <c r="H58" s="428"/>
      <c r="I58" s="428"/>
      <c r="J58" s="428"/>
      <c r="K58" s="428">
        <f>F58*(1+[1]INPUT!C$10)</f>
        <v>0</v>
      </c>
    </row>
    <row r="59" spans="1:11" s="285" customFormat="1" x14ac:dyDescent="0.25">
      <c r="A59" s="344"/>
      <c r="B59" s="151"/>
      <c r="C59" s="94"/>
      <c r="D59" s="439">
        <f t="shared" ref="D59:K59" si="10">SUM(D40:D58)</f>
        <v>10964</v>
      </c>
      <c r="E59" s="439">
        <f t="shared" si="10"/>
        <v>12122</v>
      </c>
      <c r="F59" s="439">
        <f t="shared" si="10"/>
        <v>12122</v>
      </c>
      <c r="G59" s="439">
        <f t="shared" si="10"/>
        <v>12122</v>
      </c>
      <c r="H59" s="439">
        <f t="shared" si="10"/>
        <v>0</v>
      </c>
      <c r="I59" s="439"/>
      <c r="J59" s="439">
        <f t="shared" si="10"/>
        <v>0</v>
      </c>
      <c r="K59" s="439">
        <f t="shared" si="10"/>
        <v>0</v>
      </c>
    </row>
    <row r="60" spans="1:11" s="285" customFormat="1" hidden="1" x14ac:dyDescent="0.25">
      <c r="A60" s="344"/>
      <c r="B60" s="151"/>
      <c r="C60" s="93" t="s">
        <v>198</v>
      </c>
      <c r="D60" s="428"/>
      <c r="E60" s="112"/>
      <c r="F60" s="112"/>
      <c r="G60" s="112"/>
      <c r="H60" s="112"/>
      <c r="I60" s="112"/>
      <c r="J60" s="112"/>
      <c r="K60" s="425"/>
    </row>
    <row r="61" spans="1:11" s="285" customFormat="1" hidden="1" x14ac:dyDescent="0.25">
      <c r="A61" s="118">
        <v>12</v>
      </c>
      <c r="B61" s="151">
        <v>5400</v>
      </c>
      <c r="C61" s="94" t="s">
        <v>334</v>
      </c>
      <c r="D61" s="428"/>
      <c r="E61" s="86"/>
      <c r="F61" s="428">
        <f>0/8*12</f>
        <v>0</v>
      </c>
      <c r="G61" s="86">
        <v>0</v>
      </c>
      <c r="H61" s="86"/>
      <c r="I61" s="86"/>
      <c r="J61" s="86"/>
      <c r="K61" s="428"/>
    </row>
    <row r="62" spans="1:11" s="285" customFormat="1" hidden="1" x14ac:dyDescent="0.25">
      <c r="A62" s="118">
        <v>12</v>
      </c>
      <c r="B62" s="151">
        <v>5405</v>
      </c>
      <c r="C62" s="94" t="s">
        <v>335</v>
      </c>
      <c r="D62" s="428"/>
      <c r="E62" s="425"/>
      <c r="F62" s="428">
        <f>0/8*12</f>
        <v>0</v>
      </c>
      <c r="G62" s="428">
        <v>0</v>
      </c>
      <c r="H62" s="428"/>
      <c r="I62" s="428"/>
      <c r="J62" s="428"/>
      <c r="K62" s="425"/>
    </row>
    <row r="63" spans="1:11" s="285" customFormat="1" hidden="1" x14ac:dyDescent="0.25">
      <c r="A63" s="344"/>
      <c r="B63" s="151"/>
      <c r="C63" s="94"/>
      <c r="D63" s="429">
        <f>SUM(D61:D62)</f>
        <v>0</v>
      </c>
      <c r="E63" s="429">
        <f>SUM(E61:E62)</f>
        <v>0</v>
      </c>
      <c r="F63" s="429">
        <f>SUM(F61:F62)</f>
        <v>0</v>
      </c>
      <c r="G63" s="429">
        <f>SUM(G61:G62)</f>
        <v>0</v>
      </c>
      <c r="H63" s="429"/>
      <c r="I63" s="429"/>
      <c r="J63" s="429"/>
      <c r="K63" s="429">
        <f>SUM(K61:K62)</f>
        <v>0</v>
      </c>
    </row>
    <row r="64" spans="1:11" s="285" customFormat="1" hidden="1" x14ac:dyDescent="0.25">
      <c r="A64" s="344"/>
      <c r="B64" s="151"/>
      <c r="C64" s="93" t="s">
        <v>61</v>
      </c>
      <c r="D64" s="428"/>
      <c r="E64" s="86"/>
      <c r="F64" s="86"/>
      <c r="G64" s="86"/>
      <c r="H64" s="86"/>
      <c r="I64" s="86"/>
      <c r="J64" s="86"/>
      <c r="K64" s="428"/>
    </row>
    <row r="65" spans="1:11" s="285" customFormat="1" hidden="1" x14ac:dyDescent="0.25">
      <c r="A65" s="118">
        <v>12</v>
      </c>
      <c r="B65" s="151">
        <v>5450</v>
      </c>
      <c r="C65" s="94" t="s">
        <v>351</v>
      </c>
      <c r="D65" s="428"/>
      <c r="E65" s="425"/>
      <c r="F65" s="428">
        <f>0/8*12</f>
        <v>0</v>
      </c>
      <c r="G65" s="428">
        <v>0</v>
      </c>
      <c r="H65" s="428"/>
      <c r="I65" s="428"/>
      <c r="J65" s="428"/>
      <c r="K65" s="425"/>
    </row>
    <row r="66" spans="1:11" s="285" customFormat="1" hidden="1" x14ac:dyDescent="0.25">
      <c r="A66" s="344"/>
      <c r="B66" s="151"/>
      <c r="C66" s="94"/>
      <c r="D66" s="429"/>
      <c r="E66" s="429">
        <f t="shared" ref="E66:K66" si="11">E65</f>
        <v>0</v>
      </c>
      <c r="F66" s="429">
        <f t="shared" si="11"/>
        <v>0</v>
      </c>
      <c r="G66" s="429">
        <v>0</v>
      </c>
      <c r="H66" s="429"/>
      <c r="I66" s="429"/>
      <c r="J66" s="429"/>
      <c r="K66" s="429">
        <f t="shared" si="11"/>
        <v>0</v>
      </c>
    </row>
    <row r="67" spans="1:11" s="285" customFormat="1" hidden="1" x14ac:dyDescent="0.25">
      <c r="A67" s="344"/>
      <c r="B67" s="151"/>
      <c r="C67" s="93" t="s">
        <v>96</v>
      </c>
      <c r="D67" s="428"/>
      <c r="E67" s="86"/>
      <c r="F67" s="86"/>
      <c r="G67" s="86"/>
      <c r="H67" s="86"/>
      <c r="I67" s="86"/>
      <c r="J67" s="86"/>
      <c r="K67" s="428"/>
    </row>
    <row r="68" spans="1:11" s="285" customFormat="1" hidden="1" x14ac:dyDescent="0.25">
      <c r="A68" s="118">
        <v>12</v>
      </c>
      <c r="B68" s="151">
        <v>5470</v>
      </c>
      <c r="C68" s="94" t="s">
        <v>97</v>
      </c>
      <c r="D68" s="428"/>
      <c r="E68" s="86"/>
      <c r="F68" s="428">
        <f>0/8*12</f>
        <v>0</v>
      </c>
      <c r="G68" s="428">
        <v>0</v>
      </c>
      <c r="H68" s="428"/>
      <c r="I68" s="428"/>
      <c r="J68" s="428"/>
      <c r="K68" s="428">
        <f>F68*(1+[1]INPUT!C11)</f>
        <v>0</v>
      </c>
    </row>
    <row r="69" spans="1:11" s="285" customFormat="1" hidden="1" x14ac:dyDescent="0.25">
      <c r="A69" s="118">
        <v>12</v>
      </c>
      <c r="B69" s="151">
        <v>5475</v>
      </c>
      <c r="C69" s="94" t="s">
        <v>134</v>
      </c>
      <c r="D69" s="428"/>
      <c r="E69" s="86"/>
      <c r="F69" s="428">
        <f>0/8*12</f>
        <v>0</v>
      </c>
      <c r="G69" s="428">
        <v>0</v>
      </c>
      <c r="H69" s="428"/>
      <c r="I69" s="428"/>
      <c r="J69" s="428"/>
      <c r="K69" s="428">
        <f>F69*(1+[1]INPUT!C12)</f>
        <v>0</v>
      </c>
    </row>
    <row r="70" spans="1:11" s="285" customFormat="1" hidden="1" x14ac:dyDescent="0.25">
      <c r="A70" s="344"/>
      <c r="B70" s="151"/>
      <c r="C70" s="94"/>
      <c r="D70" s="439"/>
      <c r="E70" s="439">
        <f t="shared" ref="E70:K70" si="12">SUM(E68:E69)</f>
        <v>0</v>
      </c>
      <c r="F70" s="439">
        <f t="shared" si="12"/>
        <v>0</v>
      </c>
      <c r="G70" s="439">
        <v>0</v>
      </c>
      <c r="H70" s="439"/>
      <c r="I70" s="439"/>
      <c r="J70" s="439"/>
      <c r="K70" s="429">
        <f t="shared" si="12"/>
        <v>0</v>
      </c>
    </row>
    <row r="71" spans="1:11" s="285" customFormat="1" x14ac:dyDescent="0.25">
      <c r="A71" s="344"/>
      <c r="B71" s="151"/>
      <c r="C71" s="93" t="s">
        <v>62</v>
      </c>
      <c r="D71" s="88"/>
      <c r="E71" s="113"/>
      <c r="F71" s="113"/>
      <c r="G71" s="113"/>
      <c r="H71" s="113"/>
      <c r="I71" s="113"/>
      <c r="J71" s="113"/>
      <c r="K71" s="88"/>
    </row>
    <row r="72" spans="1:11" s="285" customFormat="1" x14ac:dyDescent="0.25">
      <c r="A72" s="118">
        <v>12</v>
      </c>
      <c r="B72" s="151">
        <v>5505</v>
      </c>
      <c r="C72" s="94" t="s">
        <v>259</v>
      </c>
      <c r="D72" s="428"/>
      <c r="E72" s="428"/>
      <c r="F72" s="428"/>
      <c r="G72" s="428"/>
      <c r="H72" s="428"/>
      <c r="I72" s="428"/>
      <c r="J72" s="428"/>
      <c r="K72" s="428"/>
    </row>
    <row r="73" spans="1:11" s="285" customFormat="1" x14ac:dyDescent="0.25">
      <c r="A73" s="118">
        <v>12</v>
      </c>
      <c r="B73" s="151">
        <v>5510</v>
      </c>
      <c r="C73" s="94" t="s">
        <v>63</v>
      </c>
      <c r="D73" s="428"/>
      <c r="E73" s="428">
        <v>6764</v>
      </c>
      <c r="F73" s="428">
        <v>6764</v>
      </c>
      <c r="G73" s="428">
        <v>6764</v>
      </c>
      <c r="H73" s="428">
        <f t="shared" ref="H73:H104" si="13">+(F73*0.1)+F73</f>
        <v>7440.4</v>
      </c>
      <c r="I73" s="428"/>
      <c r="J73" s="428"/>
      <c r="K73" s="428"/>
    </row>
    <row r="74" spans="1:11" s="285" customFormat="1" hidden="1" x14ac:dyDescent="0.25">
      <c r="A74" s="118">
        <v>12</v>
      </c>
      <c r="B74" s="151">
        <v>5520</v>
      </c>
      <c r="C74" s="94" t="s">
        <v>260</v>
      </c>
      <c r="D74" s="428"/>
      <c r="E74" s="428"/>
      <c r="F74" s="428">
        <v>0</v>
      </c>
      <c r="G74" s="428">
        <v>0</v>
      </c>
      <c r="H74" s="428">
        <f t="shared" si="13"/>
        <v>0</v>
      </c>
      <c r="I74" s="428"/>
      <c r="J74" s="428"/>
      <c r="K74" s="428"/>
    </row>
    <row r="75" spans="1:11" s="285" customFormat="1" hidden="1" x14ac:dyDescent="0.25">
      <c r="A75" s="118">
        <v>12</v>
      </c>
      <c r="B75" s="151">
        <v>5525</v>
      </c>
      <c r="C75" s="94" t="s">
        <v>261</v>
      </c>
      <c r="D75" s="428"/>
      <c r="E75" s="428"/>
      <c r="F75" s="428">
        <v>0</v>
      </c>
      <c r="G75" s="428">
        <v>0</v>
      </c>
      <c r="H75" s="428">
        <f t="shared" si="13"/>
        <v>0</v>
      </c>
      <c r="I75" s="428"/>
      <c r="J75" s="428"/>
      <c r="K75" s="428"/>
    </row>
    <row r="76" spans="1:11" s="285" customFormat="1" hidden="1" x14ac:dyDescent="0.25">
      <c r="A76" s="118">
        <v>12</v>
      </c>
      <c r="B76" s="151">
        <v>5530</v>
      </c>
      <c r="C76" s="94" t="s">
        <v>262</v>
      </c>
      <c r="D76" s="428"/>
      <c r="E76" s="428"/>
      <c r="F76" s="428">
        <v>0</v>
      </c>
      <c r="G76" s="428">
        <v>0</v>
      </c>
      <c r="H76" s="428">
        <f t="shared" si="13"/>
        <v>0</v>
      </c>
      <c r="I76" s="428"/>
      <c r="J76" s="428"/>
      <c r="K76" s="428"/>
    </row>
    <row r="77" spans="1:11" s="285" customFormat="1" x14ac:dyDescent="0.25">
      <c r="A77" s="118">
        <v>12</v>
      </c>
      <c r="B77" s="151">
        <v>5535</v>
      </c>
      <c r="C77" s="94" t="s">
        <v>263</v>
      </c>
      <c r="D77" s="428">
        <v>19017</v>
      </c>
      <c r="E77" s="428">
        <v>15000</v>
      </c>
      <c r="F77" s="428">
        <v>15000</v>
      </c>
      <c r="G77" s="428">
        <v>15000</v>
      </c>
      <c r="H77" s="428">
        <f t="shared" si="13"/>
        <v>16500</v>
      </c>
      <c r="I77" s="428">
        <f>10800*1.71428571428571*1.058</f>
        <v>19588.114285714237</v>
      </c>
      <c r="J77" s="428">
        <f>+I77*1.055</f>
        <v>20665.460571428517</v>
      </c>
      <c r="K77" s="428">
        <f>+J77*1.053</f>
        <v>21760.729981714227</v>
      </c>
    </row>
    <row r="78" spans="1:11" s="285" customFormat="1" x14ac:dyDescent="0.25">
      <c r="A78" s="118">
        <v>12</v>
      </c>
      <c r="B78" s="151">
        <v>5540</v>
      </c>
      <c r="C78" s="94" t="s">
        <v>264</v>
      </c>
      <c r="D78" s="428">
        <v>27344</v>
      </c>
      <c r="E78" s="428">
        <v>30000</v>
      </c>
      <c r="F78" s="428">
        <v>30000</v>
      </c>
      <c r="G78" s="428">
        <v>30000</v>
      </c>
      <c r="H78" s="428">
        <f t="shared" si="13"/>
        <v>33000</v>
      </c>
      <c r="I78" s="428">
        <v>23578</v>
      </c>
      <c r="J78" s="428">
        <f>+I78*1.055</f>
        <v>24874.789999999997</v>
      </c>
      <c r="K78" s="428">
        <f>+J78*1.053</f>
        <v>26193.153869999995</v>
      </c>
    </row>
    <row r="79" spans="1:11" s="285" customFormat="1" ht="13.5" customHeight="1" x14ac:dyDescent="0.25">
      <c r="A79" s="118">
        <v>12</v>
      </c>
      <c r="B79" s="151">
        <v>5545</v>
      </c>
      <c r="C79" s="94" t="s">
        <v>265</v>
      </c>
      <c r="D79" s="428"/>
      <c r="E79" s="428"/>
      <c r="F79" s="428">
        <v>0</v>
      </c>
      <c r="G79" s="428">
        <v>0</v>
      </c>
      <c r="H79" s="428">
        <f t="shared" si="13"/>
        <v>0</v>
      </c>
      <c r="I79" s="428"/>
      <c r="J79" s="428"/>
      <c r="K79" s="428"/>
    </row>
    <row r="80" spans="1:11" s="285" customFormat="1" x14ac:dyDescent="0.25">
      <c r="A80" s="118">
        <v>12</v>
      </c>
      <c r="B80" s="151">
        <v>5550</v>
      </c>
      <c r="C80" s="94" t="s">
        <v>267</v>
      </c>
      <c r="D80" s="428"/>
      <c r="E80" s="428"/>
      <c r="F80" s="428">
        <v>0</v>
      </c>
      <c r="G80" s="428">
        <v>0</v>
      </c>
      <c r="H80" s="428">
        <f t="shared" si="13"/>
        <v>0</v>
      </c>
      <c r="I80" s="428"/>
      <c r="J80" s="428"/>
      <c r="K80" s="428"/>
    </row>
    <row r="81" spans="1:11" s="285" customFormat="1" x14ac:dyDescent="0.25">
      <c r="A81" s="118">
        <v>12</v>
      </c>
      <c r="B81" s="151">
        <v>5555</v>
      </c>
      <c r="C81" s="94" t="s">
        <v>268</v>
      </c>
      <c r="D81" s="428"/>
      <c r="E81" s="428"/>
      <c r="F81" s="428">
        <v>0</v>
      </c>
      <c r="G81" s="428">
        <v>0</v>
      </c>
      <c r="H81" s="428">
        <f t="shared" si="13"/>
        <v>0</v>
      </c>
      <c r="I81" s="428"/>
      <c r="J81" s="428"/>
      <c r="K81" s="428"/>
    </row>
    <row r="82" spans="1:11" s="285" customFormat="1" x14ac:dyDescent="0.25">
      <c r="A82" s="118">
        <v>12</v>
      </c>
      <c r="B82" s="151">
        <v>5560</v>
      </c>
      <c r="C82" s="94" t="s">
        <v>269</v>
      </c>
      <c r="D82" s="428">
        <v>20674</v>
      </c>
      <c r="E82" s="428">
        <v>22858</v>
      </c>
      <c r="F82" s="428">
        <v>22858</v>
      </c>
      <c r="G82" s="428">
        <v>22858</v>
      </c>
      <c r="H82" s="428">
        <f t="shared" si="13"/>
        <v>25143.8</v>
      </c>
      <c r="I82" s="428"/>
      <c r="J82" s="428"/>
      <c r="K82" s="428"/>
    </row>
    <row r="83" spans="1:11" s="285" customFormat="1" x14ac:dyDescent="0.25">
      <c r="A83" s="118">
        <v>12</v>
      </c>
      <c r="B83" s="151">
        <v>5565</v>
      </c>
      <c r="C83" s="94" t="s">
        <v>246</v>
      </c>
      <c r="D83" s="428"/>
      <c r="E83" s="428"/>
      <c r="F83" s="428">
        <v>0</v>
      </c>
      <c r="G83" s="428">
        <v>0</v>
      </c>
      <c r="H83" s="428">
        <f t="shared" si="13"/>
        <v>0</v>
      </c>
      <c r="I83" s="428"/>
      <c r="J83" s="428"/>
      <c r="K83" s="428"/>
    </row>
    <row r="84" spans="1:11" s="285" customFormat="1" x14ac:dyDescent="0.25">
      <c r="A84" s="118">
        <v>12</v>
      </c>
      <c r="B84" s="151">
        <v>5570</v>
      </c>
      <c r="C84" s="94" t="s">
        <v>270</v>
      </c>
      <c r="D84" s="428">
        <v>6443</v>
      </c>
      <c r="E84" s="428">
        <v>7123</v>
      </c>
      <c r="F84" s="428">
        <v>7123</v>
      </c>
      <c r="G84" s="428">
        <v>7123</v>
      </c>
      <c r="H84" s="428">
        <f t="shared" si="13"/>
        <v>7835.3</v>
      </c>
      <c r="I84" s="428"/>
      <c r="J84" s="428"/>
      <c r="K84" s="428"/>
    </row>
    <row r="85" spans="1:11" s="285" customFormat="1" x14ac:dyDescent="0.25">
      <c r="A85" s="118">
        <v>12</v>
      </c>
      <c r="B85" s="151">
        <v>5575</v>
      </c>
      <c r="C85" s="94" t="s">
        <v>271</v>
      </c>
      <c r="D85" s="428">
        <v>206032</v>
      </c>
      <c r="E85" s="428">
        <v>45000</v>
      </c>
      <c r="F85" s="428">
        <v>45000</v>
      </c>
      <c r="G85" s="428">
        <v>45000</v>
      </c>
      <c r="H85" s="428">
        <f t="shared" si="13"/>
        <v>49500</v>
      </c>
      <c r="I85" s="428"/>
      <c r="J85" s="428"/>
      <c r="K85" s="428"/>
    </row>
    <row r="86" spans="1:11" s="285" customFormat="1" x14ac:dyDescent="0.25">
      <c r="A86" s="118">
        <v>12</v>
      </c>
      <c r="B86" s="151">
        <v>5580</v>
      </c>
      <c r="C86" s="94" t="s">
        <v>272</v>
      </c>
      <c r="D86" s="428">
        <v>12237</v>
      </c>
      <c r="E86" s="428">
        <v>30000</v>
      </c>
      <c r="F86" s="428">
        <v>30000</v>
      </c>
      <c r="G86" s="428">
        <v>30000</v>
      </c>
      <c r="H86" s="428">
        <f t="shared" si="13"/>
        <v>33000</v>
      </c>
      <c r="I86" s="428"/>
      <c r="J86" s="428"/>
      <c r="K86" s="428"/>
    </row>
    <row r="87" spans="1:11" s="285" customFormat="1" x14ac:dyDescent="0.25">
      <c r="A87" s="118">
        <v>12</v>
      </c>
      <c r="B87" s="151">
        <v>5585</v>
      </c>
      <c r="C87" s="94" t="s">
        <v>273</v>
      </c>
      <c r="D87" s="86">
        <v>13638</v>
      </c>
      <c r="E87" s="428">
        <v>20000</v>
      </c>
      <c r="F87" s="428">
        <v>20000</v>
      </c>
      <c r="G87" s="428">
        <v>20000</v>
      </c>
      <c r="H87" s="428">
        <f t="shared" si="13"/>
        <v>22000</v>
      </c>
      <c r="I87" s="428"/>
      <c r="J87" s="428"/>
      <c r="K87" s="428"/>
    </row>
    <row r="88" spans="1:11" s="285" customFormat="1" x14ac:dyDescent="0.25">
      <c r="A88" s="118">
        <v>12</v>
      </c>
      <c r="B88" s="151">
        <v>5590</v>
      </c>
      <c r="C88" s="94" t="s">
        <v>274</v>
      </c>
      <c r="D88" s="86">
        <v>37504</v>
      </c>
      <c r="E88" s="428">
        <v>44800</v>
      </c>
      <c r="F88" s="428">
        <v>44800</v>
      </c>
      <c r="G88" s="428">
        <v>44800</v>
      </c>
      <c r="H88" s="428">
        <f t="shared" si="13"/>
        <v>49280</v>
      </c>
      <c r="I88" s="428">
        <f>15698*1.71428571428571*1.058</f>
        <v>28471.686857142788</v>
      </c>
      <c r="J88" s="428">
        <f>+I88*1.055</f>
        <v>30037.62963428564</v>
      </c>
      <c r="K88" s="428">
        <f>+J88*1.053</f>
        <v>31629.624004902777</v>
      </c>
    </row>
    <row r="89" spans="1:11" s="285" customFormat="1" x14ac:dyDescent="0.25">
      <c r="A89" s="118">
        <v>12</v>
      </c>
      <c r="B89" s="151">
        <v>5595</v>
      </c>
      <c r="C89" s="94" t="s">
        <v>393</v>
      </c>
      <c r="D89" s="428">
        <v>113644</v>
      </c>
      <c r="E89" s="428">
        <v>40000</v>
      </c>
      <c r="F89" s="428">
        <v>40000</v>
      </c>
      <c r="G89" s="428">
        <v>40000</v>
      </c>
      <c r="H89" s="428">
        <f t="shared" si="13"/>
        <v>44000</v>
      </c>
      <c r="I89" s="428">
        <f>+H89*1.71428571428571*1.058</f>
        <v>79803.428571428376</v>
      </c>
      <c r="J89" s="428">
        <f>+I89*1.055</f>
        <v>84192.617142856936</v>
      </c>
      <c r="K89" s="428">
        <f>+J89*1.053</f>
        <v>88654.825851428352</v>
      </c>
    </row>
    <row r="90" spans="1:11" s="285" customFormat="1" x14ac:dyDescent="0.25">
      <c r="A90" s="118">
        <v>12</v>
      </c>
      <c r="B90" s="151">
        <v>5600</v>
      </c>
      <c r="C90" s="159" t="s">
        <v>276</v>
      </c>
      <c r="D90" s="428"/>
      <c r="E90" s="428"/>
      <c r="F90" s="428">
        <v>0</v>
      </c>
      <c r="G90" s="428">
        <v>0</v>
      </c>
      <c r="H90" s="428">
        <f t="shared" si="13"/>
        <v>0</v>
      </c>
      <c r="I90" s="428"/>
      <c r="J90" s="428"/>
      <c r="K90" s="428"/>
    </row>
    <row r="91" spans="1:11" s="285" customFormat="1" x14ac:dyDescent="0.25">
      <c r="A91" s="118">
        <v>12</v>
      </c>
      <c r="B91" s="151">
        <v>5605</v>
      </c>
      <c r="C91" s="159" t="s">
        <v>277</v>
      </c>
      <c r="D91" s="428"/>
      <c r="E91" s="428"/>
      <c r="F91" s="428">
        <v>0</v>
      </c>
      <c r="G91" s="428">
        <v>0</v>
      </c>
      <c r="H91" s="428">
        <f t="shared" si="13"/>
        <v>0</v>
      </c>
      <c r="I91" s="428"/>
      <c r="J91" s="428"/>
      <c r="K91" s="428"/>
    </row>
    <row r="92" spans="1:11" s="285" customFormat="1" x14ac:dyDescent="0.25">
      <c r="A92" s="118">
        <v>12</v>
      </c>
      <c r="B92" s="151">
        <v>5610</v>
      </c>
      <c r="C92" s="159" t="s">
        <v>278</v>
      </c>
      <c r="D92" s="428">
        <v>39500</v>
      </c>
      <c r="E92" s="428">
        <v>150000</v>
      </c>
      <c r="F92" s="428">
        <v>150000</v>
      </c>
      <c r="G92" s="428">
        <v>150000</v>
      </c>
      <c r="H92" s="428">
        <f t="shared" si="13"/>
        <v>165000</v>
      </c>
      <c r="I92" s="428">
        <v>75000</v>
      </c>
      <c r="J92" s="428">
        <f>+I92*1.055</f>
        <v>79125</v>
      </c>
      <c r="K92" s="428">
        <f>+J92*1.053</f>
        <v>83318.625</v>
      </c>
    </row>
    <row r="93" spans="1:11" s="285" customFormat="1" x14ac:dyDescent="0.25">
      <c r="A93" s="118">
        <v>12</v>
      </c>
      <c r="B93" s="151">
        <v>5615</v>
      </c>
      <c r="C93" s="159" t="s">
        <v>279</v>
      </c>
      <c r="D93" s="428"/>
      <c r="E93" s="428"/>
      <c r="F93" s="428">
        <v>0</v>
      </c>
      <c r="G93" s="428">
        <v>0</v>
      </c>
      <c r="H93" s="428">
        <f t="shared" si="13"/>
        <v>0</v>
      </c>
      <c r="I93" s="428"/>
      <c r="J93" s="428"/>
      <c r="K93" s="428"/>
    </row>
    <row r="94" spans="1:11" s="285" customFormat="1" x14ac:dyDescent="0.25">
      <c r="A94" s="118">
        <v>12</v>
      </c>
      <c r="B94" s="151">
        <v>5620</v>
      </c>
      <c r="C94" s="159" t="s">
        <v>506</v>
      </c>
      <c r="D94" s="428">
        <v>305019</v>
      </c>
      <c r="E94" s="428">
        <v>420000</v>
      </c>
      <c r="F94" s="428">
        <v>420000</v>
      </c>
      <c r="G94" s="428">
        <v>420000</v>
      </c>
      <c r="H94" s="428">
        <f t="shared" si="13"/>
        <v>462000</v>
      </c>
      <c r="I94" s="428">
        <v>350000</v>
      </c>
      <c r="J94" s="428">
        <f>+I94*1.055</f>
        <v>369250</v>
      </c>
      <c r="K94" s="428">
        <f>+J94*1.053</f>
        <v>388820.25</v>
      </c>
    </row>
    <row r="95" spans="1:11" s="285" customFormat="1" ht="13.5" customHeight="1" x14ac:dyDescent="0.25">
      <c r="A95" s="118">
        <v>12</v>
      </c>
      <c r="B95" s="151">
        <v>5625</v>
      </c>
      <c r="C95" s="159" t="s">
        <v>281</v>
      </c>
      <c r="D95" s="428"/>
      <c r="E95" s="428"/>
      <c r="F95" s="428">
        <v>0</v>
      </c>
      <c r="G95" s="428">
        <v>0</v>
      </c>
      <c r="H95" s="428">
        <f t="shared" si="13"/>
        <v>0</v>
      </c>
      <c r="I95" s="428"/>
      <c r="J95" s="428"/>
      <c r="K95" s="428"/>
    </row>
    <row r="96" spans="1:11" s="285" customFormat="1" x14ac:dyDescent="0.25">
      <c r="A96" s="118">
        <v>12</v>
      </c>
      <c r="B96" s="151">
        <v>5630</v>
      </c>
      <c r="C96" s="159" t="s">
        <v>282</v>
      </c>
      <c r="D96" s="428"/>
      <c r="E96" s="428"/>
      <c r="F96" s="428">
        <v>0</v>
      </c>
      <c r="G96" s="428">
        <v>0</v>
      </c>
      <c r="H96" s="428">
        <f t="shared" si="13"/>
        <v>0</v>
      </c>
      <c r="I96" s="428"/>
      <c r="J96" s="428"/>
      <c r="K96" s="428"/>
    </row>
    <row r="97" spans="1:11" s="285" customFormat="1" x14ac:dyDescent="0.25">
      <c r="A97" s="118">
        <v>12</v>
      </c>
      <c r="B97" s="151">
        <v>5635</v>
      </c>
      <c r="C97" s="159" t="s">
        <v>283</v>
      </c>
      <c r="D97" s="428"/>
      <c r="E97" s="428"/>
      <c r="F97" s="428">
        <v>0</v>
      </c>
      <c r="G97" s="428">
        <v>0</v>
      </c>
      <c r="H97" s="428">
        <f t="shared" si="13"/>
        <v>0</v>
      </c>
      <c r="I97" s="428"/>
      <c r="J97" s="428"/>
      <c r="K97" s="428"/>
    </row>
    <row r="98" spans="1:11" s="285" customFormat="1" x14ac:dyDescent="0.25">
      <c r="A98" s="118">
        <v>12</v>
      </c>
      <c r="B98" s="151">
        <v>5640</v>
      </c>
      <c r="C98" s="159" t="s">
        <v>284</v>
      </c>
      <c r="D98" s="428">
        <v>400840</v>
      </c>
      <c r="E98" s="428">
        <v>60000</v>
      </c>
      <c r="F98" s="428">
        <v>60000</v>
      </c>
      <c r="G98" s="428">
        <v>60000</v>
      </c>
      <c r="H98" s="428">
        <f t="shared" si="13"/>
        <v>66000</v>
      </c>
      <c r="I98" s="428">
        <f>+H98*1.058</f>
        <v>69828</v>
      </c>
      <c r="J98" s="428">
        <f>+I98*1.055</f>
        <v>73668.539999999994</v>
      </c>
      <c r="K98" s="428">
        <f>+J98*1.053</f>
        <v>77572.972619999986</v>
      </c>
    </row>
    <row r="99" spans="1:11" s="285" customFormat="1" x14ac:dyDescent="0.25">
      <c r="A99" s="118">
        <v>12</v>
      </c>
      <c r="B99" s="151">
        <v>5645</v>
      </c>
      <c r="C99" s="159" t="s">
        <v>285</v>
      </c>
      <c r="D99" s="428"/>
      <c r="E99" s="428"/>
      <c r="F99" s="428">
        <v>0</v>
      </c>
      <c r="G99" s="428">
        <v>0</v>
      </c>
      <c r="H99" s="428">
        <f t="shared" si="13"/>
        <v>0</v>
      </c>
      <c r="I99" s="428"/>
      <c r="J99" s="428"/>
      <c r="K99" s="428"/>
    </row>
    <row r="100" spans="1:11" s="285" customFormat="1" x14ac:dyDescent="0.25">
      <c r="A100" s="118">
        <v>12</v>
      </c>
      <c r="B100" s="151">
        <v>5650</v>
      </c>
      <c r="C100" s="159" t="s">
        <v>286</v>
      </c>
      <c r="D100" s="428"/>
      <c r="E100" s="428"/>
      <c r="F100" s="428">
        <v>0</v>
      </c>
      <c r="G100" s="428">
        <v>0</v>
      </c>
      <c r="H100" s="428">
        <f t="shared" si="13"/>
        <v>0</v>
      </c>
      <c r="I100" s="428"/>
      <c r="J100" s="428"/>
      <c r="K100" s="428"/>
    </row>
    <row r="101" spans="1:11" s="285" customFormat="1" x14ac:dyDescent="0.25">
      <c r="A101" s="118">
        <v>12</v>
      </c>
      <c r="B101" s="151">
        <v>5655</v>
      </c>
      <c r="C101" s="159" t="s">
        <v>287</v>
      </c>
      <c r="D101" s="428"/>
      <c r="E101" s="428"/>
      <c r="F101" s="428">
        <v>0</v>
      </c>
      <c r="G101" s="428">
        <v>0</v>
      </c>
      <c r="H101" s="428">
        <f t="shared" si="13"/>
        <v>0</v>
      </c>
      <c r="I101" s="428"/>
      <c r="J101" s="428"/>
      <c r="K101" s="428"/>
    </row>
    <row r="102" spans="1:11" s="285" customFormat="1" x14ac:dyDescent="0.25">
      <c r="A102" s="118">
        <v>12</v>
      </c>
      <c r="B102" s="151">
        <v>5660</v>
      </c>
      <c r="C102" s="159" t="s">
        <v>288</v>
      </c>
      <c r="D102" s="428"/>
      <c r="E102" s="428"/>
      <c r="F102" s="428">
        <f t="shared" ref="F102:F143" si="14">E102-D102</f>
        <v>0</v>
      </c>
      <c r="G102" s="428">
        <v>0</v>
      </c>
      <c r="H102" s="428">
        <f t="shared" si="13"/>
        <v>0</v>
      </c>
      <c r="I102" s="428"/>
      <c r="J102" s="428"/>
      <c r="K102" s="428"/>
    </row>
    <row r="103" spans="1:11" s="285" customFormat="1" x14ac:dyDescent="0.25">
      <c r="A103" s="118">
        <v>12</v>
      </c>
      <c r="B103" s="151">
        <v>5665</v>
      </c>
      <c r="C103" s="94" t="s">
        <v>501</v>
      </c>
      <c r="D103" s="428"/>
      <c r="E103" s="428"/>
      <c r="F103" s="428">
        <f t="shared" si="14"/>
        <v>0</v>
      </c>
      <c r="G103" s="428">
        <v>0</v>
      </c>
      <c r="H103" s="428">
        <f t="shared" si="13"/>
        <v>0</v>
      </c>
      <c r="I103" s="428"/>
      <c r="J103" s="428"/>
      <c r="K103" s="428"/>
    </row>
    <row r="104" spans="1:11" s="285" customFormat="1" x14ac:dyDescent="0.25">
      <c r="A104" s="118">
        <v>12</v>
      </c>
      <c r="B104" s="151">
        <v>5670</v>
      </c>
      <c r="C104" s="94" t="s">
        <v>290</v>
      </c>
      <c r="D104" s="428"/>
      <c r="E104" s="428"/>
      <c r="F104" s="428">
        <f t="shared" si="14"/>
        <v>0</v>
      </c>
      <c r="G104" s="428">
        <v>0</v>
      </c>
      <c r="H104" s="428">
        <f t="shared" si="13"/>
        <v>0</v>
      </c>
      <c r="I104" s="428"/>
      <c r="J104" s="428"/>
      <c r="K104" s="428"/>
    </row>
    <row r="105" spans="1:11" s="285" customFormat="1" x14ac:dyDescent="0.25">
      <c r="A105" s="118">
        <v>12</v>
      </c>
      <c r="B105" s="151">
        <v>5675</v>
      </c>
      <c r="C105" s="94" t="s">
        <v>291</v>
      </c>
      <c r="D105" s="428"/>
      <c r="E105" s="428"/>
      <c r="F105" s="428">
        <f t="shared" si="14"/>
        <v>0</v>
      </c>
      <c r="G105" s="428">
        <v>0</v>
      </c>
      <c r="H105" s="428">
        <f t="shared" ref="H105:H137" si="15">+(F105*0.1)+F105</f>
        <v>0</v>
      </c>
      <c r="I105" s="428"/>
      <c r="J105" s="428"/>
      <c r="K105" s="428"/>
    </row>
    <row r="106" spans="1:11" s="285" customFormat="1" x14ac:dyDescent="0.25">
      <c r="A106" s="371">
        <v>12</v>
      </c>
      <c r="B106" s="152">
        <v>5680</v>
      </c>
      <c r="C106" s="106" t="s">
        <v>292</v>
      </c>
      <c r="D106" s="383"/>
      <c r="E106" s="383"/>
      <c r="F106" s="383">
        <f t="shared" si="14"/>
        <v>0</v>
      </c>
      <c r="G106" s="428">
        <v>0</v>
      </c>
      <c r="H106" s="428">
        <f t="shared" si="15"/>
        <v>0</v>
      </c>
      <c r="I106" s="428"/>
      <c r="J106" s="428"/>
      <c r="K106" s="428"/>
    </row>
    <row r="107" spans="1:11" s="285" customFormat="1" x14ac:dyDescent="0.25">
      <c r="A107" s="374">
        <v>12</v>
      </c>
      <c r="B107" s="153">
        <v>5685</v>
      </c>
      <c r="C107" s="97" t="s">
        <v>293</v>
      </c>
      <c r="D107" s="88"/>
      <c r="E107" s="88"/>
      <c r="F107" s="88">
        <f t="shared" si="14"/>
        <v>0</v>
      </c>
      <c r="G107" s="428">
        <v>0</v>
      </c>
      <c r="H107" s="428">
        <f t="shared" si="15"/>
        <v>0</v>
      </c>
      <c r="I107" s="428"/>
      <c r="J107" s="428"/>
      <c r="K107" s="428"/>
    </row>
    <row r="108" spans="1:11" s="285" customFormat="1" x14ac:dyDescent="0.25">
      <c r="A108" s="118">
        <v>12</v>
      </c>
      <c r="B108" s="151">
        <v>5690</v>
      </c>
      <c r="C108" s="94" t="s">
        <v>247</v>
      </c>
      <c r="D108" s="428"/>
      <c r="E108" s="428"/>
      <c r="F108" s="428">
        <f t="shared" si="14"/>
        <v>0</v>
      </c>
      <c r="G108" s="428">
        <v>0</v>
      </c>
      <c r="H108" s="428">
        <f t="shared" si="15"/>
        <v>0</v>
      </c>
      <c r="I108" s="428"/>
      <c r="J108" s="428"/>
      <c r="K108" s="428"/>
    </row>
    <row r="109" spans="1:11" s="285" customFormat="1" x14ac:dyDescent="0.25">
      <c r="A109" s="118">
        <v>12</v>
      </c>
      <c r="B109" s="151">
        <v>5695</v>
      </c>
      <c r="C109" s="94" t="s">
        <v>294</v>
      </c>
      <c r="D109" s="428"/>
      <c r="E109" s="428"/>
      <c r="F109" s="428">
        <f t="shared" si="14"/>
        <v>0</v>
      </c>
      <c r="G109" s="428">
        <v>0</v>
      </c>
      <c r="H109" s="428">
        <f t="shared" si="15"/>
        <v>0</v>
      </c>
      <c r="I109" s="428"/>
      <c r="J109" s="428"/>
      <c r="K109" s="428"/>
    </row>
    <row r="110" spans="1:11" s="285" customFormat="1" x14ac:dyDescent="0.25">
      <c r="A110" s="118">
        <v>12</v>
      </c>
      <c r="B110" s="151">
        <v>5700</v>
      </c>
      <c r="C110" s="94" t="s">
        <v>295</v>
      </c>
      <c r="D110" s="428"/>
      <c r="E110" s="428"/>
      <c r="F110" s="428">
        <f t="shared" si="14"/>
        <v>0</v>
      </c>
      <c r="G110" s="428">
        <v>0</v>
      </c>
      <c r="H110" s="428">
        <f t="shared" si="15"/>
        <v>0</v>
      </c>
      <c r="I110" s="428"/>
      <c r="J110" s="428"/>
      <c r="K110" s="428"/>
    </row>
    <row r="111" spans="1:11" s="285" customFormat="1" x14ac:dyDescent="0.25">
      <c r="A111" s="118">
        <v>12</v>
      </c>
      <c r="B111" s="151">
        <v>5710</v>
      </c>
      <c r="C111" s="94" t="s">
        <v>297</v>
      </c>
      <c r="D111" s="428"/>
      <c r="E111" s="428"/>
      <c r="F111" s="428">
        <f t="shared" si="14"/>
        <v>0</v>
      </c>
      <c r="G111" s="428">
        <v>0</v>
      </c>
      <c r="H111" s="428">
        <f t="shared" si="15"/>
        <v>0</v>
      </c>
      <c r="I111" s="428"/>
      <c r="J111" s="428"/>
      <c r="K111" s="428"/>
    </row>
    <row r="112" spans="1:11" s="285" customFormat="1" x14ac:dyDescent="0.25">
      <c r="A112" s="118">
        <v>12</v>
      </c>
      <c r="B112" s="151">
        <v>5715</v>
      </c>
      <c r="C112" s="94" t="s">
        <v>298</v>
      </c>
      <c r="D112" s="428"/>
      <c r="E112" s="428"/>
      <c r="F112" s="428">
        <f t="shared" si="14"/>
        <v>0</v>
      </c>
      <c r="G112" s="428">
        <v>0</v>
      </c>
      <c r="H112" s="428">
        <f t="shared" si="15"/>
        <v>0</v>
      </c>
      <c r="I112" s="428"/>
      <c r="J112" s="428"/>
      <c r="K112" s="428"/>
    </row>
    <row r="113" spans="1:11" s="285" customFormat="1" x14ac:dyDescent="0.25">
      <c r="A113" s="118">
        <v>12</v>
      </c>
      <c r="B113" s="151">
        <v>5720</v>
      </c>
      <c r="C113" s="94" t="s">
        <v>299</v>
      </c>
      <c r="D113" s="428"/>
      <c r="E113" s="428"/>
      <c r="F113" s="428">
        <f t="shared" si="14"/>
        <v>0</v>
      </c>
      <c r="G113" s="428">
        <v>0</v>
      </c>
      <c r="H113" s="428">
        <f t="shared" si="15"/>
        <v>0</v>
      </c>
      <c r="I113" s="428"/>
      <c r="J113" s="428"/>
      <c r="K113" s="428"/>
    </row>
    <row r="114" spans="1:11" s="285" customFormat="1" x14ac:dyDescent="0.25">
      <c r="A114" s="118">
        <v>12</v>
      </c>
      <c r="B114" s="151">
        <v>5730</v>
      </c>
      <c r="C114" s="94" t="s">
        <v>300</v>
      </c>
      <c r="D114" s="428"/>
      <c r="E114" s="428"/>
      <c r="F114" s="428">
        <f t="shared" si="14"/>
        <v>0</v>
      </c>
      <c r="G114" s="428">
        <v>0</v>
      </c>
      <c r="H114" s="428">
        <f t="shared" si="15"/>
        <v>0</v>
      </c>
      <c r="I114" s="428"/>
      <c r="J114" s="428"/>
      <c r="K114" s="428"/>
    </row>
    <row r="115" spans="1:11" s="285" customFormat="1" x14ac:dyDescent="0.25">
      <c r="A115" s="118">
        <v>12</v>
      </c>
      <c r="B115" s="151">
        <v>5735</v>
      </c>
      <c r="C115" s="94" t="s">
        <v>301</v>
      </c>
      <c r="D115" s="428"/>
      <c r="E115" s="428"/>
      <c r="F115" s="428">
        <f t="shared" si="14"/>
        <v>0</v>
      </c>
      <c r="G115" s="428">
        <v>0</v>
      </c>
      <c r="H115" s="428">
        <f t="shared" si="15"/>
        <v>0</v>
      </c>
      <c r="I115" s="428"/>
      <c r="J115" s="428"/>
      <c r="K115" s="428"/>
    </row>
    <row r="116" spans="1:11" s="285" customFormat="1" x14ac:dyDescent="0.25">
      <c r="A116" s="118">
        <v>12</v>
      </c>
      <c r="B116" s="151">
        <v>5740</v>
      </c>
      <c r="C116" s="94" t="s">
        <v>302</v>
      </c>
      <c r="D116" s="428"/>
      <c r="E116" s="428"/>
      <c r="F116" s="428">
        <f t="shared" si="14"/>
        <v>0</v>
      </c>
      <c r="G116" s="428">
        <v>0</v>
      </c>
      <c r="H116" s="428">
        <f t="shared" si="15"/>
        <v>0</v>
      </c>
      <c r="I116" s="428"/>
      <c r="J116" s="428"/>
      <c r="K116" s="428"/>
    </row>
    <row r="117" spans="1:11" s="285" customFormat="1" x14ac:dyDescent="0.25">
      <c r="A117" s="118">
        <v>12</v>
      </c>
      <c r="B117" s="151">
        <v>5745</v>
      </c>
      <c r="C117" s="94" t="s">
        <v>303</v>
      </c>
      <c r="D117" s="428"/>
      <c r="E117" s="428"/>
      <c r="F117" s="428">
        <f t="shared" si="14"/>
        <v>0</v>
      </c>
      <c r="G117" s="428">
        <v>0</v>
      </c>
      <c r="H117" s="428">
        <f t="shared" si="15"/>
        <v>0</v>
      </c>
      <c r="I117" s="428"/>
      <c r="J117" s="428"/>
      <c r="K117" s="428"/>
    </row>
    <row r="118" spans="1:11" s="285" customFormat="1" x14ac:dyDescent="0.25">
      <c r="A118" s="118">
        <v>12</v>
      </c>
      <c r="B118" s="151">
        <v>5750</v>
      </c>
      <c r="C118" s="94" t="s">
        <v>304</v>
      </c>
      <c r="D118" s="428">
        <v>73</v>
      </c>
      <c r="E118" s="428">
        <v>81</v>
      </c>
      <c r="F118" s="428">
        <v>81</v>
      </c>
      <c r="G118" s="428">
        <v>81</v>
      </c>
      <c r="H118" s="428">
        <f t="shared" si="15"/>
        <v>89.1</v>
      </c>
      <c r="I118" s="428"/>
      <c r="J118" s="428"/>
      <c r="K118" s="428"/>
    </row>
    <row r="119" spans="1:11" s="285" customFormat="1" x14ac:dyDescent="0.25">
      <c r="A119" s="118">
        <v>12</v>
      </c>
      <c r="B119" s="151">
        <v>5755</v>
      </c>
      <c r="C119" s="94" t="s">
        <v>305</v>
      </c>
      <c r="D119" s="428">
        <v>825</v>
      </c>
      <c r="E119" s="428">
        <v>20300</v>
      </c>
      <c r="F119" s="428">
        <v>20300</v>
      </c>
      <c r="G119" s="428">
        <v>20300</v>
      </c>
      <c r="H119" s="428">
        <f t="shared" si="15"/>
        <v>22330</v>
      </c>
      <c r="I119" s="428"/>
      <c r="J119" s="428"/>
      <c r="K119" s="428"/>
    </row>
    <row r="120" spans="1:11" s="285" customFormat="1" ht="12" hidden="1" customHeight="1" x14ac:dyDescent="0.25">
      <c r="A120" s="118">
        <v>12</v>
      </c>
      <c r="B120" s="151">
        <v>5760</v>
      </c>
      <c r="C120" s="94" t="s">
        <v>306</v>
      </c>
      <c r="D120" s="428"/>
      <c r="E120" s="428"/>
      <c r="F120" s="428">
        <f t="shared" si="14"/>
        <v>0</v>
      </c>
      <c r="G120" s="428">
        <v>0</v>
      </c>
      <c r="H120" s="428">
        <f t="shared" si="15"/>
        <v>0</v>
      </c>
      <c r="I120" s="428"/>
      <c r="J120" s="428"/>
      <c r="K120" s="428"/>
    </row>
    <row r="121" spans="1:11" s="285" customFormat="1" hidden="1" x14ac:dyDescent="0.25">
      <c r="A121" s="118">
        <v>12</v>
      </c>
      <c r="B121" s="151">
        <v>5765</v>
      </c>
      <c r="C121" s="94" t="s">
        <v>307</v>
      </c>
      <c r="D121" s="428"/>
      <c r="E121" s="428"/>
      <c r="F121" s="428">
        <f t="shared" si="14"/>
        <v>0</v>
      </c>
      <c r="G121" s="428">
        <v>0</v>
      </c>
      <c r="H121" s="428">
        <f t="shared" si="15"/>
        <v>0</v>
      </c>
      <c r="I121" s="428"/>
      <c r="J121" s="428"/>
      <c r="K121" s="428"/>
    </row>
    <row r="122" spans="1:11" s="285" customFormat="1" hidden="1" x14ac:dyDescent="0.25">
      <c r="A122" s="118">
        <v>12</v>
      </c>
      <c r="B122" s="151">
        <v>5770</v>
      </c>
      <c r="C122" s="94" t="s">
        <v>308</v>
      </c>
      <c r="D122" s="428"/>
      <c r="E122" s="428"/>
      <c r="F122" s="428">
        <f t="shared" si="14"/>
        <v>0</v>
      </c>
      <c r="G122" s="428">
        <v>0</v>
      </c>
      <c r="H122" s="428">
        <f t="shared" si="15"/>
        <v>0</v>
      </c>
      <c r="I122" s="428"/>
      <c r="J122" s="428"/>
      <c r="K122" s="428"/>
    </row>
    <row r="123" spans="1:11" s="285" customFormat="1" hidden="1" x14ac:dyDescent="0.25">
      <c r="A123" s="118">
        <v>12</v>
      </c>
      <c r="B123" s="151">
        <v>5775</v>
      </c>
      <c r="C123" s="94" t="s">
        <v>309</v>
      </c>
      <c r="D123" s="428"/>
      <c r="E123" s="428"/>
      <c r="F123" s="428">
        <f t="shared" si="14"/>
        <v>0</v>
      </c>
      <c r="G123" s="428">
        <v>0</v>
      </c>
      <c r="H123" s="428">
        <f t="shared" si="15"/>
        <v>0</v>
      </c>
      <c r="I123" s="428"/>
      <c r="J123" s="428"/>
      <c r="K123" s="428"/>
    </row>
    <row r="124" spans="1:11" s="285" customFormat="1" hidden="1" x14ac:dyDescent="0.25">
      <c r="A124" s="118">
        <v>12</v>
      </c>
      <c r="B124" s="151">
        <v>5780</v>
      </c>
      <c r="C124" s="94" t="s">
        <v>310</v>
      </c>
      <c r="D124" s="428"/>
      <c r="E124" s="428"/>
      <c r="F124" s="428">
        <f t="shared" si="14"/>
        <v>0</v>
      </c>
      <c r="G124" s="428">
        <v>0</v>
      </c>
      <c r="H124" s="428">
        <f t="shared" si="15"/>
        <v>0</v>
      </c>
      <c r="I124" s="428"/>
      <c r="J124" s="428"/>
      <c r="K124" s="428"/>
    </row>
    <row r="125" spans="1:11" s="285" customFormat="1" hidden="1" x14ac:dyDescent="0.25">
      <c r="A125" s="118">
        <v>12</v>
      </c>
      <c r="B125" s="151">
        <v>5785</v>
      </c>
      <c r="C125" s="94" t="s">
        <v>311</v>
      </c>
      <c r="D125" s="428"/>
      <c r="E125" s="428"/>
      <c r="F125" s="428">
        <f t="shared" si="14"/>
        <v>0</v>
      </c>
      <c r="G125" s="428">
        <v>0</v>
      </c>
      <c r="H125" s="428">
        <f t="shared" si="15"/>
        <v>0</v>
      </c>
      <c r="I125" s="428"/>
      <c r="J125" s="428"/>
      <c r="K125" s="428"/>
    </row>
    <row r="126" spans="1:11" s="285" customFormat="1" hidden="1" x14ac:dyDescent="0.25">
      <c r="A126" s="118">
        <v>12</v>
      </c>
      <c r="B126" s="151">
        <v>5790</v>
      </c>
      <c r="C126" s="94" t="s">
        <v>312</v>
      </c>
      <c r="D126" s="428"/>
      <c r="E126" s="428"/>
      <c r="F126" s="428">
        <f t="shared" si="14"/>
        <v>0</v>
      </c>
      <c r="G126" s="428">
        <v>0</v>
      </c>
      <c r="H126" s="428">
        <f t="shared" si="15"/>
        <v>0</v>
      </c>
      <c r="I126" s="428"/>
      <c r="J126" s="428"/>
      <c r="K126" s="428"/>
    </row>
    <row r="127" spans="1:11" s="285" customFormat="1" hidden="1" x14ac:dyDescent="0.25">
      <c r="A127" s="118">
        <v>12</v>
      </c>
      <c r="B127" s="151">
        <v>5795</v>
      </c>
      <c r="C127" s="94" t="s">
        <v>313</v>
      </c>
      <c r="D127" s="428"/>
      <c r="E127" s="428"/>
      <c r="F127" s="428">
        <f t="shared" si="14"/>
        <v>0</v>
      </c>
      <c r="G127" s="428">
        <v>0</v>
      </c>
      <c r="H127" s="428">
        <f t="shared" si="15"/>
        <v>0</v>
      </c>
      <c r="I127" s="428"/>
      <c r="J127" s="428"/>
      <c r="K127" s="428"/>
    </row>
    <row r="128" spans="1:11" s="285" customFormat="1" hidden="1" x14ac:dyDescent="0.25">
      <c r="A128" s="118">
        <v>12</v>
      </c>
      <c r="B128" s="151">
        <v>5800</v>
      </c>
      <c r="C128" s="94" t="s">
        <v>314</v>
      </c>
      <c r="D128" s="428"/>
      <c r="E128" s="428"/>
      <c r="F128" s="428">
        <f t="shared" si="14"/>
        <v>0</v>
      </c>
      <c r="G128" s="428">
        <v>0</v>
      </c>
      <c r="H128" s="428">
        <f t="shared" si="15"/>
        <v>0</v>
      </c>
      <c r="I128" s="428"/>
      <c r="J128" s="428"/>
      <c r="K128" s="428"/>
    </row>
    <row r="129" spans="1:11" s="285" customFormat="1" hidden="1" x14ac:dyDescent="0.25">
      <c r="A129" s="118">
        <v>12</v>
      </c>
      <c r="B129" s="151">
        <v>5805</v>
      </c>
      <c r="C129" s="94" t="s">
        <v>315</v>
      </c>
      <c r="D129" s="428"/>
      <c r="E129" s="428"/>
      <c r="F129" s="428">
        <f t="shared" si="14"/>
        <v>0</v>
      </c>
      <c r="G129" s="428">
        <v>0</v>
      </c>
      <c r="H129" s="428">
        <f t="shared" si="15"/>
        <v>0</v>
      </c>
      <c r="I129" s="428"/>
      <c r="J129" s="428"/>
      <c r="K129" s="428"/>
    </row>
    <row r="130" spans="1:11" s="285" customFormat="1" hidden="1" x14ac:dyDescent="0.25">
      <c r="A130" s="118">
        <v>12</v>
      </c>
      <c r="B130" s="151">
        <v>5810</v>
      </c>
      <c r="C130" s="94" t="s">
        <v>316</v>
      </c>
      <c r="D130" s="428"/>
      <c r="E130" s="428"/>
      <c r="F130" s="428">
        <f t="shared" si="14"/>
        <v>0</v>
      </c>
      <c r="G130" s="428">
        <v>0</v>
      </c>
      <c r="H130" s="428">
        <f t="shared" si="15"/>
        <v>0</v>
      </c>
      <c r="I130" s="428"/>
      <c r="J130" s="428"/>
      <c r="K130" s="428"/>
    </row>
    <row r="131" spans="1:11" s="285" customFormat="1" hidden="1" x14ac:dyDescent="0.25">
      <c r="A131" s="118">
        <v>12</v>
      </c>
      <c r="B131" s="151">
        <v>5815</v>
      </c>
      <c r="C131" s="94" t="s">
        <v>99</v>
      </c>
      <c r="D131" s="428"/>
      <c r="E131" s="428"/>
      <c r="F131" s="428">
        <f t="shared" si="14"/>
        <v>0</v>
      </c>
      <c r="G131" s="428">
        <v>0</v>
      </c>
      <c r="H131" s="428">
        <f t="shared" si="15"/>
        <v>0</v>
      </c>
      <c r="I131" s="428"/>
      <c r="J131" s="428"/>
      <c r="K131" s="428"/>
    </row>
    <row r="132" spans="1:11" s="285" customFormat="1" hidden="1" x14ac:dyDescent="0.25">
      <c r="A132" s="118">
        <v>12</v>
      </c>
      <c r="B132" s="151">
        <v>5820</v>
      </c>
      <c r="C132" s="94" t="s">
        <v>114</v>
      </c>
      <c r="D132" s="86"/>
      <c r="E132" s="428"/>
      <c r="F132" s="428">
        <f t="shared" si="14"/>
        <v>0</v>
      </c>
      <c r="G132" s="428">
        <v>0</v>
      </c>
      <c r="H132" s="428">
        <f t="shared" si="15"/>
        <v>0</v>
      </c>
      <c r="I132" s="428"/>
      <c r="J132" s="428"/>
      <c r="K132" s="428"/>
    </row>
    <row r="133" spans="1:11" s="285" customFormat="1" hidden="1" x14ac:dyDescent="0.25">
      <c r="A133" s="118">
        <v>12</v>
      </c>
      <c r="B133" s="151">
        <v>5825</v>
      </c>
      <c r="C133" s="94" t="s">
        <v>317</v>
      </c>
      <c r="D133" s="86"/>
      <c r="E133" s="428"/>
      <c r="F133" s="428">
        <f t="shared" si="14"/>
        <v>0</v>
      </c>
      <c r="G133" s="428">
        <v>0</v>
      </c>
      <c r="H133" s="428">
        <f t="shared" si="15"/>
        <v>0</v>
      </c>
      <c r="I133" s="428"/>
      <c r="J133" s="428"/>
      <c r="K133" s="428"/>
    </row>
    <row r="134" spans="1:11" s="285" customFormat="1" x14ac:dyDescent="0.25">
      <c r="A134" s="118">
        <v>12</v>
      </c>
      <c r="B134" s="151">
        <v>5830</v>
      </c>
      <c r="C134" s="94" t="s">
        <v>318</v>
      </c>
      <c r="D134" s="86">
        <v>85432</v>
      </c>
      <c r="E134" s="428">
        <v>12778</v>
      </c>
      <c r="F134" s="428">
        <v>12778</v>
      </c>
      <c r="G134" s="428">
        <v>12778</v>
      </c>
      <c r="H134" s="428">
        <f t="shared" si="15"/>
        <v>14055.8</v>
      </c>
      <c r="I134" s="428"/>
      <c r="J134" s="428"/>
      <c r="K134" s="428"/>
    </row>
    <row r="135" spans="1:11" s="285" customFormat="1" hidden="1" x14ac:dyDescent="0.25">
      <c r="A135" s="118">
        <v>12</v>
      </c>
      <c r="B135" s="151">
        <v>5835</v>
      </c>
      <c r="C135" s="94" t="s">
        <v>319</v>
      </c>
      <c r="D135" s="86"/>
      <c r="E135" s="428">
        <v>0</v>
      </c>
      <c r="F135" s="428">
        <f t="shared" si="14"/>
        <v>0</v>
      </c>
      <c r="G135" s="428">
        <v>0</v>
      </c>
      <c r="H135" s="428">
        <f t="shared" si="15"/>
        <v>0</v>
      </c>
      <c r="I135" s="428"/>
      <c r="J135" s="428"/>
      <c r="K135" s="428"/>
    </row>
    <row r="136" spans="1:11" s="285" customFormat="1" hidden="1" x14ac:dyDescent="0.25">
      <c r="A136" s="118">
        <v>12</v>
      </c>
      <c r="B136" s="151">
        <v>5840</v>
      </c>
      <c r="C136" s="94" t="s">
        <v>332</v>
      </c>
      <c r="D136" s="440"/>
      <c r="E136" s="428">
        <v>0</v>
      </c>
      <c r="F136" s="428">
        <f t="shared" si="14"/>
        <v>0</v>
      </c>
      <c r="G136" s="428">
        <v>0</v>
      </c>
      <c r="H136" s="428">
        <f t="shared" si="15"/>
        <v>0</v>
      </c>
      <c r="I136" s="428"/>
      <c r="J136" s="428"/>
      <c r="K136" s="428"/>
    </row>
    <row r="137" spans="1:11" s="285" customFormat="1" hidden="1" x14ac:dyDescent="0.25">
      <c r="A137" s="118">
        <v>12</v>
      </c>
      <c r="B137" s="151">
        <v>5845</v>
      </c>
      <c r="C137" s="94" t="s">
        <v>320</v>
      </c>
      <c r="D137" s="86"/>
      <c r="E137" s="428">
        <v>0</v>
      </c>
      <c r="F137" s="428">
        <f t="shared" si="14"/>
        <v>0</v>
      </c>
      <c r="G137" s="428">
        <v>0</v>
      </c>
      <c r="H137" s="428">
        <f t="shared" si="15"/>
        <v>0</v>
      </c>
      <c r="I137" s="428"/>
      <c r="J137" s="428"/>
      <c r="K137" s="428"/>
    </row>
    <row r="138" spans="1:11" s="285" customFormat="1" x14ac:dyDescent="0.25">
      <c r="A138" s="118">
        <v>12</v>
      </c>
      <c r="B138" s="151">
        <v>5855</v>
      </c>
      <c r="C138" s="94" t="s">
        <v>321</v>
      </c>
      <c r="D138" s="428"/>
      <c r="E138" s="428">
        <v>0</v>
      </c>
      <c r="F138" s="428">
        <f t="shared" si="14"/>
        <v>0</v>
      </c>
      <c r="G138" s="428">
        <v>0</v>
      </c>
      <c r="H138" s="428">
        <v>50000</v>
      </c>
      <c r="I138" s="428">
        <v>50000</v>
      </c>
      <c r="J138" s="428">
        <f>+I138*1.055</f>
        <v>52750</v>
      </c>
      <c r="K138" s="428">
        <f>+J138*1.053</f>
        <v>55545.75</v>
      </c>
    </row>
    <row r="139" spans="1:11" s="285" customFormat="1" x14ac:dyDescent="0.25">
      <c r="A139" s="118">
        <v>12</v>
      </c>
      <c r="B139" s="151">
        <v>5860</v>
      </c>
      <c r="C139" s="94" t="s">
        <v>892</v>
      </c>
      <c r="D139" s="428"/>
      <c r="E139" s="428">
        <v>0</v>
      </c>
      <c r="F139" s="428">
        <f t="shared" si="14"/>
        <v>0</v>
      </c>
      <c r="G139" s="428">
        <v>0</v>
      </c>
      <c r="H139" s="428">
        <v>50000</v>
      </c>
      <c r="I139" s="428">
        <v>50000</v>
      </c>
      <c r="J139" s="428">
        <f t="shared" ref="J139:J144" si="16">+I139*1.055</f>
        <v>52750</v>
      </c>
      <c r="K139" s="428">
        <f t="shared" ref="K139:K144" si="17">+J139*1.053</f>
        <v>55545.75</v>
      </c>
    </row>
    <row r="140" spans="1:11" s="285" customFormat="1" x14ac:dyDescent="0.25">
      <c r="A140" s="118">
        <v>12</v>
      </c>
      <c r="B140" s="151">
        <v>5865</v>
      </c>
      <c r="C140" s="94" t="s">
        <v>323</v>
      </c>
      <c r="D140" s="428"/>
      <c r="E140" s="428">
        <v>0</v>
      </c>
      <c r="F140" s="428">
        <f t="shared" si="14"/>
        <v>0</v>
      </c>
      <c r="G140" s="428">
        <v>0</v>
      </c>
      <c r="H140" s="428">
        <v>50000</v>
      </c>
      <c r="I140" s="428">
        <v>50000</v>
      </c>
      <c r="J140" s="428">
        <f t="shared" si="16"/>
        <v>52750</v>
      </c>
      <c r="K140" s="428">
        <f t="shared" si="17"/>
        <v>55545.75</v>
      </c>
    </row>
    <row r="141" spans="1:11" s="285" customFormat="1" x14ac:dyDescent="0.25">
      <c r="A141" s="118">
        <v>12</v>
      </c>
      <c r="B141" s="151">
        <v>5870</v>
      </c>
      <c r="C141" s="94" t="s">
        <v>324</v>
      </c>
      <c r="D141" s="428"/>
      <c r="E141" s="428">
        <v>0</v>
      </c>
      <c r="F141" s="428">
        <f t="shared" si="14"/>
        <v>0</v>
      </c>
      <c r="G141" s="428">
        <v>0</v>
      </c>
      <c r="H141" s="428">
        <v>300000</v>
      </c>
      <c r="I141" s="428">
        <v>300000</v>
      </c>
      <c r="J141" s="428">
        <f t="shared" si="16"/>
        <v>316500</v>
      </c>
      <c r="K141" s="428">
        <f t="shared" si="17"/>
        <v>333274.5</v>
      </c>
    </row>
    <row r="142" spans="1:11" s="285" customFormat="1" x14ac:dyDescent="0.25">
      <c r="A142" s="118">
        <v>12</v>
      </c>
      <c r="B142" s="151">
        <v>5875</v>
      </c>
      <c r="C142" s="94" t="s">
        <v>325</v>
      </c>
      <c r="D142" s="428"/>
      <c r="E142" s="428">
        <v>0</v>
      </c>
      <c r="F142" s="428">
        <f t="shared" si="14"/>
        <v>0</v>
      </c>
      <c r="G142" s="428">
        <v>0</v>
      </c>
      <c r="H142" s="428">
        <v>200000</v>
      </c>
      <c r="I142" s="428">
        <v>100000</v>
      </c>
      <c r="J142" s="428">
        <f t="shared" si="16"/>
        <v>105500</v>
      </c>
      <c r="K142" s="428">
        <f t="shared" si="17"/>
        <v>111091.5</v>
      </c>
    </row>
    <row r="143" spans="1:11" s="285" customFormat="1" hidden="1" x14ac:dyDescent="0.25">
      <c r="A143" s="118">
        <v>12</v>
      </c>
      <c r="B143" s="151">
        <v>5880</v>
      </c>
      <c r="C143" s="94" t="s">
        <v>326</v>
      </c>
      <c r="D143" s="428"/>
      <c r="E143" s="428">
        <v>0</v>
      </c>
      <c r="F143" s="428">
        <f t="shared" si="14"/>
        <v>0</v>
      </c>
      <c r="G143" s="428">
        <v>0</v>
      </c>
      <c r="H143" s="428">
        <f>+(F143*0.1)+F143</f>
        <v>0</v>
      </c>
      <c r="I143" s="428"/>
      <c r="J143" s="428">
        <f t="shared" si="16"/>
        <v>0</v>
      </c>
      <c r="K143" s="428">
        <f t="shared" si="17"/>
        <v>0</v>
      </c>
    </row>
    <row r="144" spans="1:11" s="285" customFormat="1" x14ac:dyDescent="0.25">
      <c r="A144" s="118">
        <v>12</v>
      </c>
      <c r="B144" s="151">
        <v>5885</v>
      </c>
      <c r="C144" s="94" t="s">
        <v>331</v>
      </c>
      <c r="D144" s="428"/>
      <c r="E144" s="428"/>
      <c r="F144" s="428">
        <v>8000</v>
      </c>
      <c r="G144" s="428">
        <v>8001</v>
      </c>
      <c r="H144" s="428">
        <f>+(F144*0.1)+F144</f>
        <v>8800</v>
      </c>
      <c r="I144" s="428"/>
      <c r="J144" s="428">
        <f t="shared" si="16"/>
        <v>0</v>
      </c>
      <c r="K144" s="428">
        <f t="shared" si="17"/>
        <v>0</v>
      </c>
    </row>
    <row r="145" spans="1:11" s="285" customFormat="1" hidden="1" x14ac:dyDescent="0.25">
      <c r="A145" s="118">
        <v>12</v>
      </c>
      <c r="B145" s="151">
        <v>5890</v>
      </c>
      <c r="C145" s="94" t="s">
        <v>327</v>
      </c>
      <c r="D145" s="428"/>
      <c r="E145" s="428"/>
      <c r="F145" s="428"/>
      <c r="G145" s="428"/>
      <c r="H145" s="428">
        <f>+(F145*0.1)+F145</f>
        <v>0</v>
      </c>
      <c r="I145" s="428"/>
      <c r="J145" s="428"/>
      <c r="K145" s="428"/>
    </row>
    <row r="146" spans="1:11" s="285" customFormat="1" hidden="1" x14ac:dyDescent="0.25">
      <c r="A146" s="118">
        <v>12</v>
      </c>
      <c r="B146" s="151">
        <v>5895</v>
      </c>
      <c r="C146" s="94" t="s">
        <v>328</v>
      </c>
      <c r="D146" s="428"/>
      <c r="E146" s="428"/>
      <c r="F146" s="428"/>
      <c r="G146" s="428"/>
      <c r="H146" s="428">
        <f>+(F146*0.1)+F146</f>
        <v>0</v>
      </c>
      <c r="I146" s="428"/>
      <c r="J146" s="428"/>
      <c r="K146" s="428"/>
    </row>
    <row r="147" spans="1:11" s="285" customFormat="1" hidden="1" x14ac:dyDescent="0.25">
      <c r="A147" s="118">
        <v>12</v>
      </c>
      <c r="B147" s="151">
        <v>5910</v>
      </c>
      <c r="C147" s="94" t="s">
        <v>330</v>
      </c>
      <c r="D147" s="428"/>
      <c r="E147" s="428"/>
      <c r="F147" s="428">
        <f>0/8*12</f>
        <v>0</v>
      </c>
      <c r="G147" s="428">
        <v>0</v>
      </c>
      <c r="H147" s="428">
        <f>+(F147*0.1)+F147</f>
        <v>0</v>
      </c>
      <c r="I147" s="428"/>
      <c r="J147" s="428"/>
      <c r="K147" s="428"/>
    </row>
    <row r="148" spans="1:11" s="285" customFormat="1" x14ac:dyDescent="0.25">
      <c r="A148" s="344"/>
      <c r="B148" s="151"/>
      <c r="C148" s="94"/>
      <c r="D148" s="429">
        <f t="shared" ref="D148:K148" si="18">SUM(D72:D147)</f>
        <v>1288222</v>
      </c>
      <c r="E148" s="429">
        <f t="shared" si="18"/>
        <v>924704</v>
      </c>
      <c r="F148" s="429">
        <f t="shared" si="18"/>
        <v>932704</v>
      </c>
      <c r="G148" s="429">
        <f t="shared" si="18"/>
        <v>932705</v>
      </c>
      <c r="H148" s="429">
        <f t="shared" si="18"/>
        <v>1675974.4</v>
      </c>
      <c r="I148" s="429">
        <f t="shared" si="18"/>
        <v>1196269.2297142853</v>
      </c>
      <c r="J148" s="429">
        <f t="shared" si="18"/>
        <v>1262064.0373485712</v>
      </c>
      <c r="K148" s="429">
        <f t="shared" si="18"/>
        <v>1328953.4313280452</v>
      </c>
    </row>
    <row r="149" spans="1:11" s="285" customFormat="1" x14ac:dyDescent="0.25">
      <c r="A149" s="344"/>
      <c r="B149" s="151"/>
      <c r="C149" s="93" t="s">
        <v>187</v>
      </c>
      <c r="D149" s="428"/>
      <c r="E149" s="425"/>
      <c r="F149" s="425"/>
      <c r="G149" s="425"/>
      <c r="H149" s="425"/>
      <c r="I149" s="425"/>
      <c r="J149" s="425"/>
      <c r="K149" s="425"/>
    </row>
    <row r="150" spans="1:11" s="285" customFormat="1" x14ac:dyDescent="0.25">
      <c r="A150" s="118">
        <v>12</v>
      </c>
      <c r="B150" s="151">
        <v>6005</v>
      </c>
      <c r="C150" s="94" t="s">
        <v>188</v>
      </c>
      <c r="D150" s="428">
        <v>0</v>
      </c>
      <c r="E150" s="425"/>
      <c r="F150" s="428">
        <f>0/8*12</f>
        <v>0</v>
      </c>
      <c r="G150" s="428">
        <v>0</v>
      </c>
      <c r="H150" s="428"/>
      <c r="I150" s="428"/>
      <c r="J150" s="428"/>
      <c r="K150" s="428"/>
    </row>
    <row r="151" spans="1:11" s="285" customFormat="1" x14ac:dyDescent="0.25">
      <c r="A151" s="344"/>
      <c r="B151" s="151"/>
      <c r="C151" s="94"/>
      <c r="D151" s="429">
        <v>0</v>
      </c>
      <c r="E151" s="429">
        <f>SUM(E150)</f>
        <v>0</v>
      </c>
      <c r="F151" s="429">
        <f>SUM(F150)</f>
        <v>0</v>
      </c>
      <c r="G151" s="429">
        <v>0</v>
      </c>
      <c r="H151" s="429">
        <f>SUM(H150)</f>
        <v>0</v>
      </c>
      <c r="I151" s="429">
        <f>SUM(I150)</f>
        <v>0</v>
      </c>
      <c r="J151" s="429">
        <f>SUM(J150)</f>
        <v>0</v>
      </c>
      <c r="K151" s="429">
        <f>SUM(K150)</f>
        <v>0</v>
      </c>
    </row>
    <row r="152" spans="1:11" s="285" customFormat="1" x14ac:dyDescent="0.25">
      <c r="A152" s="344"/>
      <c r="B152" s="151"/>
      <c r="C152" s="93" t="s">
        <v>64</v>
      </c>
      <c r="D152" s="88"/>
      <c r="E152" s="113"/>
      <c r="F152" s="113"/>
      <c r="G152" s="113"/>
      <c r="H152" s="113"/>
      <c r="I152" s="113"/>
      <c r="J152" s="113"/>
      <c r="K152" s="113"/>
    </row>
    <row r="153" spans="1:11" s="285" customFormat="1" x14ac:dyDescent="0.25">
      <c r="A153" s="118">
        <v>12</v>
      </c>
      <c r="B153" s="151">
        <v>6105</v>
      </c>
      <c r="C153" s="94" t="s">
        <v>336</v>
      </c>
      <c r="D153" s="428">
        <v>0</v>
      </c>
      <c r="E153" s="425"/>
      <c r="F153" s="428">
        <f>0/8*12</f>
        <v>0</v>
      </c>
      <c r="G153" s="428">
        <v>0</v>
      </c>
      <c r="H153" s="428"/>
      <c r="I153" s="428"/>
      <c r="J153" s="428"/>
      <c r="K153" s="428"/>
    </row>
    <row r="154" spans="1:11" s="285" customFormat="1" x14ac:dyDescent="0.25">
      <c r="A154" s="118">
        <v>12</v>
      </c>
      <c r="B154" s="151">
        <v>6110</v>
      </c>
      <c r="C154" s="94" t="s">
        <v>893</v>
      </c>
      <c r="D154" s="428">
        <v>0</v>
      </c>
      <c r="E154" s="425"/>
      <c r="F154" s="428">
        <f>0/8*12</f>
        <v>0</v>
      </c>
      <c r="G154" s="428">
        <v>0</v>
      </c>
      <c r="H154" s="428"/>
      <c r="I154" s="428"/>
      <c r="J154" s="428">
        <v>150000</v>
      </c>
      <c r="K154" s="428"/>
    </row>
    <row r="155" spans="1:11" s="285" customFormat="1" x14ac:dyDescent="0.25">
      <c r="A155" s="118">
        <v>12</v>
      </c>
      <c r="B155" s="151">
        <v>6115</v>
      </c>
      <c r="C155" s="94" t="s">
        <v>60</v>
      </c>
      <c r="D155" s="428">
        <v>0</v>
      </c>
      <c r="E155" s="425"/>
      <c r="F155" s="428">
        <f>0/8*12</f>
        <v>0</v>
      </c>
      <c r="G155" s="428">
        <v>0</v>
      </c>
      <c r="H155" s="428"/>
      <c r="I155" s="428"/>
      <c r="J155" s="428"/>
      <c r="K155" s="428"/>
    </row>
    <row r="156" spans="1:11" s="285" customFormat="1" x14ac:dyDescent="0.25">
      <c r="A156" s="344"/>
      <c r="B156" s="151"/>
      <c r="C156" s="94"/>
      <c r="D156" s="429">
        <f t="shared" ref="D156:K156" si="19">SUM(D153:D155)</f>
        <v>0</v>
      </c>
      <c r="E156" s="429">
        <f t="shared" si="19"/>
        <v>0</v>
      </c>
      <c r="F156" s="429">
        <f t="shared" si="19"/>
        <v>0</v>
      </c>
      <c r="G156" s="429">
        <f t="shared" si="19"/>
        <v>0</v>
      </c>
      <c r="H156" s="429">
        <f t="shared" si="19"/>
        <v>0</v>
      </c>
      <c r="I156" s="429">
        <f t="shared" si="19"/>
        <v>0</v>
      </c>
      <c r="J156" s="429">
        <f t="shared" si="19"/>
        <v>150000</v>
      </c>
      <c r="K156" s="429">
        <f t="shared" si="19"/>
        <v>0</v>
      </c>
    </row>
    <row r="157" spans="1:11" s="285" customFormat="1" x14ac:dyDescent="0.25">
      <c r="A157" s="344"/>
      <c r="B157" s="151"/>
      <c r="C157" s="459" t="s">
        <v>65</v>
      </c>
      <c r="D157" s="88"/>
      <c r="E157" s="113"/>
      <c r="F157" s="113"/>
      <c r="G157" s="113"/>
      <c r="H157" s="113"/>
      <c r="I157" s="113"/>
      <c r="J157" s="113"/>
      <c r="K157" s="113"/>
    </row>
    <row r="158" spans="1:11" s="285" customFormat="1" x14ac:dyDescent="0.25">
      <c r="A158" s="118">
        <v>12</v>
      </c>
      <c r="B158" s="151">
        <v>6205</v>
      </c>
      <c r="C158" s="94" t="s">
        <v>338</v>
      </c>
      <c r="D158" s="428">
        <v>0</v>
      </c>
      <c r="E158" s="425"/>
      <c r="F158" s="428">
        <f>0/8*12</f>
        <v>0</v>
      </c>
      <c r="G158" s="428">
        <v>0</v>
      </c>
      <c r="H158" s="428"/>
      <c r="I158" s="428"/>
      <c r="J158" s="428"/>
      <c r="K158" s="428"/>
    </row>
    <row r="159" spans="1:11" s="285" customFormat="1" x14ac:dyDescent="0.25">
      <c r="A159" s="118">
        <v>12</v>
      </c>
      <c r="B159" s="151">
        <v>6210</v>
      </c>
      <c r="C159" s="94" t="s">
        <v>339</v>
      </c>
      <c r="D159" s="428">
        <v>0</v>
      </c>
      <c r="E159" s="428"/>
      <c r="F159" s="428">
        <f>0/8*12</f>
        <v>0</v>
      </c>
      <c r="G159" s="428">
        <v>0</v>
      </c>
      <c r="H159" s="428"/>
      <c r="I159" s="428"/>
      <c r="J159" s="428"/>
      <c r="K159" s="428"/>
    </row>
    <row r="160" spans="1:11" s="285" customFormat="1" x14ac:dyDescent="0.25">
      <c r="A160" s="344"/>
      <c r="B160" s="346"/>
      <c r="C160" s="347"/>
      <c r="D160" s="441">
        <v>0</v>
      </c>
      <c r="E160" s="441">
        <f>SUM(E158:E159)</f>
        <v>0</v>
      </c>
      <c r="F160" s="441">
        <f>SUM(F158:F159)</f>
        <v>0</v>
      </c>
      <c r="G160" s="441">
        <v>0</v>
      </c>
      <c r="H160" s="441">
        <f>SUM(H158:H159)</f>
        <v>0</v>
      </c>
      <c r="I160" s="441">
        <f>SUM(I158:I159)</f>
        <v>0</v>
      </c>
      <c r="J160" s="441">
        <f>SUM(J158:J159)</f>
        <v>0</v>
      </c>
      <c r="K160" s="441">
        <f>SUM(K158:K159)</f>
        <v>0</v>
      </c>
    </row>
    <row r="161" spans="1:12" s="285" customFormat="1" x14ac:dyDescent="0.25">
      <c r="A161" s="344"/>
      <c r="B161" s="346"/>
      <c r="C161" s="93" t="s">
        <v>189</v>
      </c>
      <c r="D161" s="441">
        <f t="shared" ref="D161:K161" si="20">D160+D156+D151+D148+D70+D66+D63+D59+D38+D35+D32+D29+D25+D18</f>
        <v>3026217.52</v>
      </c>
      <c r="E161" s="441">
        <f t="shared" si="20"/>
        <v>4190826</v>
      </c>
      <c r="F161" s="441">
        <f t="shared" si="20"/>
        <v>4198826</v>
      </c>
      <c r="G161" s="441">
        <f t="shared" si="20"/>
        <v>4198827</v>
      </c>
      <c r="H161" s="441">
        <f t="shared" si="20"/>
        <v>5151246.4000000004</v>
      </c>
      <c r="I161" s="441">
        <f t="shared" si="20"/>
        <v>4873107.0057142852</v>
      </c>
      <c r="J161" s="441">
        <f t="shared" si="20"/>
        <v>5271341.0208525714</v>
      </c>
      <c r="K161" s="441">
        <f t="shared" si="20"/>
        <v>5400180.4478377569</v>
      </c>
    </row>
    <row r="162" spans="1:12" s="285" customFormat="1" x14ac:dyDescent="0.25">
      <c r="A162" s="344"/>
      <c r="B162" s="151"/>
      <c r="C162" s="93" t="s">
        <v>258</v>
      </c>
      <c r="D162" s="442"/>
      <c r="E162" s="442"/>
      <c r="F162" s="442"/>
      <c r="G162" s="442"/>
      <c r="H162" s="442"/>
      <c r="I162" s="442"/>
      <c r="J162" s="442"/>
      <c r="K162" s="442"/>
    </row>
    <row r="163" spans="1:12" s="285" customFormat="1" x14ac:dyDescent="0.25">
      <c r="A163" s="118">
        <v>12</v>
      </c>
      <c r="B163" s="151">
        <v>6305</v>
      </c>
      <c r="C163" s="94" t="s">
        <v>190</v>
      </c>
      <c r="D163" s="428">
        <v>0</v>
      </c>
      <c r="E163" s="428"/>
      <c r="F163" s="428">
        <f>0/8*12</f>
        <v>0</v>
      </c>
      <c r="G163" s="428">
        <v>0</v>
      </c>
      <c r="H163" s="428">
        <f>0/8*12</f>
        <v>0</v>
      </c>
      <c r="I163" s="428"/>
      <c r="J163" s="428"/>
      <c r="K163" s="428"/>
    </row>
    <row r="164" spans="1:12" s="285" customFormat="1" ht="14.25" hidden="1" customHeight="1" x14ac:dyDescent="0.25">
      <c r="A164" s="344"/>
      <c r="B164" s="151"/>
      <c r="C164" s="94"/>
      <c r="D164" s="441">
        <v>0</v>
      </c>
      <c r="E164" s="441">
        <f>E163</f>
        <v>0</v>
      </c>
      <c r="F164" s="441">
        <f>F163</f>
        <v>0</v>
      </c>
      <c r="G164" s="441">
        <v>0</v>
      </c>
      <c r="H164" s="441">
        <f>H163</f>
        <v>0</v>
      </c>
      <c r="I164" s="441"/>
      <c r="J164" s="441"/>
      <c r="K164" s="441"/>
    </row>
    <row r="165" spans="1:12" s="285" customFormat="1" x14ac:dyDescent="0.25">
      <c r="A165" s="348"/>
      <c r="B165" s="152"/>
      <c r="C165" s="119" t="s">
        <v>191</v>
      </c>
      <c r="D165" s="448">
        <f t="shared" ref="D165:K165" si="21">SUM(D161+D164)</f>
        <v>3026217.52</v>
      </c>
      <c r="E165" s="448">
        <f t="shared" si="21"/>
        <v>4190826</v>
      </c>
      <c r="F165" s="448">
        <f t="shared" si="21"/>
        <v>4198826</v>
      </c>
      <c r="G165" s="448">
        <f t="shared" si="21"/>
        <v>4198827</v>
      </c>
      <c r="H165" s="448">
        <f t="shared" si="21"/>
        <v>5151246.4000000004</v>
      </c>
      <c r="I165" s="448">
        <f t="shared" si="21"/>
        <v>4873107.0057142852</v>
      </c>
      <c r="J165" s="448">
        <f t="shared" si="21"/>
        <v>5271341.0208525714</v>
      </c>
      <c r="K165" s="448">
        <f t="shared" si="21"/>
        <v>5400180.4478377569</v>
      </c>
    </row>
    <row r="166" spans="1:12" s="468" customFormat="1" x14ac:dyDescent="0.25">
      <c r="A166" s="344"/>
      <c r="B166" s="130"/>
      <c r="C166" s="459"/>
      <c r="D166" s="575"/>
      <c r="E166" s="575"/>
      <c r="F166" s="575"/>
      <c r="G166" s="575"/>
      <c r="H166" s="575"/>
      <c r="I166" s="575"/>
      <c r="J166" s="575"/>
      <c r="K166" s="575"/>
    </row>
    <row r="167" spans="1:12" s="285" customFormat="1" x14ac:dyDescent="0.25">
      <c r="A167" s="344"/>
      <c r="B167" s="130"/>
      <c r="C167" s="440"/>
      <c r="D167" s="111"/>
      <c r="E167" s="111"/>
      <c r="F167" s="111"/>
      <c r="G167" s="111"/>
      <c r="H167" s="111"/>
      <c r="I167" s="111"/>
      <c r="J167" s="111"/>
      <c r="K167" s="576"/>
    </row>
    <row r="168" spans="1:12" s="285" customFormat="1" x14ac:dyDescent="0.25">
      <c r="A168" s="941" t="s">
        <v>543</v>
      </c>
      <c r="B168" s="942"/>
      <c r="C168" s="942"/>
      <c r="D168" s="547"/>
      <c r="E168" s="563"/>
      <c r="F168" s="563"/>
      <c r="G168" s="563"/>
      <c r="H168" s="563"/>
      <c r="I168" s="581"/>
      <c r="J168" s="563"/>
      <c r="K168" s="563"/>
      <c r="L168" s="443"/>
    </row>
    <row r="169" spans="1:12" s="285" customFormat="1" x14ac:dyDescent="0.25">
      <c r="A169" s="944" t="s">
        <v>21</v>
      </c>
      <c r="B169" s="945"/>
      <c r="C169" s="150" t="s">
        <v>22</v>
      </c>
      <c r="D169" s="103" t="s">
        <v>878</v>
      </c>
      <c r="E169" s="104" t="s">
        <v>24</v>
      </c>
      <c r="F169" s="103" t="s">
        <v>535</v>
      </c>
      <c r="G169" s="103" t="s">
        <v>413</v>
      </c>
      <c r="H169" s="104" t="s">
        <v>24</v>
      </c>
      <c r="I169" s="583" t="s">
        <v>24</v>
      </c>
      <c r="J169" s="583" t="s">
        <v>24</v>
      </c>
      <c r="K169" s="583" t="s">
        <v>24</v>
      </c>
    </row>
    <row r="170" spans="1:12" s="285" customFormat="1" x14ac:dyDescent="0.25">
      <c r="A170" s="946"/>
      <c r="B170" s="947"/>
      <c r="C170" s="106"/>
      <c r="D170" s="333" t="s">
        <v>257</v>
      </c>
      <c r="E170" s="107" t="s">
        <v>382</v>
      </c>
      <c r="F170" s="107" t="s">
        <v>382</v>
      </c>
      <c r="G170" s="107" t="s">
        <v>879</v>
      </c>
      <c r="H170" s="107" t="s">
        <v>407</v>
      </c>
      <c r="I170" s="586" t="s">
        <v>414</v>
      </c>
      <c r="J170" s="586" t="s">
        <v>530</v>
      </c>
      <c r="K170" s="586" t="s">
        <v>886</v>
      </c>
    </row>
    <row r="171" spans="1:12" s="285" customFormat="1" hidden="1" x14ac:dyDescent="0.25">
      <c r="A171" s="350"/>
      <c r="B171" s="153"/>
      <c r="C171" s="93" t="s">
        <v>98</v>
      </c>
      <c r="D171" s="444"/>
      <c r="E171" s="435"/>
      <c r="F171" s="435"/>
      <c r="G171" s="435"/>
      <c r="H171" s="435"/>
      <c r="I171" s="435"/>
      <c r="J171" s="435"/>
      <c r="K171" s="334"/>
    </row>
    <row r="172" spans="1:12" s="285" customFormat="1" hidden="1" x14ac:dyDescent="0.25">
      <c r="A172" s="118">
        <v>12</v>
      </c>
      <c r="B172" s="151">
        <v>1237</v>
      </c>
      <c r="C172" s="94" t="s">
        <v>99</v>
      </c>
      <c r="D172" s="444"/>
      <c r="E172" s="425"/>
      <c r="F172" s="435">
        <f>E172/8*12</f>
        <v>0</v>
      </c>
      <c r="G172" s="435">
        <v>0</v>
      </c>
      <c r="H172" s="435">
        <f>+(F172*0.1)+F172</f>
        <v>0</v>
      </c>
      <c r="I172" s="435"/>
      <c r="J172" s="435"/>
      <c r="K172" s="444"/>
    </row>
    <row r="173" spans="1:12" s="285" customFormat="1" hidden="1" x14ac:dyDescent="0.25">
      <c r="A173" s="118">
        <v>12</v>
      </c>
      <c r="B173" s="151">
        <v>5725</v>
      </c>
      <c r="C173" s="94" t="s">
        <v>400</v>
      </c>
      <c r="D173" s="428"/>
      <c r="E173" s="428">
        <v>0</v>
      </c>
      <c r="F173" s="428">
        <v>0</v>
      </c>
      <c r="G173" s="428">
        <v>0</v>
      </c>
      <c r="H173" s="435">
        <f>+(F173*0.1)+F173</f>
        <v>0</v>
      </c>
      <c r="I173" s="435"/>
      <c r="J173" s="435"/>
      <c r="K173" s="444"/>
    </row>
    <row r="174" spans="1:12" s="285" customFormat="1" hidden="1" x14ac:dyDescent="0.25">
      <c r="A174" s="344"/>
      <c r="B174" s="151"/>
      <c r="C174" s="94"/>
      <c r="D174" s="436">
        <f>SUM(D172)</f>
        <v>0</v>
      </c>
      <c r="E174" s="436">
        <f>SUM(E172)</f>
        <v>0</v>
      </c>
      <c r="F174" s="436">
        <f>SUM(F172)</f>
        <v>0</v>
      </c>
      <c r="G174" s="436">
        <f>SUM(G172)</f>
        <v>0</v>
      </c>
      <c r="H174" s="436"/>
      <c r="I174" s="436"/>
      <c r="J174" s="436"/>
      <c r="K174" s="436"/>
    </row>
    <row r="175" spans="1:12" s="285" customFormat="1" x14ac:dyDescent="0.25">
      <c r="A175" s="344"/>
      <c r="B175" s="151"/>
      <c r="C175" s="93" t="s">
        <v>100</v>
      </c>
      <c r="D175" s="444"/>
      <c r="E175" s="435"/>
      <c r="F175" s="435"/>
      <c r="G175" s="435"/>
      <c r="H175" s="435"/>
      <c r="I175" s="435"/>
      <c r="J175" s="435"/>
      <c r="K175" s="444"/>
    </row>
    <row r="176" spans="1:12" s="285" customFormat="1" hidden="1" x14ac:dyDescent="0.25">
      <c r="A176" s="118">
        <v>12</v>
      </c>
      <c r="B176" s="151">
        <v>1147</v>
      </c>
      <c r="C176" s="94" t="s">
        <v>102</v>
      </c>
      <c r="D176" s="444"/>
      <c r="E176" s="435"/>
      <c r="F176" s="435">
        <f>E176/8*12</f>
        <v>0</v>
      </c>
      <c r="G176" s="435">
        <v>0</v>
      </c>
      <c r="H176" s="435">
        <f t="shared" ref="H176:H205" si="22">+(F176*0.1)+F176</f>
        <v>0</v>
      </c>
      <c r="I176" s="435"/>
      <c r="J176" s="435"/>
      <c r="K176" s="444"/>
    </row>
    <row r="177" spans="1:11" s="285" customFormat="1" hidden="1" x14ac:dyDescent="0.25">
      <c r="A177" s="118">
        <v>12</v>
      </c>
      <c r="B177" s="151">
        <v>1202</v>
      </c>
      <c r="C177" s="94" t="s">
        <v>343</v>
      </c>
      <c r="D177" s="444"/>
      <c r="E177" s="435"/>
      <c r="F177" s="435">
        <f>E177/8*12</f>
        <v>0</v>
      </c>
      <c r="G177" s="435">
        <v>0</v>
      </c>
      <c r="H177" s="435">
        <f t="shared" si="22"/>
        <v>0</v>
      </c>
      <c r="I177" s="435"/>
      <c r="J177" s="435"/>
      <c r="K177" s="444"/>
    </row>
    <row r="178" spans="1:11" s="285" customFormat="1" hidden="1" x14ac:dyDescent="0.25">
      <c r="A178" s="118">
        <v>12</v>
      </c>
      <c r="B178" s="151">
        <v>1207</v>
      </c>
      <c r="C178" s="94" t="s">
        <v>104</v>
      </c>
      <c r="D178" s="444"/>
      <c r="E178" s="435"/>
      <c r="F178" s="435">
        <f>E178/8*12</f>
        <v>0</v>
      </c>
      <c r="G178" s="435">
        <v>0</v>
      </c>
      <c r="H178" s="435">
        <f t="shared" si="22"/>
        <v>0</v>
      </c>
      <c r="I178" s="435"/>
      <c r="J178" s="435"/>
      <c r="K178" s="444"/>
    </row>
    <row r="179" spans="1:11" s="285" customFormat="1" hidden="1" x14ac:dyDescent="0.25">
      <c r="A179" s="118">
        <v>12</v>
      </c>
      <c r="B179" s="151">
        <v>1153</v>
      </c>
      <c r="C179" s="94" t="s">
        <v>115</v>
      </c>
      <c r="D179" s="444"/>
      <c r="E179" s="435"/>
      <c r="F179" s="435">
        <f>E179/8*12</f>
        <v>0</v>
      </c>
      <c r="G179" s="435">
        <v>0</v>
      </c>
      <c r="H179" s="435">
        <f t="shared" si="22"/>
        <v>0</v>
      </c>
      <c r="I179" s="435"/>
      <c r="J179" s="435"/>
      <c r="K179" s="444"/>
    </row>
    <row r="180" spans="1:11" s="285" customFormat="1" hidden="1" x14ac:dyDescent="0.25">
      <c r="A180" s="118">
        <v>12</v>
      </c>
      <c r="B180" s="151">
        <v>1143</v>
      </c>
      <c r="C180" s="94" t="s">
        <v>109</v>
      </c>
      <c r="D180" s="444"/>
      <c r="E180" s="435"/>
      <c r="F180" s="435">
        <f>E180/8*12</f>
        <v>0</v>
      </c>
      <c r="G180" s="435">
        <v>0</v>
      </c>
      <c r="H180" s="435">
        <f t="shared" si="22"/>
        <v>0</v>
      </c>
      <c r="I180" s="435"/>
      <c r="J180" s="435"/>
      <c r="K180" s="444"/>
    </row>
    <row r="181" spans="1:11" s="285" customFormat="1" x14ac:dyDescent="0.25">
      <c r="A181" s="118">
        <v>12</v>
      </c>
      <c r="B181" s="151">
        <v>5500</v>
      </c>
      <c r="C181" s="94" t="s">
        <v>266</v>
      </c>
      <c r="D181" s="428">
        <v>-31895</v>
      </c>
      <c r="E181" s="428">
        <v>-33969</v>
      </c>
      <c r="F181" s="428">
        <f t="shared" ref="F181:F199" si="23">E181-D181</f>
        <v>-2074</v>
      </c>
      <c r="G181" s="86">
        <v>-2074</v>
      </c>
      <c r="H181" s="435">
        <f t="shared" si="22"/>
        <v>-2281.4</v>
      </c>
      <c r="I181" s="435">
        <f>+H181*1.058</f>
        <v>-2413.7212000000004</v>
      </c>
      <c r="J181" s="435">
        <f>+I181*1.055</f>
        <v>-2546.4758660000002</v>
      </c>
      <c r="K181" s="444">
        <f>+J181*1.053</f>
        <v>-2681.4390868979999</v>
      </c>
    </row>
    <row r="182" spans="1:11" s="285" customFormat="1" hidden="1" x14ac:dyDescent="0.25">
      <c r="A182" s="118">
        <v>12</v>
      </c>
      <c r="B182" s="151">
        <v>5705</v>
      </c>
      <c r="C182" s="94" t="s">
        <v>296</v>
      </c>
      <c r="D182" s="428"/>
      <c r="E182" s="428"/>
      <c r="F182" s="428">
        <f t="shared" si="23"/>
        <v>0</v>
      </c>
      <c r="G182" s="86">
        <v>0</v>
      </c>
      <c r="H182" s="435">
        <f t="shared" si="22"/>
        <v>0</v>
      </c>
      <c r="I182" s="435"/>
      <c r="J182" s="435"/>
      <c r="K182" s="444"/>
    </row>
    <row r="183" spans="1:11" s="285" customFormat="1" hidden="1" x14ac:dyDescent="0.25">
      <c r="A183" s="118">
        <v>12</v>
      </c>
      <c r="B183" s="151">
        <v>1140</v>
      </c>
      <c r="C183" s="94" t="s">
        <v>113</v>
      </c>
      <c r="D183" s="444"/>
      <c r="E183" s="435"/>
      <c r="F183" s="428">
        <f t="shared" si="23"/>
        <v>0</v>
      </c>
      <c r="G183" s="86">
        <v>0</v>
      </c>
      <c r="H183" s="435">
        <f t="shared" si="22"/>
        <v>0</v>
      </c>
      <c r="I183" s="435"/>
      <c r="J183" s="435"/>
      <c r="K183" s="444"/>
    </row>
    <row r="184" spans="1:11" s="285" customFormat="1" hidden="1" x14ac:dyDescent="0.25">
      <c r="A184" s="118">
        <v>12</v>
      </c>
      <c r="B184" s="151">
        <v>1145</v>
      </c>
      <c r="C184" s="94" t="s">
        <v>132</v>
      </c>
      <c r="D184" s="444"/>
      <c r="E184" s="435"/>
      <c r="F184" s="428">
        <f t="shared" si="23"/>
        <v>0</v>
      </c>
      <c r="G184" s="86">
        <v>0</v>
      </c>
      <c r="H184" s="435">
        <f t="shared" si="22"/>
        <v>0</v>
      </c>
      <c r="I184" s="435"/>
      <c r="J184" s="435"/>
      <c r="K184" s="444"/>
    </row>
    <row r="185" spans="1:11" s="285" customFormat="1" hidden="1" x14ac:dyDescent="0.25">
      <c r="A185" s="118">
        <v>12</v>
      </c>
      <c r="B185" s="151">
        <v>1150</v>
      </c>
      <c r="C185" s="94" t="s">
        <v>120</v>
      </c>
      <c r="D185" s="444"/>
      <c r="E185" s="435"/>
      <c r="F185" s="428">
        <f t="shared" si="23"/>
        <v>0</v>
      </c>
      <c r="G185" s="86">
        <v>0</v>
      </c>
      <c r="H185" s="435">
        <f t="shared" si="22"/>
        <v>0</v>
      </c>
      <c r="I185" s="435"/>
      <c r="J185" s="435"/>
      <c r="K185" s="444"/>
    </row>
    <row r="186" spans="1:11" s="285" customFormat="1" hidden="1" x14ac:dyDescent="0.25">
      <c r="A186" s="118">
        <v>12</v>
      </c>
      <c r="B186" s="151">
        <v>1155</v>
      </c>
      <c r="C186" s="94" t="s">
        <v>116</v>
      </c>
      <c r="D186" s="444"/>
      <c r="E186" s="435"/>
      <c r="F186" s="428">
        <f t="shared" si="23"/>
        <v>0</v>
      </c>
      <c r="G186" s="86">
        <v>0</v>
      </c>
      <c r="H186" s="435">
        <f t="shared" si="22"/>
        <v>0</v>
      </c>
      <c r="I186" s="435"/>
      <c r="J186" s="435"/>
      <c r="K186" s="444"/>
    </row>
    <row r="187" spans="1:11" s="285" customFormat="1" hidden="1" x14ac:dyDescent="0.25">
      <c r="A187" s="118">
        <v>12</v>
      </c>
      <c r="B187" s="151">
        <v>1160</v>
      </c>
      <c r="C187" s="94" t="s">
        <v>101</v>
      </c>
      <c r="D187" s="444"/>
      <c r="E187" s="435"/>
      <c r="F187" s="428">
        <f t="shared" si="23"/>
        <v>0</v>
      </c>
      <c r="G187" s="86">
        <v>0</v>
      </c>
      <c r="H187" s="435">
        <f t="shared" si="22"/>
        <v>0</v>
      </c>
      <c r="I187" s="435"/>
      <c r="J187" s="435"/>
      <c r="K187" s="444"/>
    </row>
    <row r="188" spans="1:11" s="285" customFormat="1" hidden="1" x14ac:dyDescent="0.25">
      <c r="A188" s="118">
        <v>12</v>
      </c>
      <c r="B188" s="151">
        <v>1165</v>
      </c>
      <c r="C188" s="94" t="s">
        <v>114</v>
      </c>
      <c r="D188" s="444"/>
      <c r="E188" s="435"/>
      <c r="F188" s="428">
        <f t="shared" si="23"/>
        <v>0</v>
      </c>
      <c r="G188" s="86">
        <v>0</v>
      </c>
      <c r="H188" s="435">
        <f t="shared" si="22"/>
        <v>0</v>
      </c>
      <c r="I188" s="435"/>
      <c r="J188" s="435"/>
      <c r="K188" s="444"/>
    </row>
    <row r="189" spans="1:11" s="285" customFormat="1" hidden="1" x14ac:dyDescent="0.25">
      <c r="A189" s="118"/>
      <c r="B189" s="151"/>
      <c r="C189" s="94" t="s">
        <v>401</v>
      </c>
      <c r="D189" s="444"/>
      <c r="E189" s="435"/>
      <c r="F189" s="428">
        <f t="shared" si="23"/>
        <v>0</v>
      </c>
      <c r="G189" s="86">
        <v>0</v>
      </c>
      <c r="H189" s="435">
        <f t="shared" si="22"/>
        <v>0</v>
      </c>
      <c r="I189" s="435"/>
      <c r="J189" s="435"/>
      <c r="K189" s="444"/>
    </row>
    <row r="190" spans="1:11" s="285" customFormat="1" hidden="1" x14ac:dyDescent="0.25">
      <c r="A190" s="118">
        <v>12</v>
      </c>
      <c r="B190" s="151">
        <v>1180</v>
      </c>
      <c r="C190" s="94" t="s">
        <v>402</v>
      </c>
      <c r="D190" s="444"/>
      <c r="E190" s="435"/>
      <c r="F190" s="428">
        <f t="shared" si="23"/>
        <v>0</v>
      </c>
      <c r="G190" s="86">
        <v>0</v>
      </c>
      <c r="H190" s="435">
        <f t="shared" si="22"/>
        <v>0</v>
      </c>
      <c r="I190" s="435"/>
      <c r="J190" s="435"/>
      <c r="K190" s="444"/>
    </row>
    <row r="191" spans="1:11" s="285" customFormat="1" hidden="1" x14ac:dyDescent="0.25">
      <c r="A191" s="118">
        <v>12</v>
      </c>
      <c r="B191" s="151">
        <v>1185</v>
      </c>
      <c r="C191" s="94" t="s">
        <v>403</v>
      </c>
      <c r="D191" s="444"/>
      <c r="E191" s="435"/>
      <c r="F191" s="428">
        <f t="shared" si="23"/>
        <v>0</v>
      </c>
      <c r="G191" s="86">
        <v>0</v>
      </c>
      <c r="H191" s="435">
        <f t="shared" si="22"/>
        <v>0</v>
      </c>
      <c r="I191" s="435"/>
      <c r="J191" s="435"/>
      <c r="K191" s="444"/>
    </row>
    <row r="192" spans="1:11" s="285" customFormat="1" hidden="1" x14ac:dyDescent="0.25">
      <c r="A192" s="118">
        <v>12</v>
      </c>
      <c r="B192" s="151">
        <v>1190</v>
      </c>
      <c r="C192" s="94" t="s">
        <v>404</v>
      </c>
      <c r="D192" s="444"/>
      <c r="E192" s="435"/>
      <c r="F192" s="428">
        <f t="shared" si="23"/>
        <v>0</v>
      </c>
      <c r="G192" s="86">
        <v>0</v>
      </c>
      <c r="H192" s="435">
        <f t="shared" si="22"/>
        <v>0</v>
      </c>
      <c r="I192" s="435"/>
      <c r="J192" s="435"/>
      <c r="K192" s="444"/>
    </row>
    <row r="193" spans="1:11" s="285" customFormat="1" hidden="1" x14ac:dyDescent="0.25">
      <c r="A193" s="118"/>
      <c r="B193" s="151"/>
      <c r="C193" s="94" t="s">
        <v>405</v>
      </c>
      <c r="D193" s="444"/>
      <c r="E193" s="435"/>
      <c r="F193" s="428">
        <f t="shared" si="23"/>
        <v>0</v>
      </c>
      <c r="G193" s="86">
        <v>0</v>
      </c>
      <c r="H193" s="435">
        <f t="shared" si="22"/>
        <v>0</v>
      </c>
      <c r="I193" s="435"/>
      <c r="J193" s="435"/>
      <c r="K193" s="444"/>
    </row>
    <row r="194" spans="1:11" s="285" customFormat="1" hidden="1" x14ac:dyDescent="0.25">
      <c r="A194" s="118">
        <v>12</v>
      </c>
      <c r="B194" s="151">
        <v>1195</v>
      </c>
      <c r="C194" s="94" t="s">
        <v>199</v>
      </c>
      <c r="D194" s="444"/>
      <c r="E194" s="435"/>
      <c r="F194" s="428">
        <f t="shared" si="23"/>
        <v>0</v>
      </c>
      <c r="G194" s="86">
        <v>0</v>
      </c>
      <c r="H194" s="435">
        <f t="shared" si="22"/>
        <v>0</v>
      </c>
      <c r="I194" s="435"/>
      <c r="J194" s="435"/>
      <c r="K194" s="444"/>
    </row>
    <row r="195" spans="1:11" s="285" customFormat="1" hidden="1" x14ac:dyDescent="0.25">
      <c r="A195" s="118">
        <v>12</v>
      </c>
      <c r="B195" s="151">
        <v>1200</v>
      </c>
      <c r="C195" s="94" t="s">
        <v>117</v>
      </c>
      <c r="D195" s="444"/>
      <c r="E195" s="435"/>
      <c r="F195" s="428">
        <f t="shared" si="23"/>
        <v>0</v>
      </c>
      <c r="G195" s="86">
        <v>0</v>
      </c>
      <c r="H195" s="435">
        <f t="shared" si="22"/>
        <v>0</v>
      </c>
      <c r="I195" s="435"/>
      <c r="J195" s="435"/>
      <c r="K195" s="444"/>
    </row>
    <row r="196" spans="1:11" s="285" customFormat="1" hidden="1" x14ac:dyDescent="0.25">
      <c r="A196" s="118">
        <v>12</v>
      </c>
      <c r="B196" s="151">
        <v>1205</v>
      </c>
      <c r="C196" s="440" t="s">
        <v>105</v>
      </c>
      <c r="D196" s="444"/>
      <c r="E196" s="435"/>
      <c r="F196" s="428">
        <f t="shared" si="23"/>
        <v>0</v>
      </c>
      <c r="G196" s="86">
        <v>0</v>
      </c>
      <c r="H196" s="435">
        <f t="shared" si="22"/>
        <v>0</v>
      </c>
      <c r="I196" s="435"/>
      <c r="J196" s="435"/>
      <c r="K196" s="444"/>
    </row>
    <row r="197" spans="1:11" s="285" customFormat="1" hidden="1" x14ac:dyDescent="0.25">
      <c r="A197" s="118">
        <v>12</v>
      </c>
      <c r="B197" s="151">
        <v>1210</v>
      </c>
      <c r="C197" s="94" t="s">
        <v>118</v>
      </c>
      <c r="D197" s="444"/>
      <c r="E197" s="435"/>
      <c r="F197" s="428">
        <f t="shared" si="23"/>
        <v>0</v>
      </c>
      <c r="G197" s="86">
        <v>0</v>
      </c>
      <c r="H197" s="435">
        <f t="shared" si="22"/>
        <v>0</v>
      </c>
      <c r="I197" s="435"/>
      <c r="J197" s="435"/>
      <c r="K197" s="444"/>
    </row>
    <row r="198" spans="1:11" s="285" customFormat="1" hidden="1" x14ac:dyDescent="0.25">
      <c r="A198" s="118">
        <v>12</v>
      </c>
      <c r="B198" s="151">
        <v>1215</v>
      </c>
      <c r="C198" s="94" t="s">
        <v>133</v>
      </c>
      <c r="D198" s="444"/>
      <c r="E198" s="435"/>
      <c r="F198" s="428">
        <f t="shared" si="23"/>
        <v>0</v>
      </c>
      <c r="G198" s="86">
        <v>0</v>
      </c>
      <c r="H198" s="435">
        <f t="shared" si="22"/>
        <v>0</v>
      </c>
      <c r="I198" s="435"/>
      <c r="J198" s="435"/>
      <c r="K198" s="444"/>
    </row>
    <row r="199" spans="1:11" s="285" customFormat="1" ht="0.75" customHeight="1" x14ac:dyDescent="0.25">
      <c r="A199" s="118">
        <v>12</v>
      </c>
      <c r="B199" s="151">
        <v>5905</v>
      </c>
      <c r="C199" s="94" t="s">
        <v>329</v>
      </c>
      <c r="D199" s="428"/>
      <c r="E199" s="428"/>
      <c r="F199" s="428">
        <f t="shared" si="23"/>
        <v>0</v>
      </c>
      <c r="G199" s="86">
        <v>0</v>
      </c>
      <c r="H199" s="435">
        <f t="shared" si="22"/>
        <v>0</v>
      </c>
      <c r="I199" s="435"/>
      <c r="J199" s="435"/>
      <c r="K199" s="444"/>
    </row>
    <row r="200" spans="1:11" s="285" customFormat="1" x14ac:dyDescent="0.25">
      <c r="A200" s="118">
        <v>12</v>
      </c>
      <c r="B200" s="151">
        <v>5900</v>
      </c>
      <c r="C200" s="94" t="s">
        <v>333</v>
      </c>
      <c r="D200" s="428">
        <v>-16125</v>
      </c>
      <c r="E200" s="428">
        <v>-17024</v>
      </c>
      <c r="F200" s="428">
        <v>-17024</v>
      </c>
      <c r="G200" s="86">
        <v>-17024</v>
      </c>
      <c r="H200" s="435">
        <f>+(F200*0.1)+F200</f>
        <v>-18726.400000000001</v>
      </c>
      <c r="I200" s="435">
        <f>+H200*1.058</f>
        <v>-19812.531200000001</v>
      </c>
      <c r="J200" s="435">
        <f>+I200*1.055</f>
        <v>-20902.220416</v>
      </c>
      <c r="K200" s="444">
        <f>+J200*1.053</f>
        <v>-22010.038098048</v>
      </c>
    </row>
    <row r="201" spans="1:11" s="285" customFormat="1" hidden="1" x14ac:dyDescent="0.25">
      <c r="A201" s="118">
        <v>12</v>
      </c>
      <c r="B201" s="151">
        <v>1220</v>
      </c>
      <c r="C201" s="94" t="s">
        <v>340</v>
      </c>
      <c r="D201" s="444"/>
      <c r="E201" s="435"/>
      <c r="F201" s="435">
        <f>E201/8*12</f>
        <v>0</v>
      </c>
      <c r="G201" s="435">
        <v>0</v>
      </c>
      <c r="H201" s="435">
        <f t="shared" si="22"/>
        <v>0</v>
      </c>
      <c r="I201" s="435"/>
      <c r="J201" s="435"/>
      <c r="K201" s="444"/>
    </row>
    <row r="202" spans="1:11" s="285" customFormat="1" hidden="1" x14ac:dyDescent="0.25">
      <c r="A202" s="118">
        <v>12</v>
      </c>
      <c r="B202" s="151">
        <v>1225</v>
      </c>
      <c r="C202" s="94" t="s">
        <v>370</v>
      </c>
      <c r="D202" s="444"/>
      <c r="E202" s="435"/>
      <c r="F202" s="435">
        <f>E202/8*12</f>
        <v>0</v>
      </c>
      <c r="G202" s="435">
        <v>0</v>
      </c>
      <c r="H202" s="435">
        <f t="shared" si="22"/>
        <v>0</v>
      </c>
      <c r="I202" s="435"/>
      <c r="J202" s="435"/>
      <c r="K202" s="444"/>
    </row>
    <row r="203" spans="1:11" s="285" customFormat="1" hidden="1" x14ac:dyDescent="0.25">
      <c r="A203" s="118">
        <v>12</v>
      </c>
      <c r="B203" s="151">
        <v>1230</v>
      </c>
      <c r="C203" s="94" t="s">
        <v>119</v>
      </c>
      <c r="D203" s="444"/>
      <c r="E203" s="435"/>
      <c r="F203" s="435">
        <f>E203/8*12</f>
        <v>0</v>
      </c>
      <c r="G203" s="435">
        <v>0</v>
      </c>
      <c r="H203" s="435">
        <f t="shared" si="22"/>
        <v>0</v>
      </c>
      <c r="I203" s="435"/>
      <c r="J203" s="435"/>
      <c r="K203" s="444"/>
    </row>
    <row r="204" spans="1:11" s="285" customFormat="1" hidden="1" x14ac:dyDescent="0.25">
      <c r="A204" s="118">
        <v>12</v>
      </c>
      <c r="B204" s="151">
        <v>1235</v>
      </c>
      <c r="C204" s="94" t="s">
        <v>347</v>
      </c>
      <c r="D204" s="444"/>
      <c r="E204" s="435"/>
      <c r="F204" s="435">
        <f>E204/8*12</f>
        <v>0</v>
      </c>
      <c r="G204" s="435">
        <v>0</v>
      </c>
      <c r="H204" s="435">
        <f t="shared" si="22"/>
        <v>0</v>
      </c>
      <c r="I204" s="435"/>
      <c r="J204" s="435"/>
      <c r="K204" s="444"/>
    </row>
    <row r="205" spans="1:11" s="285" customFormat="1" hidden="1" x14ac:dyDescent="0.25">
      <c r="A205" s="118"/>
      <c r="B205" s="151"/>
      <c r="C205" s="94" t="s">
        <v>510</v>
      </c>
      <c r="D205" s="225"/>
      <c r="E205" s="428"/>
      <c r="F205" s="428"/>
      <c r="G205" s="86"/>
      <c r="H205" s="435">
        <f t="shared" si="22"/>
        <v>0</v>
      </c>
      <c r="I205" s="435"/>
      <c r="J205" s="435"/>
      <c r="K205" s="444"/>
    </row>
    <row r="206" spans="1:11" s="285" customFormat="1" x14ac:dyDescent="0.25">
      <c r="A206" s="344"/>
      <c r="B206" s="151"/>
      <c r="C206" s="94"/>
      <c r="D206" s="437">
        <f t="shared" ref="D206:K206" si="24">SUM(D176:D204)</f>
        <v>-48020</v>
      </c>
      <c r="E206" s="437">
        <f t="shared" si="24"/>
        <v>-50993</v>
      </c>
      <c r="F206" s="437">
        <f t="shared" si="24"/>
        <v>-19098</v>
      </c>
      <c r="G206" s="437">
        <f t="shared" si="24"/>
        <v>-19098</v>
      </c>
      <c r="H206" s="437">
        <f t="shared" si="24"/>
        <v>-21007.800000000003</v>
      </c>
      <c r="I206" s="437">
        <f t="shared" si="24"/>
        <v>-22226.252400000001</v>
      </c>
      <c r="J206" s="437">
        <f t="shared" si="24"/>
        <v>-23448.696282000001</v>
      </c>
      <c r="K206" s="437">
        <f t="shared" si="24"/>
        <v>-24691.477184946001</v>
      </c>
    </row>
    <row r="207" spans="1:11" s="285" customFormat="1" x14ac:dyDescent="0.25">
      <c r="A207" s="344"/>
      <c r="B207" s="151"/>
      <c r="C207" s="93" t="s">
        <v>66</v>
      </c>
      <c r="D207" s="444"/>
      <c r="E207" s="435"/>
      <c r="F207" s="435"/>
      <c r="G207" s="435"/>
      <c r="H207" s="435"/>
      <c r="I207" s="435"/>
      <c r="J207" s="435"/>
      <c r="K207" s="435"/>
    </row>
    <row r="208" spans="1:11" s="285" customFormat="1" x14ac:dyDescent="0.25">
      <c r="A208" s="118">
        <v>12</v>
      </c>
      <c r="B208" s="151">
        <v>1305</v>
      </c>
      <c r="C208" s="94" t="s">
        <v>342</v>
      </c>
      <c r="D208" s="444">
        <v>0</v>
      </c>
      <c r="E208" s="435"/>
      <c r="F208" s="435">
        <f>E208/8*12</f>
        <v>0</v>
      </c>
      <c r="G208" s="435">
        <v>0</v>
      </c>
      <c r="H208" s="435">
        <f>+(F208*0.1)+F208</f>
        <v>0</v>
      </c>
      <c r="I208" s="435">
        <f t="shared" ref="I208:K211" si="25">+(G208*0.1)+G208</f>
        <v>0</v>
      </c>
      <c r="J208" s="435">
        <f t="shared" si="25"/>
        <v>0</v>
      </c>
      <c r="K208" s="435">
        <f t="shared" si="25"/>
        <v>0</v>
      </c>
    </row>
    <row r="209" spans="1:11" s="285" customFormat="1" x14ac:dyDescent="0.25">
      <c r="A209" s="118">
        <v>12</v>
      </c>
      <c r="B209" s="151">
        <v>1310</v>
      </c>
      <c r="C209" s="94" t="s">
        <v>344</v>
      </c>
      <c r="D209" s="444">
        <v>0</v>
      </c>
      <c r="E209" s="435"/>
      <c r="F209" s="435">
        <f>E209/8*12</f>
        <v>0</v>
      </c>
      <c r="G209" s="435">
        <v>0</v>
      </c>
      <c r="H209" s="435">
        <f>+(F209*0.1)+F209</f>
        <v>0</v>
      </c>
      <c r="I209" s="435">
        <f t="shared" si="25"/>
        <v>0</v>
      </c>
      <c r="J209" s="435">
        <f t="shared" si="25"/>
        <v>0</v>
      </c>
      <c r="K209" s="435">
        <f t="shared" si="25"/>
        <v>0</v>
      </c>
    </row>
    <row r="210" spans="1:11" s="285" customFormat="1" x14ac:dyDescent="0.25">
      <c r="A210" s="118">
        <v>12</v>
      </c>
      <c r="B210" s="151">
        <v>1320</v>
      </c>
      <c r="C210" s="94" t="s">
        <v>345</v>
      </c>
      <c r="D210" s="444">
        <v>0</v>
      </c>
      <c r="E210" s="435"/>
      <c r="F210" s="435">
        <f>E210/8*12</f>
        <v>0</v>
      </c>
      <c r="G210" s="435">
        <v>0</v>
      </c>
      <c r="H210" s="435">
        <f>+(F210*0.1)+F210</f>
        <v>0</v>
      </c>
      <c r="I210" s="435">
        <f t="shared" si="25"/>
        <v>0</v>
      </c>
      <c r="J210" s="435">
        <f t="shared" si="25"/>
        <v>0</v>
      </c>
      <c r="K210" s="435">
        <f t="shared" si="25"/>
        <v>0</v>
      </c>
    </row>
    <row r="211" spans="1:11" s="285" customFormat="1" x14ac:dyDescent="0.25">
      <c r="A211" s="118">
        <v>12</v>
      </c>
      <c r="B211" s="151">
        <v>1315</v>
      </c>
      <c r="C211" s="94" t="s">
        <v>346</v>
      </c>
      <c r="D211" s="444">
        <v>0</v>
      </c>
      <c r="E211" s="425"/>
      <c r="F211" s="435">
        <f>E211/8*12</f>
        <v>0</v>
      </c>
      <c r="G211" s="435">
        <v>0</v>
      </c>
      <c r="H211" s="435">
        <f>+(F211*0.1)+F211</f>
        <v>0</v>
      </c>
      <c r="I211" s="435">
        <f t="shared" si="25"/>
        <v>0</v>
      </c>
      <c r="J211" s="435">
        <f t="shared" si="25"/>
        <v>0</v>
      </c>
      <c r="K211" s="435">
        <f t="shared" si="25"/>
        <v>0</v>
      </c>
    </row>
    <row r="212" spans="1:11" s="285" customFormat="1" x14ac:dyDescent="0.25">
      <c r="A212" s="344"/>
      <c r="B212" s="151"/>
      <c r="C212" s="94"/>
      <c r="D212" s="436">
        <v>0</v>
      </c>
      <c r="E212" s="436">
        <f>SUM(E208:E211)</f>
        <v>0</v>
      </c>
      <c r="F212" s="436">
        <f>SUM(F208:F211)</f>
        <v>0</v>
      </c>
      <c r="G212" s="436">
        <v>0</v>
      </c>
      <c r="H212" s="436"/>
      <c r="I212" s="436"/>
      <c r="J212" s="436"/>
      <c r="K212" s="436"/>
    </row>
    <row r="213" spans="1:11" s="285" customFormat="1" x14ac:dyDescent="0.25">
      <c r="A213" s="344"/>
      <c r="B213" s="151"/>
      <c r="C213" s="93" t="s">
        <v>67</v>
      </c>
      <c r="D213" s="444"/>
      <c r="E213" s="435"/>
      <c r="F213" s="435"/>
      <c r="G213" s="435"/>
      <c r="H213" s="435"/>
      <c r="I213" s="435"/>
      <c r="J213" s="435"/>
      <c r="K213" s="435"/>
    </row>
    <row r="214" spans="1:11" s="285" customFormat="1" x14ac:dyDescent="0.25">
      <c r="A214" s="118">
        <v>12</v>
      </c>
      <c r="B214" s="151">
        <v>1400</v>
      </c>
      <c r="C214" s="94" t="s">
        <v>68</v>
      </c>
      <c r="D214" s="444">
        <v>0</v>
      </c>
      <c r="E214" s="425"/>
      <c r="F214" s="435">
        <f>E214/8*12</f>
        <v>0</v>
      </c>
      <c r="G214" s="435">
        <v>0</v>
      </c>
      <c r="H214" s="435">
        <f>+(F214*0.1)+F214</f>
        <v>0</v>
      </c>
      <c r="I214" s="435">
        <f t="shared" ref="I214:K215" si="26">+(G214*0.1)+G214</f>
        <v>0</v>
      </c>
      <c r="J214" s="435">
        <f t="shared" si="26"/>
        <v>0</v>
      </c>
      <c r="K214" s="435">
        <f t="shared" si="26"/>
        <v>0</v>
      </c>
    </row>
    <row r="215" spans="1:11" s="285" customFormat="1" x14ac:dyDescent="0.25">
      <c r="A215" s="118">
        <v>12</v>
      </c>
      <c r="B215" s="151">
        <v>1405</v>
      </c>
      <c r="C215" s="94" t="s">
        <v>69</v>
      </c>
      <c r="D215" s="444">
        <v>0</v>
      </c>
      <c r="E215" s="425"/>
      <c r="F215" s="435">
        <f>E215/8*12</f>
        <v>0</v>
      </c>
      <c r="G215" s="435">
        <v>0</v>
      </c>
      <c r="H215" s="435">
        <f>+(F215*0.1)+F215</f>
        <v>0</v>
      </c>
      <c r="I215" s="435">
        <f t="shared" si="26"/>
        <v>0</v>
      </c>
      <c r="J215" s="435">
        <f t="shared" si="26"/>
        <v>0</v>
      </c>
      <c r="K215" s="435">
        <f t="shared" si="26"/>
        <v>0</v>
      </c>
    </row>
    <row r="216" spans="1:11" s="285" customFormat="1" x14ac:dyDescent="0.25">
      <c r="A216" s="344"/>
      <c r="B216" s="151"/>
      <c r="C216" s="94"/>
      <c r="D216" s="436">
        <f>SUM(D214:D215)</f>
        <v>0</v>
      </c>
      <c r="E216" s="436">
        <f>SUM(E214:E215)</f>
        <v>0</v>
      </c>
      <c r="F216" s="436">
        <f>SUM(F214:F215)</f>
        <v>0</v>
      </c>
      <c r="G216" s="436">
        <f>SUM(G214:G215)</f>
        <v>0</v>
      </c>
      <c r="H216" s="436"/>
      <c r="I216" s="436"/>
      <c r="J216" s="436"/>
      <c r="K216" s="436"/>
    </row>
    <row r="217" spans="1:11" s="285" customFormat="1" x14ac:dyDescent="0.25">
      <c r="A217" s="344"/>
      <c r="B217" s="151"/>
      <c r="C217" s="93" t="s">
        <v>70</v>
      </c>
      <c r="D217" s="444"/>
      <c r="E217" s="435"/>
      <c r="F217" s="435"/>
      <c r="G217" s="435"/>
      <c r="H217" s="435"/>
      <c r="I217" s="435"/>
      <c r="J217" s="435"/>
      <c r="K217" s="435"/>
    </row>
    <row r="218" spans="1:11" s="285" customFormat="1" x14ac:dyDescent="0.25">
      <c r="A218" s="118">
        <v>12</v>
      </c>
      <c r="B218" s="151">
        <v>1500</v>
      </c>
      <c r="C218" s="94" t="s">
        <v>106</v>
      </c>
      <c r="D218" s="444">
        <v>0</v>
      </c>
      <c r="E218" s="425"/>
      <c r="F218" s="435">
        <f>E218/8*12</f>
        <v>0</v>
      </c>
      <c r="G218" s="435">
        <v>0</v>
      </c>
      <c r="H218" s="435">
        <f>+(F218*0.1)+F218</f>
        <v>0</v>
      </c>
      <c r="I218" s="435">
        <f t="shared" ref="I218:K220" si="27">+(G218*0.1)+G218</f>
        <v>0</v>
      </c>
      <c r="J218" s="435">
        <f t="shared" si="27"/>
        <v>0</v>
      </c>
      <c r="K218" s="435">
        <f t="shared" si="27"/>
        <v>0</v>
      </c>
    </row>
    <row r="219" spans="1:11" s="285" customFormat="1" x14ac:dyDescent="0.25">
      <c r="A219" s="118">
        <v>12</v>
      </c>
      <c r="B219" s="151">
        <v>1505</v>
      </c>
      <c r="C219" s="94" t="s">
        <v>71</v>
      </c>
      <c r="D219" s="444">
        <v>0</v>
      </c>
      <c r="E219" s="425"/>
      <c r="F219" s="435">
        <f>E219/8*12</f>
        <v>0</v>
      </c>
      <c r="G219" s="435">
        <v>0</v>
      </c>
      <c r="H219" s="435">
        <f>+(F219*0.1)+F219</f>
        <v>0</v>
      </c>
      <c r="I219" s="435">
        <f t="shared" si="27"/>
        <v>0</v>
      </c>
      <c r="J219" s="435">
        <f t="shared" si="27"/>
        <v>0</v>
      </c>
      <c r="K219" s="435">
        <f t="shared" si="27"/>
        <v>0</v>
      </c>
    </row>
    <row r="220" spans="1:11" s="285" customFormat="1" x14ac:dyDescent="0.25">
      <c r="A220" s="118">
        <v>12</v>
      </c>
      <c r="B220" s="151">
        <v>1510</v>
      </c>
      <c r="C220" s="94" t="s">
        <v>72</v>
      </c>
      <c r="D220" s="444">
        <v>0</v>
      </c>
      <c r="E220" s="425"/>
      <c r="F220" s="435">
        <f>E220/8*12</f>
        <v>0</v>
      </c>
      <c r="G220" s="435">
        <v>0</v>
      </c>
      <c r="H220" s="435">
        <f>+(F220*0.1)+F220</f>
        <v>0</v>
      </c>
      <c r="I220" s="435">
        <f t="shared" si="27"/>
        <v>0</v>
      </c>
      <c r="J220" s="435">
        <f t="shared" si="27"/>
        <v>0</v>
      </c>
      <c r="K220" s="435">
        <f t="shared" si="27"/>
        <v>0</v>
      </c>
    </row>
    <row r="221" spans="1:11" s="285" customFormat="1" x14ac:dyDescent="0.25">
      <c r="A221" s="344"/>
      <c r="B221" s="151"/>
      <c r="C221" s="94"/>
      <c r="D221" s="436">
        <f>SUM(D218:D220)</f>
        <v>0</v>
      </c>
      <c r="E221" s="436">
        <f>SUM(E218:E220)</f>
        <v>0</v>
      </c>
      <c r="F221" s="436">
        <f>SUM(F218:F220)</f>
        <v>0</v>
      </c>
      <c r="G221" s="436">
        <v>0</v>
      </c>
      <c r="H221" s="436"/>
      <c r="I221" s="436"/>
      <c r="J221" s="436"/>
      <c r="K221" s="436"/>
    </row>
    <row r="222" spans="1:11" s="285" customFormat="1" x14ac:dyDescent="0.25">
      <c r="A222" s="344"/>
      <c r="B222" s="151"/>
      <c r="C222" s="93" t="s">
        <v>73</v>
      </c>
      <c r="D222" s="444"/>
      <c r="E222" s="435"/>
      <c r="F222" s="435"/>
      <c r="G222" s="435"/>
      <c r="H222" s="435"/>
      <c r="I222" s="435"/>
      <c r="J222" s="435"/>
      <c r="K222" s="435"/>
    </row>
    <row r="223" spans="1:11" s="285" customFormat="1" x14ac:dyDescent="0.25">
      <c r="A223" s="118">
        <v>12</v>
      </c>
      <c r="B223" s="151">
        <v>1550</v>
      </c>
      <c r="C223" s="94" t="s">
        <v>349</v>
      </c>
      <c r="D223" s="444">
        <v>0</v>
      </c>
      <c r="E223" s="435"/>
      <c r="F223" s="435">
        <f>E223/8*12</f>
        <v>0</v>
      </c>
      <c r="G223" s="435">
        <v>0</v>
      </c>
      <c r="H223" s="435">
        <f>+(F223*0.1)+F223</f>
        <v>0</v>
      </c>
      <c r="I223" s="435">
        <f t="shared" ref="I223:K224" si="28">+(G223*0.1)+G223</f>
        <v>0</v>
      </c>
      <c r="J223" s="435">
        <f t="shared" si="28"/>
        <v>0</v>
      </c>
      <c r="K223" s="435">
        <f t="shared" si="28"/>
        <v>0</v>
      </c>
    </row>
    <row r="224" spans="1:11" s="285" customFormat="1" x14ac:dyDescent="0.25">
      <c r="A224" s="118">
        <v>12</v>
      </c>
      <c r="B224" s="151">
        <v>1555</v>
      </c>
      <c r="C224" s="94" t="s">
        <v>348</v>
      </c>
      <c r="D224" s="444">
        <v>0</v>
      </c>
      <c r="E224" s="435"/>
      <c r="F224" s="435">
        <f>E224/8*12</f>
        <v>0</v>
      </c>
      <c r="G224" s="435">
        <v>0</v>
      </c>
      <c r="H224" s="435">
        <f>+(F224*0.1)+F224</f>
        <v>0</v>
      </c>
      <c r="I224" s="435">
        <f t="shared" si="28"/>
        <v>0</v>
      </c>
      <c r="J224" s="435">
        <f t="shared" si="28"/>
        <v>0</v>
      </c>
      <c r="K224" s="435">
        <f t="shared" si="28"/>
        <v>0</v>
      </c>
    </row>
    <row r="225" spans="1:11" s="285" customFormat="1" x14ac:dyDescent="0.25">
      <c r="A225" s="348"/>
      <c r="B225" s="152"/>
      <c r="C225" s="106"/>
      <c r="D225" s="437">
        <v>0</v>
      </c>
      <c r="E225" s="437">
        <f>SUM(E223:E224)</f>
        <v>0</v>
      </c>
      <c r="F225" s="437">
        <f>SUM(F223:F224)</f>
        <v>0</v>
      </c>
      <c r="G225" s="437">
        <v>0</v>
      </c>
      <c r="H225" s="437"/>
      <c r="I225" s="437"/>
      <c r="J225" s="437"/>
      <c r="K225" s="437"/>
    </row>
    <row r="226" spans="1:11" s="285" customFormat="1" ht="13.5" customHeight="1" x14ac:dyDescent="0.25">
      <c r="A226" s="350"/>
      <c r="B226" s="153"/>
      <c r="C226" s="332" t="s">
        <v>74</v>
      </c>
      <c r="D226" s="334"/>
      <c r="E226" s="377"/>
      <c r="F226" s="377"/>
      <c r="G226" s="377"/>
      <c r="H226" s="377"/>
      <c r="I226" s="377"/>
      <c r="J226" s="377"/>
      <c r="K226" s="377"/>
    </row>
    <row r="227" spans="1:11" s="285" customFormat="1" x14ac:dyDescent="0.25">
      <c r="A227" s="118">
        <v>12</v>
      </c>
      <c r="B227" s="151">
        <v>1605</v>
      </c>
      <c r="C227" s="94" t="s">
        <v>75</v>
      </c>
      <c r="D227" s="444">
        <v>0</v>
      </c>
      <c r="E227" s="435"/>
      <c r="F227" s="435">
        <f t="shared" ref="F227:F239" si="29">E227/8*12</f>
        <v>0</v>
      </c>
      <c r="G227" s="435">
        <v>0</v>
      </c>
      <c r="H227" s="435">
        <f t="shared" ref="H227:H239" si="30">+(F227*0.1)+F227</f>
        <v>0</v>
      </c>
      <c r="I227" s="435">
        <v>2000000</v>
      </c>
      <c r="J227" s="435">
        <f>+I227*1.055</f>
        <v>2110000</v>
      </c>
      <c r="K227" s="435">
        <f>+J227*1.053</f>
        <v>2221830</v>
      </c>
    </row>
    <row r="228" spans="1:11" s="285" customFormat="1" x14ac:dyDescent="0.25">
      <c r="A228" s="118">
        <v>12</v>
      </c>
      <c r="B228" s="151">
        <v>1610</v>
      </c>
      <c r="C228" s="94" t="s">
        <v>131</v>
      </c>
      <c r="D228" s="444">
        <v>0</v>
      </c>
      <c r="E228" s="425"/>
      <c r="F228" s="435">
        <f t="shared" si="29"/>
        <v>0</v>
      </c>
      <c r="G228" s="435">
        <v>0</v>
      </c>
      <c r="H228" s="435">
        <f t="shared" si="30"/>
        <v>0</v>
      </c>
      <c r="I228" s="435">
        <f t="shared" ref="I228:I239" si="31">+(G228*0.1)+G228</f>
        <v>0</v>
      </c>
      <c r="J228" s="435">
        <f t="shared" ref="J228:J239" si="32">+(H228*0.1)+H228</f>
        <v>0</v>
      </c>
      <c r="K228" s="435">
        <f t="shared" ref="K228:K239" si="33">+(I228*0.1)+I228</f>
        <v>0</v>
      </c>
    </row>
    <row r="229" spans="1:11" s="285" customFormat="1" x14ac:dyDescent="0.25">
      <c r="A229" s="118">
        <v>12</v>
      </c>
      <c r="B229" s="151">
        <v>1615</v>
      </c>
      <c r="C229" s="94" t="s">
        <v>182</v>
      </c>
      <c r="D229" s="444">
        <v>0</v>
      </c>
      <c r="E229" s="425"/>
      <c r="F229" s="435">
        <f t="shared" si="29"/>
        <v>0</v>
      </c>
      <c r="G229" s="435">
        <v>0</v>
      </c>
      <c r="H229" s="435">
        <f t="shared" si="30"/>
        <v>0</v>
      </c>
      <c r="I229" s="435">
        <f t="shared" si="31"/>
        <v>0</v>
      </c>
      <c r="J229" s="435">
        <f t="shared" si="32"/>
        <v>0</v>
      </c>
      <c r="K229" s="435">
        <f t="shared" si="33"/>
        <v>0</v>
      </c>
    </row>
    <row r="230" spans="1:11" s="285" customFormat="1" x14ac:dyDescent="0.25">
      <c r="A230" s="118">
        <v>12</v>
      </c>
      <c r="B230" s="151">
        <v>1620</v>
      </c>
      <c r="C230" s="94" t="s">
        <v>255</v>
      </c>
      <c r="D230" s="444">
        <v>0</v>
      </c>
      <c r="E230" s="425"/>
      <c r="F230" s="435">
        <f t="shared" si="29"/>
        <v>0</v>
      </c>
      <c r="G230" s="435">
        <v>0</v>
      </c>
      <c r="H230" s="435">
        <f t="shared" si="30"/>
        <v>0</v>
      </c>
      <c r="I230" s="435">
        <f t="shared" si="31"/>
        <v>0</v>
      </c>
      <c r="J230" s="435">
        <f t="shared" si="32"/>
        <v>0</v>
      </c>
      <c r="K230" s="435">
        <f t="shared" si="33"/>
        <v>0</v>
      </c>
    </row>
    <row r="231" spans="1:11" s="285" customFormat="1" x14ac:dyDescent="0.25">
      <c r="A231" s="118">
        <v>12</v>
      </c>
      <c r="B231" s="151">
        <v>1625</v>
      </c>
      <c r="C231" s="94" t="s">
        <v>108</v>
      </c>
      <c r="D231" s="444">
        <v>0</v>
      </c>
      <c r="E231" s="425"/>
      <c r="F231" s="435">
        <f t="shared" si="29"/>
        <v>0</v>
      </c>
      <c r="G231" s="435">
        <v>0</v>
      </c>
      <c r="H231" s="435">
        <f t="shared" si="30"/>
        <v>0</v>
      </c>
      <c r="I231" s="435">
        <f t="shared" si="31"/>
        <v>0</v>
      </c>
      <c r="J231" s="435">
        <f t="shared" si="32"/>
        <v>0</v>
      </c>
      <c r="K231" s="435">
        <f t="shared" si="33"/>
        <v>0</v>
      </c>
    </row>
    <row r="232" spans="1:11" s="285" customFormat="1" x14ac:dyDescent="0.25">
      <c r="A232" s="118">
        <v>12</v>
      </c>
      <c r="B232" s="151">
        <v>1630</v>
      </c>
      <c r="C232" s="94" t="s">
        <v>76</v>
      </c>
      <c r="D232" s="444">
        <v>0</v>
      </c>
      <c r="E232" s="425"/>
      <c r="F232" s="435">
        <f t="shared" si="29"/>
        <v>0</v>
      </c>
      <c r="G232" s="435">
        <v>0</v>
      </c>
      <c r="H232" s="435">
        <f t="shared" si="30"/>
        <v>0</v>
      </c>
      <c r="I232" s="435">
        <f t="shared" si="31"/>
        <v>0</v>
      </c>
      <c r="J232" s="435">
        <f t="shared" si="32"/>
        <v>0</v>
      </c>
      <c r="K232" s="435">
        <f t="shared" si="33"/>
        <v>0</v>
      </c>
    </row>
    <row r="233" spans="1:11" s="285" customFormat="1" x14ac:dyDescent="0.25">
      <c r="A233" s="118">
        <v>12</v>
      </c>
      <c r="B233" s="151">
        <v>1635</v>
      </c>
      <c r="C233" s="94" t="s">
        <v>180</v>
      </c>
      <c r="D233" s="444">
        <v>0</v>
      </c>
      <c r="E233" s="425"/>
      <c r="F233" s="435">
        <f t="shared" si="29"/>
        <v>0</v>
      </c>
      <c r="G233" s="435">
        <v>0</v>
      </c>
      <c r="H233" s="435">
        <f t="shared" si="30"/>
        <v>0</v>
      </c>
      <c r="I233" s="435">
        <f t="shared" si="31"/>
        <v>0</v>
      </c>
      <c r="J233" s="435">
        <f t="shared" si="32"/>
        <v>0</v>
      </c>
      <c r="K233" s="435">
        <f t="shared" si="33"/>
        <v>0</v>
      </c>
    </row>
    <row r="234" spans="1:11" s="285" customFormat="1" x14ac:dyDescent="0.25">
      <c r="A234" s="118">
        <v>12</v>
      </c>
      <c r="B234" s="151">
        <v>1640</v>
      </c>
      <c r="C234" s="94" t="s">
        <v>184</v>
      </c>
      <c r="D234" s="444">
        <v>0</v>
      </c>
      <c r="E234" s="425"/>
      <c r="F234" s="435">
        <f t="shared" si="29"/>
        <v>0</v>
      </c>
      <c r="G234" s="435">
        <v>0</v>
      </c>
      <c r="H234" s="435">
        <f t="shared" si="30"/>
        <v>0</v>
      </c>
      <c r="I234" s="435">
        <f t="shared" si="31"/>
        <v>0</v>
      </c>
      <c r="J234" s="435">
        <f t="shared" si="32"/>
        <v>0</v>
      </c>
      <c r="K234" s="435">
        <f t="shared" si="33"/>
        <v>0</v>
      </c>
    </row>
    <row r="235" spans="1:11" s="285" customFormat="1" x14ac:dyDescent="0.25">
      <c r="A235" s="118">
        <v>12</v>
      </c>
      <c r="B235" s="151">
        <v>1645</v>
      </c>
      <c r="C235" s="94" t="s">
        <v>77</v>
      </c>
      <c r="D235" s="444">
        <v>0</v>
      </c>
      <c r="E235" s="425"/>
      <c r="F235" s="435">
        <f t="shared" si="29"/>
        <v>0</v>
      </c>
      <c r="G235" s="435">
        <v>0</v>
      </c>
      <c r="H235" s="435">
        <f t="shared" si="30"/>
        <v>0</v>
      </c>
      <c r="I235" s="435">
        <f t="shared" si="31"/>
        <v>0</v>
      </c>
      <c r="J235" s="435">
        <f t="shared" si="32"/>
        <v>0</v>
      </c>
      <c r="K235" s="435">
        <f t="shared" si="33"/>
        <v>0</v>
      </c>
    </row>
    <row r="236" spans="1:11" s="285" customFormat="1" x14ac:dyDescent="0.25">
      <c r="A236" s="118">
        <v>12</v>
      </c>
      <c r="B236" s="151">
        <v>1650</v>
      </c>
      <c r="C236" s="94" t="s">
        <v>78</v>
      </c>
      <c r="D236" s="444">
        <v>0</v>
      </c>
      <c r="E236" s="425"/>
      <c r="F236" s="435">
        <f t="shared" si="29"/>
        <v>0</v>
      </c>
      <c r="G236" s="435">
        <v>0</v>
      </c>
      <c r="H236" s="435">
        <f t="shared" si="30"/>
        <v>0</v>
      </c>
      <c r="I236" s="435">
        <f t="shared" si="31"/>
        <v>0</v>
      </c>
      <c r="J236" s="435">
        <f t="shared" si="32"/>
        <v>0</v>
      </c>
      <c r="K236" s="435">
        <f t="shared" si="33"/>
        <v>0</v>
      </c>
    </row>
    <row r="237" spans="1:11" s="285" customFormat="1" x14ac:dyDescent="0.25">
      <c r="A237" s="118">
        <v>12</v>
      </c>
      <c r="B237" s="151"/>
      <c r="C237" s="94" t="s">
        <v>200</v>
      </c>
      <c r="D237" s="444">
        <v>0</v>
      </c>
      <c r="E237" s="425"/>
      <c r="F237" s="435">
        <f t="shared" si="29"/>
        <v>0</v>
      </c>
      <c r="G237" s="435">
        <v>0</v>
      </c>
      <c r="H237" s="435">
        <f t="shared" si="30"/>
        <v>0</v>
      </c>
      <c r="I237" s="435">
        <f t="shared" si="31"/>
        <v>0</v>
      </c>
      <c r="J237" s="435">
        <f t="shared" si="32"/>
        <v>0</v>
      </c>
      <c r="K237" s="435">
        <f t="shared" si="33"/>
        <v>0</v>
      </c>
    </row>
    <row r="238" spans="1:11" s="285" customFormat="1" x14ac:dyDescent="0.25">
      <c r="A238" s="118">
        <v>12</v>
      </c>
      <c r="B238" s="151">
        <v>1660</v>
      </c>
      <c r="C238" s="94" t="s">
        <v>185</v>
      </c>
      <c r="D238" s="444">
        <v>0</v>
      </c>
      <c r="E238" s="425"/>
      <c r="F238" s="435">
        <f t="shared" si="29"/>
        <v>0</v>
      </c>
      <c r="G238" s="435">
        <v>0</v>
      </c>
      <c r="H238" s="435">
        <f t="shared" si="30"/>
        <v>0</v>
      </c>
      <c r="I238" s="435">
        <f t="shared" si="31"/>
        <v>0</v>
      </c>
      <c r="J238" s="435">
        <f t="shared" si="32"/>
        <v>0</v>
      </c>
      <c r="K238" s="435">
        <f t="shared" si="33"/>
        <v>0</v>
      </c>
    </row>
    <row r="239" spans="1:11" s="285" customFormat="1" x14ac:dyDescent="0.25">
      <c r="A239" s="118">
        <v>12</v>
      </c>
      <c r="B239" s="151">
        <v>1665</v>
      </c>
      <c r="C239" s="94" t="s">
        <v>181</v>
      </c>
      <c r="D239" s="444">
        <v>0</v>
      </c>
      <c r="E239" s="425"/>
      <c r="F239" s="435">
        <f t="shared" si="29"/>
        <v>0</v>
      </c>
      <c r="G239" s="435">
        <v>0</v>
      </c>
      <c r="H239" s="435">
        <f t="shared" si="30"/>
        <v>0</v>
      </c>
      <c r="I239" s="435">
        <f t="shared" si="31"/>
        <v>0</v>
      </c>
      <c r="J239" s="435">
        <f t="shared" si="32"/>
        <v>0</v>
      </c>
      <c r="K239" s="435">
        <f t="shared" si="33"/>
        <v>0</v>
      </c>
    </row>
    <row r="240" spans="1:11" s="285" customFormat="1" x14ac:dyDescent="0.25">
      <c r="A240" s="344"/>
      <c r="B240" s="151"/>
      <c r="C240" s="94"/>
      <c r="D240" s="436">
        <f>SUM(D227:D239)</f>
        <v>0</v>
      </c>
      <c r="E240" s="436">
        <f>SUM(E227:E239)</f>
        <v>0</v>
      </c>
      <c r="F240" s="436">
        <f>SUM(F227:F239)</f>
        <v>0</v>
      </c>
      <c r="G240" s="436">
        <v>0</v>
      </c>
      <c r="H240" s="436">
        <f>SUM(H227:H239)</f>
        <v>0</v>
      </c>
      <c r="I240" s="436">
        <f>SUM(I227:I239)</f>
        <v>2000000</v>
      </c>
      <c r="J240" s="436">
        <f>SUM(J227:J239)</f>
        <v>2110000</v>
      </c>
      <c r="K240" s="436">
        <f>SUM(K227:K239)</f>
        <v>2221830</v>
      </c>
    </row>
    <row r="241" spans="1:11" s="285" customFormat="1" x14ac:dyDescent="0.25">
      <c r="A241" s="344"/>
      <c r="B241" s="151"/>
      <c r="C241" s="93" t="s">
        <v>79</v>
      </c>
      <c r="D241" s="444"/>
      <c r="E241" s="435"/>
      <c r="F241" s="435"/>
      <c r="G241" s="435"/>
      <c r="H241" s="435"/>
      <c r="I241" s="435"/>
      <c r="J241" s="435"/>
      <c r="K241" s="435"/>
    </row>
    <row r="242" spans="1:11" s="285" customFormat="1" x14ac:dyDescent="0.25">
      <c r="A242" s="118">
        <v>12</v>
      </c>
      <c r="B242" s="151">
        <v>1705</v>
      </c>
      <c r="C242" s="94" t="s">
        <v>123</v>
      </c>
      <c r="D242" s="444">
        <v>0</v>
      </c>
      <c r="E242" s="435"/>
      <c r="F242" s="435">
        <f>E242/8*12</f>
        <v>0</v>
      </c>
      <c r="G242" s="435">
        <v>0</v>
      </c>
      <c r="H242" s="435">
        <f t="shared" ref="H242:H247" si="34">+(F242*0.1)+F242</f>
        <v>0</v>
      </c>
      <c r="I242" s="435">
        <f t="shared" ref="I242:I247" si="35">+(G242*0.1)+G242</f>
        <v>0</v>
      </c>
      <c r="J242" s="435">
        <f t="shared" ref="J242:J247" si="36">+(H242*0.1)+H242</f>
        <v>0</v>
      </c>
      <c r="K242" s="435">
        <f t="shared" ref="K242:K247" si="37">+(I242*0.1)+I242</f>
        <v>0</v>
      </c>
    </row>
    <row r="243" spans="1:11" s="285" customFormat="1" x14ac:dyDescent="0.25">
      <c r="A243" s="118">
        <v>12</v>
      </c>
      <c r="B243" s="151">
        <v>1710</v>
      </c>
      <c r="C243" s="94" t="s">
        <v>242</v>
      </c>
      <c r="D243" s="444">
        <v>0</v>
      </c>
      <c r="E243" s="435"/>
      <c r="F243" s="435">
        <f>E243/8*12</f>
        <v>0</v>
      </c>
      <c r="G243" s="435">
        <v>0</v>
      </c>
      <c r="H243" s="435">
        <f t="shared" si="34"/>
        <v>0</v>
      </c>
      <c r="I243" s="435">
        <f t="shared" si="35"/>
        <v>0</v>
      </c>
      <c r="J243" s="435">
        <f t="shared" si="36"/>
        <v>0</v>
      </c>
      <c r="K243" s="435">
        <f t="shared" si="37"/>
        <v>0</v>
      </c>
    </row>
    <row r="244" spans="1:11" s="285" customFormat="1" x14ac:dyDescent="0.25">
      <c r="A244" s="118">
        <v>12</v>
      </c>
      <c r="B244" s="151">
        <v>1715</v>
      </c>
      <c r="C244" s="94" t="s">
        <v>183</v>
      </c>
      <c r="D244" s="444">
        <v>0</v>
      </c>
      <c r="E244" s="435"/>
      <c r="F244" s="435">
        <f>E244/8*12</f>
        <v>0</v>
      </c>
      <c r="G244" s="435">
        <v>0</v>
      </c>
      <c r="H244" s="435">
        <f t="shared" si="34"/>
        <v>0</v>
      </c>
      <c r="I244" s="435">
        <f t="shared" si="35"/>
        <v>0</v>
      </c>
      <c r="J244" s="435">
        <f t="shared" si="36"/>
        <v>0</v>
      </c>
      <c r="K244" s="435">
        <f t="shared" si="37"/>
        <v>0</v>
      </c>
    </row>
    <row r="245" spans="1:11" s="285" customFormat="1" x14ac:dyDescent="0.25">
      <c r="A245" s="118">
        <v>12</v>
      </c>
      <c r="B245" s="151">
        <v>1720</v>
      </c>
      <c r="C245" s="94" t="s">
        <v>103</v>
      </c>
      <c r="D245" s="444">
        <v>0</v>
      </c>
      <c r="E245" s="435"/>
      <c r="F245" s="435">
        <f>E245/8*12</f>
        <v>0</v>
      </c>
      <c r="G245" s="435">
        <v>0</v>
      </c>
      <c r="H245" s="435">
        <f t="shared" si="34"/>
        <v>0</v>
      </c>
      <c r="I245" s="435">
        <f t="shared" si="35"/>
        <v>0</v>
      </c>
      <c r="J245" s="435">
        <f t="shared" si="36"/>
        <v>0</v>
      </c>
      <c r="K245" s="435">
        <f t="shared" si="37"/>
        <v>0</v>
      </c>
    </row>
    <row r="246" spans="1:11" s="285" customFormat="1" x14ac:dyDescent="0.25">
      <c r="A246" s="118">
        <v>12</v>
      </c>
      <c r="B246" s="151">
        <v>1725</v>
      </c>
      <c r="C246" s="94" t="s">
        <v>107</v>
      </c>
      <c r="D246" s="444">
        <v>0</v>
      </c>
      <c r="E246" s="435"/>
      <c r="F246" s="435">
        <f>E246/8*12</f>
        <v>0</v>
      </c>
      <c r="G246" s="435">
        <v>0</v>
      </c>
      <c r="H246" s="435">
        <f t="shared" si="34"/>
        <v>0</v>
      </c>
      <c r="I246" s="435">
        <f t="shared" si="35"/>
        <v>0</v>
      </c>
      <c r="J246" s="435">
        <f t="shared" si="36"/>
        <v>0</v>
      </c>
      <c r="K246" s="435">
        <f t="shared" si="37"/>
        <v>0</v>
      </c>
    </row>
    <row r="247" spans="1:11" s="285" customFormat="1" x14ac:dyDescent="0.25">
      <c r="A247" s="118">
        <v>12</v>
      </c>
      <c r="B247" s="151">
        <v>1730</v>
      </c>
      <c r="C247" s="94" t="s">
        <v>517</v>
      </c>
      <c r="D247" s="444">
        <v>0</v>
      </c>
      <c r="E247" s="435"/>
      <c r="F247" s="428">
        <f>E247-D247</f>
        <v>0</v>
      </c>
      <c r="G247" s="86">
        <v>0</v>
      </c>
      <c r="H247" s="435">
        <f t="shared" si="34"/>
        <v>0</v>
      </c>
      <c r="I247" s="435">
        <f t="shared" si="35"/>
        <v>0</v>
      </c>
      <c r="J247" s="435">
        <f t="shared" si="36"/>
        <v>0</v>
      </c>
      <c r="K247" s="435">
        <f t="shared" si="37"/>
        <v>0</v>
      </c>
    </row>
    <row r="248" spans="1:11" s="285" customFormat="1" x14ac:dyDescent="0.25">
      <c r="A248" s="344"/>
      <c r="B248" s="151"/>
      <c r="C248" s="94"/>
      <c r="D248" s="436">
        <f t="shared" ref="D248:K248" si="38">SUM(D242:D247)</f>
        <v>0</v>
      </c>
      <c r="E248" s="436">
        <f t="shared" si="38"/>
        <v>0</v>
      </c>
      <c r="F248" s="436">
        <f t="shared" si="38"/>
        <v>0</v>
      </c>
      <c r="G248" s="436">
        <f t="shared" si="38"/>
        <v>0</v>
      </c>
      <c r="H248" s="436">
        <f t="shared" si="38"/>
        <v>0</v>
      </c>
      <c r="I248" s="436">
        <f t="shared" si="38"/>
        <v>0</v>
      </c>
      <c r="J248" s="436">
        <f t="shared" si="38"/>
        <v>0</v>
      </c>
      <c r="K248" s="436">
        <f t="shared" si="38"/>
        <v>0</v>
      </c>
    </row>
    <row r="249" spans="1:11" s="285" customFormat="1" x14ac:dyDescent="0.25">
      <c r="A249" s="344"/>
      <c r="B249" s="151"/>
      <c r="C249" s="93" t="s">
        <v>80</v>
      </c>
      <c r="D249" s="444"/>
      <c r="E249" s="435"/>
      <c r="F249" s="435"/>
      <c r="G249" s="435"/>
      <c r="H249" s="435"/>
      <c r="I249" s="435"/>
      <c r="J249" s="435"/>
      <c r="K249" s="435"/>
    </row>
    <row r="250" spans="1:11" s="285" customFormat="1" x14ac:dyDescent="0.25">
      <c r="A250" s="118">
        <v>12</v>
      </c>
      <c r="B250" s="151">
        <v>1805</v>
      </c>
      <c r="C250" s="94" t="s">
        <v>81</v>
      </c>
      <c r="D250" s="444">
        <v>0</v>
      </c>
      <c r="E250" s="425"/>
      <c r="F250" s="435">
        <f>E250/8*12</f>
        <v>0</v>
      </c>
      <c r="G250" s="435">
        <v>0</v>
      </c>
      <c r="H250" s="435">
        <f>+(F250*0.1)+F250</f>
        <v>0</v>
      </c>
      <c r="I250" s="435">
        <f>+(G250*0.1)+G250</f>
        <v>0</v>
      </c>
      <c r="J250" s="435">
        <f>+(H250*0.1)+H250</f>
        <v>0</v>
      </c>
      <c r="K250" s="435">
        <f>+(I250*0.1)+I250</f>
        <v>0</v>
      </c>
    </row>
    <row r="251" spans="1:11" s="285" customFormat="1" x14ac:dyDescent="0.25">
      <c r="A251" s="344"/>
      <c r="B251" s="151"/>
      <c r="C251" s="94"/>
      <c r="D251" s="436">
        <v>0</v>
      </c>
      <c r="E251" s="436">
        <f>E250</f>
        <v>0</v>
      </c>
      <c r="F251" s="436">
        <f>F250</f>
        <v>0</v>
      </c>
      <c r="G251" s="436">
        <v>0</v>
      </c>
      <c r="H251" s="436"/>
      <c r="I251" s="436"/>
      <c r="J251" s="436"/>
      <c r="K251" s="436"/>
    </row>
    <row r="252" spans="1:11" s="285" customFormat="1" x14ac:dyDescent="0.25">
      <c r="A252" s="344"/>
      <c r="B252" s="346"/>
      <c r="C252" s="93" t="s">
        <v>192</v>
      </c>
      <c r="D252" s="442">
        <f t="shared" ref="D252:K252" si="39">SUM(D171:D251)/2</f>
        <v>-48020</v>
      </c>
      <c r="E252" s="442">
        <f t="shared" si="39"/>
        <v>-50993</v>
      </c>
      <c r="F252" s="442">
        <f t="shared" si="39"/>
        <v>-19098</v>
      </c>
      <c r="G252" s="442">
        <f t="shared" si="39"/>
        <v>-19098</v>
      </c>
      <c r="H252" s="442">
        <f t="shared" si="39"/>
        <v>-21007.800000000003</v>
      </c>
      <c r="I252" s="442">
        <f t="shared" si="39"/>
        <v>1977773.7475999999</v>
      </c>
      <c r="J252" s="442">
        <f t="shared" si="39"/>
        <v>2086551.303718</v>
      </c>
      <c r="K252" s="442">
        <f t="shared" si="39"/>
        <v>2197138.5228150543</v>
      </c>
    </row>
    <row r="253" spans="1:11" s="285" customFormat="1" x14ac:dyDescent="0.25">
      <c r="A253" s="344"/>
      <c r="B253" s="151"/>
      <c r="C253" s="94"/>
      <c r="D253" s="442"/>
      <c r="E253" s="442"/>
      <c r="F253" s="442"/>
      <c r="G253" s="442"/>
      <c r="H253" s="442"/>
      <c r="I253" s="442"/>
      <c r="J253" s="442"/>
      <c r="K253" s="442"/>
    </row>
    <row r="254" spans="1:11" s="285" customFormat="1" x14ac:dyDescent="0.25">
      <c r="A254" s="344"/>
      <c r="B254" s="151"/>
      <c r="C254" s="145" t="s">
        <v>193</v>
      </c>
      <c r="D254" s="445"/>
      <c r="E254" s="146"/>
      <c r="F254" s="445"/>
      <c r="G254" s="445"/>
      <c r="H254" s="445"/>
      <c r="I254" s="445"/>
      <c r="J254" s="445"/>
      <c r="K254" s="445"/>
    </row>
    <row r="255" spans="1:11" s="285" customFormat="1" x14ac:dyDescent="0.25">
      <c r="A255" s="118">
        <v>12</v>
      </c>
      <c r="B255" s="151">
        <v>1905</v>
      </c>
      <c r="C255" s="118" t="s">
        <v>194</v>
      </c>
      <c r="D255" s="127">
        <v>0</v>
      </c>
      <c r="E255" s="147">
        <v>980000</v>
      </c>
      <c r="F255" s="147">
        <v>980000</v>
      </c>
      <c r="G255" s="566">
        <v>980001</v>
      </c>
      <c r="H255" s="435"/>
      <c r="I255" s="435"/>
      <c r="J255" s="435"/>
      <c r="K255" s="444"/>
    </row>
    <row r="256" spans="1:11" s="285" customFormat="1" x14ac:dyDescent="0.25">
      <c r="A256" s="344"/>
      <c r="B256" s="151"/>
      <c r="C256" s="94"/>
      <c r="D256" s="442">
        <v>0</v>
      </c>
      <c r="E256" s="442">
        <f>SUM(E255)</f>
        <v>980000</v>
      </c>
      <c r="F256" s="442">
        <f>SUM(F255)</f>
        <v>980000</v>
      </c>
      <c r="G256" s="442">
        <v>980001</v>
      </c>
      <c r="H256" s="442"/>
      <c r="I256" s="442"/>
      <c r="J256" s="442"/>
      <c r="K256" s="442"/>
    </row>
    <row r="257" spans="1:11" s="285" customFormat="1" x14ac:dyDescent="0.25">
      <c r="A257" s="344"/>
      <c r="B257" s="151"/>
      <c r="C257" s="93" t="s">
        <v>189</v>
      </c>
      <c r="D257" s="442">
        <f t="shared" ref="D257:K257" si="40">D252+D256</f>
        <v>-48020</v>
      </c>
      <c r="E257" s="442">
        <f t="shared" si="40"/>
        <v>929007</v>
      </c>
      <c r="F257" s="442">
        <f t="shared" si="40"/>
        <v>960902</v>
      </c>
      <c r="G257" s="442">
        <f t="shared" si="40"/>
        <v>960903</v>
      </c>
      <c r="H257" s="442">
        <f t="shared" si="40"/>
        <v>-21007.800000000003</v>
      </c>
      <c r="I257" s="442">
        <f t="shared" si="40"/>
        <v>1977773.7475999999</v>
      </c>
      <c r="J257" s="442">
        <f t="shared" si="40"/>
        <v>2086551.303718</v>
      </c>
      <c r="K257" s="442">
        <f t="shared" si="40"/>
        <v>2197138.5228150543</v>
      </c>
    </row>
    <row r="258" spans="1:11" s="285" customFormat="1" x14ac:dyDescent="0.25">
      <c r="A258" s="344"/>
      <c r="B258" s="151"/>
      <c r="C258" s="145" t="s">
        <v>195</v>
      </c>
      <c r="D258" s="445"/>
      <c r="E258" s="148"/>
      <c r="F258" s="446"/>
      <c r="G258" s="446"/>
      <c r="H258" s="446"/>
      <c r="I258" s="446"/>
      <c r="J258" s="446"/>
      <c r="K258" s="446"/>
    </row>
    <row r="259" spans="1:11" s="285" customFormat="1" x14ac:dyDescent="0.25">
      <c r="A259" s="118">
        <v>12</v>
      </c>
      <c r="B259" s="151">
        <v>1950</v>
      </c>
      <c r="C259" s="118" t="s">
        <v>196</v>
      </c>
      <c r="D259" s="127">
        <v>0</v>
      </c>
      <c r="E259" s="147"/>
      <c r="F259" s="435">
        <f>E259/8*12</f>
        <v>0</v>
      </c>
      <c r="G259" s="435">
        <v>0</v>
      </c>
      <c r="H259" s="435">
        <f>+(F259*0.1)+F259</f>
        <v>0</v>
      </c>
      <c r="I259" s="435"/>
      <c r="J259" s="435"/>
      <c r="K259" s="444"/>
    </row>
    <row r="260" spans="1:11" s="285" customFormat="1" x14ac:dyDescent="0.25">
      <c r="A260" s="344"/>
      <c r="B260" s="346"/>
      <c r="C260" s="94"/>
      <c r="D260" s="445">
        <v>0</v>
      </c>
      <c r="E260" s="445">
        <f>E259</f>
        <v>0</v>
      </c>
      <c r="F260" s="445">
        <f>F259</f>
        <v>0</v>
      </c>
      <c r="G260" s="445">
        <v>0</v>
      </c>
      <c r="H260" s="445">
        <f>H259</f>
        <v>0</v>
      </c>
      <c r="I260" s="445">
        <f>I259</f>
        <v>0</v>
      </c>
      <c r="J260" s="445">
        <f>J259</f>
        <v>0</v>
      </c>
      <c r="K260" s="445">
        <f>K259</f>
        <v>0</v>
      </c>
    </row>
    <row r="261" spans="1:11" s="285" customFormat="1" x14ac:dyDescent="0.25">
      <c r="A261" s="348"/>
      <c r="B261" s="351"/>
      <c r="C261" s="93" t="s">
        <v>197</v>
      </c>
      <c r="D261" s="448">
        <f t="shared" ref="D261:K261" si="41">D257+D260</f>
        <v>-48020</v>
      </c>
      <c r="E261" s="448">
        <f t="shared" si="41"/>
        <v>929007</v>
      </c>
      <c r="F261" s="448">
        <f t="shared" si="41"/>
        <v>960902</v>
      </c>
      <c r="G261" s="448">
        <f t="shared" si="41"/>
        <v>960903</v>
      </c>
      <c r="H261" s="448">
        <f t="shared" si="41"/>
        <v>-21007.800000000003</v>
      </c>
      <c r="I261" s="448">
        <f t="shared" si="41"/>
        <v>1977773.7475999999</v>
      </c>
      <c r="J261" s="448">
        <f t="shared" si="41"/>
        <v>2086551.303718</v>
      </c>
      <c r="K261" s="448">
        <f t="shared" si="41"/>
        <v>2197138.5228150543</v>
      </c>
    </row>
    <row r="262" spans="1:11" s="285" customFormat="1" x14ac:dyDescent="0.25">
      <c r="A262" s="349"/>
      <c r="B262" s="154"/>
      <c r="C262" s="126" t="s">
        <v>82</v>
      </c>
      <c r="D262" s="448">
        <f t="shared" ref="D262:K262" si="42">D261-D165</f>
        <v>-3074237.52</v>
      </c>
      <c r="E262" s="448">
        <f t="shared" si="42"/>
        <v>-3261819</v>
      </c>
      <c r="F262" s="448">
        <f t="shared" si="42"/>
        <v>-3237924</v>
      </c>
      <c r="G262" s="448">
        <f t="shared" si="42"/>
        <v>-3237924</v>
      </c>
      <c r="H262" s="448">
        <f t="shared" si="42"/>
        <v>-5172254.2</v>
      </c>
      <c r="I262" s="448">
        <f t="shared" si="42"/>
        <v>-2895333.2581142853</v>
      </c>
      <c r="J262" s="448">
        <f t="shared" si="42"/>
        <v>-3184789.7171345716</v>
      </c>
      <c r="K262" s="448">
        <f t="shared" si="42"/>
        <v>-3203041.9250227027</v>
      </c>
    </row>
    <row r="263" spans="1:11" s="285" customFormat="1" x14ac:dyDescent="0.25">
      <c r="A263" s="284"/>
      <c r="B263" s="352"/>
      <c r="G263" s="468"/>
      <c r="I263" s="468"/>
    </row>
    <row r="264" spans="1:11" s="285" customFormat="1" x14ac:dyDescent="0.25">
      <c r="A264" s="284"/>
      <c r="B264" s="352"/>
      <c r="G264" s="468"/>
      <c r="I264" s="468"/>
    </row>
    <row r="265" spans="1:11" s="285" customFormat="1" x14ac:dyDescent="0.25">
      <c r="B265" s="352"/>
      <c r="G265" s="468"/>
      <c r="I265" s="468"/>
    </row>
    <row r="266" spans="1:11" x14ac:dyDescent="0.25">
      <c r="E266" s="128"/>
      <c r="F266" s="128"/>
      <c r="G266" s="128"/>
      <c r="H266" s="128"/>
      <c r="I266" s="128"/>
      <c r="J266" s="128"/>
    </row>
    <row r="267" spans="1:11" x14ac:dyDescent="0.25">
      <c r="E267" s="128"/>
      <c r="F267" s="128"/>
      <c r="G267" s="128"/>
      <c r="H267" s="128"/>
      <c r="I267" s="128"/>
      <c r="J267" s="128"/>
      <c r="K267" s="109"/>
    </row>
    <row r="268" spans="1:11" x14ac:dyDescent="0.25">
      <c r="E268" s="128"/>
      <c r="F268" s="128"/>
      <c r="G268" s="128"/>
      <c r="H268" s="128"/>
      <c r="I268" s="128"/>
      <c r="J268" s="128"/>
    </row>
  </sheetData>
  <mergeCells count="6">
    <mergeCell ref="A2:K2"/>
    <mergeCell ref="A4:B5"/>
    <mergeCell ref="A169:B170"/>
    <mergeCell ref="A3:K3"/>
    <mergeCell ref="A1:K1"/>
    <mergeCell ref="A168:C168"/>
  </mergeCells>
  <phoneticPr fontId="0" type="noConversion"/>
  <pageMargins left="0.25" right="0.25" top="0.75" bottom="0.75" header="0.3" footer="0.3"/>
  <pageSetup paperSize="9" scale="81" fitToHeight="0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tabColor rgb="FFFF0000"/>
    <pageSetUpPr fitToPage="1"/>
  </sheetPr>
  <dimension ref="A1:P268"/>
  <sheetViews>
    <sheetView zoomScaleSheetLayoutView="100" workbookViewId="0">
      <selection activeCell="I28" sqref="I28:K28"/>
    </sheetView>
  </sheetViews>
  <sheetFormatPr defaultColWidth="9.109375" defaultRowHeight="13.2" x14ac:dyDescent="0.25"/>
  <cols>
    <col min="1" max="1" width="3.33203125" style="96" customWidth="1"/>
    <col min="2" max="2" width="9" style="131" customWidth="1"/>
    <col min="3" max="3" width="33" style="96" customWidth="1"/>
    <col min="4" max="4" width="11.33203125" style="96" customWidth="1"/>
    <col min="5" max="5" width="12.109375" style="96" customWidth="1"/>
    <col min="6" max="6" width="12.44140625" style="96" customWidth="1"/>
    <col min="7" max="7" width="12.44140625" style="434" customWidth="1"/>
    <col min="8" max="8" width="12.44140625" style="96" customWidth="1"/>
    <col min="9" max="9" width="12.44140625" style="434" customWidth="1"/>
    <col min="10" max="10" width="10.5546875" style="96" customWidth="1"/>
    <col min="11" max="11" width="11.5546875" style="399" customWidth="1"/>
    <col min="12" max="12" width="12.88671875" style="96" hidden="1" customWidth="1"/>
    <col min="13" max="13" width="0.33203125" style="96" customWidth="1"/>
    <col min="14" max="16384" width="9.109375" style="96"/>
  </cols>
  <sheetData>
    <row r="1" spans="1:12" s="434" customFormat="1" x14ac:dyDescent="0.25">
      <c r="B1" s="131"/>
      <c r="K1" s="438"/>
    </row>
    <row r="2" spans="1:12" ht="12.75" customHeight="1" x14ac:dyDescent="0.25">
      <c r="A2" s="937" t="s">
        <v>353</v>
      </c>
      <c r="B2" s="938"/>
      <c r="C2" s="938"/>
      <c r="D2" s="938"/>
      <c r="E2" s="938"/>
      <c r="F2" s="938"/>
      <c r="G2" s="938"/>
      <c r="H2" s="938"/>
      <c r="I2" s="938"/>
      <c r="J2" s="938"/>
      <c r="K2" s="938"/>
      <c r="L2" s="551"/>
    </row>
    <row r="3" spans="1:12" s="285" customFormat="1" x14ac:dyDescent="0.25">
      <c r="A3" s="941" t="s">
        <v>542</v>
      </c>
      <c r="B3" s="942"/>
      <c r="C3" s="942"/>
      <c r="D3" s="942"/>
      <c r="E3" s="546"/>
      <c r="F3" s="546"/>
      <c r="G3" s="546"/>
      <c r="H3" s="546"/>
      <c r="I3" s="546"/>
      <c r="J3" s="546"/>
      <c r="K3" s="547"/>
      <c r="L3" s="338"/>
    </row>
    <row r="4" spans="1:12" s="285" customFormat="1" x14ac:dyDescent="0.25">
      <c r="A4" s="944" t="s">
        <v>21</v>
      </c>
      <c r="B4" s="945"/>
      <c r="C4" s="150" t="s">
        <v>22</v>
      </c>
      <c r="D4" s="103" t="s">
        <v>23</v>
      </c>
      <c r="E4" s="104" t="s">
        <v>24</v>
      </c>
      <c r="F4" s="103" t="s">
        <v>535</v>
      </c>
      <c r="G4" s="103" t="s">
        <v>413</v>
      </c>
      <c r="H4" s="104" t="s">
        <v>24</v>
      </c>
      <c r="I4" s="583" t="s">
        <v>24</v>
      </c>
      <c r="J4" s="583" t="s">
        <v>24</v>
      </c>
      <c r="K4" s="583" t="s">
        <v>24</v>
      </c>
      <c r="L4" s="387" t="s">
        <v>536</v>
      </c>
    </row>
    <row r="5" spans="1:12" s="285" customFormat="1" x14ac:dyDescent="0.25">
      <c r="A5" s="946"/>
      <c r="B5" s="947"/>
      <c r="C5" s="106"/>
      <c r="D5" s="333" t="s">
        <v>257</v>
      </c>
      <c r="E5" s="107" t="s">
        <v>382</v>
      </c>
      <c r="F5" s="107" t="s">
        <v>382</v>
      </c>
      <c r="G5" s="107" t="s">
        <v>382</v>
      </c>
      <c r="H5" s="107" t="s">
        <v>407</v>
      </c>
      <c r="I5" s="586" t="s">
        <v>414</v>
      </c>
      <c r="J5" s="586" t="s">
        <v>530</v>
      </c>
      <c r="K5" s="586" t="s">
        <v>886</v>
      </c>
      <c r="L5" s="388" t="s">
        <v>382</v>
      </c>
    </row>
    <row r="6" spans="1:12" s="285" customFormat="1" x14ac:dyDescent="0.25">
      <c r="A6" s="344"/>
      <c r="B6" s="151"/>
      <c r="C6" s="93" t="s">
        <v>33</v>
      </c>
      <c r="D6" s="85"/>
      <c r="E6" s="85"/>
      <c r="F6" s="85"/>
      <c r="G6" s="428"/>
      <c r="H6" s="85"/>
      <c r="I6" s="428"/>
      <c r="J6" s="85"/>
      <c r="K6" s="85">
        <f>D6+F6</f>
        <v>0</v>
      </c>
      <c r="L6" s="381"/>
    </row>
    <row r="7" spans="1:12" s="285" customFormat="1" x14ac:dyDescent="0.25">
      <c r="A7" s="118">
        <v>14</v>
      </c>
      <c r="B7" s="155">
        <v>5005</v>
      </c>
      <c r="C7" s="94" t="s">
        <v>241</v>
      </c>
      <c r="D7" s="85"/>
      <c r="E7" s="85">
        <v>3900</v>
      </c>
      <c r="F7" s="85">
        <v>3900</v>
      </c>
      <c r="G7" s="428">
        <v>3900</v>
      </c>
      <c r="H7" s="428">
        <f t="shared" ref="H7:H17" si="0">(F7*0.068)+F7</f>
        <v>4165.2</v>
      </c>
      <c r="I7" s="428">
        <f>+H7*1.058</f>
        <v>4406.7816000000003</v>
      </c>
      <c r="J7" s="428">
        <f>+I7*1.055</f>
        <v>4649.1545880000003</v>
      </c>
      <c r="K7" s="428">
        <f>+J7*1.053</f>
        <v>4895.559781164</v>
      </c>
      <c r="L7" s="381"/>
    </row>
    <row r="8" spans="1:12" s="285" customFormat="1" hidden="1" x14ac:dyDescent="0.25">
      <c r="A8" s="118">
        <v>14</v>
      </c>
      <c r="B8" s="151">
        <v>5010</v>
      </c>
      <c r="C8" s="94" t="s">
        <v>34</v>
      </c>
      <c r="D8" s="85"/>
      <c r="E8" s="85"/>
      <c r="F8" s="85"/>
      <c r="G8" s="428"/>
      <c r="H8" s="428">
        <f t="shared" si="0"/>
        <v>0</v>
      </c>
      <c r="I8" s="428">
        <f t="shared" ref="I8:I17" si="1">+H8*1.058</f>
        <v>0</v>
      </c>
      <c r="J8" s="428">
        <f t="shared" ref="J8:J17" si="2">+I8*1.055</f>
        <v>0</v>
      </c>
      <c r="K8" s="428">
        <f t="shared" ref="K8:K17" si="3">+J8*1.053</f>
        <v>0</v>
      </c>
      <c r="L8" s="381"/>
    </row>
    <row r="9" spans="1:12" s="285" customFormat="1" hidden="1" x14ac:dyDescent="0.25">
      <c r="A9" s="118">
        <v>14</v>
      </c>
      <c r="B9" s="151">
        <v>5015</v>
      </c>
      <c r="C9" s="94" t="s">
        <v>35</v>
      </c>
      <c r="D9" s="85"/>
      <c r="E9" s="85"/>
      <c r="F9" s="85"/>
      <c r="G9" s="428"/>
      <c r="H9" s="428">
        <f t="shared" si="0"/>
        <v>0</v>
      </c>
      <c r="I9" s="428">
        <f t="shared" si="1"/>
        <v>0</v>
      </c>
      <c r="J9" s="428">
        <f t="shared" si="2"/>
        <v>0</v>
      </c>
      <c r="K9" s="428">
        <f t="shared" si="3"/>
        <v>0</v>
      </c>
      <c r="L9" s="381"/>
    </row>
    <row r="10" spans="1:12" s="285" customFormat="1" x14ac:dyDescent="0.25">
      <c r="A10" s="118">
        <v>14</v>
      </c>
      <c r="B10" s="151">
        <v>5020</v>
      </c>
      <c r="C10" s="94" t="s">
        <v>350</v>
      </c>
      <c r="D10" s="85">
        <v>120000</v>
      </c>
      <c r="E10" s="85">
        <v>64200</v>
      </c>
      <c r="F10" s="85">
        <v>64200</v>
      </c>
      <c r="G10" s="428">
        <v>64200</v>
      </c>
      <c r="H10" s="428">
        <f t="shared" si="0"/>
        <v>68565.600000000006</v>
      </c>
      <c r="I10" s="428">
        <f t="shared" si="1"/>
        <v>72542.404800000004</v>
      </c>
      <c r="J10" s="428">
        <f t="shared" si="2"/>
        <v>76532.237064000001</v>
      </c>
      <c r="K10" s="428">
        <f t="shared" si="3"/>
        <v>80588.445628392001</v>
      </c>
      <c r="L10" s="381"/>
    </row>
    <row r="11" spans="1:12" s="285" customFormat="1" hidden="1" x14ac:dyDescent="0.25">
      <c r="A11" s="118">
        <v>14</v>
      </c>
      <c r="B11" s="151">
        <v>5025</v>
      </c>
      <c r="C11" s="94" t="s">
        <v>36</v>
      </c>
      <c r="D11" s="85"/>
      <c r="E11" s="85"/>
      <c r="F11" s="85"/>
      <c r="G11" s="428"/>
      <c r="H11" s="428">
        <f t="shared" si="0"/>
        <v>0</v>
      </c>
      <c r="I11" s="428">
        <f t="shared" si="1"/>
        <v>0</v>
      </c>
      <c r="J11" s="428">
        <f t="shared" si="2"/>
        <v>0</v>
      </c>
      <c r="K11" s="428">
        <f t="shared" si="3"/>
        <v>0</v>
      </c>
      <c r="L11" s="381"/>
    </row>
    <row r="12" spans="1:12" s="285" customFormat="1" hidden="1" x14ac:dyDescent="0.25">
      <c r="A12" s="118">
        <v>14</v>
      </c>
      <c r="B12" s="151">
        <v>5030</v>
      </c>
      <c r="C12" s="94" t="s">
        <v>85</v>
      </c>
      <c r="D12" s="85"/>
      <c r="E12" s="85"/>
      <c r="F12" s="85"/>
      <c r="G12" s="428"/>
      <c r="H12" s="428">
        <f t="shared" si="0"/>
        <v>0</v>
      </c>
      <c r="I12" s="428">
        <f t="shared" si="1"/>
        <v>0</v>
      </c>
      <c r="J12" s="428">
        <f t="shared" si="2"/>
        <v>0</v>
      </c>
      <c r="K12" s="428">
        <f t="shared" si="3"/>
        <v>0</v>
      </c>
      <c r="L12" s="381"/>
    </row>
    <row r="13" spans="1:12" s="285" customFormat="1" hidden="1" x14ac:dyDescent="0.25">
      <c r="A13" s="118">
        <v>14</v>
      </c>
      <c r="B13" s="151">
        <v>5035</v>
      </c>
      <c r="C13" s="94" t="s">
        <v>84</v>
      </c>
      <c r="D13" s="85"/>
      <c r="E13" s="85"/>
      <c r="F13" s="85"/>
      <c r="G13" s="428"/>
      <c r="H13" s="428">
        <f t="shared" si="0"/>
        <v>0</v>
      </c>
      <c r="I13" s="428">
        <f t="shared" si="1"/>
        <v>0</v>
      </c>
      <c r="J13" s="428">
        <f t="shared" si="2"/>
        <v>0</v>
      </c>
      <c r="K13" s="428">
        <f t="shared" si="3"/>
        <v>0</v>
      </c>
      <c r="L13" s="381"/>
    </row>
    <row r="14" spans="1:12" s="285" customFormat="1" x14ac:dyDescent="0.25">
      <c r="A14" s="118">
        <v>14</v>
      </c>
      <c r="B14" s="151">
        <v>5040</v>
      </c>
      <c r="C14" s="94" t="s">
        <v>37</v>
      </c>
      <c r="D14" s="85">
        <v>72400</v>
      </c>
      <c r="E14" s="85">
        <v>49000</v>
      </c>
      <c r="F14" s="85">
        <v>49000</v>
      </c>
      <c r="G14" s="428">
        <v>49000</v>
      </c>
      <c r="H14" s="428">
        <f t="shared" si="0"/>
        <v>52332</v>
      </c>
      <c r="I14" s="428">
        <f t="shared" si="1"/>
        <v>55367.256000000001</v>
      </c>
      <c r="J14" s="428">
        <f t="shared" si="2"/>
        <v>58412.45508</v>
      </c>
      <c r="K14" s="428">
        <f t="shared" si="3"/>
        <v>61508.315199239994</v>
      </c>
      <c r="L14" s="381"/>
    </row>
    <row r="15" spans="1:12" s="285" customFormat="1" hidden="1" x14ac:dyDescent="0.25">
      <c r="A15" s="118">
        <v>14</v>
      </c>
      <c r="B15" s="151">
        <v>5045</v>
      </c>
      <c r="C15" s="94" t="s">
        <v>38</v>
      </c>
      <c r="D15" s="85"/>
      <c r="E15" s="85"/>
      <c r="F15" s="85"/>
      <c r="G15" s="428"/>
      <c r="H15" s="428">
        <f t="shared" si="0"/>
        <v>0</v>
      </c>
      <c r="I15" s="428">
        <f t="shared" si="1"/>
        <v>0</v>
      </c>
      <c r="J15" s="428">
        <f t="shared" si="2"/>
        <v>0</v>
      </c>
      <c r="K15" s="428">
        <f t="shared" si="3"/>
        <v>0</v>
      </c>
      <c r="L15" s="381"/>
    </row>
    <row r="16" spans="1:12" s="285" customFormat="1" hidden="1" x14ac:dyDescent="0.25">
      <c r="A16" s="118">
        <v>14</v>
      </c>
      <c r="B16" s="151">
        <v>5050</v>
      </c>
      <c r="C16" s="94" t="s">
        <v>83</v>
      </c>
      <c r="D16" s="85">
        <v>15000</v>
      </c>
      <c r="E16" s="85"/>
      <c r="F16" s="85"/>
      <c r="G16" s="428"/>
      <c r="H16" s="428">
        <f t="shared" si="0"/>
        <v>0</v>
      </c>
      <c r="I16" s="428">
        <f t="shared" si="1"/>
        <v>0</v>
      </c>
      <c r="J16" s="428">
        <f t="shared" si="2"/>
        <v>0</v>
      </c>
      <c r="K16" s="428">
        <f t="shared" si="3"/>
        <v>0</v>
      </c>
      <c r="L16" s="381"/>
    </row>
    <row r="17" spans="1:13" s="285" customFormat="1" x14ac:dyDescent="0.25">
      <c r="A17" s="118">
        <v>14</v>
      </c>
      <c r="B17" s="151">
        <v>5055</v>
      </c>
      <c r="C17" s="94" t="s">
        <v>39</v>
      </c>
      <c r="D17" s="85">
        <v>868500</v>
      </c>
      <c r="E17" s="85">
        <v>582000</v>
      </c>
      <c r="F17" s="85">
        <v>582000</v>
      </c>
      <c r="G17" s="428">
        <v>582000</v>
      </c>
      <c r="H17" s="428">
        <f t="shared" si="0"/>
        <v>621576</v>
      </c>
      <c r="I17" s="428">
        <f t="shared" si="1"/>
        <v>657627.40800000005</v>
      </c>
      <c r="J17" s="428">
        <f t="shared" si="2"/>
        <v>693796.91544000001</v>
      </c>
      <c r="K17" s="428">
        <f t="shared" si="3"/>
        <v>730568.15195831994</v>
      </c>
      <c r="L17" s="381"/>
    </row>
    <row r="18" spans="1:13" s="285" customFormat="1" x14ac:dyDescent="0.25">
      <c r="A18" s="344"/>
      <c r="B18" s="151"/>
      <c r="D18" s="429">
        <f t="shared" ref="D18:M18" si="4">SUM(D7:D17)</f>
        <v>1075900</v>
      </c>
      <c r="E18" s="89">
        <f t="shared" si="4"/>
        <v>699100</v>
      </c>
      <c r="F18" s="89">
        <f t="shared" si="4"/>
        <v>699100</v>
      </c>
      <c r="G18" s="429">
        <f t="shared" si="4"/>
        <v>699100</v>
      </c>
      <c r="H18" s="429">
        <f t="shared" si="4"/>
        <v>746638.8</v>
      </c>
      <c r="I18" s="429">
        <f t="shared" si="4"/>
        <v>789943.85040000011</v>
      </c>
      <c r="J18" s="429">
        <f t="shared" si="4"/>
        <v>833390.76217200002</v>
      </c>
      <c r="K18" s="429">
        <f t="shared" si="4"/>
        <v>877560.47256711591</v>
      </c>
      <c r="L18" s="429">
        <f t="shared" si="4"/>
        <v>0</v>
      </c>
      <c r="M18" s="429">
        <f t="shared" si="4"/>
        <v>0</v>
      </c>
    </row>
    <row r="19" spans="1:13" s="285" customFormat="1" x14ac:dyDescent="0.25">
      <c r="A19" s="344"/>
      <c r="B19" s="151"/>
      <c r="C19" s="93" t="s">
        <v>40</v>
      </c>
      <c r="D19" s="85"/>
      <c r="E19" s="86"/>
      <c r="F19" s="86"/>
      <c r="G19" s="86"/>
      <c r="H19" s="86"/>
      <c r="I19" s="86"/>
      <c r="J19" s="86"/>
      <c r="K19" s="85"/>
      <c r="L19" s="111"/>
    </row>
    <row r="20" spans="1:13" s="285" customFormat="1" x14ac:dyDescent="0.25">
      <c r="A20" s="118">
        <v>14</v>
      </c>
      <c r="B20" s="151">
        <v>5105</v>
      </c>
      <c r="C20" s="94" t="s">
        <v>41</v>
      </c>
      <c r="D20" s="85">
        <v>87800</v>
      </c>
      <c r="E20" s="85">
        <v>91500</v>
      </c>
      <c r="F20" s="85">
        <v>91500</v>
      </c>
      <c r="G20" s="428">
        <v>91500</v>
      </c>
      <c r="H20" s="428">
        <f>(F20*0.068)+F20</f>
        <v>97722</v>
      </c>
      <c r="I20" s="428">
        <f>+H20*1.058</f>
        <v>103389.876</v>
      </c>
      <c r="J20" s="428">
        <f>+I20*1.055</f>
        <v>109076.31917999999</v>
      </c>
      <c r="K20" s="428">
        <f>+J20*1.053</f>
        <v>114857.36409653998</v>
      </c>
      <c r="L20" s="381"/>
    </row>
    <row r="21" spans="1:13" s="285" customFormat="1" x14ac:dyDescent="0.25">
      <c r="A21" s="118">
        <v>14</v>
      </c>
      <c r="B21" s="151">
        <v>5115</v>
      </c>
      <c r="C21" s="94" t="s">
        <v>42</v>
      </c>
      <c r="D21" s="85">
        <v>51500</v>
      </c>
      <c r="E21" s="85">
        <v>55000</v>
      </c>
      <c r="F21" s="85">
        <v>55000</v>
      </c>
      <c r="G21" s="428">
        <v>55000</v>
      </c>
      <c r="H21" s="428">
        <f>(F21*0.068)+F21</f>
        <v>58740</v>
      </c>
      <c r="I21" s="428">
        <f>+H21*1.058</f>
        <v>62146.920000000006</v>
      </c>
      <c r="J21" s="428">
        <f>+I21*1.055</f>
        <v>65565.000599999999</v>
      </c>
      <c r="K21" s="428">
        <f>+J21*1.053</f>
        <v>69039.945631800001</v>
      </c>
      <c r="L21" s="381"/>
    </row>
    <row r="22" spans="1:13" s="285" customFormat="1" x14ac:dyDescent="0.25">
      <c r="A22" s="118">
        <v>14</v>
      </c>
      <c r="B22" s="151">
        <v>5120</v>
      </c>
      <c r="C22" s="94" t="s">
        <v>43</v>
      </c>
      <c r="D22" s="85">
        <v>112300</v>
      </c>
      <c r="E22" s="85">
        <v>56000</v>
      </c>
      <c r="F22" s="85">
        <v>56000</v>
      </c>
      <c r="G22" s="428">
        <v>56000</v>
      </c>
      <c r="H22" s="428">
        <f>(F22*0.068)+F22</f>
        <v>59808</v>
      </c>
      <c r="I22" s="428">
        <f>+H22*1.058</f>
        <v>63276.864000000001</v>
      </c>
      <c r="J22" s="428">
        <f>+I22*1.055</f>
        <v>66757.091520000002</v>
      </c>
      <c r="K22" s="428">
        <f>+J22*1.053</f>
        <v>70295.21737056</v>
      </c>
      <c r="L22" s="381"/>
    </row>
    <row r="23" spans="1:13" s="285" customFormat="1" x14ac:dyDescent="0.25">
      <c r="A23" s="118">
        <v>14</v>
      </c>
      <c r="B23" s="151">
        <v>5125</v>
      </c>
      <c r="C23" s="94" t="s">
        <v>44</v>
      </c>
      <c r="D23" s="85">
        <v>0</v>
      </c>
      <c r="E23" s="85"/>
      <c r="F23" s="85"/>
      <c r="G23" s="428"/>
      <c r="H23" s="428">
        <f>(F23*0.068)+F23</f>
        <v>0</v>
      </c>
      <c r="I23" s="428">
        <f>+H23*1.058</f>
        <v>0</v>
      </c>
      <c r="J23" s="428">
        <f>+I23*1.055</f>
        <v>0</v>
      </c>
      <c r="K23" s="428">
        <f>+J23*1.053</f>
        <v>0</v>
      </c>
      <c r="L23" s="381"/>
    </row>
    <row r="24" spans="1:13" s="285" customFormat="1" x14ac:dyDescent="0.25">
      <c r="A24" s="118">
        <v>14</v>
      </c>
      <c r="B24" s="151">
        <v>5130</v>
      </c>
      <c r="C24" s="94" t="s">
        <v>45</v>
      </c>
      <c r="D24" s="85">
        <v>7800</v>
      </c>
      <c r="E24" s="85">
        <v>5600</v>
      </c>
      <c r="F24" s="85">
        <v>5600</v>
      </c>
      <c r="G24" s="428">
        <v>5600</v>
      </c>
      <c r="H24" s="428">
        <f>(F24*0.068)+F24</f>
        <v>5980.8</v>
      </c>
      <c r="I24" s="428">
        <f>+H24*1.058</f>
        <v>6327.6864000000005</v>
      </c>
      <c r="J24" s="428">
        <f>+I24*1.055</f>
        <v>6675.7091520000004</v>
      </c>
      <c r="K24" s="428">
        <f>+J24*1.053</f>
        <v>7029.5217370560003</v>
      </c>
      <c r="L24" s="381"/>
    </row>
    <row r="25" spans="1:13" s="285" customFormat="1" x14ac:dyDescent="0.25">
      <c r="A25" s="344"/>
      <c r="B25" s="151"/>
      <c r="C25" s="94"/>
      <c r="D25" s="429">
        <f t="shared" ref="D25:L25" si="5">SUM(D20:D24)</f>
        <v>259400</v>
      </c>
      <c r="E25" s="89">
        <f t="shared" si="5"/>
        <v>208100</v>
      </c>
      <c r="F25" s="89">
        <f t="shared" si="5"/>
        <v>208100</v>
      </c>
      <c r="G25" s="429">
        <f t="shared" si="5"/>
        <v>208100</v>
      </c>
      <c r="H25" s="429">
        <f t="shared" si="5"/>
        <v>222250.8</v>
      </c>
      <c r="I25" s="429">
        <f t="shared" si="5"/>
        <v>235141.34640000001</v>
      </c>
      <c r="J25" s="429">
        <f t="shared" si="5"/>
        <v>248074.12045199997</v>
      </c>
      <c r="K25" s="429">
        <f t="shared" si="5"/>
        <v>261222.048835956</v>
      </c>
      <c r="L25" s="389">
        <f t="shared" si="5"/>
        <v>0</v>
      </c>
    </row>
    <row r="26" spans="1:13" s="285" customFormat="1" x14ac:dyDescent="0.25">
      <c r="A26" s="344"/>
      <c r="B26" s="151"/>
      <c r="C26" s="93" t="s">
        <v>46</v>
      </c>
      <c r="D26" s="85"/>
      <c r="E26" s="86"/>
      <c r="F26" s="86"/>
      <c r="G26" s="86"/>
      <c r="H26" s="86"/>
      <c r="I26" s="86"/>
      <c r="J26" s="86"/>
      <c r="K26" s="85"/>
      <c r="L26" s="111"/>
    </row>
    <row r="27" spans="1:13" s="285" customFormat="1" x14ac:dyDescent="0.25">
      <c r="A27" s="344"/>
      <c r="B27" s="151"/>
      <c r="C27" s="93" t="s">
        <v>47</v>
      </c>
      <c r="D27" s="85"/>
      <c r="E27" s="86"/>
      <c r="F27" s="86"/>
      <c r="G27" s="86"/>
      <c r="H27" s="86"/>
      <c r="I27" s="86"/>
      <c r="J27" s="86"/>
      <c r="K27" s="85"/>
      <c r="L27" s="111"/>
    </row>
    <row r="28" spans="1:13" s="285" customFormat="1" x14ac:dyDescent="0.25">
      <c r="A28" s="118">
        <v>14</v>
      </c>
      <c r="B28" s="151">
        <v>5150</v>
      </c>
      <c r="C28" s="94" t="s">
        <v>48</v>
      </c>
      <c r="D28" s="85">
        <v>585000</v>
      </c>
      <c r="E28" s="85">
        <v>578000</v>
      </c>
      <c r="F28" s="428">
        <v>578000</v>
      </c>
      <c r="G28" s="428">
        <v>578000</v>
      </c>
      <c r="H28" s="428">
        <f>(F28*0.068)+F28</f>
        <v>617304</v>
      </c>
      <c r="I28" s="428">
        <f>+H28*1.058</f>
        <v>653107.63199999998</v>
      </c>
      <c r="J28" s="428">
        <f>+I28*1.055</f>
        <v>689028.55175999994</v>
      </c>
      <c r="K28" s="428">
        <f>+J28*1.053</f>
        <v>725547.06500327995</v>
      </c>
      <c r="L28" s="381"/>
    </row>
    <row r="29" spans="1:13" s="285" customFormat="1" x14ac:dyDescent="0.25">
      <c r="A29" s="344"/>
      <c r="B29" s="151"/>
      <c r="C29" s="94"/>
      <c r="D29" s="89">
        <v>585000</v>
      </c>
      <c r="E29" s="89">
        <f t="shared" ref="E29:L29" si="6">E28</f>
        <v>578000</v>
      </c>
      <c r="F29" s="89">
        <f t="shared" si="6"/>
        <v>578000</v>
      </c>
      <c r="G29" s="429">
        <v>578000</v>
      </c>
      <c r="H29" s="429">
        <f t="shared" si="6"/>
        <v>617304</v>
      </c>
      <c r="I29" s="429">
        <f t="shared" si="6"/>
        <v>653107.63199999998</v>
      </c>
      <c r="J29" s="429">
        <f t="shared" si="6"/>
        <v>689028.55175999994</v>
      </c>
      <c r="K29" s="429">
        <f t="shared" si="6"/>
        <v>725547.06500327995</v>
      </c>
      <c r="L29" s="389">
        <f t="shared" si="6"/>
        <v>0</v>
      </c>
    </row>
    <row r="30" spans="1:13" s="285" customFormat="1" hidden="1" x14ac:dyDescent="0.25">
      <c r="A30" s="344"/>
      <c r="B30" s="151"/>
      <c r="C30" s="93" t="s">
        <v>49</v>
      </c>
      <c r="D30" s="85"/>
      <c r="E30" s="86"/>
      <c r="F30" s="86"/>
      <c r="G30" s="86"/>
      <c r="H30" s="86"/>
      <c r="I30" s="86"/>
      <c r="J30" s="86"/>
      <c r="K30" s="85"/>
      <c r="L30" s="111"/>
    </row>
    <row r="31" spans="1:13" s="285" customFormat="1" hidden="1" x14ac:dyDescent="0.25">
      <c r="A31" s="118">
        <v>14</v>
      </c>
      <c r="B31" s="151">
        <v>5170</v>
      </c>
      <c r="C31" s="94" t="s">
        <v>341</v>
      </c>
      <c r="D31" s="425"/>
      <c r="E31" s="108"/>
      <c r="F31" s="425"/>
      <c r="G31" s="428"/>
      <c r="H31" s="85"/>
      <c r="I31" s="428"/>
      <c r="J31" s="85"/>
      <c r="K31" s="85"/>
      <c r="L31" s="381"/>
    </row>
    <row r="32" spans="1:13" s="285" customFormat="1" hidden="1" x14ac:dyDescent="0.25">
      <c r="A32" s="344"/>
      <c r="B32" s="151"/>
      <c r="C32" s="94"/>
      <c r="D32" s="89"/>
      <c r="E32" s="429"/>
      <c r="F32" s="429"/>
      <c r="G32" s="429"/>
      <c r="H32" s="429"/>
      <c r="I32" s="429"/>
      <c r="J32" s="429"/>
      <c r="K32" s="429"/>
      <c r="L32" s="389">
        <f>SUM(L31)</f>
        <v>0</v>
      </c>
    </row>
    <row r="33" spans="1:12" s="285" customFormat="1" hidden="1" x14ac:dyDescent="0.25">
      <c r="A33" s="344"/>
      <c r="B33" s="151"/>
      <c r="C33" s="93" t="s">
        <v>50</v>
      </c>
      <c r="D33" s="85"/>
      <c r="E33" s="86"/>
      <c r="F33" s="86"/>
      <c r="G33" s="86"/>
      <c r="H33" s="86"/>
      <c r="I33" s="86"/>
      <c r="J33" s="86"/>
      <c r="K33" s="85"/>
      <c r="L33" s="111"/>
    </row>
    <row r="34" spans="1:12" s="285" customFormat="1" hidden="1" x14ac:dyDescent="0.25">
      <c r="A34" s="118">
        <v>14</v>
      </c>
      <c r="B34" s="151">
        <v>5180</v>
      </c>
      <c r="C34" s="94" t="s">
        <v>51</v>
      </c>
      <c r="D34" s="85"/>
      <c r="E34" s="108"/>
      <c r="F34" s="85">
        <f>0/8*12</f>
        <v>0</v>
      </c>
      <c r="G34" s="428"/>
      <c r="H34" s="85"/>
      <c r="I34" s="428"/>
      <c r="J34" s="85"/>
      <c r="K34" s="85"/>
      <c r="L34" s="390"/>
    </row>
    <row r="35" spans="1:12" s="285" customFormat="1" hidden="1" x14ac:dyDescent="0.25">
      <c r="A35" s="344"/>
      <c r="B35" s="151"/>
      <c r="C35" s="94"/>
      <c r="D35" s="89"/>
      <c r="E35" s="89">
        <f t="shared" ref="E35:L35" si="7">SUM(E34)</f>
        <v>0</v>
      </c>
      <c r="F35" s="89">
        <f t="shared" si="7"/>
        <v>0</v>
      </c>
      <c r="G35" s="429"/>
      <c r="H35" s="429">
        <f t="shared" si="7"/>
        <v>0</v>
      </c>
      <c r="I35" s="429"/>
      <c r="J35" s="429"/>
      <c r="K35" s="429"/>
      <c r="L35" s="389">
        <f t="shared" si="7"/>
        <v>0</v>
      </c>
    </row>
    <row r="36" spans="1:12" s="285" customFormat="1" hidden="1" x14ac:dyDescent="0.25">
      <c r="A36" s="344"/>
      <c r="B36" s="151"/>
      <c r="C36" s="93" t="s">
        <v>52</v>
      </c>
      <c r="D36" s="85"/>
      <c r="E36" s="86"/>
      <c r="F36" s="86"/>
      <c r="G36" s="86"/>
      <c r="H36" s="86"/>
      <c r="I36" s="86"/>
      <c r="J36" s="86"/>
      <c r="K36" s="85"/>
      <c r="L36" s="111"/>
    </row>
    <row r="37" spans="1:12" s="285" customFormat="1" hidden="1" x14ac:dyDescent="0.25">
      <c r="A37" s="118">
        <v>14</v>
      </c>
      <c r="B37" s="151">
        <v>5190</v>
      </c>
      <c r="C37" s="94" t="s">
        <v>53</v>
      </c>
      <c r="D37" s="85"/>
      <c r="E37" s="108"/>
      <c r="F37" s="85">
        <f>0/8*12</f>
        <v>0</v>
      </c>
      <c r="G37" s="428"/>
      <c r="H37" s="85"/>
      <c r="I37" s="428"/>
      <c r="J37" s="85"/>
      <c r="K37" s="85"/>
      <c r="L37" s="381"/>
    </row>
    <row r="38" spans="1:12" s="285" customFormat="1" hidden="1" x14ac:dyDescent="0.25">
      <c r="A38" s="344"/>
      <c r="B38" s="151"/>
      <c r="C38" s="94"/>
      <c r="D38" s="89"/>
      <c r="E38" s="89">
        <f t="shared" ref="E38:L38" si="8">E37</f>
        <v>0</v>
      </c>
      <c r="F38" s="89">
        <f t="shared" si="8"/>
        <v>0</v>
      </c>
      <c r="G38" s="429"/>
      <c r="H38" s="429">
        <f t="shared" si="8"/>
        <v>0</v>
      </c>
      <c r="I38" s="429"/>
      <c r="J38" s="429"/>
      <c r="K38" s="429"/>
      <c r="L38" s="389">
        <f t="shared" si="8"/>
        <v>0</v>
      </c>
    </row>
    <row r="39" spans="1:12" s="285" customFormat="1" x14ac:dyDescent="0.25">
      <c r="A39" s="344"/>
      <c r="B39" s="151"/>
      <c r="C39" s="93" t="s">
        <v>54</v>
      </c>
      <c r="D39" s="85"/>
      <c r="E39" s="86"/>
      <c r="F39" s="86"/>
      <c r="G39" s="86"/>
      <c r="H39" s="86"/>
      <c r="I39" s="86"/>
      <c r="J39" s="86"/>
      <c r="K39" s="85"/>
      <c r="L39" s="111"/>
    </row>
    <row r="40" spans="1:12" s="285" customFormat="1" hidden="1" x14ac:dyDescent="0.25">
      <c r="A40" s="118">
        <v>14</v>
      </c>
      <c r="B40" s="151">
        <v>5200</v>
      </c>
      <c r="C40" s="94" t="s">
        <v>55</v>
      </c>
      <c r="D40" s="85"/>
      <c r="E40" s="108"/>
      <c r="F40" s="85">
        <f t="shared" ref="F40:F58" si="9">0/8*12</f>
        <v>0</v>
      </c>
      <c r="G40" s="428"/>
      <c r="H40" s="85"/>
      <c r="I40" s="428"/>
      <c r="J40" s="85"/>
      <c r="K40" s="85"/>
      <c r="L40" s="381">
        <f>F40*(1+[1]INPUT!C$10)</f>
        <v>0</v>
      </c>
    </row>
    <row r="41" spans="1:12" s="285" customFormat="1" hidden="1" x14ac:dyDescent="0.25">
      <c r="A41" s="118">
        <v>14</v>
      </c>
      <c r="B41" s="151">
        <v>5205</v>
      </c>
      <c r="C41" s="94" t="s">
        <v>56</v>
      </c>
      <c r="D41" s="85"/>
      <c r="E41" s="108"/>
      <c r="F41" s="85">
        <f t="shared" si="9"/>
        <v>0</v>
      </c>
      <c r="G41" s="428"/>
      <c r="H41" s="85"/>
      <c r="I41" s="428"/>
      <c r="J41" s="85"/>
      <c r="K41" s="85"/>
      <c r="L41" s="381">
        <f>F41*(1+[1]INPUT!C$10)</f>
        <v>0</v>
      </c>
    </row>
    <row r="42" spans="1:12" s="285" customFormat="1" x14ac:dyDescent="0.25">
      <c r="A42" s="118">
        <v>14</v>
      </c>
      <c r="B42" s="151">
        <v>5210</v>
      </c>
      <c r="C42" s="94" t="s">
        <v>57</v>
      </c>
      <c r="D42" s="85"/>
      <c r="E42" s="108"/>
      <c r="F42" s="85">
        <f t="shared" si="9"/>
        <v>0</v>
      </c>
      <c r="G42" s="428"/>
      <c r="H42" s="85">
        <v>35000</v>
      </c>
      <c r="I42" s="428"/>
      <c r="J42" s="85"/>
      <c r="K42" s="85"/>
      <c r="L42" s="381">
        <f>F42*(1+[1]INPUT!C$10)</f>
        <v>0</v>
      </c>
    </row>
    <row r="43" spans="1:12" s="285" customFormat="1" hidden="1" x14ac:dyDescent="0.25">
      <c r="A43" s="118">
        <v>14</v>
      </c>
      <c r="B43" s="151">
        <v>5215</v>
      </c>
      <c r="C43" s="94" t="s">
        <v>95</v>
      </c>
      <c r="D43" s="85"/>
      <c r="E43" s="108"/>
      <c r="F43" s="85">
        <f t="shared" si="9"/>
        <v>0</v>
      </c>
      <c r="G43" s="428"/>
      <c r="H43" s="85"/>
      <c r="I43" s="428"/>
      <c r="J43" s="85"/>
      <c r="K43" s="85"/>
      <c r="L43" s="381">
        <f>F43*(1+[1]INPUT!C$10)</f>
        <v>0</v>
      </c>
    </row>
    <row r="44" spans="1:12" s="285" customFormat="1" hidden="1" x14ac:dyDescent="0.25">
      <c r="A44" s="118">
        <v>14</v>
      </c>
      <c r="B44" s="151">
        <v>5220</v>
      </c>
      <c r="C44" s="94" t="s">
        <v>58</v>
      </c>
      <c r="D44" s="85"/>
      <c r="E44" s="108"/>
      <c r="F44" s="85">
        <f t="shared" si="9"/>
        <v>0</v>
      </c>
      <c r="G44" s="428"/>
      <c r="H44" s="85"/>
      <c r="I44" s="428"/>
      <c r="J44" s="85"/>
      <c r="K44" s="85"/>
      <c r="L44" s="381">
        <f>F44*(1+[1]INPUT!C$10)</f>
        <v>0</v>
      </c>
    </row>
    <row r="45" spans="1:12" s="285" customFormat="1" hidden="1" x14ac:dyDescent="0.25">
      <c r="A45" s="118">
        <v>14</v>
      </c>
      <c r="B45" s="151">
        <v>5225</v>
      </c>
      <c r="C45" s="94" t="s">
        <v>92</v>
      </c>
      <c r="D45" s="85"/>
      <c r="E45" s="108"/>
      <c r="F45" s="85">
        <f t="shared" si="9"/>
        <v>0</v>
      </c>
      <c r="G45" s="428"/>
      <c r="H45" s="85"/>
      <c r="I45" s="428"/>
      <c r="J45" s="85"/>
      <c r="K45" s="85"/>
      <c r="L45" s="381">
        <f>F45*(1+[1]INPUT!C$10)</f>
        <v>0</v>
      </c>
    </row>
    <row r="46" spans="1:12" s="285" customFormat="1" hidden="1" x14ac:dyDescent="0.25">
      <c r="A46" s="118">
        <v>14</v>
      </c>
      <c r="B46" s="151">
        <v>5230</v>
      </c>
      <c r="C46" s="94" t="s">
        <v>86</v>
      </c>
      <c r="D46" s="85"/>
      <c r="E46" s="108"/>
      <c r="F46" s="85">
        <f t="shared" si="9"/>
        <v>0</v>
      </c>
      <c r="G46" s="428"/>
      <c r="H46" s="85"/>
      <c r="I46" s="428"/>
      <c r="J46" s="85"/>
      <c r="K46" s="85"/>
      <c r="L46" s="381">
        <f>F46*(1+[1]INPUT!C$10)</f>
        <v>0</v>
      </c>
    </row>
    <row r="47" spans="1:12" s="285" customFormat="1" hidden="1" x14ac:dyDescent="0.25">
      <c r="A47" s="118">
        <v>14</v>
      </c>
      <c r="B47" s="151">
        <v>5235</v>
      </c>
      <c r="C47" s="94" t="s">
        <v>124</v>
      </c>
      <c r="D47" s="85"/>
      <c r="E47" s="108"/>
      <c r="F47" s="85">
        <f t="shared" si="9"/>
        <v>0</v>
      </c>
      <c r="G47" s="428"/>
      <c r="H47" s="85"/>
      <c r="I47" s="428"/>
      <c r="J47" s="85"/>
      <c r="K47" s="85"/>
      <c r="L47" s="381">
        <f>F47*(1+[1]INPUT!C$10)</f>
        <v>0</v>
      </c>
    </row>
    <row r="48" spans="1:12" s="285" customFormat="1" x14ac:dyDescent="0.25">
      <c r="A48" s="118">
        <v>14</v>
      </c>
      <c r="B48" s="151">
        <v>5240</v>
      </c>
      <c r="C48" s="94" t="s">
        <v>59</v>
      </c>
      <c r="D48" s="85">
        <v>1158</v>
      </c>
      <c r="E48" s="85">
        <v>2000</v>
      </c>
      <c r="F48" s="428">
        <v>2000</v>
      </c>
      <c r="G48" s="428">
        <v>2000</v>
      </c>
      <c r="H48" s="85">
        <v>60000</v>
      </c>
      <c r="I48" s="428"/>
      <c r="J48" s="85"/>
      <c r="K48" s="85"/>
      <c r="L48" s="381"/>
    </row>
    <row r="49" spans="1:12" s="285" customFormat="1" x14ac:dyDescent="0.25">
      <c r="A49" s="118">
        <v>14</v>
      </c>
      <c r="B49" s="151">
        <v>5245</v>
      </c>
      <c r="C49" s="94" t="s">
        <v>91</v>
      </c>
      <c r="D49" s="85"/>
      <c r="E49" s="108"/>
      <c r="F49" s="85">
        <f t="shared" si="9"/>
        <v>0</v>
      </c>
      <c r="G49" s="428"/>
      <c r="H49" s="85"/>
      <c r="I49" s="428"/>
      <c r="J49" s="85"/>
      <c r="K49" s="85"/>
      <c r="L49" s="381">
        <f>F49*(1+[1]INPUT!C$10)</f>
        <v>0</v>
      </c>
    </row>
    <row r="50" spans="1:12" s="285" customFormat="1" x14ac:dyDescent="0.25">
      <c r="A50" s="118">
        <v>14</v>
      </c>
      <c r="B50" s="151">
        <v>5250</v>
      </c>
      <c r="C50" s="94" t="s">
        <v>88</v>
      </c>
      <c r="D50" s="85"/>
      <c r="E50" s="108"/>
      <c r="F50" s="85">
        <f t="shared" si="9"/>
        <v>0</v>
      </c>
      <c r="G50" s="428"/>
      <c r="H50" s="85"/>
      <c r="I50" s="428"/>
      <c r="J50" s="85"/>
      <c r="K50" s="85"/>
      <c r="L50" s="381">
        <f>F50*(1+[1]INPUT!C$10)</f>
        <v>0</v>
      </c>
    </row>
    <row r="51" spans="1:12" s="285" customFormat="1" x14ac:dyDescent="0.25">
      <c r="A51" s="118">
        <v>14</v>
      </c>
      <c r="B51" s="151">
        <v>5255</v>
      </c>
      <c r="C51" s="94" t="s">
        <v>125</v>
      </c>
      <c r="D51" s="85"/>
      <c r="E51" s="108"/>
      <c r="F51" s="85">
        <f t="shared" si="9"/>
        <v>0</v>
      </c>
      <c r="G51" s="428"/>
      <c r="H51" s="85"/>
      <c r="I51" s="428"/>
      <c r="J51" s="85"/>
      <c r="K51" s="85"/>
      <c r="L51" s="381">
        <f>F51*(1+[1]INPUT!C$10)</f>
        <v>0</v>
      </c>
    </row>
    <row r="52" spans="1:12" s="285" customFormat="1" x14ac:dyDescent="0.25">
      <c r="A52" s="118">
        <v>14</v>
      </c>
      <c r="B52" s="151">
        <v>5260</v>
      </c>
      <c r="C52" s="94" t="s">
        <v>90</v>
      </c>
      <c r="D52" s="85"/>
      <c r="E52" s="108"/>
      <c r="F52" s="85">
        <f t="shared" si="9"/>
        <v>0</v>
      </c>
      <c r="G52" s="428"/>
      <c r="H52" s="85"/>
      <c r="I52" s="428"/>
      <c r="J52" s="85"/>
      <c r="K52" s="85"/>
      <c r="L52" s="381">
        <f>F52*(1+[1]INPUT!C$10)</f>
        <v>0</v>
      </c>
    </row>
    <row r="53" spans="1:12" s="285" customFormat="1" x14ac:dyDescent="0.25">
      <c r="A53" s="118">
        <v>14</v>
      </c>
      <c r="B53" s="151">
        <v>5265</v>
      </c>
      <c r="C53" s="94" t="s">
        <v>87</v>
      </c>
      <c r="D53" s="85"/>
      <c r="E53" s="108"/>
      <c r="F53" s="85">
        <f t="shared" si="9"/>
        <v>0</v>
      </c>
      <c r="G53" s="428"/>
      <c r="H53" s="85"/>
      <c r="I53" s="428"/>
      <c r="J53" s="85"/>
      <c r="K53" s="85"/>
      <c r="L53" s="381">
        <f>F53*(1+[1]INPUT!C$10)</f>
        <v>0</v>
      </c>
    </row>
    <row r="54" spans="1:12" s="285" customFormat="1" x14ac:dyDescent="0.25">
      <c r="A54" s="118">
        <v>14</v>
      </c>
      <c r="B54" s="151">
        <v>5270</v>
      </c>
      <c r="C54" s="94" t="s">
        <v>89</v>
      </c>
      <c r="D54" s="85"/>
      <c r="E54" s="108"/>
      <c r="F54" s="85">
        <f t="shared" si="9"/>
        <v>0</v>
      </c>
      <c r="G54" s="428"/>
      <c r="H54" s="85"/>
      <c r="I54" s="428"/>
      <c r="J54" s="85"/>
      <c r="K54" s="85"/>
      <c r="L54" s="381">
        <f>F54*(1+[1]INPUT!C$10)</f>
        <v>0</v>
      </c>
    </row>
    <row r="55" spans="1:12" s="285" customFormat="1" x14ac:dyDescent="0.25">
      <c r="A55" s="371">
        <v>14</v>
      </c>
      <c r="B55" s="152">
        <v>5275</v>
      </c>
      <c r="C55" s="106" t="s">
        <v>93</v>
      </c>
      <c r="D55" s="383"/>
      <c r="E55" s="378"/>
      <c r="F55" s="383">
        <f t="shared" si="9"/>
        <v>0</v>
      </c>
      <c r="G55" s="383"/>
      <c r="H55" s="383"/>
      <c r="I55" s="383"/>
      <c r="J55" s="383"/>
      <c r="K55" s="383"/>
      <c r="L55" s="381">
        <f>F55*(1+[1]INPUT!C$10)</f>
        <v>0</v>
      </c>
    </row>
    <row r="56" spans="1:12" s="285" customFormat="1" x14ac:dyDescent="0.25">
      <c r="A56" s="118">
        <v>14</v>
      </c>
      <c r="B56" s="153">
        <v>5280</v>
      </c>
      <c r="C56" s="97" t="s">
        <v>94</v>
      </c>
      <c r="D56" s="88"/>
      <c r="E56" s="335"/>
      <c r="F56" s="88">
        <f t="shared" si="9"/>
        <v>0</v>
      </c>
      <c r="G56" s="88"/>
      <c r="H56" s="88"/>
      <c r="I56" s="88"/>
      <c r="J56" s="88"/>
      <c r="K56" s="88"/>
      <c r="L56" s="381">
        <f>F56*(1+[1]INPUT!C$10)</f>
        <v>0</v>
      </c>
    </row>
    <row r="57" spans="1:12" s="285" customFormat="1" x14ac:dyDescent="0.25">
      <c r="A57" s="118">
        <v>14</v>
      </c>
      <c r="B57" s="151">
        <v>5285</v>
      </c>
      <c r="C57" s="94" t="s">
        <v>60</v>
      </c>
      <c r="D57" s="85"/>
      <c r="E57" s="85"/>
      <c r="F57" s="85">
        <f t="shared" si="9"/>
        <v>0</v>
      </c>
      <c r="G57" s="428"/>
      <c r="H57" s="85"/>
      <c r="I57" s="428"/>
      <c r="J57" s="85"/>
      <c r="K57" s="85"/>
      <c r="L57" s="381">
        <f>F57*(1+[1]INPUT!C$10)</f>
        <v>0</v>
      </c>
    </row>
    <row r="58" spans="1:12" s="285" customFormat="1" x14ac:dyDescent="0.25">
      <c r="A58" s="118">
        <v>14</v>
      </c>
      <c r="B58" s="151">
        <v>5290</v>
      </c>
      <c r="C58" s="94" t="s">
        <v>186</v>
      </c>
      <c r="D58" s="85"/>
      <c r="E58" s="108"/>
      <c r="F58" s="85">
        <f t="shared" si="9"/>
        <v>0</v>
      </c>
      <c r="G58" s="428"/>
      <c r="H58" s="85"/>
      <c r="I58" s="428"/>
      <c r="J58" s="85"/>
      <c r="K58" s="85"/>
      <c r="L58" s="381">
        <f>F58*(1+[1]INPUT!C$10)</f>
        <v>0</v>
      </c>
    </row>
    <row r="59" spans="1:12" s="285" customFormat="1" x14ac:dyDescent="0.25">
      <c r="A59" s="344"/>
      <c r="B59" s="151"/>
      <c r="C59" s="94"/>
      <c r="D59" s="439">
        <f t="shared" ref="D59:L59" si="10">SUM(D40:D58)</f>
        <v>1158</v>
      </c>
      <c r="E59" s="110">
        <f t="shared" si="10"/>
        <v>2000</v>
      </c>
      <c r="F59" s="110">
        <f t="shared" si="10"/>
        <v>2000</v>
      </c>
      <c r="G59" s="439">
        <f t="shared" si="10"/>
        <v>2000</v>
      </c>
      <c r="H59" s="439">
        <f t="shared" si="10"/>
        <v>95000</v>
      </c>
      <c r="I59" s="439"/>
      <c r="J59" s="439"/>
      <c r="K59" s="429"/>
      <c r="L59" s="391">
        <f t="shared" si="10"/>
        <v>0</v>
      </c>
    </row>
    <row r="60" spans="1:12" s="285" customFormat="1" hidden="1" x14ac:dyDescent="0.25">
      <c r="A60" s="344"/>
      <c r="B60" s="151"/>
      <c r="C60" s="93" t="s">
        <v>198</v>
      </c>
      <c r="D60" s="85"/>
      <c r="E60" s="112"/>
      <c r="F60" s="112"/>
      <c r="G60" s="112"/>
      <c r="H60" s="112"/>
      <c r="I60" s="112"/>
      <c r="J60" s="112"/>
      <c r="K60" s="108"/>
      <c r="L60" s="392"/>
    </row>
    <row r="61" spans="1:12" s="285" customFormat="1" hidden="1" x14ac:dyDescent="0.25">
      <c r="A61" s="118">
        <v>14</v>
      </c>
      <c r="B61" s="151">
        <v>5400</v>
      </c>
      <c r="C61" s="94" t="s">
        <v>334</v>
      </c>
      <c r="D61" s="85"/>
      <c r="E61" s="86"/>
      <c r="F61" s="85">
        <f>0/8*12</f>
        <v>0</v>
      </c>
      <c r="G61" s="86"/>
      <c r="H61" s="86"/>
      <c r="I61" s="86"/>
      <c r="J61" s="86"/>
      <c r="K61" s="85"/>
      <c r="L61" s="111"/>
    </row>
    <row r="62" spans="1:12" s="285" customFormat="1" hidden="1" x14ac:dyDescent="0.25">
      <c r="A62" s="118">
        <v>14</v>
      </c>
      <c r="B62" s="151">
        <v>5405</v>
      </c>
      <c r="C62" s="94" t="s">
        <v>335</v>
      </c>
      <c r="D62" s="85"/>
      <c r="E62" s="108"/>
      <c r="F62" s="85">
        <f>0/8*12</f>
        <v>0</v>
      </c>
      <c r="G62" s="428"/>
      <c r="H62" s="85"/>
      <c r="I62" s="428"/>
      <c r="J62" s="85"/>
      <c r="K62" s="85"/>
      <c r="L62" s="390"/>
    </row>
    <row r="63" spans="1:12" s="285" customFormat="1" hidden="1" x14ac:dyDescent="0.25">
      <c r="A63" s="344"/>
      <c r="B63" s="151"/>
      <c r="C63" s="94"/>
      <c r="D63" s="429">
        <f>SUM(D61:D62)</f>
        <v>0</v>
      </c>
      <c r="E63" s="89">
        <f>SUM(E61:E62)</f>
        <v>0</v>
      </c>
      <c r="F63" s="89">
        <f>SUM(F61:F62)</f>
        <v>0</v>
      </c>
      <c r="G63" s="429">
        <f>SUM(G61:G62)</f>
        <v>0</v>
      </c>
      <c r="H63" s="89"/>
      <c r="I63" s="429"/>
      <c r="J63" s="89"/>
      <c r="K63" s="89"/>
      <c r="L63" s="389">
        <f>SUM(L61:L62)</f>
        <v>0</v>
      </c>
    </row>
    <row r="64" spans="1:12" s="285" customFormat="1" hidden="1" x14ac:dyDescent="0.25">
      <c r="A64" s="344"/>
      <c r="B64" s="151"/>
      <c r="C64" s="93" t="s">
        <v>61</v>
      </c>
      <c r="D64" s="85"/>
      <c r="E64" s="86"/>
      <c r="F64" s="86"/>
      <c r="G64" s="86"/>
      <c r="H64" s="86"/>
      <c r="I64" s="86"/>
      <c r="J64" s="86"/>
      <c r="K64" s="85"/>
      <c r="L64" s="111"/>
    </row>
    <row r="65" spans="1:12" s="285" customFormat="1" hidden="1" x14ac:dyDescent="0.25">
      <c r="A65" s="118">
        <v>14</v>
      </c>
      <c r="B65" s="151">
        <v>5450</v>
      </c>
      <c r="C65" s="94" t="s">
        <v>351</v>
      </c>
      <c r="D65" s="85"/>
      <c r="E65" s="108"/>
      <c r="F65" s="85">
        <f>0/8*12</f>
        <v>0</v>
      </c>
      <c r="G65" s="428"/>
      <c r="H65" s="85"/>
      <c r="I65" s="428"/>
      <c r="J65" s="85"/>
      <c r="K65" s="85"/>
      <c r="L65" s="390"/>
    </row>
    <row r="66" spans="1:12" s="285" customFormat="1" hidden="1" x14ac:dyDescent="0.25">
      <c r="A66" s="344"/>
      <c r="B66" s="151"/>
      <c r="C66" s="94"/>
      <c r="D66" s="89"/>
      <c r="E66" s="89">
        <f t="shared" ref="E66:L66" si="11">E65</f>
        <v>0</v>
      </c>
      <c r="F66" s="89">
        <f t="shared" si="11"/>
        <v>0</v>
      </c>
      <c r="G66" s="429"/>
      <c r="H66" s="429">
        <f t="shared" si="11"/>
        <v>0</v>
      </c>
      <c r="I66" s="429"/>
      <c r="J66" s="429"/>
      <c r="K66" s="429"/>
      <c r="L66" s="389">
        <f t="shared" si="11"/>
        <v>0</v>
      </c>
    </row>
    <row r="67" spans="1:12" s="285" customFormat="1" hidden="1" x14ac:dyDescent="0.25">
      <c r="A67" s="344"/>
      <c r="B67" s="151"/>
      <c r="C67" s="93" t="s">
        <v>96</v>
      </c>
      <c r="D67" s="85"/>
      <c r="E67" s="86"/>
      <c r="F67" s="86"/>
      <c r="G67" s="86"/>
      <c r="H67" s="86"/>
      <c r="I67" s="86"/>
      <c r="J67" s="86"/>
      <c r="K67" s="85"/>
      <c r="L67" s="111"/>
    </row>
    <row r="68" spans="1:12" s="285" customFormat="1" hidden="1" x14ac:dyDescent="0.25">
      <c r="A68" s="118">
        <v>14</v>
      </c>
      <c r="B68" s="151">
        <v>5470</v>
      </c>
      <c r="C68" s="94" t="s">
        <v>97</v>
      </c>
      <c r="D68" s="85"/>
      <c r="E68" s="86"/>
      <c r="F68" s="85">
        <f>0/8*12</f>
        <v>0</v>
      </c>
      <c r="G68" s="428"/>
      <c r="H68" s="85"/>
      <c r="I68" s="428"/>
      <c r="J68" s="85"/>
      <c r="K68" s="85"/>
      <c r="L68" s="381">
        <f>F68*(1+[1]INPUT!C11)</f>
        <v>0</v>
      </c>
    </row>
    <row r="69" spans="1:12" s="285" customFormat="1" hidden="1" x14ac:dyDescent="0.25">
      <c r="A69" s="118">
        <v>14</v>
      </c>
      <c r="B69" s="151">
        <v>5475</v>
      </c>
      <c r="C69" s="94" t="s">
        <v>134</v>
      </c>
      <c r="D69" s="85"/>
      <c r="E69" s="86"/>
      <c r="F69" s="85">
        <f>0/8*12</f>
        <v>0</v>
      </c>
      <c r="G69" s="428"/>
      <c r="H69" s="85"/>
      <c r="I69" s="428"/>
      <c r="J69" s="85"/>
      <c r="K69" s="85"/>
      <c r="L69" s="381">
        <f>F69*(1+[1]INPUT!C12)</f>
        <v>0</v>
      </c>
    </row>
    <row r="70" spans="1:12" s="285" customFormat="1" hidden="1" x14ac:dyDescent="0.25">
      <c r="A70" s="344"/>
      <c r="B70" s="151"/>
      <c r="C70" s="94"/>
      <c r="D70" s="110"/>
      <c r="E70" s="110">
        <f>SUM(E68:E69)</f>
        <v>0</v>
      </c>
      <c r="F70" s="110">
        <f>SUM(F68:F69)</f>
        <v>0</v>
      </c>
      <c r="G70" s="439"/>
      <c r="H70" s="439">
        <f>SUM(H68:H69)</f>
        <v>0</v>
      </c>
      <c r="I70" s="439"/>
      <c r="J70" s="439"/>
      <c r="K70" s="429"/>
      <c r="L70" s="391">
        <f>SUM(L68:L69)</f>
        <v>0</v>
      </c>
    </row>
    <row r="71" spans="1:12" s="285" customFormat="1" x14ac:dyDescent="0.25">
      <c r="A71" s="344"/>
      <c r="B71" s="151"/>
      <c r="C71" s="93" t="s">
        <v>62</v>
      </c>
      <c r="D71" s="88"/>
      <c r="E71" s="113"/>
      <c r="F71" s="113"/>
      <c r="G71" s="113"/>
      <c r="H71" s="113"/>
      <c r="I71" s="113"/>
      <c r="J71" s="113"/>
      <c r="K71" s="88"/>
      <c r="L71" s="120"/>
    </row>
    <row r="72" spans="1:12" s="285" customFormat="1" x14ac:dyDescent="0.25">
      <c r="A72" s="118">
        <v>14</v>
      </c>
      <c r="B72" s="151">
        <v>5505</v>
      </c>
      <c r="C72" s="94" t="s">
        <v>259</v>
      </c>
      <c r="D72" s="428"/>
      <c r="E72" s="428">
        <v>50000</v>
      </c>
      <c r="F72" s="428">
        <v>50000</v>
      </c>
      <c r="G72" s="428">
        <v>50000</v>
      </c>
      <c r="H72" s="428"/>
      <c r="I72" s="428"/>
      <c r="J72" s="428"/>
      <c r="K72" s="428"/>
      <c r="L72" s="381"/>
    </row>
    <row r="73" spans="1:12" s="285" customFormat="1" x14ac:dyDescent="0.25">
      <c r="A73" s="118">
        <v>14</v>
      </c>
      <c r="B73" s="151">
        <v>5510</v>
      </c>
      <c r="C73" s="94" t="s">
        <v>63</v>
      </c>
      <c r="D73" s="428"/>
      <c r="E73" s="85">
        <v>1353</v>
      </c>
      <c r="F73" s="428">
        <v>1353</v>
      </c>
      <c r="G73" s="428">
        <v>1353</v>
      </c>
      <c r="H73" s="85"/>
      <c r="I73" s="428"/>
      <c r="J73" s="85"/>
      <c r="K73" s="85"/>
      <c r="L73" s="381"/>
    </row>
    <row r="74" spans="1:12" s="285" customFormat="1" hidden="1" x14ac:dyDescent="0.25">
      <c r="A74" s="118">
        <v>14</v>
      </c>
      <c r="B74" s="151">
        <v>5520</v>
      </c>
      <c r="C74" s="94" t="s">
        <v>260</v>
      </c>
      <c r="D74" s="428"/>
      <c r="E74" s="85"/>
      <c r="F74" s="428"/>
      <c r="G74" s="428"/>
      <c r="H74" s="85"/>
      <c r="I74" s="428"/>
      <c r="J74" s="85"/>
      <c r="K74" s="85"/>
      <c r="L74" s="381"/>
    </row>
    <row r="75" spans="1:12" s="285" customFormat="1" hidden="1" x14ac:dyDescent="0.25">
      <c r="A75" s="118">
        <v>14</v>
      </c>
      <c r="B75" s="151">
        <v>5525</v>
      </c>
      <c r="C75" s="94" t="s">
        <v>261</v>
      </c>
      <c r="D75" s="85"/>
      <c r="E75" s="85"/>
      <c r="F75" s="428"/>
      <c r="G75" s="428"/>
      <c r="H75" s="85"/>
      <c r="I75" s="428"/>
      <c r="J75" s="85"/>
      <c r="K75" s="85"/>
      <c r="L75" s="381"/>
    </row>
    <row r="76" spans="1:12" s="285" customFormat="1" hidden="1" x14ac:dyDescent="0.25">
      <c r="A76" s="118">
        <v>14</v>
      </c>
      <c r="B76" s="151">
        <v>5530</v>
      </c>
      <c r="C76" s="94" t="s">
        <v>262</v>
      </c>
      <c r="D76" s="85"/>
      <c r="E76" s="85"/>
      <c r="F76" s="428"/>
      <c r="G76" s="428"/>
      <c r="H76" s="85"/>
      <c r="I76" s="428"/>
      <c r="J76" s="85"/>
      <c r="K76" s="85"/>
      <c r="L76" s="381"/>
    </row>
    <row r="77" spans="1:12" s="285" customFormat="1" x14ac:dyDescent="0.25">
      <c r="A77" s="118">
        <v>14</v>
      </c>
      <c r="B77" s="151">
        <v>5535</v>
      </c>
      <c r="C77" s="94" t="s">
        <v>263</v>
      </c>
      <c r="D77" s="85"/>
      <c r="E77" s="85">
        <v>15000</v>
      </c>
      <c r="F77" s="428">
        <v>15000</v>
      </c>
      <c r="G77" s="428">
        <v>15000</v>
      </c>
      <c r="H77" s="85">
        <v>25000</v>
      </c>
      <c r="I77" s="428"/>
      <c r="J77" s="85"/>
      <c r="K77" s="85"/>
      <c r="L77" s="381"/>
    </row>
    <row r="78" spans="1:12" s="285" customFormat="1" x14ac:dyDescent="0.25">
      <c r="A78" s="118">
        <v>14</v>
      </c>
      <c r="B78" s="151">
        <v>5540</v>
      </c>
      <c r="C78" s="94" t="s">
        <v>264</v>
      </c>
      <c r="D78" s="85">
        <v>17859</v>
      </c>
      <c r="E78" s="85">
        <v>14542</v>
      </c>
      <c r="F78" s="428">
        <v>14542</v>
      </c>
      <c r="G78" s="428">
        <v>14542</v>
      </c>
      <c r="H78" s="85">
        <v>35000</v>
      </c>
      <c r="I78" s="428"/>
      <c r="J78" s="85"/>
      <c r="K78" s="85"/>
      <c r="L78" s="381"/>
    </row>
    <row r="79" spans="1:12" s="285" customFormat="1" ht="13.5" customHeight="1" x14ac:dyDescent="0.25">
      <c r="A79" s="118">
        <v>14</v>
      </c>
      <c r="B79" s="151">
        <v>5545</v>
      </c>
      <c r="C79" s="94" t="s">
        <v>265</v>
      </c>
      <c r="D79" s="85">
        <v>282</v>
      </c>
      <c r="E79" s="85">
        <v>5000</v>
      </c>
      <c r="F79" s="428">
        <v>5000</v>
      </c>
      <c r="G79" s="428">
        <v>5000</v>
      </c>
      <c r="H79" s="85">
        <v>8000</v>
      </c>
      <c r="I79" s="428">
        <v>2500</v>
      </c>
      <c r="J79" s="85">
        <f>+I79*1.055</f>
        <v>2637.5</v>
      </c>
      <c r="K79" s="85">
        <f>+J79*1.053</f>
        <v>2777.2874999999999</v>
      </c>
      <c r="L79" s="381"/>
    </row>
    <row r="80" spans="1:12" s="285" customFormat="1" hidden="1" x14ac:dyDescent="0.25">
      <c r="A80" s="118">
        <v>14</v>
      </c>
      <c r="B80" s="151">
        <v>5550</v>
      </c>
      <c r="C80" s="94" t="s">
        <v>267</v>
      </c>
      <c r="D80" s="85"/>
      <c r="E80" s="85"/>
      <c r="F80" s="428"/>
      <c r="G80" s="428"/>
      <c r="H80" s="85"/>
      <c r="I80" s="428"/>
      <c r="J80" s="85"/>
      <c r="K80" s="85"/>
      <c r="L80" s="381"/>
    </row>
    <row r="81" spans="1:16" s="285" customFormat="1" hidden="1" x14ac:dyDescent="0.25">
      <c r="A81" s="118">
        <v>14</v>
      </c>
      <c r="B81" s="151">
        <v>5555</v>
      </c>
      <c r="C81" s="94" t="s">
        <v>268</v>
      </c>
      <c r="D81" s="85"/>
      <c r="E81" s="85"/>
      <c r="F81" s="428"/>
      <c r="G81" s="428"/>
      <c r="H81" s="85"/>
      <c r="I81" s="428"/>
      <c r="J81" s="85"/>
      <c r="K81" s="85"/>
      <c r="L81" s="381"/>
      <c r="P81" s="443"/>
    </row>
    <row r="82" spans="1:16" s="285" customFormat="1" x14ac:dyDescent="0.25">
      <c r="A82" s="118">
        <v>14</v>
      </c>
      <c r="B82" s="151">
        <v>5560</v>
      </c>
      <c r="C82" s="94" t="s">
        <v>269</v>
      </c>
      <c r="D82" s="85">
        <v>20674</v>
      </c>
      <c r="E82" s="85">
        <v>21811</v>
      </c>
      <c r="F82" s="428">
        <v>21811</v>
      </c>
      <c r="G82" s="428">
        <v>21811</v>
      </c>
      <c r="H82" s="85"/>
      <c r="I82" s="428"/>
      <c r="J82" s="85"/>
      <c r="K82" s="85"/>
      <c r="L82" s="381"/>
    </row>
    <row r="83" spans="1:16" s="285" customFormat="1" hidden="1" x14ac:dyDescent="0.25">
      <c r="A83" s="118">
        <v>14</v>
      </c>
      <c r="B83" s="151">
        <v>5565</v>
      </c>
      <c r="C83" s="94" t="s">
        <v>246</v>
      </c>
      <c r="D83" s="85"/>
      <c r="E83" s="85"/>
      <c r="F83" s="428"/>
      <c r="G83" s="428"/>
      <c r="H83" s="85"/>
      <c r="I83" s="428"/>
      <c r="J83" s="85"/>
      <c r="K83" s="85"/>
      <c r="L83" s="381"/>
    </row>
    <row r="84" spans="1:16" s="285" customFormat="1" x14ac:dyDescent="0.25">
      <c r="A84" s="118">
        <v>14</v>
      </c>
      <c r="B84" s="151">
        <v>5570</v>
      </c>
      <c r="C84" s="94" t="s">
        <v>270</v>
      </c>
      <c r="D84" s="85">
        <v>6443</v>
      </c>
      <c r="E84" s="85">
        <v>6797</v>
      </c>
      <c r="F84" s="428">
        <v>6797</v>
      </c>
      <c r="G84" s="428">
        <v>6797</v>
      </c>
      <c r="H84" s="85"/>
      <c r="I84" s="428"/>
      <c r="J84" s="85"/>
      <c r="K84" s="85"/>
      <c r="L84" s="381"/>
    </row>
    <row r="85" spans="1:16" s="285" customFormat="1" x14ac:dyDescent="0.25">
      <c r="A85" s="118">
        <v>14</v>
      </c>
      <c r="B85" s="151">
        <v>5575</v>
      </c>
      <c r="C85" s="94" t="s">
        <v>271</v>
      </c>
      <c r="D85" s="85">
        <v>204158</v>
      </c>
      <c r="E85" s="85">
        <v>45000</v>
      </c>
      <c r="F85" s="428">
        <v>45000</v>
      </c>
      <c r="G85" s="428">
        <v>45000</v>
      </c>
      <c r="H85" s="85"/>
      <c r="I85" s="428"/>
      <c r="J85" s="85"/>
      <c r="K85" s="85"/>
      <c r="L85" s="381"/>
    </row>
    <row r="86" spans="1:16" s="285" customFormat="1" x14ac:dyDescent="0.25">
      <c r="A86" s="118">
        <v>14</v>
      </c>
      <c r="B86" s="151">
        <v>5580</v>
      </c>
      <c r="C86" s="94" t="s">
        <v>272</v>
      </c>
      <c r="D86" s="85"/>
      <c r="E86" s="85">
        <v>20000</v>
      </c>
      <c r="F86" s="428">
        <v>20000</v>
      </c>
      <c r="G86" s="428">
        <v>20000</v>
      </c>
      <c r="H86" s="85">
        <v>60000</v>
      </c>
      <c r="I86" s="428"/>
      <c r="J86" s="85"/>
      <c r="K86" s="85"/>
      <c r="L86" s="381"/>
    </row>
    <row r="87" spans="1:16" s="285" customFormat="1" x14ac:dyDescent="0.25">
      <c r="A87" s="118">
        <v>14</v>
      </c>
      <c r="B87" s="151">
        <v>5585</v>
      </c>
      <c r="C87" s="94" t="s">
        <v>273</v>
      </c>
      <c r="D87" s="86">
        <v>6000</v>
      </c>
      <c r="E87" s="85">
        <v>30000</v>
      </c>
      <c r="F87" s="428">
        <v>30000</v>
      </c>
      <c r="G87" s="428">
        <v>30000</v>
      </c>
      <c r="H87" s="85">
        <v>40000</v>
      </c>
      <c r="I87" s="428"/>
      <c r="J87" s="85"/>
      <c r="K87" s="85"/>
      <c r="L87" s="381"/>
    </row>
    <row r="88" spans="1:16" s="285" customFormat="1" x14ac:dyDescent="0.25">
      <c r="A88" s="118">
        <v>14</v>
      </c>
      <c r="B88" s="151">
        <v>5590</v>
      </c>
      <c r="C88" s="94" t="s">
        <v>274</v>
      </c>
      <c r="D88" s="86">
        <v>155596</v>
      </c>
      <c r="E88" s="85">
        <v>44800</v>
      </c>
      <c r="F88" s="428">
        <v>44800</v>
      </c>
      <c r="G88" s="428">
        <v>44800</v>
      </c>
      <c r="H88" s="85">
        <v>60000</v>
      </c>
      <c r="I88" s="428"/>
      <c r="J88" s="85"/>
      <c r="K88" s="85"/>
      <c r="L88" s="381"/>
    </row>
    <row r="89" spans="1:16" s="285" customFormat="1" hidden="1" x14ac:dyDescent="0.25">
      <c r="A89" s="118">
        <v>14</v>
      </c>
      <c r="B89" s="151">
        <v>5595</v>
      </c>
      <c r="C89" s="94" t="s">
        <v>275</v>
      </c>
      <c r="D89" s="85"/>
      <c r="E89" s="85"/>
      <c r="F89" s="428"/>
      <c r="G89" s="428"/>
      <c r="H89" s="85"/>
      <c r="I89" s="428"/>
      <c r="J89" s="85"/>
      <c r="K89" s="85"/>
      <c r="L89" s="381"/>
    </row>
    <row r="90" spans="1:16" s="285" customFormat="1" hidden="1" x14ac:dyDescent="0.25">
      <c r="A90" s="118">
        <v>14</v>
      </c>
      <c r="B90" s="151">
        <v>5600</v>
      </c>
      <c r="C90" s="159" t="s">
        <v>276</v>
      </c>
      <c r="D90" s="85"/>
      <c r="E90" s="85"/>
      <c r="F90" s="428"/>
      <c r="G90" s="428"/>
      <c r="H90" s="85"/>
      <c r="I90" s="428"/>
      <c r="J90" s="85"/>
      <c r="K90" s="85"/>
      <c r="L90" s="381"/>
    </row>
    <row r="91" spans="1:16" s="285" customFormat="1" hidden="1" x14ac:dyDescent="0.25">
      <c r="A91" s="118">
        <v>14</v>
      </c>
      <c r="B91" s="151">
        <v>5605</v>
      </c>
      <c r="C91" s="159" t="s">
        <v>277</v>
      </c>
      <c r="D91" s="85"/>
      <c r="E91" s="85"/>
      <c r="F91" s="428"/>
      <c r="G91" s="428"/>
      <c r="H91" s="85"/>
      <c r="I91" s="428"/>
      <c r="J91" s="85"/>
      <c r="K91" s="85"/>
      <c r="L91" s="381"/>
    </row>
    <row r="92" spans="1:16" s="285" customFormat="1" hidden="1" x14ac:dyDescent="0.25">
      <c r="A92" s="118">
        <v>14</v>
      </c>
      <c r="B92" s="151">
        <v>5610</v>
      </c>
      <c r="C92" s="159" t="s">
        <v>278</v>
      </c>
      <c r="D92" s="85"/>
      <c r="E92" s="85"/>
      <c r="F92" s="428"/>
      <c r="G92" s="428"/>
      <c r="H92" s="85"/>
      <c r="I92" s="428"/>
      <c r="J92" s="85"/>
      <c r="K92" s="85"/>
      <c r="L92" s="381"/>
    </row>
    <row r="93" spans="1:16" s="285" customFormat="1" hidden="1" x14ac:dyDescent="0.25">
      <c r="A93" s="118">
        <v>14</v>
      </c>
      <c r="B93" s="151">
        <v>5615</v>
      </c>
      <c r="C93" s="159" t="s">
        <v>279</v>
      </c>
      <c r="D93" s="85"/>
      <c r="E93" s="85"/>
      <c r="F93" s="428"/>
      <c r="G93" s="428"/>
      <c r="H93" s="85"/>
      <c r="I93" s="428"/>
      <c r="J93" s="85"/>
      <c r="K93" s="85"/>
      <c r="L93" s="381"/>
    </row>
    <row r="94" spans="1:16" s="285" customFormat="1" hidden="1" x14ac:dyDescent="0.25">
      <c r="A94" s="118">
        <v>14</v>
      </c>
      <c r="B94" s="151">
        <v>5620</v>
      </c>
      <c r="C94" s="159" t="s">
        <v>280</v>
      </c>
      <c r="D94" s="85"/>
      <c r="E94" s="85"/>
      <c r="F94" s="428"/>
      <c r="G94" s="428"/>
      <c r="H94" s="85"/>
      <c r="I94" s="428"/>
      <c r="J94" s="85"/>
      <c r="K94" s="85"/>
      <c r="L94" s="381"/>
    </row>
    <row r="95" spans="1:16" s="285" customFormat="1" hidden="1" x14ac:dyDescent="0.25">
      <c r="A95" s="118">
        <v>14</v>
      </c>
      <c r="B95" s="151">
        <v>5625</v>
      </c>
      <c r="C95" s="159" t="s">
        <v>281</v>
      </c>
      <c r="D95" s="85"/>
      <c r="E95" s="85"/>
      <c r="F95" s="428"/>
      <c r="G95" s="428"/>
      <c r="H95" s="85"/>
      <c r="I95" s="428"/>
      <c r="J95" s="85"/>
      <c r="K95" s="85"/>
      <c r="L95" s="381"/>
    </row>
    <row r="96" spans="1:16" s="285" customFormat="1" x14ac:dyDescent="0.25">
      <c r="A96" s="118">
        <v>14</v>
      </c>
      <c r="B96" s="151">
        <v>5630</v>
      </c>
      <c r="C96" s="159" t="s">
        <v>282</v>
      </c>
      <c r="D96" s="85"/>
      <c r="E96" s="85"/>
      <c r="F96" s="428"/>
      <c r="G96" s="428"/>
      <c r="H96" s="85">
        <v>100000</v>
      </c>
      <c r="I96" s="428"/>
      <c r="J96" s="85"/>
      <c r="K96" s="85"/>
      <c r="L96" s="381"/>
    </row>
    <row r="97" spans="1:12" s="285" customFormat="1" x14ac:dyDescent="0.25">
      <c r="A97" s="118">
        <v>14</v>
      </c>
      <c r="B97" s="151">
        <v>5635</v>
      </c>
      <c r="C97" s="159" t="s">
        <v>283</v>
      </c>
      <c r="D97" s="85"/>
      <c r="E97" s="85"/>
      <c r="F97" s="428"/>
      <c r="G97" s="428"/>
      <c r="H97" s="85"/>
      <c r="I97" s="428"/>
      <c r="J97" s="85"/>
      <c r="K97" s="85"/>
      <c r="L97" s="381"/>
    </row>
    <row r="98" spans="1:12" s="285" customFormat="1" x14ac:dyDescent="0.25">
      <c r="A98" s="118">
        <v>14</v>
      </c>
      <c r="B98" s="151">
        <v>5640</v>
      </c>
      <c r="C98" s="159" t="s">
        <v>372</v>
      </c>
      <c r="D98" s="85">
        <v>33352</v>
      </c>
      <c r="E98" s="85">
        <v>250000</v>
      </c>
      <c r="F98" s="428">
        <v>250000</v>
      </c>
      <c r="G98" s="428">
        <v>250000</v>
      </c>
      <c r="H98" s="85">
        <v>250000</v>
      </c>
      <c r="I98" s="428">
        <v>230000</v>
      </c>
      <c r="J98" s="85">
        <f>+I98*1.055</f>
        <v>242650</v>
      </c>
      <c r="K98" s="85">
        <f>+J98*1.053</f>
        <v>255510.44999999998</v>
      </c>
      <c r="L98" s="381"/>
    </row>
    <row r="99" spans="1:12" s="285" customFormat="1" hidden="1" x14ac:dyDescent="0.25">
      <c r="A99" s="118">
        <v>14</v>
      </c>
      <c r="B99" s="151">
        <v>5645</v>
      </c>
      <c r="C99" s="159" t="s">
        <v>285</v>
      </c>
      <c r="D99" s="85"/>
      <c r="E99" s="85"/>
      <c r="F99" s="428"/>
      <c r="G99" s="428"/>
      <c r="H99" s="85"/>
      <c r="I99" s="428"/>
      <c r="J99" s="85"/>
      <c r="K99" s="85"/>
      <c r="L99" s="381"/>
    </row>
    <row r="100" spans="1:12" s="285" customFormat="1" hidden="1" x14ac:dyDescent="0.25">
      <c r="A100" s="118">
        <v>14</v>
      </c>
      <c r="B100" s="151">
        <v>5650</v>
      </c>
      <c r="C100" s="159" t="s">
        <v>286</v>
      </c>
      <c r="D100" s="85"/>
      <c r="E100" s="85"/>
      <c r="F100" s="428"/>
      <c r="G100" s="428"/>
      <c r="H100" s="85"/>
      <c r="I100" s="428"/>
      <c r="J100" s="85"/>
      <c r="K100" s="85"/>
      <c r="L100" s="381"/>
    </row>
    <row r="101" spans="1:12" s="285" customFormat="1" hidden="1" x14ac:dyDescent="0.25">
      <c r="A101" s="118">
        <v>14</v>
      </c>
      <c r="B101" s="151">
        <v>5655</v>
      </c>
      <c r="C101" s="159" t="s">
        <v>287</v>
      </c>
      <c r="D101" s="85"/>
      <c r="E101" s="85"/>
      <c r="F101" s="428"/>
      <c r="G101" s="428"/>
      <c r="H101" s="85"/>
      <c r="I101" s="428"/>
      <c r="J101" s="85"/>
      <c r="K101" s="85"/>
      <c r="L101" s="381"/>
    </row>
    <row r="102" spans="1:12" s="285" customFormat="1" hidden="1" x14ac:dyDescent="0.25">
      <c r="A102" s="118">
        <v>14</v>
      </c>
      <c r="B102" s="151">
        <v>5660</v>
      </c>
      <c r="C102" s="159" t="s">
        <v>288</v>
      </c>
      <c r="D102" s="85"/>
      <c r="E102" s="85"/>
      <c r="F102" s="428"/>
      <c r="G102" s="428"/>
      <c r="H102" s="85"/>
      <c r="I102" s="428"/>
      <c r="J102" s="85"/>
      <c r="K102" s="85"/>
      <c r="L102" s="381"/>
    </row>
    <row r="103" spans="1:12" s="285" customFormat="1" hidden="1" x14ac:dyDescent="0.25">
      <c r="A103" s="118">
        <v>14</v>
      </c>
      <c r="B103" s="151">
        <v>5665</v>
      </c>
      <c r="C103" s="94" t="s">
        <v>289</v>
      </c>
      <c r="D103" s="85"/>
      <c r="E103" s="85"/>
      <c r="F103" s="428"/>
      <c r="G103" s="428"/>
      <c r="H103" s="85"/>
      <c r="I103" s="428"/>
      <c r="J103" s="85"/>
      <c r="K103" s="85"/>
      <c r="L103" s="381"/>
    </row>
    <row r="104" spans="1:12" s="285" customFormat="1" hidden="1" x14ac:dyDescent="0.25">
      <c r="A104" s="118">
        <v>14</v>
      </c>
      <c r="B104" s="151">
        <v>5670</v>
      </c>
      <c r="C104" s="94" t="s">
        <v>290</v>
      </c>
      <c r="D104" s="85"/>
      <c r="E104" s="85"/>
      <c r="F104" s="428"/>
      <c r="G104" s="428"/>
      <c r="H104" s="85"/>
      <c r="I104" s="428"/>
      <c r="J104" s="85"/>
      <c r="K104" s="85"/>
      <c r="L104" s="381"/>
    </row>
    <row r="105" spans="1:12" s="285" customFormat="1" hidden="1" x14ac:dyDescent="0.25">
      <c r="A105" s="118">
        <v>14</v>
      </c>
      <c r="B105" s="151">
        <v>5675</v>
      </c>
      <c r="C105" s="94" t="s">
        <v>291</v>
      </c>
      <c r="D105" s="85"/>
      <c r="E105" s="85"/>
      <c r="F105" s="428"/>
      <c r="G105" s="428"/>
      <c r="H105" s="85"/>
      <c r="I105" s="428"/>
      <c r="J105" s="85"/>
      <c r="K105" s="85"/>
      <c r="L105" s="381"/>
    </row>
    <row r="106" spans="1:12" s="285" customFormat="1" hidden="1" x14ac:dyDescent="0.25">
      <c r="A106" s="118">
        <v>14</v>
      </c>
      <c r="B106" s="151">
        <v>5680</v>
      </c>
      <c r="C106" s="94" t="s">
        <v>292</v>
      </c>
      <c r="D106" s="85"/>
      <c r="E106" s="85"/>
      <c r="F106" s="428"/>
      <c r="G106" s="428"/>
      <c r="H106" s="85"/>
      <c r="I106" s="428"/>
      <c r="J106" s="85"/>
      <c r="K106" s="85"/>
      <c r="L106" s="381"/>
    </row>
    <row r="107" spans="1:12" s="285" customFormat="1" hidden="1" x14ac:dyDescent="0.25">
      <c r="A107" s="118">
        <v>14</v>
      </c>
      <c r="B107" s="151">
        <v>5685</v>
      </c>
      <c r="C107" s="94" t="s">
        <v>293</v>
      </c>
      <c r="D107" s="85"/>
      <c r="E107" s="85"/>
      <c r="F107" s="428"/>
      <c r="G107" s="428"/>
      <c r="H107" s="85"/>
      <c r="I107" s="428"/>
      <c r="J107" s="85"/>
      <c r="K107" s="85"/>
      <c r="L107" s="381"/>
    </row>
    <row r="108" spans="1:12" s="285" customFormat="1" hidden="1" x14ac:dyDescent="0.25">
      <c r="A108" s="118">
        <v>14</v>
      </c>
      <c r="B108" s="151">
        <v>5690</v>
      </c>
      <c r="C108" s="94" t="s">
        <v>247</v>
      </c>
      <c r="D108" s="85"/>
      <c r="E108" s="85"/>
      <c r="F108" s="428"/>
      <c r="G108" s="428"/>
      <c r="H108" s="85"/>
      <c r="I108" s="428"/>
      <c r="J108" s="85"/>
      <c r="K108" s="85"/>
      <c r="L108" s="381"/>
    </row>
    <row r="109" spans="1:12" s="285" customFormat="1" hidden="1" x14ac:dyDescent="0.25">
      <c r="A109" s="118">
        <v>14</v>
      </c>
      <c r="B109" s="151">
        <v>5695</v>
      </c>
      <c r="C109" s="94" t="s">
        <v>294</v>
      </c>
      <c r="D109" s="85"/>
      <c r="E109" s="85"/>
      <c r="F109" s="428"/>
      <c r="G109" s="428"/>
      <c r="H109" s="85"/>
      <c r="I109" s="428"/>
      <c r="J109" s="85"/>
      <c r="K109" s="85"/>
      <c r="L109" s="381"/>
    </row>
    <row r="110" spans="1:12" s="285" customFormat="1" x14ac:dyDescent="0.25">
      <c r="A110" s="118">
        <v>14</v>
      </c>
      <c r="B110" s="151">
        <v>5700</v>
      </c>
      <c r="C110" s="94" t="s">
        <v>295</v>
      </c>
      <c r="D110" s="428"/>
      <c r="E110" s="428">
        <v>40000</v>
      </c>
      <c r="F110" s="428">
        <v>40000</v>
      </c>
      <c r="G110" s="428">
        <v>40000</v>
      </c>
      <c r="H110" s="428">
        <v>80000</v>
      </c>
      <c r="I110" s="428"/>
      <c r="J110" s="85"/>
      <c r="K110" s="85"/>
      <c r="L110" s="381"/>
    </row>
    <row r="111" spans="1:12" s="285" customFormat="1" hidden="1" x14ac:dyDescent="0.25">
      <c r="A111" s="118">
        <v>14</v>
      </c>
      <c r="B111" s="151">
        <v>5710</v>
      </c>
      <c r="C111" s="94" t="s">
        <v>297</v>
      </c>
      <c r="D111" s="428"/>
      <c r="E111" s="428"/>
      <c r="F111" s="428"/>
      <c r="G111" s="428"/>
      <c r="H111" s="428"/>
      <c r="I111" s="428"/>
      <c r="J111" s="428"/>
      <c r="K111" s="428"/>
      <c r="L111" s="381"/>
    </row>
    <row r="112" spans="1:12" s="285" customFormat="1" hidden="1" x14ac:dyDescent="0.25">
      <c r="A112" s="118">
        <v>14</v>
      </c>
      <c r="B112" s="151">
        <v>5715</v>
      </c>
      <c r="C112" s="94" t="s">
        <v>298</v>
      </c>
      <c r="D112" s="85"/>
      <c r="E112" s="85"/>
      <c r="F112" s="428"/>
      <c r="G112" s="428"/>
      <c r="H112" s="85"/>
      <c r="I112" s="428"/>
      <c r="J112" s="428"/>
      <c r="K112" s="428"/>
      <c r="L112" s="381"/>
    </row>
    <row r="113" spans="1:12" s="285" customFormat="1" hidden="1" x14ac:dyDescent="0.25">
      <c r="A113" s="118">
        <v>14</v>
      </c>
      <c r="B113" s="151">
        <v>5720</v>
      </c>
      <c r="C113" s="94" t="s">
        <v>299</v>
      </c>
      <c r="D113" s="85"/>
      <c r="E113" s="85"/>
      <c r="F113" s="428"/>
      <c r="G113" s="428"/>
      <c r="H113" s="85"/>
      <c r="I113" s="428"/>
      <c r="J113" s="428"/>
      <c r="K113" s="428"/>
      <c r="L113" s="381"/>
    </row>
    <row r="114" spans="1:12" s="285" customFormat="1" hidden="1" x14ac:dyDescent="0.25">
      <c r="A114" s="118">
        <v>14</v>
      </c>
      <c r="B114" s="151">
        <v>5730</v>
      </c>
      <c r="C114" s="94" t="s">
        <v>300</v>
      </c>
      <c r="D114" s="85"/>
      <c r="E114" s="85"/>
      <c r="F114" s="428"/>
      <c r="G114" s="428"/>
      <c r="H114" s="85"/>
      <c r="I114" s="428"/>
      <c r="J114" s="428"/>
      <c r="K114" s="428"/>
      <c r="L114" s="381"/>
    </row>
    <row r="115" spans="1:12" s="285" customFormat="1" hidden="1" x14ac:dyDescent="0.25">
      <c r="A115" s="118">
        <v>14</v>
      </c>
      <c r="B115" s="151">
        <v>5735</v>
      </c>
      <c r="C115" s="94" t="s">
        <v>301</v>
      </c>
      <c r="D115" s="85"/>
      <c r="E115" s="85"/>
      <c r="F115" s="428"/>
      <c r="G115" s="428"/>
      <c r="H115" s="85"/>
      <c r="I115" s="428"/>
      <c r="J115" s="428"/>
      <c r="K115" s="428"/>
      <c r="L115" s="381"/>
    </row>
    <row r="116" spans="1:12" s="285" customFormat="1" hidden="1" x14ac:dyDescent="0.25">
      <c r="A116" s="118">
        <v>14</v>
      </c>
      <c r="B116" s="151">
        <v>5740</v>
      </c>
      <c r="C116" s="94" t="s">
        <v>302</v>
      </c>
      <c r="D116" s="85"/>
      <c r="E116" s="85"/>
      <c r="F116" s="428"/>
      <c r="G116" s="428"/>
      <c r="H116" s="85"/>
      <c r="I116" s="428"/>
      <c r="J116" s="428"/>
      <c r="K116" s="428"/>
      <c r="L116" s="381"/>
    </row>
    <row r="117" spans="1:12" s="285" customFormat="1" hidden="1" x14ac:dyDescent="0.25">
      <c r="A117" s="118">
        <v>14</v>
      </c>
      <c r="B117" s="151">
        <v>5745</v>
      </c>
      <c r="C117" s="94" t="s">
        <v>303</v>
      </c>
      <c r="D117" s="85"/>
      <c r="E117" s="85"/>
      <c r="F117" s="428"/>
      <c r="G117" s="428"/>
      <c r="H117" s="85"/>
      <c r="I117" s="428"/>
      <c r="J117" s="428"/>
      <c r="K117" s="428"/>
      <c r="L117" s="381"/>
    </row>
    <row r="118" spans="1:12" s="285" customFormat="1" ht="11.4" customHeight="1" x14ac:dyDescent="0.25">
      <c r="A118" s="118">
        <v>14</v>
      </c>
      <c r="B118" s="151">
        <v>5750</v>
      </c>
      <c r="C118" s="94" t="s">
        <v>304</v>
      </c>
      <c r="D118" s="85">
        <v>147</v>
      </c>
      <c r="E118" s="85">
        <v>230</v>
      </c>
      <c r="F118" s="428">
        <v>230</v>
      </c>
      <c r="G118" s="428">
        <v>230</v>
      </c>
      <c r="H118" s="85">
        <v>350</v>
      </c>
      <c r="I118" s="428"/>
      <c r="J118" s="428"/>
      <c r="K118" s="428"/>
      <c r="L118" s="381"/>
    </row>
    <row r="119" spans="1:12" s="285" customFormat="1" x14ac:dyDescent="0.25">
      <c r="A119" s="118">
        <v>14</v>
      </c>
      <c r="B119" s="151">
        <v>5755</v>
      </c>
      <c r="C119" s="94" t="s">
        <v>305</v>
      </c>
      <c r="D119" s="85">
        <v>7166</v>
      </c>
      <c r="E119" s="85">
        <v>7650</v>
      </c>
      <c r="F119" s="428">
        <v>7650</v>
      </c>
      <c r="G119" s="428">
        <v>7650</v>
      </c>
      <c r="H119" s="85">
        <v>7100</v>
      </c>
      <c r="I119" s="428"/>
      <c r="J119" s="428"/>
      <c r="K119" s="428"/>
      <c r="L119" s="381"/>
    </row>
    <row r="120" spans="1:12" s="285" customFormat="1" ht="12" hidden="1" customHeight="1" x14ac:dyDescent="0.25">
      <c r="A120" s="118">
        <v>14</v>
      </c>
      <c r="B120" s="151">
        <v>5760</v>
      </c>
      <c r="C120" s="94" t="s">
        <v>306</v>
      </c>
      <c r="D120" s="85"/>
      <c r="E120" s="85"/>
      <c r="F120" s="428"/>
      <c r="G120" s="428"/>
      <c r="H120" s="85"/>
      <c r="I120" s="428"/>
      <c r="J120" s="85"/>
      <c r="K120" s="85"/>
      <c r="L120" s="381"/>
    </row>
    <row r="121" spans="1:12" s="285" customFormat="1" hidden="1" x14ac:dyDescent="0.25">
      <c r="A121" s="118">
        <v>14</v>
      </c>
      <c r="B121" s="151">
        <v>5765</v>
      </c>
      <c r="C121" s="94" t="s">
        <v>307</v>
      </c>
      <c r="D121" s="85"/>
      <c r="E121" s="85"/>
      <c r="F121" s="428"/>
      <c r="G121" s="428"/>
      <c r="H121" s="85"/>
      <c r="I121" s="428"/>
      <c r="J121" s="85"/>
      <c r="K121" s="85"/>
      <c r="L121" s="381"/>
    </row>
    <row r="122" spans="1:12" s="285" customFormat="1" hidden="1" x14ac:dyDescent="0.25">
      <c r="A122" s="118">
        <v>14</v>
      </c>
      <c r="B122" s="151">
        <v>5770</v>
      </c>
      <c r="C122" s="94" t="s">
        <v>308</v>
      </c>
      <c r="D122" s="85"/>
      <c r="E122" s="85"/>
      <c r="F122" s="428"/>
      <c r="G122" s="428"/>
      <c r="H122" s="85"/>
      <c r="I122" s="428"/>
      <c r="J122" s="85"/>
      <c r="K122" s="85"/>
      <c r="L122" s="381"/>
    </row>
    <row r="123" spans="1:12" s="285" customFormat="1" hidden="1" x14ac:dyDescent="0.25">
      <c r="A123" s="118">
        <v>14</v>
      </c>
      <c r="B123" s="151">
        <v>5775</v>
      </c>
      <c r="C123" s="94" t="s">
        <v>309</v>
      </c>
      <c r="D123" s="85"/>
      <c r="E123" s="85"/>
      <c r="F123" s="428"/>
      <c r="G123" s="428"/>
      <c r="H123" s="85"/>
      <c r="I123" s="428"/>
      <c r="J123" s="85"/>
      <c r="K123" s="85"/>
      <c r="L123" s="381"/>
    </row>
    <row r="124" spans="1:12" s="285" customFormat="1" hidden="1" x14ac:dyDescent="0.25">
      <c r="A124" s="118">
        <v>14</v>
      </c>
      <c r="B124" s="151">
        <v>5780</v>
      </c>
      <c r="C124" s="94" t="s">
        <v>310</v>
      </c>
      <c r="D124" s="85"/>
      <c r="E124" s="85"/>
      <c r="F124" s="428"/>
      <c r="G124" s="428"/>
      <c r="H124" s="85"/>
      <c r="I124" s="428"/>
      <c r="J124" s="85"/>
      <c r="K124" s="85"/>
      <c r="L124" s="381"/>
    </row>
    <row r="125" spans="1:12" s="285" customFormat="1" hidden="1" x14ac:dyDescent="0.25">
      <c r="A125" s="118">
        <v>14</v>
      </c>
      <c r="B125" s="151">
        <v>5785</v>
      </c>
      <c r="C125" s="94" t="s">
        <v>311</v>
      </c>
      <c r="D125" s="85"/>
      <c r="E125" s="85"/>
      <c r="F125" s="428"/>
      <c r="G125" s="428"/>
      <c r="H125" s="85"/>
      <c r="I125" s="428"/>
      <c r="J125" s="85"/>
      <c r="K125" s="85"/>
      <c r="L125" s="381"/>
    </row>
    <row r="126" spans="1:12" s="285" customFormat="1" hidden="1" x14ac:dyDescent="0.25">
      <c r="A126" s="118">
        <v>14</v>
      </c>
      <c r="B126" s="151">
        <v>5790</v>
      </c>
      <c r="C126" s="94" t="s">
        <v>312</v>
      </c>
      <c r="D126" s="85"/>
      <c r="E126" s="85"/>
      <c r="F126" s="428"/>
      <c r="G126" s="428"/>
      <c r="H126" s="85"/>
      <c r="I126" s="428"/>
      <c r="J126" s="85"/>
      <c r="K126" s="85"/>
      <c r="L126" s="381"/>
    </row>
    <row r="127" spans="1:12" s="285" customFormat="1" hidden="1" x14ac:dyDescent="0.25">
      <c r="A127" s="118">
        <v>14</v>
      </c>
      <c r="B127" s="151">
        <v>5795</v>
      </c>
      <c r="C127" s="94" t="s">
        <v>313</v>
      </c>
      <c r="D127" s="85"/>
      <c r="E127" s="85"/>
      <c r="F127" s="428"/>
      <c r="G127" s="428"/>
      <c r="H127" s="85"/>
      <c r="I127" s="428"/>
      <c r="J127" s="85"/>
      <c r="K127" s="85"/>
      <c r="L127" s="381"/>
    </row>
    <row r="128" spans="1:12" s="285" customFormat="1" hidden="1" x14ac:dyDescent="0.25">
      <c r="A128" s="118">
        <v>14</v>
      </c>
      <c r="B128" s="151">
        <v>5800</v>
      </c>
      <c r="C128" s="94" t="s">
        <v>314</v>
      </c>
      <c r="D128" s="85"/>
      <c r="E128" s="85"/>
      <c r="F128" s="428"/>
      <c r="G128" s="428"/>
      <c r="H128" s="85"/>
      <c r="I128" s="428"/>
      <c r="J128" s="85"/>
      <c r="K128" s="85"/>
      <c r="L128" s="381"/>
    </row>
    <row r="129" spans="1:12" s="285" customFormat="1" hidden="1" x14ac:dyDescent="0.25">
      <c r="A129" s="118">
        <v>14</v>
      </c>
      <c r="B129" s="151">
        <v>5805</v>
      </c>
      <c r="C129" s="94" t="s">
        <v>315</v>
      </c>
      <c r="D129" s="85"/>
      <c r="E129" s="85"/>
      <c r="F129" s="428"/>
      <c r="G129" s="428"/>
      <c r="H129" s="85"/>
      <c r="I129" s="428"/>
      <c r="J129" s="85"/>
      <c r="K129" s="85"/>
      <c r="L129" s="381"/>
    </row>
    <row r="130" spans="1:12" s="285" customFormat="1" hidden="1" x14ac:dyDescent="0.25">
      <c r="A130" s="118">
        <v>14</v>
      </c>
      <c r="B130" s="151">
        <v>5810</v>
      </c>
      <c r="C130" s="94" t="s">
        <v>316</v>
      </c>
      <c r="D130" s="85"/>
      <c r="E130" s="85"/>
      <c r="F130" s="428"/>
      <c r="G130" s="428"/>
      <c r="H130" s="85"/>
      <c r="I130" s="428"/>
      <c r="J130" s="85"/>
      <c r="K130" s="85"/>
      <c r="L130" s="381"/>
    </row>
    <row r="131" spans="1:12" s="285" customFormat="1" hidden="1" x14ac:dyDescent="0.25">
      <c r="A131" s="118">
        <v>14</v>
      </c>
      <c r="B131" s="151">
        <v>5815</v>
      </c>
      <c r="C131" s="94" t="s">
        <v>99</v>
      </c>
      <c r="D131" s="85"/>
      <c r="E131" s="85"/>
      <c r="F131" s="428"/>
      <c r="G131" s="428"/>
      <c r="H131" s="85"/>
      <c r="I131" s="428"/>
      <c r="J131" s="85"/>
      <c r="K131" s="85"/>
      <c r="L131" s="381"/>
    </row>
    <row r="132" spans="1:12" s="285" customFormat="1" hidden="1" x14ac:dyDescent="0.25">
      <c r="A132" s="118">
        <v>14</v>
      </c>
      <c r="B132" s="151">
        <v>5820</v>
      </c>
      <c r="C132" s="94" t="s">
        <v>114</v>
      </c>
      <c r="D132" s="86"/>
      <c r="E132" s="85"/>
      <c r="F132" s="428"/>
      <c r="G132" s="428"/>
      <c r="H132" s="85"/>
      <c r="I132" s="428"/>
      <c r="J132" s="85"/>
      <c r="K132" s="85"/>
      <c r="L132" s="381"/>
    </row>
    <row r="133" spans="1:12" s="285" customFormat="1" hidden="1" x14ac:dyDescent="0.25">
      <c r="A133" s="118">
        <v>14</v>
      </c>
      <c r="B133" s="151">
        <v>5825</v>
      </c>
      <c r="C133" s="94" t="s">
        <v>317</v>
      </c>
      <c r="D133" s="86"/>
      <c r="E133" s="85"/>
      <c r="F133" s="428"/>
      <c r="G133" s="428"/>
      <c r="H133" s="85"/>
      <c r="I133" s="428"/>
      <c r="J133" s="85"/>
      <c r="K133" s="85"/>
      <c r="L133" s="381"/>
    </row>
    <row r="134" spans="1:12" s="285" customFormat="1" x14ac:dyDescent="0.25">
      <c r="A134" s="118">
        <v>14</v>
      </c>
      <c r="B134" s="151">
        <v>5830</v>
      </c>
      <c r="C134" s="94" t="s">
        <v>318</v>
      </c>
      <c r="D134" s="86">
        <v>35385</v>
      </c>
      <c r="E134" s="85">
        <v>11500</v>
      </c>
      <c r="F134" s="428">
        <v>11500</v>
      </c>
      <c r="G134" s="428">
        <v>11500</v>
      </c>
      <c r="H134" s="85"/>
      <c r="I134" s="428"/>
      <c r="J134" s="85"/>
      <c r="K134" s="85"/>
      <c r="L134" s="381"/>
    </row>
    <row r="135" spans="1:12" s="285" customFormat="1" x14ac:dyDescent="0.25">
      <c r="A135" s="118">
        <v>14</v>
      </c>
      <c r="B135" s="151">
        <v>5835</v>
      </c>
      <c r="C135" s="94" t="s">
        <v>319</v>
      </c>
      <c r="D135" s="86"/>
      <c r="E135" s="85">
        <v>25000</v>
      </c>
      <c r="F135" s="428">
        <v>25000</v>
      </c>
      <c r="G135" s="428">
        <v>25000</v>
      </c>
      <c r="H135" s="85">
        <v>25000</v>
      </c>
      <c r="I135" s="428"/>
      <c r="J135" s="85"/>
      <c r="K135" s="85"/>
      <c r="L135" s="381"/>
    </row>
    <row r="136" spans="1:12" s="285" customFormat="1" hidden="1" x14ac:dyDescent="0.25">
      <c r="A136" s="118">
        <v>14</v>
      </c>
      <c r="B136" s="151">
        <v>5840</v>
      </c>
      <c r="C136" s="94" t="s">
        <v>332</v>
      </c>
      <c r="D136" s="115"/>
      <c r="E136" s="85"/>
      <c r="F136" s="428"/>
      <c r="G136" s="428"/>
      <c r="H136" s="85"/>
      <c r="I136" s="428"/>
      <c r="J136" s="85"/>
      <c r="K136" s="85"/>
      <c r="L136" s="381"/>
    </row>
    <row r="137" spans="1:12" s="285" customFormat="1" hidden="1" x14ac:dyDescent="0.25">
      <c r="A137" s="118">
        <v>14</v>
      </c>
      <c r="B137" s="151">
        <v>5845</v>
      </c>
      <c r="C137" s="94" t="s">
        <v>320</v>
      </c>
      <c r="D137" s="86"/>
      <c r="E137" s="85"/>
      <c r="F137" s="428"/>
      <c r="G137" s="428"/>
      <c r="H137" s="85"/>
      <c r="I137" s="428"/>
      <c r="J137" s="85"/>
      <c r="K137" s="85"/>
      <c r="L137" s="381"/>
    </row>
    <row r="138" spans="1:12" s="285" customFormat="1" hidden="1" x14ac:dyDescent="0.25">
      <c r="A138" s="118">
        <v>14</v>
      </c>
      <c r="B138" s="151">
        <v>5855</v>
      </c>
      <c r="C138" s="94" t="s">
        <v>321</v>
      </c>
      <c r="D138" s="85"/>
      <c r="E138" s="85"/>
      <c r="F138" s="428"/>
      <c r="G138" s="428"/>
      <c r="H138" s="85"/>
      <c r="I138" s="428"/>
      <c r="J138" s="85"/>
      <c r="K138" s="85"/>
      <c r="L138" s="381"/>
    </row>
    <row r="139" spans="1:12" s="285" customFormat="1" hidden="1" x14ac:dyDescent="0.25">
      <c r="A139" s="118">
        <v>14</v>
      </c>
      <c r="B139" s="151">
        <v>5860</v>
      </c>
      <c r="C139" s="94" t="s">
        <v>322</v>
      </c>
      <c r="D139" s="85"/>
      <c r="E139" s="85"/>
      <c r="F139" s="428"/>
      <c r="G139" s="428"/>
      <c r="H139" s="85"/>
      <c r="I139" s="428"/>
      <c r="J139" s="85"/>
      <c r="K139" s="85"/>
      <c r="L139" s="381"/>
    </row>
    <row r="140" spans="1:12" s="285" customFormat="1" hidden="1" x14ac:dyDescent="0.25">
      <c r="A140" s="118">
        <v>14</v>
      </c>
      <c r="B140" s="151">
        <v>5865</v>
      </c>
      <c r="C140" s="94" t="s">
        <v>323</v>
      </c>
      <c r="D140" s="85"/>
      <c r="E140" s="85"/>
      <c r="F140" s="428"/>
      <c r="G140" s="428"/>
      <c r="H140" s="85"/>
      <c r="I140" s="428"/>
      <c r="J140" s="85"/>
      <c r="K140" s="85"/>
      <c r="L140" s="381"/>
    </row>
    <row r="141" spans="1:12" s="285" customFormat="1" hidden="1" x14ac:dyDescent="0.25">
      <c r="A141" s="118">
        <v>14</v>
      </c>
      <c r="B141" s="151">
        <v>5870</v>
      </c>
      <c r="C141" s="94" t="s">
        <v>324</v>
      </c>
      <c r="D141" s="85"/>
      <c r="E141" s="85"/>
      <c r="F141" s="428"/>
      <c r="G141" s="428"/>
      <c r="H141" s="85"/>
      <c r="I141" s="428"/>
      <c r="J141" s="85"/>
      <c r="K141" s="85"/>
      <c r="L141" s="381"/>
    </row>
    <row r="142" spans="1:12" s="285" customFormat="1" hidden="1" x14ac:dyDescent="0.25">
      <c r="A142" s="118">
        <v>14</v>
      </c>
      <c r="B142" s="151">
        <v>5875</v>
      </c>
      <c r="C142" s="94" t="s">
        <v>325</v>
      </c>
      <c r="D142" s="85"/>
      <c r="E142" s="85"/>
      <c r="F142" s="428"/>
      <c r="G142" s="428"/>
      <c r="H142" s="85"/>
      <c r="I142" s="428"/>
      <c r="J142" s="85"/>
      <c r="K142" s="85"/>
      <c r="L142" s="381"/>
    </row>
    <row r="143" spans="1:12" s="285" customFormat="1" hidden="1" x14ac:dyDescent="0.25">
      <c r="A143" s="118">
        <v>14</v>
      </c>
      <c r="B143" s="151">
        <v>5880</v>
      </c>
      <c r="C143" s="94" t="s">
        <v>326</v>
      </c>
      <c r="D143" s="85"/>
      <c r="E143" s="85"/>
      <c r="F143" s="428"/>
      <c r="G143" s="428"/>
      <c r="H143" s="85"/>
      <c r="I143" s="428"/>
      <c r="J143" s="85"/>
      <c r="K143" s="85"/>
      <c r="L143" s="381"/>
    </row>
    <row r="144" spans="1:12" s="285" customFormat="1" x14ac:dyDescent="0.25">
      <c r="A144" s="118">
        <v>14</v>
      </c>
      <c r="B144" s="151">
        <v>5885</v>
      </c>
      <c r="C144" s="94" t="s">
        <v>331</v>
      </c>
      <c r="D144" s="85">
        <v>10992</v>
      </c>
      <c r="E144" s="85">
        <v>0</v>
      </c>
      <c r="F144" s="428">
        <v>10992</v>
      </c>
      <c r="G144" s="428">
        <v>10992</v>
      </c>
      <c r="H144" s="85">
        <v>500000</v>
      </c>
      <c r="I144" s="428"/>
      <c r="J144" s="85"/>
      <c r="K144" s="85"/>
      <c r="L144" s="381"/>
    </row>
    <row r="145" spans="1:12" s="285" customFormat="1" hidden="1" x14ac:dyDescent="0.25">
      <c r="A145" s="118">
        <v>14</v>
      </c>
      <c r="B145" s="151">
        <v>5890</v>
      </c>
      <c r="C145" s="94" t="s">
        <v>327</v>
      </c>
      <c r="D145" s="85"/>
      <c r="E145" s="85">
        <v>0</v>
      </c>
      <c r="F145" s="428"/>
      <c r="G145" s="428"/>
      <c r="H145" s="85"/>
      <c r="I145" s="428"/>
      <c r="J145" s="85"/>
      <c r="K145" s="85"/>
      <c r="L145" s="381"/>
    </row>
    <row r="146" spans="1:12" s="285" customFormat="1" hidden="1" x14ac:dyDescent="0.25">
      <c r="A146" s="118">
        <v>14</v>
      </c>
      <c r="B146" s="151">
        <v>5895</v>
      </c>
      <c r="C146" s="94" t="s">
        <v>328</v>
      </c>
      <c r="D146" s="85"/>
      <c r="E146" s="85">
        <v>0</v>
      </c>
      <c r="F146" s="428"/>
      <c r="G146" s="428"/>
      <c r="H146" s="85"/>
      <c r="I146" s="428"/>
      <c r="J146" s="85"/>
      <c r="K146" s="85"/>
      <c r="L146" s="381"/>
    </row>
    <row r="147" spans="1:12" s="285" customFormat="1" hidden="1" x14ac:dyDescent="0.25">
      <c r="A147" s="118">
        <v>14</v>
      </c>
      <c r="B147" s="151">
        <v>5910</v>
      </c>
      <c r="C147" s="94" t="s">
        <v>330</v>
      </c>
      <c r="D147" s="85"/>
      <c r="E147" s="85">
        <v>0</v>
      </c>
      <c r="F147" s="428"/>
      <c r="G147" s="428"/>
      <c r="H147" s="85"/>
      <c r="I147" s="428"/>
      <c r="J147" s="85"/>
      <c r="K147" s="85"/>
      <c r="L147" s="381"/>
    </row>
    <row r="148" spans="1:12" s="285" customFormat="1" x14ac:dyDescent="0.25">
      <c r="A148" s="344"/>
      <c r="B148" s="151"/>
      <c r="C148" s="94"/>
      <c r="D148" s="429">
        <f t="shared" ref="D148:L148" si="12">SUM(D72:D147)</f>
        <v>498054</v>
      </c>
      <c r="E148" s="429">
        <f t="shared" si="12"/>
        <v>588683</v>
      </c>
      <c r="F148" s="429">
        <f t="shared" si="12"/>
        <v>599675</v>
      </c>
      <c r="G148" s="429">
        <f t="shared" si="12"/>
        <v>599675</v>
      </c>
      <c r="H148" s="429">
        <f t="shared" si="12"/>
        <v>1190450</v>
      </c>
      <c r="I148" s="429">
        <f t="shared" si="12"/>
        <v>232500</v>
      </c>
      <c r="J148" s="429">
        <f t="shared" si="12"/>
        <v>245287.5</v>
      </c>
      <c r="K148" s="429">
        <f t="shared" si="12"/>
        <v>258287.73749999999</v>
      </c>
      <c r="L148" s="389">
        <f t="shared" si="12"/>
        <v>0</v>
      </c>
    </row>
    <row r="149" spans="1:12" s="285" customFormat="1" hidden="1" x14ac:dyDescent="0.25">
      <c r="A149" s="344"/>
      <c r="B149" s="151"/>
      <c r="C149" s="93" t="s">
        <v>187</v>
      </c>
      <c r="D149" s="85"/>
      <c r="E149" s="108"/>
      <c r="F149" s="108"/>
      <c r="G149" s="425"/>
      <c r="H149" s="108"/>
      <c r="I149" s="425"/>
      <c r="J149" s="108"/>
      <c r="K149" s="108"/>
      <c r="L149" s="390"/>
    </row>
    <row r="150" spans="1:12" s="285" customFormat="1" hidden="1" x14ac:dyDescent="0.25">
      <c r="A150" s="118">
        <v>14</v>
      </c>
      <c r="B150" s="151">
        <v>6005</v>
      </c>
      <c r="C150" s="94" t="s">
        <v>188</v>
      </c>
      <c r="D150" s="85">
        <v>0</v>
      </c>
      <c r="E150" s="108"/>
      <c r="F150" s="85">
        <f>E150-D150</f>
        <v>0</v>
      </c>
      <c r="G150" s="428"/>
      <c r="H150" s="85"/>
      <c r="I150" s="428"/>
      <c r="J150" s="85"/>
      <c r="K150" s="85"/>
      <c r="L150" s="390"/>
    </row>
    <row r="151" spans="1:12" s="285" customFormat="1" hidden="1" x14ac:dyDescent="0.25">
      <c r="A151" s="344"/>
      <c r="B151" s="151"/>
      <c r="C151" s="94"/>
      <c r="D151" s="89">
        <v>0</v>
      </c>
      <c r="E151" s="89">
        <f t="shared" ref="E151:L151" si="13">SUM(E150)</f>
        <v>0</v>
      </c>
      <c r="F151" s="89">
        <f t="shared" si="13"/>
        <v>0</v>
      </c>
      <c r="G151" s="429"/>
      <c r="H151" s="429">
        <f t="shared" si="13"/>
        <v>0</v>
      </c>
      <c r="I151" s="429"/>
      <c r="J151" s="429"/>
      <c r="K151" s="89"/>
      <c r="L151" s="389">
        <f t="shared" si="13"/>
        <v>0</v>
      </c>
    </row>
    <row r="152" spans="1:12" s="285" customFormat="1" x14ac:dyDescent="0.25">
      <c r="A152" s="344"/>
      <c r="B152" s="151"/>
      <c r="C152" s="93" t="s">
        <v>64</v>
      </c>
      <c r="D152" s="88"/>
      <c r="E152" s="113"/>
      <c r="F152" s="113"/>
      <c r="G152" s="113"/>
      <c r="H152" s="113"/>
      <c r="I152" s="113"/>
      <c r="J152" s="113"/>
      <c r="K152" s="88"/>
      <c r="L152" s="120"/>
    </row>
    <row r="153" spans="1:12" s="285" customFormat="1" x14ac:dyDescent="0.25">
      <c r="A153" s="118">
        <v>14</v>
      </c>
      <c r="B153" s="151">
        <v>6105</v>
      </c>
      <c r="C153" s="94" t="s">
        <v>336</v>
      </c>
      <c r="D153" s="85">
        <v>0</v>
      </c>
      <c r="E153" s="108"/>
      <c r="F153" s="85">
        <v>100000</v>
      </c>
      <c r="G153" s="428"/>
      <c r="H153" s="85"/>
      <c r="I153" s="428">
        <v>8000</v>
      </c>
      <c r="J153" s="85"/>
      <c r="K153" s="85"/>
      <c r="L153" s="390"/>
    </row>
    <row r="154" spans="1:12" s="285" customFormat="1" x14ac:dyDescent="0.25">
      <c r="A154" s="118">
        <v>14</v>
      </c>
      <c r="B154" s="151">
        <v>6110</v>
      </c>
      <c r="C154" s="94" t="s">
        <v>337</v>
      </c>
      <c r="D154" s="85">
        <v>0</v>
      </c>
      <c r="E154" s="108"/>
      <c r="F154" s="85">
        <f>0/8*12</f>
        <v>0</v>
      </c>
      <c r="G154" s="428"/>
      <c r="H154" s="85"/>
      <c r="I154" s="428"/>
      <c r="J154" s="85"/>
      <c r="K154" s="85"/>
      <c r="L154" s="390"/>
    </row>
    <row r="155" spans="1:12" s="285" customFormat="1" x14ac:dyDescent="0.25">
      <c r="A155" s="118">
        <v>14</v>
      </c>
      <c r="B155" s="151">
        <v>6115</v>
      </c>
      <c r="C155" s="94" t="s">
        <v>60</v>
      </c>
      <c r="D155" s="85">
        <v>0</v>
      </c>
      <c r="E155" s="108">
        <v>100000</v>
      </c>
      <c r="F155" s="425">
        <v>100000</v>
      </c>
      <c r="G155" s="425">
        <v>100000</v>
      </c>
      <c r="H155" s="85"/>
      <c r="I155" s="428"/>
      <c r="J155" s="85"/>
      <c r="K155" s="85"/>
      <c r="L155" s="390"/>
    </row>
    <row r="156" spans="1:12" s="285" customFormat="1" x14ac:dyDescent="0.25">
      <c r="A156" s="344"/>
      <c r="B156" s="151"/>
      <c r="C156" s="94"/>
      <c r="D156" s="429">
        <f t="shared" ref="D156:L156" si="14">SUM(D153:D155)</f>
        <v>0</v>
      </c>
      <c r="E156" s="89">
        <f t="shared" si="14"/>
        <v>100000</v>
      </c>
      <c r="F156" s="89">
        <f t="shared" si="14"/>
        <v>200000</v>
      </c>
      <c r="G156" s="429">
        <f t="shared" si="14"/>
        <v>100000</v>
      </c>
      <c r="H156" s="429">
        <f t="shared" si="14"/>
        <v>0</v>
      </c>
      <c r="I156" s="429">
        <f t="shared" si="14"/>
        <v>8000</v>
      </c>
      <c r="J156" s="429">
        <f t="shared" si="14"/>
        <v>0</v>
      </c>
      <c r="K156" s="429">
        <f t="shared" si="14"/>
        <v>0</v>
      </c>
      <c r="L156" s="389">
        <f t="shared" si="14"/>
        <v>0</v>
      </c>
    </row>
    <row r="157" spans="1:12" s="285" customFormat="1" x14ac:dyDescent="0.25">
      <c r="A157" s="344"/>
      <c r="B157" s="151"/>
      <c r="C157" s="184" t="s">
        <v>65</v>
      </c>
      <c r="D157" s="88"/>
      <c r="E157" s="113"/>
      <c r="F157" s="113"/>
      <c r="G157" s="113"/>
      <c r="H157" s="113"/>
      <c r="I157" s="113"/>
      <c r="J157" s="113"/>
      <c r="K157" s="88"/>
      <c r="L157" s="120"/>
    </row>
    <row r="158" spans="1:12" s="285" customFormat="1" hidden="1" x14ac:dyDescent="0.25">
      <c r="A158" s="118">
        <v>14</v>
      </c>
      <c r="B158" s="151">
        <v>6205</v>
      </c>
      <c r="C158" s="94" t="s">
        <v>338</v>
      </c>
      <c r="D158" s="85">
        <v>0</v>
      </c>
      <c r="E158" s="108"/>
      <c r="F158" s="85">
        <v>0</v>
      </c>
      <c r="G158" s="428"/>
      <c r="H158" s="85"/>
      <c r="I158" s="428"/>
      <c r="J158" s="85"/>
      <c r="K158" s="85"/>
      <c r="L158" s="381">
        <f>F158*(1+[1]INPUT!C$10)</f>
        <v>0</v>
      </c>
    </row>
    <row r="159" spans="1:12" s="285" customFormat="1" hidden="1" x14ac:dyDescent="0.25">
      <c r="A159" s="118">
        <v>14</v>
      </c>
      <c r="B159" s="151">
        <v>6210</v>
      </c>
      <c r="C159" s="94" t="s">
        <v>339</v>
      </c>
      <c r="D159" s="85">
        <v>0</v>
      </c>
      <c r="E159" s="85"/>
      <c r="F159" s="85">
        <f>0/8*12</f>
        <v>0</v>
      </c>
      <c r="G159" s="428"/>
      <c r="H159" s="85"/>
      <c r="I159" s="428"/>
      <c r="J159" s="85"/>
      <c r="K159" s="85"/>
      <c r="L159" s="381">
        <f>F159*(1+[1]INPUT!C$10)</f>
        <v>0</v>
      </c>
    </row>
    <row r="160" spans="1:12" s="285" customFormat="1" x14ac:dyDescent="0.25">
      <c r="A160" s="344"/>
      <c r="B160" s="346"/>
      <c r="C160" s="347"/>
      <c r="D160" s="116">
        <v>0</v>
      </c>
      <c r="E160" s="116">
        <f>SUM(E158:E159)</f>
        <v>0</v>
      </c>
      <c r="F160" s="116">
        <f>SUM(F158:F159)</f>
        <v>0</v>
      </c>
      <c r="G160" s="441">
        <v>0</v>
      </c>
      <c r="H160" s="116"/>
      <c r="I160" s="441"/>
      <c r="J160" s="116"/>
      <c r="K160" s="116"/>
      <c r="L160" s="393">
        <f>SUM(L158:L159)</f>
        <v>0</v>
      </c>
    </row>
    <row r="161" spans="1:12" s="285" customFormat="1" x14ac:dyDescent="0.25">
      <c r="A161" s="344"/>
      <c r="B161" s="346"/>
      <c r="C161" s="93" t="s">
        <v>189</v>
      </c>
      <c r="D161" s="441">
        <f t="shared" ref="D161:L161" si="15">D160+D156+D151+D148+D70+D66+D63+D59+D38+D35+D32+D29+D25+D18</f>
        <v>2419512</v>
      </c>
      <c r="E161" s="116">
        <f t="shared" si="15"/>
        <v>2175883</v>
      </c>
      <c r="F161" s="116">
        <f t="shared" si="15"/>
        <v>2286875</v>
      </c>
      <c r="G161" s="441">
        <f t="shared" si="15"/>
        <v>2186875</v>
      </c>
      <c r="H161" s="441">
        <f t="shared" si="15"/>
        <v>2871643.5999999996</v>
      </c>
      <c r="I161" s="441">
        <f t="shared" si="15"/>
        <v>1918692.8288</v>
      </c>
      <c r="J161" s="441">
        <f t="shared" si="15"/>
        <v>2015780.934384</v>
      </c>
      <c r="K161" s="441">
        <f t="shared" si="15"/>
        <v>2122617.3239063518</v>
      </c>
      <c r="L161" s="393">
        <f t="shared" si="15"/>
        <v>0</v>
      </c>
    </row>
    <row r="162" spans="1:12" s="285" customFormat="1" x14ac:dyDescent="0.25">
      <c r="A162" s="344"/>
      <c r="B162" s="151"/>
      <c r="C162" s="93" t="s">
        <v>258</v>
      </c>
      <c r="D162" s="117"/>
      <c r="E162" s="117"/>
      <c r="F162" s="117"/>
      <c r="G162" s="442"/>
      <c r="H162" s="117"/>
      <c r="I162" s="442"/>
      <c r="J162" s="117"/>
      <c r="K162" s="117"/>
      <c r="L162" s="394"/>
    </row>
    <row r="163" spans="1:12" s="285" customFormat="1" x14ac:dyDescent="0.25">
      <c r="A163" s="118">
        <v>14</v>
      </c>
      <c r="B163" s="151">
        <v>6305</v>
      </c>
      <c r="C163" s="94" t="s">
        <v>190</v>
      </c>
      <c r="D163" s="85">
        <v>0</v>
      </c>
      <c r="E163" s="85"/>
      <c r="F163" s="85">
        <f>E163-D163</f>
        <v>0</v>
      </c>
      <c r="G163" s="428"/>
      <c r="H163" s="85"/>
      <c r="I163" s="428"/>
      <c r="J163" s="85"/>
      <c r="K163" s="85"/>
      <c r="L163" s="381"/>
    </row>
    <row r="164" spans="1:12" s="285" customFormat="1" ht="14.25" hidden="1" customHeight="1" x14ac:dyDescent="0.25">
      <c r="A164" s="344"/>
      <c r="B164" s="151"/>
      <c r="C164" s="94"/>
      <c r="D164" s="116">
        <v>0</v>
      </c>
      <c r="E164" s="116">
        <f t="shared" ref="E164:L164" si="16">E163</f>
        <v>0</v>
      </c>
      <c r="F164" s="116">
        <f t="shared" si="16"/>
        <v>0</v>
      </c>
      <c r="G164" s="441">
        <v>0</v>
      </c>
      <c r="H164" s="441">
        <f t="shared" si="16"/>
        <v>0</v>
      </c>
      <c r="I164" s="441"/>
      <c r="J164" s="441"/>
      <c r="K164" s="116"/>
      <c r="L164" s="393">
        <f t="shared" si="16"/>
        <v>0</v>
      </c>
    </row>
    <row r="165" spans="1:12" s="285" customFormat="1" x14ac:dyDescent="0.25">
      <c r="A165" s="348"/>
      <c r="B165" s="152"/>
      <c r="C165" s="119" t="s">
        <v>191</v>
      </c>
      <c r="D165" s="448">
        <f t="shared" ref="D165:L165" si="17">SUM(D161+D164)</f>
        <v>2419512</v>
      </c>
      <c r="E165" s="160">
        <f t="shared" si="17"/>
        <v>2175883</v>
      </c>
      <c r="F165" s="160">
        <f t="shared" si="17"/>
        <v>2286875</v>
      </c>
      <c r="G165" s="448">
        <f t="shared" si="17"/>
        <v>2186875</v>
      </c>
      <c r="H165" s="448">
        <f t="shared" si="17"/>
        <v>2871643.5999999996</v>
      </c>
      <c r="I165" s="448">
        <f t="shared" si="17"/>
        <v>1918692.8288</v>
      </c>
      <c r="J165" s="448">
        <f t="shared" si="17"/>
        <v>2015780.934384</v>
      </c>
      <c r="K165" s="448">
        <f t="shared" si="17"/>
        <v>2122617.3239063518</v>
      </c>
      <c r="L165" s="395">
        <f t="shared" si="17"/>
        <v>0</v>
      </c>
    </row>
    <row r="166" spans="1:12" s="285" customFormat="1" x14ac:dyDescent="0.25">
      <c r="A166" s="350"/>
      <c r="B166" s="385"/>
      <c r="C166" s="386"/>
      <c r="D166" s="120"/>
      <c r="E166" s="120"/>
      <c r="F166" s="120"/>
      <c r="G166" s="120"/>
      <c r="H166" s="120"/>
      <c r="I166" s="120"/>
      <c r="J166" s="120"/>
      <c r="K166" s="398"/>
      <c r="L166" s="271"/>
    </row>
    <row r="167" spans="1:12" s="468" customFormat="1" x14ac:dyDescent="0.25">
      <c r="A167" s="350"/>
      <c r="B167" s="385"/>
      <c r="C167" s="386"/>
      <c r="D167" s="120"/>
      <c r="E167" s="120"/>
      <c r="F167" s="120"/>
      <c r="G167" s="120"/>
      <c r="H167" s="120"/>
      <c r="I167" s="120"/>
      <c r="J167" s="120"/>
      <c r="K167" s="398"/>
      <c r="L167" s="271"/>
    </row>
    <row r="168" spans="1:12" s="285" customFormat="1" x14ac:dyDescent="0.25">
      <c r="A168" s="941" t="s">
        <v>543</v>
      </c>
      <c r="B168" s="942"/>
      <c r="C168" s="942"/>
      <c r="D168" s="547"/>
      <c r="E168" s="338"/>
      <c r="F168" s="338"/>
      <c r="G168" s="563"/>
      <c r="H168" s="421"/>
      <c r="I168" s="581"/>
      <c r="J168" s="338"/>
      <c r="K168" s="342"/>
      <c r="L168" s="338"/>
    </row>
    <row r="169" spans="1:12" s="285" customFormat="1" x14ac:dyDescent="0.25">
      <c r="A169" s="944" t="s">
        <v>21</v>
      </c>
      <c r="B169" s="945"/>
      <c r="C169" s="150" t="s">
        <v>22</v>
      </c>
      <c r="D169" s="103" t="s">
        <v>878</v>
      </c>
      <c r="E169" s="104" t="s">
        <v>24</v>
      </c>
      <c r="F169" s="103" t="s">
        <v>535</v>
      </c>
      <c r="G169" s="103" t="s">
        <v>413</v>
      </c>
      <c r="H169" s="104" t="s">
        <v>24</v>
      </c>
      <c r="I169" s="583" t="s">
        <v>24</v>
      </c>
      <c r="J169" s="583" t="s">
        <v>24</v>
      </c>
      <c r="K169" s="583" t="s">
        <v>24</v>
      </c>
      <c r="L169" s="387" t="s">
        <v>536</v>
      </c>
    </row>
    <row r="170" spans="1:12" s="285" customFormat="1" x14ac:dyDescent="0.25">
      <c r="A170" s="946"/>
      <c r="B170" s="947"/>
      <c r="C170" s="106"/>
      <c r="D170" s="333" t="s">
        <v>257</v>
      </c>
      <c r="E170" s="107" t="s">
        <v>382</v>
      </c>
      <c r="F170" s="107" t="s">
        <v>382</v>
      </c>
      <c r="G170" s="107" t="s">
        <v>382</v>
      </c>
      <c r="H170" s="107" t="s">
        <v>407</v>
      </c>
      <c r="I170" s="586" t="s">
        <v>414</v>
      </c>
      <c r="J170" s="586" t="s">
        <v>530</v>
      </c>
      <c r="K170" s="586" t="s">
        <v>886</v>
      </c>
      <c r="L170" s="388" t="s">
        <v>382</v>
      </c>
    </row>
    <row r="171" spans="1:12" s="285" customFormat="1" hidden="1" x14ac:dyDescent="0.25">
      <c r="A171" s="350"/>
      <c r="B171" s="153"/>
      <c r="C171" s="93" t="s">
        <v>98</v>
      </c>
      <c r="D171" s="122"/>
      <c r="E171" s="98"/>
      <c r="F171" s="98"/>
      <c r="G171" s="435"/>
      <c r="H171" s="98"/>
      <c r="I171" s="435"/>
      <c r="J171" s="98"/>
      <c r="K171" s="122"/>
      <c r="L171" s="379"/>
    </row>
    <row r="172" spans="1:12" s="285" customFormat="1" hidden="1" x14ac:dyDescent="0.25">
      <c r="A172" s="118">
        <v>14</v>
      </c>
      <c r="B172" s="151">
        <v>1237</v>
      </c>
      <c r="C172" s="94" t="s">
        <v>99</v>
      </c>
      <c r="D172" s="122"/>
      <c r="E172" s="108"/>
      <c r="F172" s="98">
        <f>E172/8*12</f>
        <v>0</v>
      </c>
      <c r="G172" s="435"/>
      <c r="H172" s="98"/>
      <c r="I172" s="435"/>
      <c r="J172" s="98"/>
      <c r="K172" s="122"/>
      <c r="L172" s="390">
        <f>F172*(1+[1]INPUT!C15)</f>
        <v>0</v>
      </c>
    </row>
    <row r="173" spans="1:12" s="285" customFormat="1" hidden="1" x14ac:dyDescent="0.25">
      <c r="A173" s="118">
        <v>14</v>
      </c>
      <c r="B173" s="151">
        <v>5725</v>
      </c>
      <c r="C173" s="94" t="s">
        <v>400</v>
      </c>
      <c r="D173" s="85"/>
      <c r="E173" s="85">
        <v>0</v>
      </c>
      <c r="F173" s="85">
        <v>0</v>
      </c>
      <c r="G173" s="428"/>
      <c r="H173" s="85"/>
      <c r="I173" s="428"/>
      <c r="J173" s="85"/>
      <c r="K173" s="85"/>
      <c r="L173" s="381">
        <f>F173*(1+[1]INPUT!C$10)</f>
        <v>0</v>
      </c>
    </row>
    <row r="174" spans="1:12" s="285" customFormat="1" hidden="1" x14ac:dyDescent="0.25">
      <c r="A174" s="344"/>
      <c r="B174" s="151"/>
      <c r="C174" s="94"/>
      <c r="D174" s="436">
        <f>SUM(D172)</f>
        <v>0</v>
      </c>
      <c r="E174" s="99">
        <f>SUM(E172)</f>
        <v>0</v>
      </c>
      <c r="F174" s="99">
        <f>SUM(F172)</f>
        <v>0</v>
      </c>
      <c r="G174" s="436">
        <f>SUM(G172)</f>
        <v>0</v>
      </c>
      <c r="H174" s="99"/>
      <c r="I174" s="436"/>
      <c r="J174" s="99"/>
      <c r="K174" s="99"/>
      <c r="L174" s="396">
        <f>SUM(L172)</f>
        <v>0</v>
      </c>
    </row>
    <row r="175" spans="1:12" s="285" customFormat="1" x14ac:dyDescent="0.25">
      <c r="A175" s="344"/>
      <c r="B175" s="151"/>
      <c r="C175" s="93" t="s">
        <v>100</v>
      </c>
      <c r="D175" s="122"/>
      <c r="E175" s="98"/>
      <c r="F175" s="98"/>
      <c r="G175" s="435"/>
      <c r="H175" s="98"/>
      <c r="I175" s="435"/>
      <c r="J175" s="98"/>
      <c r="K175" s="122"/>
      <c r="L175" s="379"/>
    </row>
    <row r="176" spans="1:12" s="285" customFormat="1" hidden="1" x14ac:dyDescent="0.25">
      <c r="A176" s="118">
        <v>14</v>
      </c>
      <c r="B176" s="151">
        <v>1147</v>
      </c>
      <c r="C176" s="94" t="s">
        <v>102</v>
      </c>
      <c r="D176" s="122"/>
      <c r="E176" s="98"/>
      <c r="F176" s="435"/>
      <c r="G176" s="435"/>
      <c r="H176" s="98"/>
      <c r="I176" s="435"/>
      <c r="J176" s="98"/>
      <c r="K176" s="122"/>
      <c r="L176" s="379">
        <f>F176*(1+[1]INPUT!C18)</f>
        <v>0</v>
      </c>
    </row>
    <row r="177" spans="1:12" s="285" customFormat="1" hidden="1" x14ac:dyDescent="0.25">
      <c r="A177" s="118">
        <v>14</v>
      </c>
      <c r="B177" s="151">
        <v>1202</v>
      </c>
      <c r="C177" s="94" t="s">
        <v>343</v>
      </c>
      <c r="D177" s="122"/>
      <c r="E177" s="98"/>
      <c r="F177" s="435"/>
      <c r="G177" s="435"/>
      <c r="H177" s="98"/>
      <c r="I177" s="435"/>
      <c r="J177" s="98"/>
      <c r="K177" s="122"/>
      <c r="L177" s="379">
        <f>F177*(1+[1]INPUT!C19)</f>
        <v>0</v>
      </c>
    </row>
    <row r="178" spans="1:12" s="285" customFormat="1" hidden="1" x14ac:dyDescent="0.25">
      <c r="A178" s="118">
        <v>14</v>
      </c>
      <c r="B178" s="151">
        <v>1207</v>
      </c>
      <c r="C178" s="94" t="s">
        <v>104</v>
      </c>
      <c r="D178" s="122"/>
      <c r="E178" s="98"/>
      <c r="F178" s="435"/>
      <c r="G178" s="435"/>
      <c r="H178" s="98"/>
      <c r="I178" s="435"/>
      <c r="J178" s="98"/>
      <c r="K178" s="122"/>
      <c r="L178" s="379">
        <f>F178*(1+[1]INPUT!C20)</f>
        <v>0</v>
      </c>
    </row>
    <row r="179" spans="1:12" s="285" customFormat="1" hidden="1" x14ac:dyDescent="0.25">
      <c r="A179" s="118">
        <v>14</v>
      </c>
      <c r="B179" s="151">
        <v>1153</v>
      </c>
      <c r="C179" s="94" t="s">
        <v>115</v>
      </c>
      <c r="D179" s="122"/>
      <c r="E179" s="98"/>
      <c r="F179" s="435"/>
      <c r="G179" s="435"/>
      <c r="H179" s="98"/>
      <c r="I179" s="435"/>
      <c r="J179" s="98"/>
      <c r="K179" s="122"/>
      <c r="L179" s="379">
        <f>F179*(1+[1]INPUT!C21)</f>
        <v>0</v>
      </c>
    </row>
    <row r="180" spans="1:12" s="285" customFormat="1" hidden="1" x14ac:dyDescent="0.25">
      <c r="A180" s="118">
        <v>14</v>
      </c>
      <c r="B180" s="151">
        <v>1143</v>
      </c>
      <c r="C180" s="94" t="s">
        <v>109</v>
      </c>
      <c r="D180" s="122"/>
      <c r="E180" s="98"/>
      <c r="F180" s="435"/>
      <c r="G180" s="435"/>
      <c r="H180" s="98"/>
      <c r="I180" s="435"/>
      <c r="J180" s="98"/>
      <c r="K180" s="122"/>
      <c r="L180" s="379">
        <f>F180*(1+[1]INPUT!C22)</f>
        <v>0</v>
      </c>
    </row>
    <row r="181" spans="1:12" s="285" customFormat="1" x14ac:dyDescent="0.25">
      <c r="A181" s="118">
        <v>14</v>
      </c>
      <c r="B181" s="151">
        <v>5500</v>
      </c>
      <c r="C181" s="94" t="s">
        <v>266</v>
      </c>
      <c r="D181" s="85">
        <v>-31895</v>
      </c>
      <c r="E181" s="85">
        <v>-33969</v>
      </c>
      <c r="F181" s="428">
        <v>-33969</v>
      </c>
      <c r="G181" s="428">
        <v>-33969</v>
      </c>
      <c r="H181" s="530">
        <f>+(F181*0.1)+F181</f>
        <v>-37365.9</v>
      </c>
      <c r="I181" s="530">
        <f>+H181*1.058</f>
        <v>-39533.122200000005</v>
      </c>
      <c r="J181" s="530">
        <f>+I181*1.055</f>
        <v>-41707.443921000006</v>
      </c>
      <c r="K181" s="530">
        <f>+J181*1.053</f>
        <v>-43917.938448813002</v>
      </c>
      <c r="L181" s="381"/>
    </row>
    <row r="182" spans="1:12" s="285" customFormat="1" hidden="1" x14ac:dyDescent="0.25">
      <c r="A182" s="118">
        <v>14</v>
      </c>
      <c r="B182" s="151">
        <v>5705</v>
      </c>
      <c r="C182" s="94" t="s">
        <v>296</v>
      </c>
      <c r="D182" s="85"/>
      <c r="E182" s="85"/>
      <c r="F182" s="428"/>
      <c r="G182" s="428"/>
      <c r="H182" s="85"/>
      <c r="I182" s="530">
        <f t="shared" ref="I182:I200" si="18">+H182*1.058</f>
        <v>0</v>
      </c>
      <c r="J182" s="530">
        <f t="shared" ref="J182:J200" si="19">+I182*1.055</f>
        <v>0</v>
      </c>
      <c r="K182" s="530">
        <f t="shared" ref="K182:K200" si="20">+J182*1.053</f>
        <v>0</v>
      </c>
      <c r="L182" s="381"/>
    </row>
    <row r="183" spans="1:12" s="285" customFormat="1" hidden="1" x14ac:dyDescent="0.25">
      <c r="A183" s="118">
        <v>14</v>
      </c>
      <c r="B183" s="151">
        <v>1140</v>
      </c>
      <c r="C183" s="94" t="s">
        <v>113</v>
      </c>
      <c r="D183" s="122"/>
      <c r="E183" s="98"/>
      <c r="F183" s="428"/>
      <c r="G183" s="428"/>
      <c r="H183" s="85"/>
      <c r="I183" s="530">
        <f t="shared" si="18"/>
        <v>0</v>
      </c>
      <c r="J183" s="530">
        <f t="shared" si="19"/>
        <v>0</v>
      </c>
      <c r="K183" s="530">
        <f t="shared" si="20"/>
        <v>0</v>
      </c>
      <c r="L183" s="381"/>
    </row>
    <row r="184" spans="1:12" s="285" customFormat="1" hidden="1" x14ac:dyDescent="0.25">
      <c r="A184" s="118">
        <v>14</v>
      </c>
      <c r="B184" s="151">
        <v>1145</v>
      </c>
      <c r="C184" s="94" t="s">
        <v>132</v>
      </c>
      <c r="D184" s="122"/>
      <c r="E184" s="98"/>
      <c r="F184" s="428"/>
      <c r="G184" s="428"/>
      <c r="H184" s="85"/>
      <c r="I184" s="530">
        <f t="shared" si="18"/>
        <v>0</v>
      </c>
      <c r="J184" s="530">
        <f t="shared" si="19"/>
        <v>0</v>
      </c>
      <c r="K184" s="530">
        <f t="shared" si="20"/>
        <v>0</v>
      </c>
      <c r="L184" s="381"/>
    </row>
    <row r="185" spans="1:12" s="285" customFormat="1" hidden="1" x14ac:dyDescent="0.25">
      <c r="A185" s="118">
        <v>14</v>
      </c>
      <c r="B185" s="151">
        <v>1150</v>
      </c>
      <c r="C185" s="94" t="s">
        <v>120</v>
      </c>
      <c r="D185" s="122"/>
      <c r="E185" s="98"/>
      <c r="F185" s="428"/>
      <c r="G185" s="428"/>
      <c r="H185" s="85"/>
      <c r="I185" s="530">
        <f t="shared" si="18"/>
        <v>0</v>
      </c>
      <c r="J185" s="530">
        <f t="shared" si="19"/>
        <v>0</v>
      </c>
      <c r="K185" s="530">
        <f t="shared" si="20"/>
        <v>0</v>
      </c>
      <c r="L185" s="381"/>
    </row>
    <row r="186" spans="1:12" s="285" customFormat="1" hidden="1" x14ac:dyDescent="0.25">
      <c r="A186" s="118">
        <v>14</v>
      </c>
      <c r="B186" s="151">
        <v>1155</v>
      </c>
      <c r="C186" s="94" t="s">
        <v>116</v>
      </c>
      <c r="D186" s="122"/>
      <c r="E186" s="98"/>
      <c r="F186" s="428"/>
      <c r="G186" s="428"/>
      <c r="H186" s="85"/>
      <c r="I186" s="530">
        <f t="shared" si="18"/>
        <v>0</v>
      </c>
      <c r="J186" s="530">
        <f t="shared" si="19"/>
        <v>0</v>
      </c>
      <c r="K186" s="530">
        <f t="shared" si="20"/>
        <v>0</v>
      </c>
      <c r="L186" s="381"/>
    </row>
    <row r="187" spans="1:12" s="285" customFormat="1" hidden="1" x14ac:dyDescent="0.25">
      <c r="A187" s="118">
        <v>14</v>
      </c>
      <c r="B187" s="151">
        <v>1160</v>
      </c>
      <c r="C187" s="94" t="s">
        <v>101</v>
      </c>
      <c r="D187" s="122"/>
      <c r="E187" s="98"/>
      <c r="F187" s="428"/>
      <c r="G187" s="428"/>
      <c r="H187" s="85"/>
      <c r="I187" s="530">
        <f t="shared" si="18"/>
        <v>0</v>
      </c>
      <c r="J187" s="530">
        <f t="shared" si="19"/>
        <v>0</v>
      </c>
      <c r="K187" s="530">
        <f t="shared" si="20"/>
        <v>0</v>
      </c>
      <c r="L187" s="381"/>
    </row>
    <row r="188" spans="1:12" s="285" customFormat="1" hidden="1" x14ac:dyDescent="0.25">
      <c r="A188" s="118">
        <v>14</v>
      </c>
      <c r="B188" s="151">
        <v>1165</v>
      </c>
      <c r="C188" s="94" t="s">
        <v>114</v>
      </c>
      <c r="D188" s="122"/>
      <c r="E188" s="98"/>
      <c r="F188" s="428"/>
      <c r="G188" s="428"/>
      <c r="H188" s="85"/>
      <c r="I188" s="530">
        <f t="shared" si="18"/>
        <v>0</v>
      </c>
      <c r="J188" s="530">
        <f t="shared" si="19"/>
        <v>0</v>
      </c>
      <c r="K188" s="530">
        <f t="shared" si="20"/>
        <v>0</v>
      </c>
      <c r="L188" s="381"/>
    </row>
    <row r="189" spans="1:12" s="285" customFormat="1" hidden="1" x14ac:dyDescent="0.25">
      <c r="A189" s="118"/>
      <c r="B189" s="151"/>
      <c r="C189" s="94" t="s">
        <v>401</v>
      </c>
      <c r="D189" s="122"/>
      <c r="E189" s="98"/>
      <c r="F189" s="428"/>
      <c r="G189" s="428"/>
      <c r="H189" s="85"/>
      <c r="I189" s="530">
        <f t="shared" si="18"/>
        <v>0</v>
      </c>
      <c r="J189" s="530">
        <f t="shared" si="19"/>
        <v>0</v>
      </c>
      <c r="K189" s="530">
        <f t="shared" si="20"/>
        <v>0</v>
      </c>
      <c r="L189" s="381"/>
    </row>
    <row r="190" spans="1:12" s="285" customFormat="1" hidden="1" x14ac:dyDescent="0.25">
      <c r="A190" s="118">
        <v>14</v>
      </c>
      <c r="B190" s="151">
        <v>1180</v>
      </c>
      <c r="C190" s="94" t="s">
        <v>402</v>
      </c>
      <c r="D190" s="122"/>
      <c r="E190" s="98"/>
      <c r="F190" s="428"/>
      <c r="G190" s="428"/>
      <c r="H190" s="85"/>
      <c r="I190" s="530">
        <f t="shared" si="18"/>
        <v>0</v>
      </c>
      <c r="J190" s="530">
        <f t="shared" si="19"/>
        <v>0</v>
      </c>
      <c r="K190" s="530">
        <f t="shared" si="20"/>
        <v>0</v>
      </c>
      <c r="L190" s="381"/>
    </row>
    <row r="191" spans="1:12" s="285" customFormat="1" hidden="1" x14ac:dyDescent="0.25">
      <c r="A191" s="118">
        <v>14</v>
      </c>
      <c r="B191" s="151">
        <v>1185</v>
      </c>
      <c r="C191" s="94" t="s">
        <v>403</v>
      </c>
      <c r="D191" s="122"/>
      <c r="E191" s="98"/>
      <c r="F191" s="428"/>
      <c r="G191" s="428"/>
      <c r="H191" s="85"/>
      <c r="I191" s="530">
        <f t="shared" si="18"/>
        <v>0</v>
      </c>
      <c r="J191" s="530">
        <f t="shared" si="19"/>
        <v>0</v>
      </c>
      <c r="K191" s="530">
        <f t="shared" si="20"/>
        <v>0</v>
      </c>
      <c r="L191" s="381"/>
    </row>
    <row r="192" spans="1:12" s="285" customFormat="1" hidden="1" x14ac:dyDescent="0.25">
      <c r="A192" s="118">
        <v>14</v>
      </c>
      <c r="B192" s="151">
        <v>1190</v>
      </c>
      <c r="C192" s="94" t="s">
        <v>404</v>
      </c>
      <c r="D192" s="122"/>
      <c r="E192" s="98"/>
      <c r="F192" s="428"/>
      <c r="G192" s="428"/>
      <c r="H192" s="85"/>
      <c r="I192" s="530">
        <f t="shared" si="18"/>
        <v>0</v>
      </c>
      <c r="J192" s="530">
        <f t="shared" si="19"/>
        <v>0</v>
      </c>
      <c r="K192" s="530">
        <f t="shared" si="20"/>
        <v>0</v>
      </c>
      <c r="L192" s="381"/>
    </row>
    <row r="193" spans="1:12" s="285" customFormat="1" hidden="1" x14ac:dyDescent="0.25">
      <c r="A193" s="118"/>
      <c r="B193" s="151"/>
      <c r="C193" s="94" t="s">
        <v>405</v>
      </c>
      <c r="D193" s="122"/>
      <c r="E193" s="98"/>
      <c r="F193" s="428"/>
      <c r="G193" s="428"/>
      <c r="H193" s="85"/>
      <c r="I193" s="530">
        <f t="shared" si="18"/>
        <v>0</v>
      </c>
      <c r="J193" s="530">
        <f t="shared" si="19"/>
        <v>0</v>
      </c>
      <c r="K193" s="530">
        <f t="shared" si="20"/>
        <v>0</v>
      </c>
      <c r="L193" s="381"/>
    </row>
    <row r="194" spans="1:12" s="285" customFormat="1" hidden="1" x14ac:dyDescent="0.25">
      <c r="A194" s="118">
        <v>14</v>
      </c>
      <c r="B194" s="151">
        <v>1195</v>
      </c>
      <c r="C194" s="94" t="s">
        <v>199</v>
      </c>
      <c r="D194" s="122"/>
      <c r="E194" s="98"/>
      <c r="F194" s="428"/>
      <c r="G194" s="428"/>
      <c r="H194" s="85"/>
      <c r="I194" s="530">
        <f t="shared" si="18"/>
        <v>0</v>
      </c>
      <c r="J194" s="530">
        <f t="shared" si="19"/>
        <v>0</v>
      </c>
      <c r="K194" s="530">
        <f t="shared" si="20"/>
        <v>0</v>
      </c>
      <c r="L194" s="381"/>
    </row>
    <row r="195" spans="1:12" s="285" customFormat="1" hidden="1" x14ac:dyDescent="0.25">
      <c r="A195" s="118">
        <v>14</v>
      </c>
      <c r="B195" s="151">
        <v>1200</v>
      </c>
      <c r="C195" s="94" t="s">
        <v>117</v>
      </c>
      <c r="D195" s="122"/>
      <c r="E195" s="98"/>
      <c r="F195" s="428"/>
      <c r="G195" s="428"/>
      <c r="H195" s="85"/>
      <c r="I195" s="530">
        <f t="shared" si="18"/>
        <v>0</v>
      </c>
      <c r="J195" s="530">
        <f t="shared" si="19"/>
        <v>0</v>
      </c>
      <c r="K195" s="530">
        <f t="shared" si="20"/>
        <v>0</v>
      </c>
      <c r="L195" s="381"/>
    </row>
    <row r="196" spans="1:12" s="285" customFormat="1" hidden="1" x14ac:dyDescent="0.25">
      <c r="A196" s="118">
        <v>14</v>
      </c>
      <c r="B196" s="151">
        <v>1205</v>
      </c>
      <c r="C196" s="115" t="s">
        <v>105</v>
      </c>
      <c r="D196" s="122"/>
      <c r="E196" s="98"/>
      <c r="F196" s="428"/>
      <c r="G196" s="428"/>
      <c r="H196" s="85"/>
      <c r="I196" s="530">
        <f t="shared" si="18"/>
        <v>0</v>
      </c>
      <c r="J196" s="530">
        <f t="shared" si="19"/>
        <v>0</v>
      </c>
      <c r="K196" s="530">
        <f t="shared" si="20"/>
        <v>0</v>
      </c>
      <c r="L196" s="381"/>
    </row>
    <row r="197" spans="1:12" s="285" customFormat="1" hidden="1" x14ac:dyDescent="0.25">
      <c r="A197" s="118">
        <v>14</v>
      </c>
      <c r="B197" s="151">
        <v>1210</v>
      </c>
      <c r="C197" s="94" t="s">
        <v>118</v>
      </c>
      <c r="D197" s="122"/>
      <c r="E197" s="98"/>
      <c r="F197" s="428"/>
      <c r="G197" s="428"/>
      <c r="H197" s="85"/>
      <c r="I197" s="530">
        <f t="shared" si="18"/>
        <v>0</v>
      </c>
      <c r="J197" s="530">
        <f t="shared" si="19"/>
        <v>0</v>
      </c>
      <c r="K197" s="530">
        <f t="shared" si="20"/>
        <v>0</v>
      </c>
      <c r="L197" s="381"/>
    </row>
    <row r="198" spans="1:12" s="285" customFormat="1" hidden="1" x14ac:dyDescent="0.25">
      <c r="A198" s="118">
        <v>14</v>
      </c>
      <c r="B198" s="151">
        <v>1215</v>
      </c>
      <c r="C198" s="94" t="s">
        <v>133</v>
      </c>
      <c r="D198" s="122"/>
      <c r="E198" s="98"/>
      <c r="F198" s="428"/>
      <c r="G198" s="428"/>
      <c r="H198" s="85"/>
      <c r="I198" s="530">
        <f t="shared" si="18"/>
        <v>0</v>
      </c>
      <c r="J198" s="530">
        <f t="shared" si="19"/>
        <v>0</v>
      </c>
      <c r="K198" s="530">
        <f t="shared" si="20"/>
        <v>0</v>
      </c>
      <c r="L198" s="381"/>
    </row>
    <row r="199" spans="1:12" s="285" customFormat="1" hidden="1" x14ac:dyDescent="0.25">
      <c r="A199" s="118">
        <v>14</v>
      </c>
      <c r="B199" s="151">
        <v>5905</v>
      </c>
      <c r="C199" s="94" t="s">
        <v>329</v>
      </c>
      <c r="D199" s="85"/>
      <c r="E199" s="85"/>
      <c r="F199" s="428"/>
      <c r="G199" s="428"/>
      <c r="H199" s="85"/>
      <c r="I199" s="530">
        <f t="shared" si="18"/>
        <v>0</v>
      </c>
      <c r="J199" s="530">
        <f t="shared" si="19"/>
        <v>0</v>
      </c>
      <c r="K199" s="530">
        <f t="shared" si="20"/>
        <v>0</v>
      </c>
      <c r="L199" s="381"/>
    </row>
    <row r="200" spans="1:12" s="285" customFormat="1" x14ac:dyDescent="0.25">
      <c r="A200" s="118">
        <v>14</v>
      </c>
      <c r="B200" s="151">
        <v>5900</v>
      </c>
      <c r="C200" s="94" t="s">
        <v>333</v>
      </c>
      <c r="D200" s="85">
        <v>-16125</v>
      </c>
      <c r="E200" s="85">
        <v>-17024</v>
      </c>
      <c r="F200" s="428">
        <v>-17024</v>
      </c>
      <c r="G200" s="428">
        <v>-17024</v>
      </c>
      <c r="H200" s="530">
        <f>+(F200*0.1)+F200</f>
        <v>-18726.400000000001</v>
      </c>
      <c r="I200" s="530">
        <f t="shared" si="18"/>
        <v>-19812.531200000001</v>
      </c>
      <c r="J200" s="530">
        <f t="shared" si="19"/>
        <v>-20902.220416</v>
      </c>
      <c r="K200" s="530">
        <f t="shared" si="20"/>
        <v>-22010.038098048</v>
      </c>
      <c r="L200" s="381"/>
    </row>
    <row r="201" spans="1:12" s="285" customFormat="1" hidden="1" x14ac:dyDescent="0.25">
      <c r="A201" s="118">
        <v>14</v>
      </c>
      <c r="B201" s="151">
        <v>1220</v>
      </c>
      <c r="C201" s="94" t="s">
        <v>340</v>
      </c>
      <c r="D201" s="122"/>
      <c r="E201" s="98"/>
      <c r="F201" s="435"/>
      <c r="G201" s="435"/>
      <c r="H201" s="98"/>
      <c r="I201" s="435"/>
      <c r="J201" s="98"/>
      <c r="K201" s="122"/>
      <c r="L201" s="379">
        <f>F201*(1+[1]INPUT!C37)</f>
        <v>0</v>
      </c>
    </row>
    <row r="202" spans="1:12" s="285" customFormat="1" hidden="1" x14ac:dyDescent="0.25">
      <c r="A202" s="118">
        <v>14</v>
      </c>
      <c r="B202" s="151">
        <v>1225</v>
      </c>
      <c r="C202" s="94" t="s">
        <v>370</v>
      </c>
      <c r="D202" s="122"/>
      <c r="E202" s="98"/>
      <c r="F202" s="435"/>
      <c r="G202" s="435"/>
      <c r="H202" s="98"/>
      <c r="I202" s="435"/>
      <c r="J202" s="98"/>
      <c r="K202" s="122"/>
      <c r="L202" s="379">
        <f>F202*(1+[1]INPUT!C38)</f>
        <v>0</v>
      </c>
    </row>
    <row r="203" spans="1:12" s="285" customFormat="1" hidden="1" x14ac:dyDescent="0.25">
      <c r="A203" s="118">
        <v>14</v>
      </c>
      <c r="B203" s="151">
        <v>1230</v>
      </c>
      <c r="C203" s="94" t="s">
        <v>119</v>
      </c>
      <c r="D203" s="122"/>
      <c r="E203" s="98"/>
      <c r="F203" s="435"/>
      <c r="G203" s="435"/>
      <c r="H203" s="98"/>
      <c r="I203" s="435"/>
      <c r="J203" s="98"/>
      <c r="K203" s="122"/>
      <c r="L203" s="379">
        <f>F203*(1+[1]INPUT!C39)</f>
        <v>0</v>
      </c>
    </row>
    <row r="204" spans="1:12" s="285" customFormat="1" hidden="1" x14ac:dyDescent="0.25">
      <c r="A204" s="118">
        <v>14</v>
      </c>
      <c r="B204" s="151">
        <v>1235</v>
      </c>
      <c r="C204" s="94" t="s">
        <v>347</v>
      </c>
      <c r="D204" s="122"/>
      <c r="E204" s="98"/>
      <c r="F204" s="435"/>
      <c r="G204" s="435"/>
      <c r="H204" s="98"/>
      <c r="I204" s="435"/>
      <c r="J204" s="98"/>
      <c r="K204" s="122"/>
      <c r="L204" s="379">
        <f>F204*(1+[1]INPUT!C40)</f>
        <v>0</v>
      </c>
    </row>
    <row r="205" spans="1:12" s="285" customFormat="1" hidden="1" x14ac:dyDescent="0.25">
      <c r="A205" s="118"/>
      <c r="B205" s="151"/>
      <c r="C205" s="94" t="s">
        <v>510</v>
      </c>
      <c r="D205" s="225"/>
      <c r="E205" s="85"/>
      <c r="F205" s="428"/>
      <c r="G205" s="428"/>
      <c r="H205" s="85"/>
      <c r="I205" s="428"/>
      <c r="J205" s="85"/>
      <c r="K205" s="85"/>
      <c r="L205" s="381"/>
    </row>
    <row r="206" spans="1:12" s="285" customFormat="1" x14ac:dyDescent="0.25">
      <c r="A206" s="344">
        <v>2000000</v>
      </c>
      <c r="B206" s="151">
        <f>+A206*1.055</f>
        <v>2110000</v>
      </c>
      <c r="C206" s="94">
        <f>+B206*1.053</f>
        <v>2221830</v>
      </c>
      <c r="D206" s="437">
        <f t="shared" ref="D206:L206" si="21">SUM(D176:D204)</f>
        <v>-48020</v>
      </c>
      <c r="E206" s="100">
        <f t="shared" si="21"/>
        <v>-50993</v>
      </c>
      <c r="F206" s="437">
        <v>-50993</v>
      </c>
      <c r="G206" s="437">
        <v>-50993</v>
      </c>
      <c r="H206" s="100">
        <f t="shared" si="21"/>
        <v>-56092.3</v>
      </c>
      <c r="I206" s="437">
        <f t="shared" si="21"/>
        <v>-59345.65340000001</v>
      </c>
      <c r="J206" s="437">
        <f t="shared" si="21"/>
        <v>-62609.664337000009</v>
      </c>
      <c r="K206" s="437">
        <f t="shared" si="21"/>
        <v>-65927.976546860998</v>
      </c>
      <c r="L206" s="397">
        <f t="shared" si="21"/>
        <v>0</v>
      </c>
    </row>
    <row r="207" spans="1:12" s="285" customFormat="1" x14ac:dyDescent="0.25">
      <c r="A207" s="344"/>
      <c r="B207" s="151"/>
      <c r="C207" s="93" t="s">
        <v>66</v>
      </c>
      <c r="D207" s="122"/>
      <c r="E207" s="98"/>
      <c r="F207" s="435"/>
      <c r="G207" s="435"/>
      <c r="H207" s="98"/>
      <c r="I207" s="435"/>
      <c r="J207" s="98"/>
      <c r="K207" s="122"/>
      <c r="L207" s="379"/>
    </row>
    <row r="208" spans="1:12" s="285" customFormat="1" x14ac:dyDescent="0.25">
      <c r="A208" s="118">
        <v>14</v>
      </c>
      <c r="B208" s="151">
        <v>1305</v>
      </c>
      <c r="C208" s="94" t="s">
        <v>342</v>
      </c>
      <c r="D208" s="122">
        <v>0</v>
      </c>
      <c r="E208" s="98"/>
      <c r="F208" s="435"/>
      <c r="G208" s="435"/>
      <c r="H208" s="98"/>
      <c r="I208" s="435"/>
      <c r="J208" s="98"/>
      <c r="K208" s="122"/>
      <c r="L208" s="379">
        <f>F208*(1+[1]INPUT!C43)</f>
        <v>0</v>
      </c>
    </row>
    <row r="209" spans="1:13" s="285" customFormat="1" x14ac:dyDescent="0.25">
      <c r="A209" s="118">
        <v>14</v>
      </c>
      <c r="B209" s="151">
        <v>1310</v>
      </c>
      <c r="C209" s="94" t="s">
        <v>344</v>
      </c>
      <c r="D209" s="122">
        <v>0</v>
      </c>
      <c r="E209" s="98"/>
      <c r="F209" s="435"/>
      <c r="G209" s="435"/>
      <c r="H209" s="98"/>
      <c r="I209" s="435"/>
      <c r="J209" s="98"/>
      <c r="K209" s="122"/>
      <c r="L209" s="379">
        <f>F209*(1+[1]INPUT!C44)</f>
        <v>0</v>
      </c>
    </row>
    <row r="210" spans="1:13" s="285" customFormat="1" x14ac:dyDescent="0.25">
      <c r="A210" s="118">
        <v>14</v>
      </c>
      <c r="B210" s="151">
        <v>1320</v>
      </c>
      <c r="C210" s="94" t="s">
        <v>345</v>
      </c>
      <c r="D210" s="122">
        <v>0</v>
      </c>
      <c r="E210" s="98"/>
      <c r="F210" s="435"/>
      <c r="G210" s="435"/>
      <c r="H210" s="98"/>
      <c r="I210" s="435"/>
      <c r="J210" s="98"/>
      <c r="K210" s="122"/>
      <c r="L210" s="379">
        <f>F210*(1+[1]INPUT!C45)</f>
        <v>0</v>
      </c>
    </row>
    <row r="211" spans="1:13" s="285" customFormat="1" x14ac:dyDescent="0.25">
      <c r="A211" s="118">
        <v>14</v>
      </c>
      <c r="B211" s="151">
        <v>1315</v>
      </c>
      <c r="C211" s="94" t="s">
        <v>346</v>
      </c>
      <c r="D211" s="122">
        <v>0</v>
      </c>
      <c r="E211" s="108"/>
      <c r="F211" s="435"/>
      <c r="G211" s="435"/>
      <c r="H211" s="98"/>
      <c r="I211" s="435"/>
      <c r="J211" s="98"/>
      <c r="K211" s="122"/>
      <c r="L211" s="390">
        <f>F211*(1+[1]INPUT!C46)</f>
        <v>0</v>
      </c>
    </row>
    <row r="212" spans="1:13" s="285" customFormat="1" x14ac:dyDescent="0.25">
      <c r="A212" s="344"/>
      <c r="B212" s="151"/>
      <c r="C212" s="94"/>
      <c r="D212" s="99">
        <v>0</v>
      </c>
      <c r="E212" s="99">
        <f t="shared" ref="E212:M212" si="22">SUM(E208:E211)</f>
        <v>0</v>
      </c>
      <c r="F212" s="436"/>
      <c r="G212" s="436"/>
      <c r="H212" s="99">
        <f t="shared" si="22"/>
        <v>0</v>
      </c>
      <c r="I212" s="436"/>
      <c r="J212" s="99"/>
      <c r="K212" s="99"/>
      <c r="L212" s="99">
        <f t="shared" si="22"/>
        <v>0</v>
      </c>
      <c r="M212" s="99">
        <f t="shared" si="22"/>
        <v>0</v>
      </c>
    </row>
    <row r="213" spans="1:13" s="285" customFormat="1" x14ac:dyDescent="0.25">
      <c r="A213" s="344"/>
      <c r="B213" s="151"/>
      <c r="C213" s="93" t="s">
        <v>67</v>
      </c>
      <c r="D213" s="122"/>
      <c r="E213" s="98"/>
      <c r="F213" s="435"/>
      <c r="G213" s="435"/>
      <c r="H213" s="98"/>
      <c r="I213" s="435"/>
      <c r="J213" s="98"/>
      <c r="K213" s="122"/>
      <c r="L213" s="379"/>
    </row>
    <row r="214" spans="1:13" s="285" customFormat="1" x14ac:dyDescent="0.25">
      <c r="A214" s="118">
        <v>14</v>
      </c>
      <c r="B214" s="151">
        <v>1400</v>
      </c>
      <c r="C214" s="94" t="s">
        <v>68</v>
      </c>
      <c r="D214" s="122">
        <v>0</v>
      </c>
      <c r="E214" s="108"/>
      <c r="F214" s="435"/>
      <c r="G214" s="435"/>
      <c r="H214" s="98"/>
      <c r="I214" s="435"/>
      <c r="J214" s="98"/>
      <c r="K214" s="122"/>
      <c r="L214" s="390"/>
    </row>
    <row r="215" spans="1:13" s="285" customFormat="1" x14ac:dyDescent="0.25">
      <c r="A215" s="118">
        <v>14</v>
      </c>
      <c r="B215" s="151">
        <v>1405</v>
      </c>
      <c r="C215" s="94" t="s">
        <v>69</v>
      </c>
      <c r="D215" s="122">
        <v>0</v>
      </c>
      <c r="E215" s="108"/>
      <c r="F215" s="435"/>
      <c r="G215" s="435"/>
      <c r="H215" s="98"/>
      <c r="I215" s="435"/>
      <c r="J215" s="98"/>
      <c r="K215" s="122"/>
      <c r="L215" s="390"/>
    </row>
    <row r="216" spans="1:13" s="285" customFormat="1" x14ac:dyDescent="0.25">
      <c r="A216" s="344"/>
      <c r="B216" s="151"/>
      <c r="C216" s="94"/>
      <c r="D216" s="436">
        <f t="shared" ref="D216:L216" si="23">SUM(D214:D215)</f>
        <v>0</v>
      </c>
      <c r="E216" s="99">
        <f t="shared" si="23"/>
        <v>0</v>
      </c>
      <c r="F216" s="436">
        <f>SUM(F214:F215)</f>
        <v>0</v>
      </c>
      <c r="G216" s="436">
        <f t="shared" si="23"/>
        <v>0</v>
      </c>
      <c r="H216" s="99">
        <f t="shared" si="23"/>
        <v>0</v>
      </c>
      <c r="I216" s="436"/>
      <c r="J216" s="99"/>
      <c r="K216" s="99"/>
      <c r="L216" s="396">
        <f t="shared" si="23"/>
        <v>0</v>
      </c>
    </row>
    <row r="217" spans="1:13" s="285" customFormat="1" x14ac:dyDescent="0.25">
      <c r="A217" s="344"/>
      <c r="B217" s="151"/>
      <c r="C217" s="93" t="s">
        <v>70</v>
      </c>
      <c r="D217" s="122"/>
      <c r="E217" s="98"/>
      <c r="F217" s="435"/>
      <c r="G217" s="435"/>
      <c r="H217" s="98"/>
      <c r="I217" s="435"/>
      <c r="J217" s="98"/>
      <c r="K217" s="122"/>
      <c r="L217" s="379"/>
    </row>
    <row r="218" spans="1:13" s="285" customFormat="1" x14ac:dyDescent="0.25">
      <c r="A218" s="118">
        <v>14</v>
      </c>
      <c r="B218" s="151">
        <v>1500</v>
      </c>
      <c r="C218" s="94" t="s">
        <v>106</v>
      </c>
      <c r="D218" s="122">
        <v>0</v>
      </c>
      <c r="E218" s="108"/>
      <c r="F218" s="435"/>
      <c r="G218" s="435"/>
      <c r="H218" s="98"/>
      <c r="I218" s="435"/>
      <c r="J218" s="98"/>
      <c r="K218" s="122"/>
      <c r="L218" s="390"/>
    </row>
    <row r="219" spans="1:13" s="285" customFormat="1" x14ac:dyDescent="0.25">
      <c r="A219" s="118">
        <v>14</v>
      </c>
      <c r="B219" s="151">
        <v>1505</v>
      </c>
      <c r="C219" s="94" t="s">
        <v>71</v>
      </c>
      <c r="D219" s="122">
        <v>0</v>
      </c>
      <c r="E219" s="108"/>
      <c r="F219" s="435"/>
      <c r="G219" s="435"/>
      <c r="H219" s="98"/>
      <c r="I219" s="435"/>
      <c r="J219" s="98"/>
      <c r="K219" s="122"/>
      <c r="L219" s="390"/>
    </row>
    <row r="220" spans="1:13" s="285" customFormat="1" x14ac:dyDescent="0.25">
      <c r="A220" s="371">
        <v>14</v>
      </c>
      <c r="B220" s="152">
        <v>1510</v>
      </c>
      <c r="C220" s="106" t="s">
        <v>72</v>
      </c>
      <c r="D220" s="375">
        <v>0</v>
      </c>
      <c r="E220" s="378"/>
      <c r="F220" s="376"/>
      <c r="G220" s="376"/>
      <c r="H220" s="376"/>
      <c r="I220" s="376"/>
      <c r="J220" s="376"/>
      <c r="K220" s="375"/>
      <c r="L220" s="390"/>
    </row>
    <row r="221" spans="1:13" s="285" customFormat="1" x14ac:dyDescent="0.25">
      <c r="A221" s="350"/>
      <c r="B221" s="153"/>
      <c r="C221" s="97"/>
      <c r="D221" s="436">
        <f t="shared" ref="D221:M221" si="24">SUM(D218:D220)</f>
        <v>0</v>
      </c>
      <c r="E221" s="99">
        <f t="shared" si="24"/>
        <v>0</v>
      </c>
      <c r="F221" s="436"/>
      <c r="G221" s="436"/>
      <c r="H221" s="99">
        <f t="shared" si="24"/>
        <v>0</v>
      </c>
      <c r="I221" s="436"/>
      <c r="J221" s="99"/>
      <c r="K221" s="99"/>
      <c r="L221" s="99">
        <f t="shared" si="24"/>
        <v>0</v>
      </c>
      <c r="M221" s="99">
        <f t="shared" si="24"/>
        <v>0</v>
      </c>
    </row>
    <row r="222" spans="1:13" s="285" customFormat="1" x14ac:dyDescent="0.25">
      <c r="A222" s="344"/>
      <c r="B222" s="151"/>
      <c r="C222" s="93" t="s">
        <v>73</v>
      </c>
      <c r="D222" s="122"/>
      <c r="E222" s="98"/>
      <c r="F222" s="435"/>
      <c r="G222" s="435"/>
      <c r="H222" s="98"/>
      <c r="I222" s="435"/>
      <c r="J222" s="98"/>
      <c r="K222" s="122"/>
      <c r="L222" s="379"/>
    </row>
    <row r="223" spans="1:13" s="285" customFormat="1" x14ac:dyDescent="0.25">
      <c r="A223" s="118">
        <v>14</v>
      </c>
      <c r="B223" s="151">
        <v>1550</v>
      </c>
      <c r="C223" s="94" t="s">
        <v>349</v>
      </c>
      <c r="D223" s="122">
        <v>0</v>
      </c>
      <c r="E223" s="98"/>
      <c r="F223" s="435"/>
      <c r="G223" s="435"/>
      <c r="H223" s="98"/>
      <c r="I223" s="435"/>
      <c r="J223" s="98"/>
      <c r="K223" s="122"/>
      <c r="L223" s="379"/>
    </row>
    <row r="224" spans="1:13" s="285" customFormat="1" x14ac:dyDescent="0.25">
      <c r="A224" s="118">
        <v>14</v>
      </c>
      <c r="B224" s="151">
        <v>1555</v>
      </c>
      <c r="C224" s="94" t="s">
        <v>348</v>
      </c>
      <c r="D224" s="122">
        <v>0</v>
      </c>
      <c r="E224" s="98"/>
      <c r="F224" s="435"/>
      <c r="G224" s="435"/>
      <c r="H224" s="98"/>
      <c r="I224" s="435"/>
      <c r="J224" s="98"/>
      <c r="K224" s="122"/>
      <c r="L224" s="390"/>
    </row>
    <row r="225" spans="1:12" s="285" customFormat="1" x14ac:dyDescent="0.25">
      <c r="A225" s="344"/>
      <c r="B225" s="151"/>
      <c r="C225" s="94"/>
      <c r="D225" s="100">
        <v>0</v>
      </c>
      <c r="E225" s="100">
        <f>SUM(E223:E224)</f>
        <v>0</v>
      </c>
      <c r="F225" s="437"/>
      <c r="G225" s="437"/>
      <c r="H225" s="100">
        <f>SUM(H223:H224)</f>
        <v>0</v>
      </c>
      <c r="I225" s="437"/>
      <c r="J225" s="100"/>
      <c r="K225" s="100"/>
      <c r="L225" s="397">
        <f>SUM(L223:L224)</f>
        <v>0</v>
      </c>
    </row>
    <row r="226" spans="1:12" s="285" customFormat="1" ht="13.5" customHeight="1" x14ac:dyDescent="0.25">
      <c r="A226" s="344"/>
      <c r="B226" s="151"/>
      <c r="C226" s="93" t="s">
        <v>74</v>
      </c>
      <c r="D226" s="122"/>
      <c r="E226" s="98"/>
      <c r="F226" s="435"/>
      <c r="G226" s="435"/>
      <c r="H226" s="98"/>
      <c r="I226" s="435"/>
      <c r="J226" s="98"/>
      <c r="K226" s="122"/>
      <c r="L226" s="379"/>
    </row>
    <row r="227" spans="1:12" s="285" customFormat="1" x14ac:dyDescent="0.25">
      <c r="A227" s="118">
        <v>14</v>
      </c>
      <c r="B227" s="151">
        <v>1605</v>
      </c>
      <c r="C227" s="94" t="s">
        <v>75</v>
      </c>
      <c r="D227" s="122">
        <v>0</v>
      </c>
      <c r="E227" s="98"/>
      <c r="F227" s="435"/>
      <c r="G227" s="435"/>
      <c r="H227" s="98"/>
      <c r="I227" s="435">
        <v>2000000</v>
      </c>
      <c r="J227" s="98">
        <f>+I227*1.055</f>
        <v>2110000</v>
      </c>
      <c r="K227" s="122">
        <f>+J227*1.053</f>
        <v>2221830</v>
      </c>
      <c r="L227" s="379"/>
    </row>
    <row r="228" spans="1:12" s="285" customFormat="1" x14ac:dyDescent="0.25">
      <c r="A228" s="118">
        <v>14</v>
      </c>
      <c r="B228" s="151">
        <v>1610</v>
      </c>
      <c r="C228" s="94" t="s">
        <v>131</v>
      </c>
      <c r="D228" s="122">
        <v>0</v>
      </c>
      <c r="E228" s="108"/>
      <c r="F228" s="435"/>
      <c r="G228" s="435"/>
      <c r="H228" s="98"/>
      <c r="I228" s="435"/>
      <c r="J228" s="98"/>
      <c r="K228" s="122"/>
      <c r="L228" s="379"/>
    </row>
    <row r="229" spans="1:12" s="285" customFormat="1" x14ac:dyDescent="0.25">
      <c r="A229" s="118">
        <v>14</v>
      </c>
      <c r="B229" s="151">
        <v>1615</v>
      </c>
      <c r="C229" s="94" t="s">
        <v>182</v>
      </c>
      <c r="D229" s="122">
        <v>0</v>
      </c>
      <c r="E229" s="108"/>
      <c r="F229" s="435"/>
      <c r="G229" s="435"/>
      <c r="H229" s="98"/>
      <c r="I229" s="435"/>
      <c r="J229" s="98"/>
      <c r="K229" s="122"/>
      <c r="L229" s="379"/>
    </row>
    <row r="230" spans="1:12" s="285" customFormat="1" x14ac:dyDescent="0.25">
      <c r="A230" s="118">
        <v>14</v>
      </c>
      <c r="B230" s="151">
        <v>1620</v>
      </c>
      <c r="C230" s="94" t="s">
        <v>255</v>
      </c>
      <c r="D230" s="122">
        <v>0</v>
      </c>
      <c r="E230" s="108"/>
      <c r="F230" s="435"/>
      <c r="G230" s="435"/>
      <c r="H230" s="98"/>
      <c r="I230" s="435"/>
      <c r="J230" s="98"/>
      <c r="K230" s="122"/>
      <c r="L230" s="379"/>
    </row>
    <row r="231" spans="1:12" s="285" customFormat="1" x14ac:dyDescent="0.25">
      <c r="A231" s="118">
        <v>14</v>
      </c>
      <c r="B231" s="151">
        <v>1625</v>
      </c>
      <c r="C231" s="94" t="s">
        <v>108</v>
      </c>
      <c r="D231" s="122">
        <v>0</v>
      </c>
      <c r="E231" s="108"/>
      <c r="F231" s="435"/>
      <c r="G231" s="435"/>
      <c r="H231" s="98"/>
      <c r="I231" s="435"/>
      <c r="J231" s="98"/>
      <c r="K231" s="122"/>
      <c r="L231" s="379"/>
    </row>
    <row r="232" spans="1:12" s="285" customFormat="1" x14ac:dyDescent="0.25">
      <c r="A232" s="118">
        <v>14</v>
      </c>
      <c r="B232" s="151">
        <v>1630</v>
      </c>
      <c r="C232" s="94" t="s">
        <v>76</v>
      </c>
      <c r="D232" s="122">
        <v>0</v>
      </c>
      <c r="E232" s="108"/>
      <c r="F232" s="435"/>
      <c r="G232" s="435"/>
      <c r="H232" s="98"/>
      <c r="I232" s="435"/>
      <c r="J232" s="98"/>
      <c r="K232" s="122"/>
      <c r="L232" s="379"/>
    </row>
    <row r="233" spans="1:12" s="285" customFormat="1" x14ac:dyDescent="0.25">
      <c r="A233" s="118">
        <v>14</v>
      </c>
      <c r="B233" s="151">
        <v>1635</v>
      </c>
      <c r="C233" s="94" t="s">
        <v>180</v>
      </c>
      <c r="D233" s="122">
        <v>0</v>
      </c>
      <c r="E233" s="108"/>
      <c r="F233" s="435"/>
      <c r="G233" s="435"/>
      <c r="H233" s="98"/>
      <c r="I233" s="435"/>
      <c r="J233" s="98"/>
      <c r="K233" s="122"/>
      <c r="L233" s="379"/>
    </row>
    <row r="234" spans="1:12" s="285" customFormat="1" x14ac:dyDescent="0.25">
      <c r="A234" s="118">
        <v>14</v>
      </c>
      <c r="B234" s="151">
        <v>1640</v>
      </c>
      <c r="C234" s="94" t="s">
        <v>184</v>
      </c>
      <c r="D234" s="122">
        <v>0</v>
      </c>
      <c r="E234" s="108"/>
      <c r="F234" s="435"/>
      <c r="G234" s="435"/>
      <c r="H234" s="98"/>
      <c r="I234" s="435"/>
      <c r="J234" s="98"/>
      <c r="K234" s="122"/>
      <c r="L234" s="379"/>
    </row>
    <row r="235" spans="1:12" s="285" customFormat="1" x14ac:dyDescent="0.25">
      <c r="A235" s="118">
        <v>14</v>
      </c>
      <c r="B235" s="151">
        <v>1645</v>
      </c>
      <c r="C235" s="94" t="s">
        <v>77</v>
      </c>
      <c r="D235" s="122">
        <v>0</v>
      </c>
      <c r="E235" s="108"/>
      <c r="F235" s="435"/>
      <c r="G235" s="435"/>
      <c r="H235" s="98"/>
      <c r="I235" s="435"/>
      <c r="J235" s="98"/>
      <c r="K235" s="122"/>
      <c r="L235" s="379"/>
    </row>
    <row r="236" spans="1:12" s="285" customFormat="1" x14ac:dyDescent="0.25">
      <c r="A236" s="118">
        <v>14</v>
      </c>
      <c r="B236" s="151">
        <v>1650</v>
      </c>
      <c r="C236" s="94" t="s">
        <v>78</v>
      </c>
      <c r="D236" s="122">
        <v>0</v>
      </c>
      <c r="E236" s="108"/>
      <c r="F236" s="435"/>
      <c r="G236" s="435"/>
      <c r="H236" s="98"/>
      <c r="I236" s="435"/>
      <c r="J236" s="98"/>
      <c r="K236" s="122"/>
      <c r="L236" s="379"/>
    </row>
    <row r="237" spans="1:12" s="285" customFormat="1" x14ac:dyDescent="0.25">
      <c r="A237" s="118">
        <v>14</v>
      </c>
      <c r="B237" s="151"/>
      <c r="C237" s="94" t="s">
        <v>200</v>
      </c>
      <c r="D237" s="122">
        <v>0</v>
      </c>
      <c r="E237" s="108"/>
      <c r="F237" s="435"/>
      <c r="G237" s="435"/>
      <c r="H237" s="98"/>
      <c r="I237" s="435"/>
      <c r="J237" s="98"/>
      <c r="K237" s="122"/>
      <c r="L237" s="379"/>
    </row>
    <row r="238" spans="1:12" s="285" customFormat="1" x14ac:dyDescent="0.25">
      <c r="A238" s="118">
        <v>14</v>
      </c>
      <c r="B238" s="151">
        <v>1660</v>
      </c>
      <c r="C238" s="94" t="s">
        <v>185</v>
      </c>
      <c r="D238" s="122">
        <v>0</v>
      </c>
      <c r="E238" s="108"/>
      <c r="F238" s="435"/>
      <c r="G238" s="435"/>
      <c r="H238" s="98"/>
      <c r="I238" s="435"/>
      <c r="J238" s="98"/>
      <c r="K238" s="122"/>
      <c r="L238" s="379"/>
    </row>
    <row r="239" spans="1:12" s="285" customFormat="1" x14ac:dyDescent="0.25">
      <c r="A239" s="118">
        <v>14</v>
      </c>
      <c r="B239" s="151">
        <v>1665</v>
      </c>
      <c r="C239" s="94" t="s">
        <v>181</v>
      </c>
      <c r="D239" s="122">
        <v>0</v>
      </c>
      <c r="E239" s="108"/>
      <c r="F239" s="435"/>
      <c r="G239" s="435"/>
      <c r="H239" s="98"/>
      <c r="I239" s="435"/>
      <c r="J239" s="98"/>
      <c r="K239" s="122"/>
      <c r="L239" s="379"/>
    </row>
    <row r="240" spans="1:12" s="285" customFormat="1" x14ac:dyDescent="0.25">
      <c r="A240" s="344"/>
      <c r="B240" s="151"/>
      <c r="C240" s="94"/>
      <c r="D240" s="436">
        <f t="shared" ref="D240:L240" si="25">SUM(D227:D239)</f>
        <v>0</v>
      </c>
      <c r="E240" s="436">
        <f t="shared" si="25"/>
        <v>0</v>
      </c>
      <c r="F240" s="436">
        <f t="shared" si="25"/>
        <v>0</v>
      </c>
      <c r="G240" s="436">
        <f t="shared" si="25"/>
        <v>0</v>
      </c>
      <c r="H240" s="99">
        <f t="shared" si="25"/>
        <v>0</v>
      </c>
      <c r="I240" s="436">
        <f t="shared" si="25"/>
        <v>2000000</v>
      </c>
      <c r="J240" s="436">
        <f t="shared" si="25"/>
        <v>2110000</v>
      </c>
      <c r="K240" s="436">
        <f t="shared" si="25"/>
        <v>2221830</v>
      </c>
      <c r="L240" s="396">
        <f t="shared" si="25"/>
        <v>0</v>
      </c>
    </row>
    <row r="241" spans="1:12" s="285" customFormat="1" x14ac:dyDescent="0.25">
      <c r="A241" s="344"/>
      <c r="B241" s="151"/>
      <c r="C241" s="93" t="s">
        <v>79</v>
      </c>
      <c r="D241" s="122"/>
      <c r="E241" s="98"/>
      <c r="F241" s="435"/>
      <c r="G241" s="435"/>
      <c r="H241" s="98"/>
      <c r="I241" s="435"/>
      <c r="J241" s="98"/>
      <c r="K241" s="122"/>
      <c r="L241" s="379"/>
    </row>
    <row r="242" spans="1:12" s="285" customFormat="1" x14ac:dyDescent="0.25">
      <c r="A242" s="118">
        <v>14</v>
      </c>
      <c r="B242" s="151">
        <v>1705</v>
      </c>
      <c r="C242" s="94" t="s">
        <v>123</v>
      </c>
      <c r="D242" s="122">
        <v>0</v>
      </c>
      <c r="E242" s="98"/>
      <c r="F242" s="435"/>
      <c r="G242" s="435"/>
      <c r="H242" s="98"/>
      <c r="I242" s="435"/>
      <c r="J242" s="98"/>
      <c r="K242" s="122"/>
      <c r="L242" s="379"/>
    </row>
    <row r="243" spans="1:12" s="285" customFormat="1" x14ac:dyDescent="0.25">
      <c r="A243" s="118">
        <v>14</v>
      </c>
      <c r="B243" s="151">
        <v>1710</v>
      </c>
      <c r="C243" s="94" t="s">
        <v>242</v>
      </c>
      <c r="D243" s="122">
        <v>0</v>
      </c>
      <c r="E243" s="98"/>
      <c r="F243" s="435"/>
      <c r="G243" s="435"/>
      <c r="H243" s="98"/>
      <c r="I243" s="435"/>
      <c r="J243" s="98"/>
      <c r="K243" s="122"/>
      <c r="L243" s="379"/>
    </row>
    <row r="244" spans="1:12" s="285" customFormat="1" x14ac:dyDescent="0.25">
      <c r="A244" s="118">
        <v>14</v>
      </c>
      <c r="B244" s="151">
        <v>1715</v>
      </c>
      <c r="C244" s="94" t="s">
        <v>183</v>
      </c>
      <c r="D244" s="122">
        <v>0</v>
      </c>
      <c r="E244" s="98"/>
      <c r="F244" s="435"/>
      <c r="G244" s="435"/>
      <c r="H244" s="98"/>
      <c r="I244" s="435"/>
      <c r="J244" s="98"/>
      <c r="K244" s="122"/>
      <c r="L244" s="379"/>
    </row>
    <row r="245" spans="1:12" s="285" customFormat="1" x14ac:dyDescent="0.25">
      <c r="A245" s="118">
        <v>14</v>
      </c>
      <c r="B245" s="151">
        <v>1720</v>
      </c>
      <c r="C245" s="94" t="s">
        <v>103</v>
      </c>
      <c r="D245" s="122">
        <v>0</v>
      </c>
      <c r="E245" s="98"/>
      <c r="F245" s="435"/>
      <c r="G245" s="435"/>
      <c r="H245" s="98"/>
      <c r="I245" s="435"/>
      <c r="J245" s="98"/>
      <c r="K245" s="122"/>
      <c r="L245" s="379"/>
    </row>
    <row r="246" spans="1:12" s="285" customFormat="1" x14ac:dyDescent="0.25">
      <c r="A246" s="118">
        <v>14</v>
      </c>
      <c r="B246" s="151">
        <v>1725</v>
      </c>
      <c r="C246" s="94" t="s">
        <v>107</v>
      </c>
      <c r="D246" s="122">
        <v>0</v>
      </c>
      <c r="E246" s="98"/>
      <c r="F246" s="435"/>
      <c r="G246" s="435"/>
      <c r="H246" s="98"/>
      <c r="I246" s="435"/>
      <c r="J246" s="98"/>
      <c r="K246" s="122"/>
      <c r="L246" s="379"/>
    </row>
    <row r="247" spans="1:12" s="285" customFormat="1" x14ac:dyDescent="0.25">
      <c r="A247" s="118">
        <v>14</v>
      </c>
      <c r="B247" s="151">
        <v>1730</v>
      </c>
      <c r="C247" s="94" t="s">
        <v>256</v>
      </c>
      <c r="D247" s="122">
        <v>0</v>
      </c>
      <c r="E247" s="98"/>
      <c r="F247" s="435"/>
      <c r="G247" s="435"/>
      <c r="H247" s="98"/>
      <c r="I247" s="435"/>
      <c r="J247" s="98"/>
      <c r="K247" s="122"/>
      <c r="L247" s="379"/>
    </row>
    <row r="248" spans="1:12" s="285" customFormat="1" x14ac:dyDescent="0.25">
      <c r="A248" s="344"/>
      <c r="B248" s="151"/>
      <c r="C248" s="94"/>
      <c r="D248" s="436">
        <f t="shared" ref="D248:L248" si="26">SUM(D242:D247)</f>
        <v>0</v>
      </c>
      <c r="E248" s="99">
        <f t="shared" si="26"/>
        <v>0</v>
      </c>
      <c r="F248" s="436">
        <f>SUM(F242:F247)</f>
        <v>0</v>
      </c>
      <c r="G248" s="436">
        <f t="shared" si="26"/>
        <v>0</v>
      </c>
      <c r="H248" s="99">
        <f t="shared" si="26"/>
        <v>0</v>
      </c>
      <c r="I248" s="436"/>
      <c r="J248" s="99"/>
      <c r="K248" s="99"/>
      <c r="L248" s="396">
        <f t="shared" si="26"/>
        <v>0</v>
      </c>
    </row>
    <row r="249" spans="1:12" s="285" customFormat="1" x14ac:dyDescent="0.25">
      <c r="A249" s="344"/>
      <c r="B249" s="151"/>
      <c r="C249" s="93" t="s">
        <v>80</v>
      </c>
      <c r="D249" s="122"/>
      <c r="E249" s="98"/>
      <c r="F249" s="435"/>
      <c r="G249" s="435"/>
      <c r="H249" s="98"/>
      <c r="I249" s="435"/>
      <c r="J249" s="98"/>
      <c r="K249" s="122"/>
      <c r="L249" s="379"/>
    </row>
    <row r="250" spans="1:12" s="285" customFormat="1" x14ac:dyDescent="0.25">
      <c r="A250" s="118">
        <v>14</v>
      </c>
      <c r="B250" s="151">
        <v>1805</v>
      </c>
      <c r="C250" s="94" t="s">
        <v>81</v>
      </c>
      <c r="D250" s="122">
        <v>0</v>
      </c>
      <c r="E250" s="108"/>
      <c r="F250" s="435"/>
      <c r="G250" s="435"/>
      <c r="H250" s="98"/>
      <c r="I250" s="435"/>
      <c r="J250" s="98"/>
      <c r="K250" s="122"/>
      <c r="L250" s="390"/>
    </row>
    <row r="251" spans="1:12" s="285" customFormat="1" x14ac:dyDescent="0.25">
      <c r="A251" s="344"/>
      <c r="B251" s="151"/>
      <c r="C251" s="94"/>
      <c r="D251" s="99">
        <v>0</v>
      </c>
      <c r="E251" s="99">
        <f>E250</f>
        <v>0</v>
      </c>
      <c r="F251" s="436"/>
      <c r="G251" s="436"/>
      <c r="H251" s="99"/>
      <c r="I251" s="436"/>
      <c r="J251" s="99"/>
      <c r="K251" s="99"/>
      <c r="L251" s="396">
        <f>L250</f>
        <v>0</v>
      </c>
    </row>
    <row r="252" spans="1:12" s="285" customFormat="1" x14ac:dyDescent="0.25">
      <c r="A252" s="344"/>
      <c r="B252" s="346"/>
      <c r="C252" s="93" t="s">
        <v>192</v>
      </c>
      <c r="D252" s="442">
        <f t="shared" ref="D252:L252" si="27">SUM(D171:D251)/2</f>
        <v>-48020</v>
      </c>
      <c r="E252" s="117">
        <f t="shared" si="27"/>
        <v>-50993</v>
      </c>
      <c r="F252" s="442">
        <f>SUM(F171:F251)/2</f>
        <v>-50993</v>
      </c>
      <c r="G252" s="442">
        <f t="shared" si="27"/>
        <v>-50993</v>
      </c>
      <c r="H252" s="117">
        <f t="shared" si="27"/>
        <v>-56092.3</v>
      </c>
      <c r="I252" s="442">
        <f t="shared" si="27"/>
        <v>1940654.3466</v>
      </c>
      <c r="J252" s="442">
        <f t="shared" si="27"/>
        <v>2047390.3356630001</v>
      </c>
      <c r="K252" s="442">
        <f t="shared" si="27"/>
        <v>2155902.0234531388</v>
      </c>
      <c r="L252" s="394">
        <f t="shared" si="27"/>
        <v>0</v>
      </c>
    </row>
    <row r="253" spans="1:12" s="285" customFormat="1" x14ac:dyDescent="0.25">
      <c r="A253" s="344"/>
      <c r="B253" s="151"/>
      <c r="C253" s="94"/>
      <c r="D253" s="117"/>
      <c r="E253" s="117"/>
      <c r="F253" s="442"/>
      <c r="G253" s="442"/>
      <c r="H253" s="117"/>
      <c r="I253" s="442"/>
      <c r="J253" s="117"/>
      <c r="K253" s="117"/>
      <c r="L253" s="394"/>
    </row>
    <row r="254" spans="1:12" s="285" customFormat="1" hidden="1" x14ac:dyDescent="0.25">
      <c r="A254" s="344"/>
      <c r="B254" s="151"/>
      <c r="C254" s="145" t="s">
        <v>193</v>
      </c>
      <c r="D254" s="124"/>
      <c r="E254" s="146"/>
      <c r="F254" s="445"/>
      <c r="G254" s="445"/>
      <c r="H254" s="124"/>
      <c r="I254" s="445"/>
      <c r="J254" s="124"/>
      <c r="K254" s="124"/>
      <c r="L254" s="146"/>
    </row>
    <row r="255" spans="1:12" s="285" customFormat="1" hidden="1" x14ac:dyDescent="0.25">
      <c r="A255" s="118">
        <v>14</v>
      </c>
      <c r="B255" s="151">
        <v>1905</v>
      </c>
      <c r="C255" s="118" t="s">
        <v>194</v>
      </c>
      <c r="D255" s="127">
        <v>0</v>
      </c>
      <c r="E255" s="147"/>
      <c r="F255" s="435"/>
      <c r="G255" s="435"/>
      <c r="H255" s="98"/>
      <c r="I255" s="435"/>
      <c r="J255" s="98"/>
      <c r="K255" s="122"/>
      <c r="L255" s="147"/>
    </row>
    <row r="256" spans="1:12" s="285" customFormat="1" hidden="1" x14ac:dyDescent="0.25">
      <c r="A256" s="344"/>
      <c r="B256" s="151"/>
      <c r="C256" s="94"/>
      <c r="D256" s="117">
        <v>0</v>
      </c>
      <c r="E256" s="117">
        <f>SUM(E255)</f>
        <v>0</v>
      </c>
      <c r="F256" s="442">
        <f>SUM(F255)</f>
        <v>0</v>
      </c>
      <c r="G256" s="442">
        <v>0</v>
      </c>
      <c r="H256" s="117"/>
      <c r="I256" s="442"/>
      <c r="J256" s="117"/>
      <c r="K256" s="117"/>
      <c r="L256" s="394">
        <f>SUM(L255)</f>
        <v>0</v>
      </c>
    </row>
    <row r="257" spans="1:13" s="285" customFormat="1" x14ac:dyDescent="0.25">
      <c r="A257" s="344"/>
      <c r="B257" s="151"/>
      <c r="C257" s="93" t="s">
        <v>189</v>
      </c>
      <c r="D257" s="442">
        <f t="shared" ref="D257:L257" si="28">D252+D256</f>
        <v>-48020</v>
      </c>
      <c r="E257" s="117">
        <f t="shared" si="28"/>
        <v>-50993</v>
      </c>
      <c r="F257" s="442">
        <f>F252+F256</f>
        <v>-50993</v>
      </c>
      <c r="G257" s="442">
        <f t="shared" si="28"/>
        <v>-50993</v>
      </c>
      <c r="H257" s="117">
        <f t="shared" si="28"/>
        <v>-56092.3</v>
      </c>
      <c r="I257" s="442">
        <f>I252+I256</f>
        <v>1940654.3466</v>
      </c>
      <c r="J257" s="442">
        <f>J252+J256</f>
        <v>2047390.3356630001</v>
      </c>
      <c r="K257" s="442">
        <f>K252+K256</f>
        <v>2155902.0234531388</v>
      </c>
      <c r="L257" s="394">
        <f t="shared" si="28"/>
        <v>0</v>
      </c>
    </row>
    <row r="258" spans="1:13" s="285" customFormat="1" hidden="1" x14ac:dyDescent="0.25">
      <c r="A258" s="344"/>
      <c r="B258" s="151"/>
      <c r="C258" s="145" t="s">
        <v>195</v>
      </c>
      <c r="D258" s="124"/>
      <c r="E258" s="148"/>
      <c r="F258" s="446"/>
      <c r="G258" s="446"/>
      <c r="H258" s="125"/>
      <c r="I258" s="446"/>
      <c r="J258" s="446"/>
      <c r="K258" s="446"/>
      <c r="L258" s="148"/>
    </row>
    <row r="259" spans="1:13" s="285" customFormat="1" hidden="1" x14ac:dyDescent="0.25">
      <c r="A259" s="118">
        <v>14</v>
      </c>
      <c r="B259" s="151">
        <v>1950</v>
      </c>
      <c r="C259" s="118" t="s">
        <v>196</v>
      </c>
      <c r="D259" s="127">
        <v>0</v>
      </c>
      <c r="E259" s="147"/>
      <c r="F259" s="435"/>
      <c r="G259" s="435"/>
      <c r="H259" s="98"/>
      <c r="I259" s="435"/>
      <c r="J259" s="435"/>
      <c r="K259" s="435"/>
      <c r="L259" s="147"/>
    </row>
    <row r="260" spans="1:13" s="285" customFormat="1" hidden="1" x14ac:dyDescent="0.25">
      <c r="A260" s="344"/>
      <c r="B260" s="346"/>
      <c r="C260" s="94"/>
      <c r="D260" s="124">
        <v>0</v>
      </c>
      <c r="E260" s="124">
        <f t="shared" ref="E260:M260" si="29">E259</f>
        <v>0</v>
      </c>
      <c r="F260" s="445">
        <f t="shared" si="29"/>
        <v>0</v>
      </c>
      <c r="G260" s="445">
        <v>0</v>
      </c>
      <c r="H260" s="124">
        <f t="shared" si="29"/>
        <v>0</v>
      </c>
      <c r="I260" s="445">
        <f>I259</f>
        <v>0</v>
      </c>
      <c r="J260" s="445">
        <f>J259</f>
        <v>0</v>
      </c>
      <c r="K260" s="445">
        <f>K259</f>
        <v>0</v>
      </c>
      <c r="L260" s="124">
        <f t="shared" si="29"/>
        <v>0</v>
      </c>
      <c r="M260" s="124">
        <f t="shared" si="29"/>
        <v>0</v>
      </c>
    </row>
    <row r="261" spans="1:13" s="285" customFormat="1" x14ac:dyDescent="0.25">
      <c r="A261" s="348"/>
      <c r="B261" s="351"/>
      <c r="C261" s="93" t="s">
        <v>197</v>
      </c>
      <c r="D261" s="448">
        <f t="shared" ref="D261:M261" si="30">D257+D260</f>
        <v>-48020</v>
      </c>
      <c r="E261" s="160">
        <f t="shared" si="30"/>
        <v>-50993</v>
      </c>
      <c r="F261" s="448">
        <f>F257+F260</f>
        <v>-50993</v>
      </c>
      <c r="G261" s="448">
        <f t="shared" si="30"/>
        <v>-50993</v>
      </c>
      <c r="H261" s="160">
        <f t="shared" si="30"/>
        <v>-56092.3</v>
      </c>
      <c r="I261" s="448">
        <f>I257+I260</f>
        <v>1940654.3466</v>
      </c>
      <c r="J261" s="448">
        <f>J257+J260</f>
        <v>2047390.3356630001</v>
      </c>
      <c r="K261" s="448">
        <f>K257+K260</f>
        <v>2155902.0234531388</v>
      </c>
      <c r="L261" s="160">
        <f t="shared" si="30"/>
        <v>0</v>
      </c>
      <c r="M261" s="160">
        <f t="shared" si="30"/>
        <v>0</v>
      </c>
    </row>
    <row r="262" spans="1:13" s="285" customFormat="1" x14ac:dyDescent="0.25">
      <c r="A262" s="349"/>
      <c r="B262" s="154"/>
      <c r="C262" s="126" t="s">
        <v>82</v>
      </c>
      <c r="D262" s="448">
        <f t="shared" ref="D262:M262" si="31">D261-D165</f>
        <v>-2467532</v>
      </c>
      <c r="E262" s="160">
        <f t="shared" si="31"/>
        <v>-2226876</v>
      </c>
      <c r="F262" s="448">
        <f t="shared" si="31"/>
        <v>-2337868</v>
      </c>
      <c r="G262" s="448">
        <f t="shared" si="31"/>
        <v>-2237868</v>
      </c>
      <c r="H262" s="160">
        <f t="shared" si="31"/>
        <v>-2927735.8999999994</v>
      </c>
      <c r="I262" s="448">
        <f>I261-I165</f>
        <v>21961.517800000031</v>
      </c>
      <c r="J262" s="448">
        <f>J261-J165</f>
        <v>31609.4012790001</v>
      </c>
      <c r="K262" s="448">
        <f>K261-K165</f>
        <v>33284.699546786956</v>
      </c>
      <c r="L262" s="160">
        <f t="shared" si="31"/>
        <v>0</v>
      </c>
      <c r="M262" s="160">
        <f t="shared" si="31"/>
        <v>0</v>
      </c>
    </row>
    <row r="263" spans="1:13" s="285" customFormat="1" x14ac:dyDescent="0.25">
      <c r="G263" s="468"/>
      <c r="I263" s="468"/>
    </row>
    <row r="264" spans="1:13" s="285" customFormat="1" x14ac:dyDescent="0.25">
      <c r="G264" s="468"/>
      <c r="I264" s="468"/>
      <c r="J264" s="285">
        <v>2</v>
      </c>
    </row>
    <row r="265" spans="1:13" x14ac:dyDescent="0.25">
      <c r="B265" s="96"/>
      <c r="K265" s="96"/>
    </row>
    <row r="266" spans="1:13" x14ac:dyDescent="0.25">
      <c r="B266" s="96"/>
      <c r="K266" s="96"/>
    </row>
    <row r="267" spans="1:13" x14ac:dyDescent="0.25">
      <c r="A267" s="109"/>
      <c r="B267" s="96"/>
      <c r="K267" s="96"/>
    </row>
    <row r="268" spans="1:13" x14ac:dyDescent="0.25">
      <c r="B268" s="96"/>
      <c r="K268" s="96"/>
    </row>
  </sheetData>
  <mergeCells count="5">
    <mergeCell ref="A4:B5"/>
    <mergeCell ref="A169:B170"/>
    <mergeCell ref="A2:K2"/>
    <mergeCell ref="A3:D3"/>
    <mergeCell ref="A168:C168"/>
  </mergeCells>
  <phoneticPr fontId="0" type="noConversion"/>
  <pageMargins left="0.25" right="0.25" top="0.75" bottom="0.75" header="0.3" footer="0.3"/>
  <pageSetup scale="73" fitToHeight="0" orientation="portrait" r:id="rId1"/>
  <headerFooter alignWithMargins="0"/>
  <colBreaks count="1" manualBreakCount="1">
    <brk id="16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0000"/>
    <pageSetUpPr fitToPage="1"/>
  </sheetPr>
  <dimension ref="A1:K268"/>
  <sheetViews>
    <sheetView view="pageBreakPreview" topLeftCell="A39" zoomScaleSheetLayoutView="100" workbookViewId="0">
      <selection activeCell="I161" sqref="I161:K161"/>
    </sheetView>
  </sheetViews>
  <sheetFormatPr defaultColWidth="9.109375" defaultRowHeight="13.2" x14ac:dyDescent="0.25"/>
  <cols>
    <col min="1" max="1" width="3.33203125" style="434" customWidth="1"/>
    <col min="2" max="2" width="9" style="131" customWidth="1"/>
    <col min="3" max="3" width="38.109375" style="434" customWidth="1"/>
    <col min="4" max="4" width="15" style="434" customWidth="1"/>
    <col min="5" max="5" width="15.88671875" style="434" customWidth="1"/>
    <col min="6" max="9" width="16.33203125" style="434" customWidth="1"/>
    <col min="10" max="11" width="12.88671875" style="434" customWidth="1"/>
    <col min="12" max="16384" width="9.109375" style="434"/>
  </cols>
  <sheetData>
    <row r="1" spans="1:11" ht="12.75" customHeight="1" x14ac:dyDescent="0.25">
      <c r="A1" s="937" t="s">
        <v>354</v>
      </c>
      <c r="B1" s="938"/>
      <c r="C1" s="938"/>
      <c r="D1" s="938"/>
      <c r="E1" s="938"/>
      <c r="F1" s="938"/>
      <c r="G1" s="938"/>
      <c r="H1" s="938"/>
      <c r="I1" s="938"/>
      <c r="J1" s="938"/>
      <c r="K1" s="953"/>
    </row>
    <row r="2" spans="1:11" ht="12.75" customHeight="1" x14ac:dyDescent="0.25">
      <c r="A2" s="552"/>
      <c r="B2" s="553"/>
      <c r="C2" s="553"/>
      <c r="D2" s="553" t="s">
        <v>890</v>
      </c>
      <c r="E2" s="553"/>
      <c r="F2" s="553"/>
      <c r="G2" s="553"/>
      <c r="H2" s="553"/>
      <c r="I2" s="553"/>
      <c r="J2" s="553"/>
      <c r="K2" s="554"/>
    </row>
    <row r="3" spans="1:11" s="468" customFormat="1" x14ac:dyDescent="0.25">
      <c r="A3" s="941" t="s">
        <v>415</v>
      </c>
      <c r="B3" s="942"/>
      <c r="C3" s="943"/>
      <c r="D3" s="149"/>
      <c r="E3" s="548"/>
      <c r="F3" s="548"/>
      <c r="G3" s="563"/>
      <c r="H3" s="548"/>
      <c r="I3" s="581"/>
      <c r="J3" s="548"/>
      <c r="K3" s="549"/>
    </row>
    <row r="4" spans="1:11" s="468" customFormat="1" x14ac:dyDescent="0.25">
      <c r="A4" s="944" t="s">
        <v>21</v>
      </c>
      <c r="B4" s="945"/>
      <c r="C4" s="150" t="s">
        <v>22</v>
      </c>
      <c r="D4" s="103" t="s">
        <v>23</v>
      </c>
      <c r="E4" s="104" t="s">
        <v>24</v>
      </c>
      <c r="F4" s="103" t="s">
        <v>535</v>
      </c>
      <c r="G4" s="103" t="s">
        <v>413</v>
      </c>
      <c r="H4" s="104" t="s">
        <v>24</v>
      </c>
      <c r="I4" s="583" t="s">
        <v>24</v>
      </c>
      <c r="J4" s="583" t="s">
        <v>24</v>
      </c>
      <c r="K4" s="583" t="s">
        <v>24</v>
      </c>
    </row>
    <row r="5" spans="1:11" s="468" customFormat="1" x14ac:dyDescent="0.25">
      <c r="A5" s="946"/>
      <c r="B5" s="947"/>
      <c r="C5" s="106"/>
      <c r="D5" s="333" t="s">
        <v>257</v>
      </c>
      <c r="E5" s="107" t="s">
        <v>382</v>
      </c>
      <c r="F5" s="107" t="s">
        <v>382</v>
      </c>
      <c r="G5" s="107" t="s">
        <v>382</v>
      </c>
      <c r="H5" s="107" t="s">
        <v>407</v>
      </c>
      <c r="I5" s="586" t="s">
        <v>414</v>
      </c>
      <c r="J5" s="586" t="s">
        <v>530</v>
      </c>
      <c r="K5" s="586" t="s">
        <v>886</v>
      </c>
    </row>
    <row r="6" spans="1:11" s="468" customFormat="1" x14ac:dyDescent="0.25">
      <c r="A6" s="344"/>
      <c r="B6" s="151"/>
      <c r="C6" s="93" t="s">
        <v>33</v>
      </c>
      <c r="D6" s="428"/>
      <c r="E6" s="428"/>
      <c r="F6" s="428"/>
      <c r="G6" s="428"/>
      <c r="H6" s="428"/>
      <c r="I6" s="428"/>
      <c r="J6" s="428"/>
      <c r="K6" s="428"/>
    </row>
    <row r="7" spans="1:11" s="468" customFormat="1" x14ac:dyDescent="0.25">
      <c r="A7" s="118">
        <v>16</v>
      </c>
      <c r="B7" s="155">
        <v>5005</v>
      </c>
      <c r="C7" s="94" t="s">
        <v>241</v>
      </c>
      <c r="D7" s="428"/>
      <c r="E7" s="428">
        <v>7500</v>
      </c>
      <c r="F7" s="428">
        <v>7500</v>
      </c>
      <c r="G7" s="428">
        <v>7500</v>
      </c>
      <c r="H7" s="428">
        <f t="shared" ref="H7:H17" si="0">(F7*0.068)+F7</f>
        <v>8010</v>
      </c>
      <c r="I7" s="428">
        <f>+H7*1.058</f>
        <v>8474.58</v>
      </c>
      <c r="J7" s="428">
        <f>+I7*1.055</f>
        <v>8940.6818999999996</v>
      </c>
      <c r="K7" s="428">
        <f>+J7*1.053</f>
        <v>9414.5380406999993</v>
      </c>
    </row>
    <row r="8" spans="1:11" s="468" customFormat="1" hidden="1" x14ac:dyDescent="0.25">
      <c r="A8" s="118">
        <v>16</v>
      </c>
      <c r="B8" s="151">
        <v>5010</v>
      </c>
      <c r="C8" s="94" t="s">
        <v>34</v>
      </c>
      <c r="D8" s="428"/>
      <c r="E8" s="428"/>
      <c r="F8" s="428"/>
      <c r="G8" s="428"/>
      <c r="H8" s="428">
        <f t="shared" si="0"/>
        <v>0</v>
      </c>
      <c r="I8" s="428">
        <f t="shared" ref="I8:I17" si="1">+H8*1.058</f>
        <v>0</v>
      </c>
      <c r="J8" s="428">
        <f t="shared" ref="J8:J17" si="2">+I8*1.055</f>
        <v>0</v>
      </c>
      <c r="K8" s="428">
        <f t="shared" ref="K8:K17" si="3">+J8*1.053</f>
        <v>0</v>
      </c>
    </row>
    <row r="9" spans="1:11" s="468" customFormat="1" hidden="1" x14ac:dyDescent="0.25">
      <c r="A9" s="118">
        <v>16</v>
      </c>
      <c r="B9" s="151">
        <v>5015</v>
      </c>
      <c r="C9" s="94" t="s">
        <v>35</v>
      </c>
      <c r="D9" s="428"/>
      <c r="E9" s="428"/>
      <c r="F9" s="428"/>
      <c r="G9" s="428"/>
      <c r="H9" s="428">
        <f t="shared" si="0"/>
        <v>0</v>
      </c>
      <c r="I9" s="428">
        <f t="shared" si="1"/>
        <v>0</v>
      </c>
      <c r="J9" s="428">
        <f t="shared" si="2"/>
        <v>0</v>
      </c>
      <c r="K9" s="428">
        <f t="shared" si="3"/>
        <v>0</v>
      </c>
    </row>
    <row r="10" spans="1:11" s="468" customFormat="1" x14ac:dyDescent="0.25">
      <c r="A10" s="118">
        <v>16</v>
      </c>
      <c r="B10" s="151">
        <v>5020</v>
      </c>
      <c r="C10" s="94" t="s">
        <v>350</v>
      </c>
      <c r="D10" s="428">
        <v>697000</v>
      </c>
      <c r="E10" s="428">
        <v>623000</v>
      </c>
      <c r="F10" s="428">
        <v>623000</v>
      </c>
      <c r="G10" s="428">
        <v>623000</v>
      </c>
      <c r="H10" s="428">
        <f t="shared" si="0"/>
        <v>665364</v>
      </c>
      <c r="I10" s="428">
        <f t="shared" si="1"/>
        <v>703955.11200000008</v>
      </c>
      <c r="J10" s="428">
        <f t="shared" si="2"/>
        <v>742672.64316000009</v>
      </c>
      <c r="K10" s="428">
        <f t="shared" si="3"/>
        <v>782034.29324748006</v>
      </c>
    </row>
    <row r="11" spans="1:11" s="468" customFormat="1" hidden="1" x14ac:dyDescent="0.25">
      <c r="A11" s="118">
        <v>16</v>
      </c>
      <c r="B11" s="151">
        <v>5020</v>
      </c>
      <c r="C11" s="94" t="s">
        <v>36</v>
      </c>
      <c r="D11" s="428"/>
      <c r="E11" s="428"/>
      <c r="F11" s="428"/>
      <c r="G11" s="428"/>
      <c r="H11" s="428">
        <f t="shared" si="0"/>
        <v>0</v>
      </c>
      <c r="I11" s="428">
        <f t="shared" si="1"/>
        <v>0</v>
      </c>
      <c r="J11" s="428">
        <f t="shared" si="2"/>
        <v>0</v>
      </c>
      <c r="K11" s="428">
        <f t="shared" si="3"/>
        <v>0</v>
      </c>
    </row>
    <row r="12" spans="1:11" s="468" customFormat="1" hidden="1" x14ac:dyDescent="0.25">
      <c r="A12" s="118">
        <v>16</v>
      </c>
      <c r="B12" s="151">
        <v>5020</v>
      </c>
      <c r="C12" s="94" t="s">
        <v>85</v>
      </c>
      <c r="D12" s="428"/>
      <c r="E12" s="428"/>
      <c r="F12" s="428"/>
      <c r="G12" s="428"/>
      <c r="H12" s="428">
        <f t="shared" si="0"/>
        <v>0</v>
      </c>
      <c r="I12" s="428">
        <f t="shared" si="1"/>
        <v>0</v>
      </c>
      <c r="J12" s="428">
        <f t="shared" si="2"/>
        <v>0</v>
      </c>
      <c r="K12" s="428">
        <f t="shared" si="3"/>
        <v>0</v>
      </c>
    </row>
    <row r="13" spans="1:11" s="468" customFormat="1" hidden="1" x14ac:dyDescent="0.25">
      <c r="A13" s="118">
        <v>16</v>
      </c>
      <c r="B13" s="151">
        <v>5020</v>
      </c>
      <c r="C13" s="94" t="s">
        <v>84</v>
      </c>
      <c r="D13" s="428"/>
      <c r="E13" s="428"/>
      <c r="F13" s="428"/>
      <c r="G13" s="428"/>
      <c r="H13" s="428">
        <f t="shared" si="0"/>
        <v>0</v>
      </c>
      <c r="I13" s="428">
        <f t="shared" si="1"/>
        <v>0</v>
      </c>
      <c r="J13" s="428">
        <f t="shared" si="2"/>
        <v>0</v>
      </c>
      <c r="K13" s="428">
        <f t="shared" si="3"/>
        <v>0</v>
      </c>
    </row>
    <row r="14" spans="1:11" s="468" customFormat="1" x14ac:dyDescent="0.25">
      <c r="A14" s="118">
        <v>16</v>
      </c>
      <c r="B14" s="151">
        <v>5040</v>
      </c>
      <c r="C14" s="94" t="s">
        <v>37</v>
      </c>
      <c r="D14" s="428">
        <v>202600</v>
      </c>
      <c r="E14" s="428">
        <v>461000</v>
      </c>
      <c r="F14" s="428">
        <v>461000</v>
      </c>
      <c r="G14" s="428">
        <v>461000</v>
      </c>
      <c r="H14" s="428">
        <f t="shared" si="0"/>
        <v>492348</v>
      </c>
      <c r="I14" s="428">
        <f t="shared" si="1"/>
        <v>520904.18400000001</v>
      </c>
      <c r="J14" s="428">
        <f t="shared" si="2"/>
        <v>549553.91411999997</v>
      </c>
      <c r="K14" s="428">
        <f t="shared" si="3"/>
        <v>578680.27156835992</v>
      </c>
    </row>
    <row r="15" spans="1:11" s="468" customFormat="1" hidden="1" x14ac:dyDescent="0.25">
      <c r="A15" s="118">
        <v>16</v>
      </c>
      <c r="B15" s="151">
        <v>5045</v>
      </c>
      <c r="C15" s="94" t="s">
        <v>38</v>
      </c>
      <c r="D15" s="428"/>
      <c r="E15" s="428"/>
      <c r="F15" s="428"/>
      <c r="G15" s="428"/>
      <c r="H15" s="428">
        <f t="shared" si="0"/>
        <v>0</v>
      </c>
      <c r="I15" s="428">
        <f t="shared" si="1"/>
        <v>0</v>
      </c>
      <c r="J15" s="428">
        <f t="shared" si="2"/>
        <v>0</v>
      </c>
      <c r="K15" s="428">
        <f t="shared" si="3"/>
        <v>0</v>
      </c>
    </row>
    <row r="16" spans="1:11" s="468" customFormat="1" hidden="1" x14ac:dyDescent="0.25">
      <c r="A16" s="118">
        <v>16</v>
      </c>
      <c r="B16" s="151">
        <v>5050</v>
      </c>
      <c r="C16" s="94" t="s">
        <v>83</v>
      </c>
      <c r="D16" s="428">
        <v>31000</v>
      </c>
      <c r="E16" s="428">
        <v>0</v>
      </c>
      <c r="F16" s="428">
        <v>0</v>
      </c>
      <c r="G16" s="428">
        <v>0</v>
      </c>
      <c r="H16" s="428">
        <f t="shared" si="0"/>
        <v>0</v>
      </c>
      <c r="I16" s="428">
        <f t="shared" si="1"/>
        <v>0</v>
      </c>
      <c r="J16" s="428">
        <f t="shared" si="2"/>
        <v>0</v>
      </c>
      <c r="K16" s="428">
        <f t="shared" si="3"/>
        <v>0</v>
      </c>
    </row>
    <row r="17" spans="1:11" s="468" customFormat="1" x14ac:dyDescent="0.25">
      <c r="A17" s="118">
        <v>16</v>
      </c>
      <c r="B17" s="151">
        <v>5055</v>
      </c>
      <c r="C17" s="94" t="s">
        <v>39</v>
      </c>
      <c r="D17" s="428">
        <v>3594800</v>
      </c>
      <c r="E17" s="428">
        <v>4178000</v>
      </c>
      <c r="F17" s="428">
        <v>4178000</v>
      </c>
      <c r="G17" s="428">
        <v>5058000</v>
      </c>
      <c r="H17" s="428">
        <f t="shared" si="0"/>
        <v>4462104</v>
      </c>
      <c r="I17" s="428">
        <f t="shared" si="1"/>
        <v>4720906.0320000006</v>
      </c>
      <c r="J17" s="428">
        <f t="shared" si="2"/>
        <v>4980555.8637600001</v>
      </c>
      <c r="K17" s="428">
        <f t="shared" si="3"/>
        <v>5244525.3245392796</v>
      </c>
    </row>
    <row r="18" spans="1:11" s="468" customFormat="1" x14ac:dyDescent="0.25">
      <c r="A18" s="344"/>
      <c r="B18" s="151"/>
      <c r="C18" s="94"/>
      <c r="D18" s="429">
        <f t="shared" ref="D18:K18" si="4">SUM(D7:D17)</f>
        <v>4525400</v>
      </c>
      <c r="E18" s="429">
        <f t="shared" si="4"/>
        <v>5269500</v>
      </c>
      <c r="F18" s="429">
        <f t="shared" si="4"/>
        <v>5269500</v>
      </c>
      <c r="G18" s="429">
        <f t="shared" si="4"/>
        <v>6149500</v>
      </c>
      <c r="H18" s="429">
        <f t="shared" si="4"/>
        <v>5627826</v>
      </c>
      <c r="I18" s="429">
        <f t="shared" si="4"/>
        <v>5954239.9080000008</v>
      </c>
      <c r="J18" s="429">
        <f t="shared" si="4"/>
        <v>6281723.1029400006</v>
      </c>
      <c r="K18" s="429">
        <f t="shared" si="4"/>
        <v>6614654.4273958197</v>
      </c>
    </row>
    <row r="19" spans="1:11" s="468" customFormat="1" x14ac:dyDescent="0.25">
      <c r="A19" s="344"/>
      <c r="B19" s="151"/>
      <c r="C19" s="93" t="s">
        <v>40</v>
      </c>
      <c r="D19" s="428"/>
      <c r="E19" s="86"/>
      <c r="F19" s="86"/>
      <c r="G19" s="86"/>
      <c r="H19" s="86"/>
      <c r="I19" s="86"/>
      <c r="J19" s="86"/>
      <c r="K19" s="428"/>
    </row>
    <row r="20" spans="1:11" s="468" customFormat="1" x14ac:dyDescent="0.25">
      <c r="A20" s="118">
        <v>16</v>
      </c>
      <c r="B20" s="151">
        <v>5105</v>
      </c>
      <c r="C20" s="94" t="s">
        <v>41</v>
      </c>
      <c r="D20" s="428">
        <v>282400</v>
      </c>
      <c r="E20" s="428">
        <v>291000</v>
      </c>
      <c r="F20" s="428">
        <v>291000</v>
      </c>
      <c r="G20" s="428">
        <v>291000</v>
      </c>
      <c r="H20" s="428">
        <f>(F20*0.068)+F20</f>
        <v>310788</v>
      </c>
      <c r="I20" s="428">
        <f>+H20*1.058</f>
        <v>328813.70400000003</v>
      </c>
      <c r="J20" s="428">
        <f>+I20*1.055</f>
        <v>346898.45772000001</v>
      </c>
      <c r="K20" s="428">
        <f>+J20*1.053</f>
        <v>365284.07597915997</v>
      </c>
    </row>
    <row r="21" spans="1:11" s="468" customFormat="1" x14ac:dyDescent="0.25">
      <c r="A21" s="118">
        <v>16</v>
      </c>
      <c r="B21" s="151">
        <v>5115</v>
      </c>
      <c r="C21" s="94" t="s">
        <v>42</v>
      </c>
      <c r="D21" s="428">
        <v>69100</v>
      </c>
      <c r="E21" s="428">
        <v>189000</v>
      </c>
      <c r="F21" s="428">
        <v>189000</v>
      </c>
      <c r="G21" s="428">
        <v>189000</v>
      </c>
      <c r="H21" s="428">
        <f>(F21*0.068)+F21</f>
        <v>201852</v>
      </c>
      <c r="I21" s="428">
        <f>+H21*1.058</f>
        <v>213559.416</v>
      </c>
      <c r="J21" s="428">
        <f>+I21*1.055</f>
        <v>225305.18388</v>
      </c>
      <c r="K21" s="428">
        <f>+J21*1.053</f>
        <v>237246.35862563999</v>
      </c>
    </row>
    <row r="22" spans="1:11" s="468" customFormat="1" x14ac:dyDescent="0.25">
      <c r="A22" s="118">
        <v>16</v>
      </c>
      <c r="B22" s="151">
        <v>5120</v>
      </c>
      <c r="C22" s="94" t="s">
        <v>43</v>
      </c>
      <c r="D22" s="428">
        <v>182600</v>
      </c>
      <c r="E22" s="428">
        <v>241000</v>
      </c>
      <c r="F22" s="428">
        <v>241000</v>
      </c>
      <c r="G22" s="428">
        <v>241000</v>
      </c>
      <c r="H22" s="428">
        <f>(F22*0.068)+F22</f>
        <v>257388</v>
      </c>
      <c r="I22" s="428">
        <f>+H22*1.058</f>
        <v>272316.50400000002</v>
      </c>
      <c r="J22" s="428">
        <f>+I22*1.055</f>
        <v>287293.91171999997</v>
      </c>
      <c r="K22" s="428">
        <f>+J22*1.053</f>
        <v>302520.48904115998</v>
      </c>
    </row>
    <row r="23" spans="1:11" s="468" customFormat="1" x14ac:dyDescent="0.25">
      <c r="A23" s="118">
        <v>16</v>
      </c>
      <c r="B23" s="151">
        <v>5125</v>
      </c>
      <c r="C23" s="94" t="s">
        <v>44</v>
      </c>
      <c r="D23" s="428">
        <v>0</v>
      </c>
      <c r="E23" s="428"/>
      <c r="F23" s="428"/>
      <c r="G23" s="428"/>
      <c r="H23" s="428">
        <f>(F23*0.068)+F23</f>
        <v>0</v>
      </c>
      <c r="I23" s="428">
        <f>+H23*1.058</f>
        <v>0</v>
      </c>
      <c r="J23" s="428">
        <f>+I23*1.055</f>
        <v>0</v>
      </c>
      <c r="K23" s="428">
        <f>+J23*1.053</f>
        <v>0</v>
      </c>
    </row>
    <row r="24" spans="1:11" s="468" customFormat="1" x14ac:dyDescent="0.25">
      <c r="A24" s="118">
        <v>16</v>
      </c>
      <c r="B24" s="151">
        <v>5130</v>
      </c>
      <c r="C24" s="94" t="s">
        <v>45</v>
      </c>
      <c r="D24" s="428">
        <v>27000</v>
      </c>
      <c r="E24" s="428">
        <v>31200</v>
      </c>
      <c r="F24" s="428">
        <v>31200</v>
      </c>
      <c r="G24" s="428">
        <v>31200</v>
      </c>
      <c r="H24" s="428">
        <f>(F24*0.068)+F24</f>
        <v>33321.599999999999</v>
      </c>
      <c r="I24" s="428">
        <f>+H24*1.058</f>
        <v>35254.252800000002</v>
      </c>
      <c r="J24" s="428">
        <f>+I24*1.055</f>
        <v>37193.236704000003</v>
      </c>
      <c r="K24" s="428">
        <f>+J24*1.053</f>
        <v>39164.478249312</v>
      </c>
    </row>
    <row r="25" spans="1:11" s="468" customFormat="1" x14ac:dyDescent="0.25">
      <c r="A25" s="344"/>
      <c r="B25" s="151"/>
      <c r="C25" s="94"/>
      <c r="D25" s="429">
        <f t="shared" ref="D25:K25" si="5">SUM(D20:D24)</f>
        <v>561100</v>
      </c>
      <c r="E25" s="429">
        <f t="shared" si="5"/>
        <v>752200</v>
      </c>
      <c r="F25" s="429">
        <f t="shared" si="5"/>
        <v>752200</v>
      </c>
      <c r="G25" s="429">
        <f t="shared" si="5"/>
        <v>752200</v>
      </c>
      <c r="H25" s="429">
        <f t="shared" si="5"/>
        <v>803349.6</v>
      </c>
      <c r="I25" s="429">
        <f t="shared" si="5"/>
        <v>849943.87680000009</v>
      </c>
      <c r="J25" s="429">
        <f t="shared" si="5"/>
        <v>896690.79002399999</v>
      </c>
      <c r="K25" s="429">
        <f t="shared" si="5"/>
        <v>944215.40189527196</v>
      </c>
    </row>
    <row r="26" spans="1:11" s="468" customFormat="1" hidden="1" x14ac:dyDescent="0.25">
      <c r="A26" s="344"/>
      <c r="B26" s="151"/>
      <c r="C26" s="93" t="s">
        <v>46</v>
      </c>
      <c r="D26" s="428"/>
      <c r="E26" s="86"/>
      <c r="F26" s="86"/>
      <c r="G26" s="86"/>
      <c r="H26" s="86"/>
      <c r="I26" s="86"/>
      <c r="J26" s="86"/>
      <c r="K26" s="428"/>
    </row>
    <row r="27" spans="1:11" s="468" customFormat="1" hidden="1" x14ac:dyDescent="0.25">
      <c r="A27" s="344"/>
      <c r="B27" s="151"/>
      <c r="C27" s="93" t="s">
        <v>47</v>
      </c>
      <c r="D27" s="428"/>
      <c r="E27" s="86"/>
      <c r="F27" s="86"/>
      <c r="G27" s="86"/>
      <c r="H27" s="86"/>
      <c r="I27" s="86"/>
      <c r="J27" s="86"/>
      <c r="K27" s="428"/>
    </row>
    <row r="28" spans="1:11" s="468" customFormat="1" hidden="1" x14ac:dyDescent="0.25">
      <c r="A28" s="118">
        <v>16</v>
      </c>
      <c r="B28" s="151">
        <v>5150</v>
      </c>
      <c r="C28" s="94" t="s">
        <v>48</v>
      </c>
      <c r="D28" s="428"/>
      <c r="E28" s="428"/>
      <c r="F28" s="428">
        <f>0/8*12</f>
        <v>0</v>
      </c>
      <c r="G28" s="428">
        <v>0</v>
      </c>
      <c r="H28" s="428"/>
      <c r="I28" s="428"/>
      <c r="J28" s="428"/>
      <c r="K28" s="428"/>
    </row>
    <row r="29" spans="1:11" s="468" customFormat="1" hidden="1" x14ac:dyDescent="0.25">
      <c r="A29" s="344"/>
      <c r="B29" s="151"/>
      <c r="C29" s="94"/>
      <c r="D29" s="429"/>
      <c r="E29" s="429">
        <f>E28</f>
        <v>0</v>
      </c>
      <c r="F29" s="429">
        <f>F28</f>
        <v>0</v>
      </c>
      <c r="G29" s="429">
        <v>0</v>
      </c>
      <c r="H29" s="429"/>
      <c r="I29" s="429"/>
      <c r="J29" s="429"/>
      <c r="K29" s="429"/>
    </row>
    <row r="30" spans="1:11" s="468" customFormat="1" hidden="1" x14ac:dyDescent="0.25">
      <c r="A30" s="344"/>
      <c r="B30" s="151"/>
      <c r="C30" s="93" t="s">
        <v>49</v>
      </c>
      <c r="D30" s="428"/>
      <c r="E30" s="86"/>
      <c r="F30" s="86"/>
      <c r="G30" s="86"/>
      <c r="H30" s="86"/>
      <c r="I30" s="86"/>
      <c r="J30" s="86"/>
      <c r="K30" s="428"/>
    </row>
    <row r="31" spans="1:11" s="468" customFormat="1" hidden="1" x14ac:dyDescent="0.25">
      <c r="A31" s="118">
        <v>16</v>
      </c>
      <c r="B31" s="151">
        <v>5170</v>
      </c>
      <c r="C31" s="94" t="s">
        <v>341</v>
      </c>
      <c r="D31" s="425"/>
      <c r="E31" s="425"/>
      <c r="F31" s="425"/>
      <c r="G31" s="428">
        <v>0</v>
      </c>
      <c r="H31" s="428"/>
      <c r="I31" s="428"/>
      <c r="J31" s="428"/>
      <c r="K31" s="428"/>
    </row>
    <row r="32" spans="1:11" s="468" customFormat="1" hidden="1" x14ac:dyDescent="0.25">
      <c r="A32" s="344"/>
      <c r="B32" s="151"/>
      <c r="C32" s="94"/>
      <c r="D32" s="429"/>
      <c r="E32" s="429"/>
      <c r="F32" s="429"/>
      <c r="G32" s="429"/>
      <c r="H32" s="429"/>
      <c r="I32" s="429"/>
      <c r="J32" s="429"/>
      <c r="K32" s="429"/>
    </row>
    <row r="33" spans="1:11" s="468" customFormat="1" hidden="1" x14ac:dyDescent="0.25">
      <c r="A33" s="344"/>
      <c r="B33" s="151"/>
      <c r="C33" s="93" t="s">
        <v>50</v>
      </c>
      <c r="D33" s="428"/>
      <c r="E33" s="86"/>
      <c r="F33" s="86"/>
      <c r="G33" s="86"/>
      <c r="H33" s="86"/>
      <c r="I33" s="86"/>
      <c r="J33" s="86"/>
      <c r="K33" s="428"/>
    </row>
    <row r="34" spans="1:11" s="468" customFormat="1" hidden="1" x14ac:dyDescent="0.25">
      <c r="A34" s="118">
        <v>16</v>
      </c>
      <c r="B34" s="151">
        <v>5180</v>
      </c>
      <c r="C34" s="94" t="s">
        <v>51</v>
      </c>
      <c r="D34" s="428"/>
      <c r="E34" s="425"/>
      <c r="F34" s="428">
        <f>0/8*12</f>
        <v>0</v>
      </c>
      <c r="G34" s="428">
        <v>0</v>
      </c>
      <c r="H34" s="428"/>
      <c r="I34" s="428"/>
      <c r="J34" s="428"/>
      <c r="K34" s="425"/>
    </row>
    <row r="35" spans="1:11" s="468" customFormat="1" hidden="1" x14ac:dyDescent="0.25">
      <c r="A35" s="344"/>
      <c r="B35" s="151"/>
      <c r="C35" s="94"/>
      <c r="D35" s="429"/>
      <c r="E35" s="429">
        <f>SUM(E34)</f>
        <v>0</v>
      </c>
      <c r="F35" s="429">
        <f>SUM(F34)</f>
        <v>0</v>
      </c>
      <c r="G35" s="429">
        <v>0</v>
      </c>
      <c r="H35" s="429"/>
      <c r="I35" s="429"/>
      <c r="J35" s="429"/>
      <c r="K35" s="429"/>
    </row>
    <row r="36" spans="1:11" s="468" customFormat="1" hidden="1" x14ac:dyDescent="0.25">
      <c r="A36" s="344"/>
      <c r="B36" s="151"/>
      <c r="C36" s="93" t="s">
        <v>52</v>
      </c>
      <c r="D36" s="428"/>
      <c r="E36" s="86"/>
      <c r="F36" s="86"/>
      <c r="G36" s="86"/>
      <c r="H36" s="86"/>
      <c r="I36" s="86"/>
      <c r="J36" s="86"/>
      <c r="K36" s="428"/>
    </row>
    <row r="37" spans="1:11" s="468" customFormat="1" hidden="1" x14ac:dyDescent="0.25">
      <c r="A37" s="118">
        <v>16</v>
      </c>
      <c r="B37" s="151">
        <v>5190</v>
      </c>
      <c r="C37" s="94" t="s">
        <v>53</v>
      </c>
      <c r="D37" s="428"/>
      <c r="E37" s="425"/>
      <c r="F37" s="428">
        <f>0/8*12</f>
        <v>0</v>
      </c>
      <c r="G37" s="428">
        <v>0</v>
      </c>
      <c r="H37" s="428"/>
      <c r="I37" s="428"/>
      <c r="J37" s="428"/>
      <c r="K37" s="428"/>
    </row>
    <row r="38" spans="1:11" s="468" customFormat="1" hidden="1" x14ac:dyDescent="0.25">
      <c r="A38" s="344"/>
      <c r="B38" s="151"/>
      <c r="C38" s="94"/>
      <c r="D38" s="429"/>
      <c r="E38" s="429">
        <f>E37</f>
        <v>0</v>
      </c>
      <c r="F38" s="429">
        <f>F37</f>
        <v>0</v>
      </c>
      <c r="G38" s="429">
        <v>0</v>
      </c>
      <c r="H38" s="429"/>
      <c r="I38" s="429"/>
      <c r="J38" s="429"/>
      <c r="K38" s="429"/>
    </row>
    <row r="39" spans="1:11" s="468" customFormat="1" x14ac:dyDescent="0.25">
      <c r="A39" s="344"/>
      <c r="B39" s="151"/>
      <c r="C39" s="93" t="s">
        <v>54</v>
      </c>
      <c r="D39" s="428"/>
      <c r="E39" s="86"/>
      <c r="F39" s="86"/>
      <c r="G39" s="86"/>
      <c r="H39" s="86"/>
      <c r="I39" s="86"/>
      <c r="J39" s="86"/>
      <c r="K39" s="428"/>
    </row>
    <row r="40" spans="1:11" s="468" customFormat="1" x14ac:dyDescent="0.25">
      <c r="A40" s="118">
        <v>16</v>
      </c>
      <c r="B40" s="151">
        <v>5200</v>
      </c>
      <c r="C40" s="94" t="s">
        <v>55</v>
      </c>
      <c r="D40" s="428"/>
      <c r="E40" s="425"/>
      <c r="F40" s="428">
        <f t="shared" ref="F40:F58" si="6">0/8*12</f>
        <v>0</v>
      </c>
      <c r="G40" s="428">
        <v>0</v>
      </c>
      <c r="H40" s="428"/>
      <c r="I40" s="428"/>
      <c r="J40" s="428"/>
      <c r="K40" s="428"/>
    </row>
    <row r="41" spans="1:11" s="468" customFormat="1" x14ac:dyDescent="0.25">
      <c r="A41" s="118">
        <v>16</v>
      </c>
      <c r="B41" s="151">
        <v>5205</v>
      </c>
      <c r="C41" s="94" t="s">
        <v>56</v>
      </c>
      <c r="D41" s="428"/>
      <c r="E41" s="425"/>
      <c r="F41" s="428">
        <f t="shared" si="6"/>
        <v>0</v>
      </c>
      <c r="G41" s="428">
        <v>0</v>
      </c>
      <c r="H41" s="428"/>
      <c r="I41" s="428"/>
      <c r="J41" s="428"/>
      <c r="K41" s="428"/>
    </row>
    <row r="42" spans="1:11" s="468" customFormat="1" x14ac:dyDescent="0.25">
      <c r="A42" s="118">
        <v>16</v>
      </c>
      <c r="B42" s="151">
        <v>5210</v>
      </c>
      <c r="C42" s="94" t="s">
        <v>57</v>
      </c>
      <c r="D42" s="428">
        <v>2895</v>
      </c>
      <c r="E42" s="428">
        <v>9000</v>
      </c>
      <c r="F42" s="428">
        <v>9000</v>
      </c>
      <c r="G42" s="428">
        <v>9000</v>
      </c>
      <c r="H42" s="425">
        <v>20000</v>
      </c>
      <c r="I42" s="425">
        <v>20000</v>
      </c>
      <c r="J42" s="428">
        <v>20000</v>
      </c>
      <c r="K42" s="428">
        <v>20000</v>
      </c>
    </row>
    <row r="43" spans="1:11" s="468" customFormat="1" ht="12.75" customHeight="1" x14ac:dyDescent="0.25">
      <c r="A43" s="118">
        <v>16</v>
      </c>
      <c r="B43" s="151">
        <v>5215</v>
      </c>
      <c r="C43" s="94" t="s">
        <v>95</v>
      </c>
      <c r="D43" s="428"/>
      <c r="E43" s="428"/>
      <c r="F43" s="428">
        <v>0</v>
      </c>
      <c r="G43" s="428">
        <v>0</v>
      </c>
      <c r="H43" s="425"/>
      <c r="I43" s="425"/>
      <c r="J43" s="428"/>
      <c r="K43" s="428"/>
    </row>
    <row r="44" spans="1:11" s="468" customFormat="1" ht="12.75" customHeight="1" x14ac:dyDescent="0.25">
      <c r="A44" s="118">
        <v>16</v>
      </c>
      <c r="B44" s="151">
        <v>5220</v>
      </c>
      <c r="C44" s="94" t="s">
        <v>58</v>
      </c>
      <c r="D44" s="428"/>
      <c r="E44" s="428"/>
      <c r="F44" s="428">
        <v>0</v>
      </c>
      <c r="G44" s="428">
        <v>0</v>
      </c>
      <c r="H44" s="425"/>
      <c r="I44" s="425"/>
      <c r="J44" s="428"/>
      <c r="K44" s="428"/>
    </row>
    <row r="45" spans="1:11" s="468" customFormat="1" ht="12.75" customHeight="1" x14ac:dyDescent="0.25">
      <c r="A45" s="118">
        <v>16</v>
      </c>
      <c r="B45" s="151">
        <v>5225</v>
      </c>
      <c r="C45" s="94" t="s">
        <v>92</v>
      </c>
      <c r="D45" s="428"/>
      <c r="E45" s="428"/>
      <c r="F45" s="428">
        <v>0</v>
      </c>
      <c r="G45" s="428">
        <v>0</v>
      </c>
      <c r="H45" s="425"/>
      <c r="I45" s="425"/>
      <c r="J45" s="428"/>
      <c r="K45" s="428"/>
    </row>
    <row r="46" spans="1:11" s="468" customFormat="1" ht="12.75" customHeight="1" x14ac:dyDescent="0.25">
      <c r="A46" s="118">
        <v>16</v>
      </c>
      <c r="B46" s="151">
        <v>5230</v>
      </c>
      <c r="C46" s="94" t="s">
        <v>86</v>
      </c>
      <c r="D46" s="428"/>
      <c r="E46" s="428"/>
      <c r="F46" s="428">
        <v>0</v>
      </c>
      <c r="G46" s="428">
        <v>0</v>
      </c>
      <c r="H46" s="425"/>
      <c r="I46" s="425"/>
      <c r="J46" s="428"/>
      <c r="K46" s="428"/>
    </row>
    <row r="47" spans="1:11" s="468" customFormat="1" ht="12.75" customHeight="1" x14ac:dyDescent="0.25">
      <c r="A47" s="118">
        <v>16</v>
      </c>
      <c r="B47" s="151">
        <v>5235</v>
      </c>
      <c r="C47" s="94" t="s">
        <v>124</v>
      </c>
      <c r="D47" s="428"/>
      <c r="E47" s="428"/>
      <c r="F47" s="428">
        <v>0</v>
      </c>
      <c r="G47" s="428">
        <v>0</v>
      </c>
      <c r="H47" s="425"/>
      <c r="I47" s="425"/>
      <c r="J47" s="428"/>
      <c r="K47" s="428"/>
    </row>
    <row r="48" spans="1:11" s="468" customFormat="1" x14ac:dyDescent="0.25">
      <c r="A48" s="118">
        <v>16</v>
      </c>
      <c r="B48" s="151">
        <v>5240</v>
      </c>
      <c r="C48" s="94" t="s">
        <v>59</v>
      </c>
      <c r="D48" s="428">
        <v>13038</v>
      </c>
      <c r="E48" s="428">
        <v>25000</v>
      </c>
      <c r="F48" s="428">
        <v>10000</v>
      </c>
      <c r="G48" s="428">
        <v>10000</v>
      </c>
      <c r="H48" s="428">
        <v>15000</v>
      </c>
      <c r="I48" s="428">
        <v>25000</v>
      </c>
      <c r="J48" s="428">
        <v>28000</v>
      </c>
      <c r="K48" s="428">
        <v>30000</v>
      </c>
    </row>
    <row r="49" spans="1:11" s="468" customFormat="1" x14ac:dyDescent="0.25">
      <c r="A49" s="118">
        <v>16</v>
      </c>
      <c r="B49" s="151">
        <v>5245</v>
      </c>
      <c r="C49" s="94" t="s">
        <v>91</v>
      </c>
      <c r="D49" s="428"/>
      <c r="E49" s="425"/>
      <c r="F49" s="428">
        <f t="shared" si="6"/>
        <v>0</v>
      </c>
      <c r="G49" s="428">
        <v>0</v>
      </c>
      <c r="H49" s="428"/>
      <c r="I49" s="428"/>
      <c r="J49" s="428"/>
      <c r="K49" s="428"/>
    </row>
    <row r="50" spans="1:11" s="468" customFormat="1" x14ac:dyDescent="0.25">
      <c r="A50" s="118">
        <v>16</v>
      </c>
      <c r="B50" s="151">
        <v>5250</v>
      </c>
      <c r="C50" s="94" t="s">
        <v>88</v>
      </c>
      <c r="D50" s="428"/>
      <c r="E50" s="425"/>
      <c r="F50" s="428">
        <f t="shared" si="6"/>
        <v>0</v>
      </c>
      <c r="G50" s="428">
        <v>0</v>
      </c>
      <c r="H50" s="428"/>
      <c r="I50" s="428"/>
      <c r="J50" s="428"/>
      <c r="K50" s="428"/>
    </row>
    <row r="51" spans="1:11" s="468" customFormat="1" x14ac:dyDescent="0.25">
      <c r="A51" s="118">
        <v>16</v>
      </c>
      <c r="B51" s="151">
        <v>5255</v>
      </c>
      <c r="C51" s="94" t="s">
        <v>125</v>
      </c>
      <c r="D51" s="428"/>
      <c r="E51" s="425"/>
      <c r="F51" s="428">
        <f t="shared" si="6"/>
        <v>0</v>
      </c>
      <c r="G51" s="428">
        <v>0</v>
      </c>
      <c r="H51" s="428"/>
      <c r="I51" s="428"/>
      <c r="J51" s="428"/>
      <c r="K51" s="428"/>
    </row>
    <row r="52" spans="1:11" s="468" customFormat="1" x14ac:dyDescent="0.25">
      <c r="A52" s="118">
        <v>16</v>
      </c>
      <c r="B52" s="151">
        <v>5260</v>
      </c>
      <c r="C52" s="94" t="s">
        <v>90</v>
      </c>
      <c r="D52" s="428"/>
      <c r="E52" s="425"/>
      <c r="F52" s="428">
        <f t="shared" si="6"/>
        <v>0</v>
      </c>
      <c r="G52" s="428">
        <v>0</v>
      </c>
      <c r="H52" s="428"/>
      <c r="I52" s="428"/>
      <c r="J52" s="428"/>
      <c r="K52" s="428"/>
    </row>
    <row r="53" spans="1:11" s="468" customFormat="1" x14ac:dyDescent="0.25">
      <c r="A53" s="118">
        <v>16</v>
      </c>
      <c r="B53" s="151">
        <v>5265</v>
      </c>
      <c r="C53" s="94" t="s">
        <v>87</v>
      </c>
      <c r="D53" s="428"/>
      <c r="E53" s="425"/>
      <c r="F53" s="428">
        <f t="shared" si="6"/>
        <v>0</v>
      </c>
      <c r="G53" s="428">
        <v>0</v>
      </c>
      <c r="H53" s="428"/>
      <c r="I53" s="428"/>
      <c r="J53" s="428"/>
      <c r="K53" s="428"/>
    </row>
    <row r="54" spans="1:11" s="468" customFormat="1" x14ac:dyDescent="0.25">
      <c r="A54" s="118">
        <v>16</v>
      </c>
      <c r="B54" s="151">
        <v>5270</v>
      </c>
      <c r="C54" s="94" t="s">
        <v>89</v>
      </c>
      <c r="D54" s="428"/>
      <c r="E54" s="425"/>
      <c r="F54" s="428">
        <f t="shared" si="6"/>
        <v>0</v>
      </c>
      <c r="G54" s="428">
        <v>0</v>
      </c>
      <c r="H54" s="428"/>
      <c r="I54" s="428"/>
      <c r="J54" s="428"/>
      <c r="K54" s="428"/>
    </row>
    <row r="55" spans="1:11" s="468" customFormat="1" x14ac:dyDescent="0.25">
      <c r="A55" s="118">
        <v>16</v>
      </c>
      <c r="B55" s="151">
        <v>5275</v>
      </c>
      <c r="C55" s="94" t="s">
        <v>93</v>
      </c>
      <c r="D55" s="428"/>
      <c r="E55" s="425"/>
      <c r="F55" s="428">
        <f t="shared" si="6"/>
        <v>0</v>
      </c>
      <c r="G55" s="428">
        <v>0</v>
      </c>
      <c r="H55" s="428"/>
      <c r="I55" s="428"/>
      <c r="J55" s="428"/>
      <c r="K55" s="428"/>
    </row>
    <row r="56" spans="1:11" s="468" customFormat="1" x14ac:dyDescent="0.25">
      <c r="A56" s="118">
        <v>16</v>
      </c>
      <c r="B56" s="151">
        <v>5280</v>
      </c>
      <c r="C56" s="94" t="s">
        <v>94</v>
      </c>
      <c r="D56" s="428"/>
      <c r="E56" s="425"/>
      <c r="F56" s="428">
        <f t="shared" si="6"/>
        <v>0</v>
      </c>
      <c r="G56" s="428">
        <v>0</v>
      </c>
      <c r="H56" s="428"/>
      <c r="I56" s="428"/>
      <c r="J56" s="428"/>
      <c r="K56" s="428"/>
    </row>
    <row r="57" spans="1:11" s="468" customFormat="1" x14ac:dyDescent="0.25">
      <c r="A57" s="118">
        <v>16</v>
      </c>
      <c r="B57" s="151">
        <v>5285</v>
      </c>
      <c r="C57" s="94" t="s">
        <v>60</v>
      </c>
      <c r="D57" s="428"/>
      <c r="E57" s="428"/>
      <c r="F57" s="428">
        <f t="shared" si="6"/>
        <v>0</v>
      </c>
      <c r="G57" s="428">
        <v>0</v>
      </c>
      <c r="H57" s="428"/>
      <c r="I57" s="428"/>
      <c r="J57" s="428"/>
      <c r="K57" s="428"/>
    </row>
    <row r="58" spans="1:11" s="468" customFormat="1" ht="8.25" customHeight="1" x14ac:dyDescent="0.25">
      <c r="A58" s="118">
        <v>16</v>
      </c>
      <c r="B58" s="151">
        <v>5290</v>
      </c>
      <c r="C58" s="94" t="s">
        <v>186</v>
      </c>
      <c r="D58" s="428"/>
      <c r="E58" s="425"/>
      <c r="F58" s="428">
        <f t="shared" si="6"/>
        <v>0</v>
      </c>
      <c r="G58" s="428">
        <v>0</v>
      </c>
      <c r="H58" s="428"/>
      <c r="I58" s="428"/>
      <c r="J58" s="428"/>
      <c r="K58" s="428"/>
    </row>
    <row r="59" spans="1:11" s="468" customFormat="1" x14ac:dyDescent="0.25">
      <c r="A59" s="344"/>
      <c r="B59" s="151"/>
      <c r="C59" s="94"/>
      <c r="D59" s="439">
        <f t="shared" ref="D59:K59" si="7">SUM(D40:D58)</f>
        <v>15933</v>
      </c>
      <c r="E59" s="439">
        <f t="shared" si="7"/>
        <v>34000</v>
      </c>
      <c r="F59" s="439">
        <f t="shared" si="7"/>
        <v>19000</v>
      </c>
      <c r="G59" s="439">
        <f t="shared" si="7"/>
        <v>19000</v>
      </c>
      <c r="H59" s="439">
        <f t="shared" si="7"/>
        <v>35000</v>
      </c>
      <c r="I59" s="439">
        <f t="shared" si="7"/>
        <v>45000</v>
      </c>
      <c r="J59" s="439">
        <f t="shared" si="7"/>
        <v>48000</v>
      </c>
      <c r="K59" s="439">
        <f t="shared" si="7"/>
        <v>50000</v>
      </c>
    </row>
    <row r="60" spans="1:11" s="468" customFormat="1" hidden="1" x14ac:dyDescent="0.25">
      <c r="A60" s="344"/>
      <c r="B60" s="151"/>
      <c r="C60" s="93" t="s">
        <v>198</v>
      </c>
      <c r="D60" s="428"/>
      <c r="E60" s="112"/>
      <c r="F60" s="112"/>
      <c r="G60" s="112"/>
      <c r="H60" s="112"/>
      <c r="I60" s="112"/>
      <c r="J60" s="112"/>
      <c r="K60" s="425"/>
    </row>
    <row r="61" spans="1:11" s="468" customFormat="1" hidden="1" x14ac:dyDescent="0.25">
      <c r="A61" s="118">
        <v>16</v>
      </c>
      <c r="B61" s="151">
        <v>5400</v>
      </c>
      <c r="C61" s="94" t="s">
        <v>334</v>
      </c>
      <c r="D61" s="428"/>
      <c r="E61" s="86"/>
      <c r="F61" s="428">
        <f>0/8*12</f>
        <v>0</v>
      </c>
      <c r="G61" s="86">
        <v>0</v>
      </c>
      <c r="H61" s="86"/>
      <c r="I61" s="86"/>
      <c r="J61" s="86"/>
      <c r="K61" s="428"/>
    </row>
    <row r="62" spans="1:11" s="468" customFormat="1" hidden="1" x14ac:dyDescent="0.25">
      <c r="A62" s="118">
        <v>16</v>
      </c>
      <c r="B62" s="151">
        <v>5405</v>
      </c>
      <c r="C62" s="94" t="s">
        <v>335</v>
      </c>
      <c r="D62" s="428"/>
      <c r="E62" s="425"/>
      <c r="F62" s="428">
        <f>0/8*12</f>
        <v>0</v>
      </c>
      <c r="G62" s="428">
        <v>0</v>
      </c>
      <c r="H62" s="428"/>
      <c r="I62" s="428"/>
      <c r="J62" s="428"/>
      <c r="K62" s="425"/>
    </row>
    <row r="63" spans="1:11" s="468" customFormat="1" hidden="1" x14ac:dyDescent="0.25">
      <c r="A63" s="344"/>
      <c r="B63" s="151"/>
      <c r="C63" s="94"/>
      <c r="D63" s="429">
        <f>SUM(D61:D62)</f>
        <v>0</v>
      </c>
      <c r="E63" s="429">
        <f>SUM(E61:E62)</f>
        <v>0</v>
      </c>
      <c r="F63" s="429">
        <f>SUM(F61:F62)</f>
        <v>0</v>
      </c>
      <c r="G63" s="429">
        <f>SUM(G61:G62)</f>
        <v>0</v>
      </c>
      <c r="H63" s="429"/>
      <c r="I63" s="429"/>
      <c r="J63" s="429"/>
      <c r="K63" s="429"/>
    </row>
    <row r="64" spans="1:11" s="468" customFormat="1" x14ac:dyDescent="0.25">
      <c r="A64" s="344"/>
      <c r="B64" s="151"/>
      <c r="C64" s="93" t="s">
        <v>61</v>
      </c>
      <c r="D64" s="428"/>
      <c r="E64" s="86"/>
      <c r="F64" s="86"/>
      <c r="G64" s="86"/>
      <c r="H64" s="86"/>
      <c r="I64" s="86"/>
      <c r="J64" s="86"/>
      <c r="K64" s="428"/>
    </row>
    <row r="65" spans="1:11" s="468" customFormat="1" x14ac:dyDescent="0.25">
      <c r="A65" s="118">
        <v>16</v>
      </c>
      <c r="B65" s="151">
        <v>5450</v>
      </c>
      <c r="C65" s="94" t="s">
        <v>351</v>
      </c>
      <c r="D65" s="428">
        <v>715000</v>
      </c>
      <c r="E65" s="425"/>
      <c r="F65" s="428"/>
      <c r="G65" s="428"/>
      <c r="H65" s="428">
        <v>30000</v>
      </c>
      <c r="I65" s="428">
        <v>870000</v>
      </c>
      <c r="J65" s="428">
        <v>875000</v>
      </c>
      <c r="K65" s="428">
        <v>880000</v>
      </c>
    </row>
    <row r="66" spans="1:11" s="468" customFormat="1" x14ac:dyDescent="0.25">
      <c r="A66" s="344"/>
      <c r="B66" s="151"/>
      <c r="C66" s="94"/>
      <c r="D66" s="429">
        <v>715000</v>
      </c>
      <c r="E66" s="429">
        <f t="shared" ref="E66:K66" si="8">E65</f>
        <v>0</v>
      </c>
      <c r="F66" s="429">
        <f t="shared" si="8"/>
        <v>0</v>
      </c>
      <c r="G66" s="429">
        <v>0</v>
      </c>
      <c r="H66" s="429">
        <f t="shared" si="8"/>
        <v>30000</v>
      </c>
      <c r="I66" s="429">
        <f t="shared" si="8"/>
        <v>870000</v>
      </c>
      <c r="J66" s="429">
        <f t="shared" si="8"/>
        <v>875000</v>
      </c>
      <c r="K66" s="429">
        <f t="shared" si="8"/>
        <v>880000</v>
      </c>
    </row>
    <row r="67" spans="1:11" s="468" customFormat="1" hidden="1" x14ac:dyDescent="0.25">
      <c r="A67" s="344"/>
      <c r="B67" s="151"/>
      <c r="C67" s="93" t="s">
        <v>96</v>
      </c>
      <c r="D67" s="428"/>
      <c r="E67" s="86"/>
      <c r="F67" s="86"/>
      <c r="G67" s="86"/>
      <c r="H67" s="86"/>
      <c r="I67" s="86"/>
      <c r="J67" s="86"/>
      <c r="K67" s="428"/>
    </row>
    <row r="68" spans="1:11" s="468" customFormat="1" hidden="1" x14ac:dyDescent="0.25">
      <c r="A68" s="118">
        <v>16</v>
      </c>
      <c r="B68" s="151">
        <v>5470</v>
      </c>
      <c r="C68" s="94" t="s">
        <v>97</v>
      </c>
      <c r="D68" s="428"/>
      <c r="E68" s="86"/>
      <c r="F68" s="428">
        <f>0/8*12</f>
        <v>0</v>
      </c>
      <c r="G68" s="428">
        <v>0</v>
      </c>
      <c r="H68" s="428"/>
      <c r="I68" s="428"/>
      <c r="J68" s="428"/>
      <c r="K68" s="428"/>
    </row>
    <row r="69" spans="1:11" s="468" customFormat="1" hidden="1" x14ac:dyDescent="0.25">
      <c r="A69" s="118">
        <v>16</v>
      </c>
      <c r="B69" s="151">
        <v>5475</v>
      </c>
      <c r="C69" s="94" t="s">
        <v>134</v>
      </c>
      <c r="D69" s="428"/>
      <c r="E69" s="86"/>
      <c r="F69" s="428">
        <f>0/8*12</f>
        <v>0</v>
      </c>
      <c r="G69" s="428">
        <v>0</v>
      </c>
      <c r="H69" s="428"/>
      <c r="I69" s="428"/>
      <c r="J69" s="428"/>
      <c r="K69" s="428"/>
    </row>
    <row r="70" spans="1:11" s="468" customFormat="1" hidden="1" x14ac:dyDescent="0.25">
      <c r="A70" s="344"/>
      <c r="B70" s="151"/>
      <c r="C70" s="94"/>
      <c r="D70" s="439"/>
      <c r="E70" s="439">
        <f>SUM(E68:E69)</f>
        <v>0</v>
      </c>
      <c r="F70" s="439">
        <f>SUM(F68:F69)</f>
        <v>0</v>
      </c>
      <c r="G70" s="439">
        <v>0</v>
      </c>
      <c r="H70" s="439"/>
      <c r="I70" s="439"/>
      <c r="J70" s="439"/>
      <c r="K70" s="429"/>
    </row>
    <row r="71" spans="1:11" s="468" customFormat="1" x14ac:dyDescent="0.25">
      <c r="A71" s="344"/>
      <c r="B71" s="151"/>
      <c r="C71" s="93" t="s">
        <v>62</v>
      </c>
      <c r="D71" s="88"/>
      <c r="E71" s="113"/>
      <c r="F71" s="113"/>
      <c r="G71" s="113"/>
      <c r="H71" s="113"/>
      <c r="I71" s="113"/>
      <c r="J71" s="113"/>
      <c r="K71" s="88"/>
    </row>
    <row r="72" spans="1:11" s="468" customFormat="1" x14ac:dyDescent="0.25">
      <c r="A72" s="118">
        <v>16</v>
      </c>
      <c r="B72" s="151">
        <v>5505</v>
      </c>
      <c r="C72" s="94" t="s">
        <v>259</v>
      </c>
      <c r="D72" s="428">
        <v>998</v>
      </c>
      <c r="E72" s="428"/>
      <c r="F72" s="428">
        <v>40000</v>
      </c>
      <c r="G72" s="428">
        <v>40000</v>
      </c>
      <c r="H72" s="428">
        <v>48000</v>
      </c>
      <c r="I72" s="428"/>
      <c r="J72" s="428">
        <v>48000</v>
      </c>
      <c r="K72" s="428">
        <v>48000</v>
      </c>
    </row>
    <row r="73" spans="1:11" s="468" customFormat="1" x14ac:dyDescent="0.25">
      <c r="A73" s="118">
        <v>16</v>
      </c>
      <c r="B73" s="151">
        <v>5510</v>
      </c>
      <c r="C73" s="94" t="s">
        <v>63</v>
      </c>
      <c r="D73" s="428"/>
      <c r="E73" s="428">
        <v>2706</v>
      </c>
      <c r="F73" s="428">
        <v>2706</v>
      </c>
      <c r="G73" s="428">
        <v>2706</v>
      </c>
      <c r="H73" s="428"/>
      <c r="I73" s="428"/>
      <c r="J73" s="428"/>
      <c r="K73" s="428"/>
    </row>
    <row r="74" spans="1:11" s="468" customFormat="1" ht="12.75" customHeight="1" x14ac:dyDescent="0.25">
      <c r="A74" s="118">
        <v>16</v>
      </c>
      <c r="B74" s="151">
        <v>5520</v>
      </c>
      <c r="C74" s="94" t="s">
        <v>260</v>
      </c>
      <c r="D74" s="428"/>
      <c r="E74" s="428"/>
      <c r="F74" s="428">
        <v>0</v>
      </c>
      <c r="G74" s="428"/>
      <c r="H74" s="428"/>
      <c r="I74" s="428"/>
      <c r="J74" s="428"/>
      <c r="K74" s="428"/>
    </row>
    <row r="75" spans="1:11" s="468" customFormat="1" x14ac:dyDescent="0.25">
      <c r="A75" s="118">
        <v>16</v>
      </c>
      <c r="B75" s="151">
        <v>5525</v>
      </c>
      <c r="C75" s="94" t="s">
        <v>261</v>
      </c>
      <c r="D75" s="428">
        <v>101985</v>
      </c>
      <c r="E75" s="428">
        <v>230000</v>
      </c>
      <c r="F75" s="428">
        <v>280000</v>
      </c>
      <c r="G75" s="428">
        <v>280000</v>
      </c>
      <c r="H75" s="428">
        <v>300000</v>
      </c>
      <c r="I75" s="428"/>
      <c r="J75" s="428"/>
      <c r="K75" s="428"/>
    </row>
    <row r="76" spans="1:11" s="468" customFormat="1" ht="12.75" customHeight="1" x14ac:dyDescent="0.25">
      <c r="A76" s="118">
        <v>16</v>
      </c>
      <c r="B76" s="151">
        <v>5530</v>
      </c>
      <c r="C76" s="94" t="s">
        <v>262</v>
      </c>
      <c r="D76" s="428"/>
      <c r="E76" s="428"/>
      <c r="F76" s="428">
        <v>0</v>
      </c>
      <c r="G76" s="428">
        <v>0</v>
      </c>
      <c r="H76" s="428"/>
      <c r="I76" s="428"/>
      <c r="J76" s="428"/>
      <c r="K76" s="428"/>
    </row>
    <row r="77" spans="1:11" s="468" customFormat="1" x14ac:dyDescent="0.25">
      <c r="A77" s="118">
        <v>16</v>
      </c>
      <c r="B77" s="151">
        <v>5535</v>
      </c>
      <c r="C77" s="94" t="s">
        <v>263</v>
      </c>
      <c r="D77" s="428"/>
      <c r="E77" s="428">
        <v>60000</v>
      </c>
      <c r="F77" s="428">
        <v>60000</v>
      </c>
      <c r="G77" s="428">
        <v>60000</v>
      </c>
      <c r="H77" s="428">
        <v>60000</v>
      </c>
      <c r="I77" s="428">
        <f>+H77*1.058</f>
        <v>63480</v>
      </c>
      <c r="J77" s="428">
        <f>+I77*1.055</f>
        <v>66971.399999999994</v>
      </c>
      <c r="K77" s="428">
        <f>+J77*1.053</f>
        <v>70520.884199999986</v>
      </c>
    </row>
    <row r="78" spans="1:11" s="468" customFormat="1" x14ac:dyDescent="0.25">
      <c r="A78" s="118">
        <v>16</v>
      </c>
      <c r="B78" s="151">
        <v>5540</v>
      </c>
      <c r="C78" s="94" t="s">
        <v>264</v>
      </c>
      <c r="D78" s="428">
        <v>170199</v>
      </c>
      <c r="E78" s="428">
        <v>43626</v>
      </c>
      <c r="F78" s="428">
        <v>43626</v>
      </c>
      <c r="G78" s="428">
        <v>43626</v>
      </c>
      <c r="H78" s="428">
        <v>45000</v>
      </c>
      <c r="I78" s="428">
        <v>48000</v>
      </c>
      <c r="J78" s="428">
        <v>50000</v>
      </c>
      <c r="K78" s="428">
        <v>50000</v>
      </c>
    </row>
    <row r="79" spans="1:11" s="468" customFormat="1" ht="13.5" hidden="1" customHeight="1" x14ac:dyDescent="0.25">
      <c r="A79" s="118">
        <v>16</v>
      </c>
      <c r="B79" s="151">
        <v>5545</v>
      </c>
      <c r="C79" s="94" t="s">
        <v>265</v>
      </c>
      <c r="D79" s="428"/>
      <c r="E79" s="428"/>
      <c r="F79" s="428">
        <v>0</v>
      </c>
      <c r="G79" s="428">
        <v>0</v>
      </c>
      <c r="H79" s="428"/>
      <c r="I79" s="428"/>
      <c r="J79" s="428"/>
      <c r="K79" s="428"/>
    </row>
    <row r="80" spans="1:11" s="468" customFormat="1" ht="12.75" hidden="1" customHeight="1" x14ac:dyDescent="0.25">
      <c r="A80" s="118">
        <v>16</v>
      </c>
      <c r="B80" s="151">
        <v>5550</v>
      </c>
      <c r="C80" s="94" t="s">
        <v>267</v>
      </c>
      <c r="D80" s="428"/>
      <c r="E80" s="428"/>
      <c r="F80" s="428">
        <v>0</v>
      </c>
      <c r="G80" s="428">
        <v>0</v>
      </c>
      <c r="H80" s="428"/>
      <c r="I80" s="428"/>
      <c r="J80" s="428"/>
      <c r="K80" s="428"/>
    </row>
    <row r="81" spans="1:11" s="468" customFormat="1" ht="12.75" hidden="1" customHeight="1" x14ac:dyDescent="0.25">
      <c r="A81" s="118">
        <v>16</v>
      </c>
      <c r="B81" s="151">
        <v>5555</v>
      </c>
      <c r="C81" s="94" t="s">
        <v>268</v>
      </c>
      <c r="D81" s="428"/>
      <c r="E81" s="428"/>
      <c r="F81" s="428">
        <v>0</v>
      </c>
      <c r="G81" s="428">
        <v>0</v>
      </c>
      <c r="H81" s="428"/>
      <c r="I81" s="428"/>
      <c r="J81" s="428"/>
      <c r="K81" s="428"/>
    </row>
    <row r="82" spans="1:11" s="468" customFormat="1" x14ac:dyDescent="0.25">
      <c r="A82" s="118">
        <v>16</v>
      </c>
      <c r="B82" s="151">
        <v>5560</v>
      </c>
      <c r="C82" s="94" t="s">
        <v>269</v>
      </c>
      <c r="D82" s="428">
        <v>21600</v>
      </c>
      <c r="E82" s="428">
        <v>27500</v>
      </c>
      <c r="F82" s="428">
        <v>47500</v>
      </c>
      <c r="G82" s="428">
        <v>47500</v>
      </c>
      <c r="H82" s="428">
        <v>35000</v>
      </c>
      <c r="I82" s="428"/>
      <c r="J82" s="428"/>
      <c r="K82" s="428"/>
    </row>
    <row r="83" spans="1:11" s="468" customFormat="1" x14ac:dyDescent="0.25">
      <c r="A83" s="118">
        <v>16</v>
      </c>
      <c r="B83" s="151">
        <v>5565</v>
      </c>
      <c r="C83" s="94" t="s">
        <v>246</v>
      </c>
      <c r="D83" s="428">
        <v>606508</v>
      </c>
      <c r="E83" s="428">
        <v>719866</v>
      </c>
      <c r="F83" s="428">
        <v>719866</v>
      </c>
      <c r="G83" s="428">
        <v>719866</v>
      </c>
      <c r="H83" s="428">
        <v>125000</v>
      </c>
      <c r="I83" s="428"/>
      <c r="J83" s="428"/>
      <c r="K83" s="428"/>
    </row>
    <row r="84" spans="1:11" s="468" customFormat="1" x14ac:dyDescent="0.25">
      <c r="A84" s="118">
        <v>16</v>
      </c>
      <c r="B84" s="151">
        <v>5570</v>
      </c>
      <c r="C84" s="94" t="s">
        <v>270</v>
      </c>
      <c r="D84" s="428">
        <v>19329</v>
      </c>
      <c r="E84" s="428">
        <v>20000</v>
      </c>
      <c r="F84" s="428">
        <v>0</v>
      </c>
      <c r="G84" s="428">
        <v>0</v>
      </c>
      <c r="H84" s="428"/>
      <c r="I84" s="428"/>
      <c r="J84" s="428"/>
      <c r="K84" s="428"/>
    </row>
    <row r="85" spans="1:11" s="468" customFormat="1" x14ac:dyDescent="0.25">
      <c r="A85" s="118">
        <v>16</v>
      </c>
      <c r="B85" s="151">
        <v>5575</v>
      </c>
      <c r="C85" s="94" t="s">
        <v>271</v>
      </c>
      <c r="D85" s="428">
        <v>322816</v>
      </c>
      <c r="E85" s="428">
        <v>160000</v>
      </c>
      <c r="F85" s="428">
        <v>220000</v>
      </c>
      <c r="G85" s="428">
        <v>220000</v>
      </c>
      <c r="H85" s="428">
        <v>200000</v>
      </c>
      <c r="I85" s="428"/>
      <c r="J85" s="428"/>
      <c r="K85" s="428"/>
    </row>
    <row r="86" spans="1:11" s="468" customFormat="1" x14ac:dyDescent="0.25">
      <c r="A86" s="118">
        <v>16</v>
      </c>
      <c r="B86" s="151">
        <v>5580</v>
      </c>
      <c r="C86" s="94" t="s">
        <v>272</v>
      </c>
      <c r="D86" s="428"/>
      <c r="E86" s="428">
        <v>30000</v>
      </c>
      <c r="F86" s="428">
        <v>10000</v>
      </c>
      <c r="G86" s="428">
        <v>10000</v>
      </c>
      <c r="H86" s="428">
        <v>20000</v>
      </c>
      <c r="I86" s="428"/>
      <c r="J86" s="428"/>
      <c r="K86" s="428"/>
    </row>
    <row r="87" spans="1:11" s="468" customFormat="1" x14ac:dyDescent="0.25">
      <c r="A87" s="118">
        <v>16</v>
      </c>
      <c r="B87" s="151">
        <v>5585</v>
      </c>
      <c r="C87" s="94" t="s">
        <v>273</v>
      </c>
      <c r="D87" s="86">
        <v>74102</v>
      </c>
      <c r="E87" s="428">
        <v>50000</v>
      </c>
      <c r="F87" s="428">
        <v>70000</v>
      </c>
      <c r="G87" s="428">
        <v>70000</v>
      </c>
      <c r="H87" s="428">
        <v>70000</v>
      </c>
      <c r="I87" s="428">
        <v>120000</v>
      </c>
      <c r="J87" s="428">
        <v>75000</v>
      </c>
      <c r="K87" s="428">
        <v>75000</v>
      </c>
    </row>
    <row r="88" spans="1:11" s="468" customFormat="1" x14ac:dyDescent="0.25">
      <c r="A88" s="118">
        <v>16</v>
      </c>
      <c r="B88" s="151">
        <v>5590</v>
      </c>
      <c r="C88" s="94" t="s">
        <v>274</v>
      </c>
      <c r="D88" s="86">
        <v>149872</v>
      </c>
      <c r="E88" s="428">
        <v>130000</v>
      </c>
      <c r="F88" s="428">
        <v>230000</v>
      </c>
      <c r="G88" s="428">
        <v>230000</v>
      </c>
      <c r="H88" s="428">
        <v>160000</v>
      </c>
      <c r="I88" s="428">
        <v>175000</v>
      </c>
      <c r="J88" s="428">
        <v>180000</v>
      </c>
      <c r="K88" s="428">
        <v>18000</v>
      </c>
    </row>
    <row r="89" spans="1:11" s="468" customFormat="1" x14ac:dyDescent="0.25">
      <c r="A89" s="118">
        <v>16</v>
      </c>
      <c r="B89" s="151">
        <v>5595</v>
      </c>
      <c r="C89" s="94" t="s">
        <v>371</v>
      </c>
      <c r="D89" s="428">
        <v>208000</v>
      </c>
      <c r="E89" s="428">
        <f>520000-80000</f>
        <v>440000</v>
      </c>
      <c r="F89" s="428">
        <v>440000</v>
      </c>
      <c r="G89" s="428">
        <v>440000</v>
      </c>
      <c r="H89" s="428">
        <v>470000</v>
      </c>
      <c r="I89" s="428"/>
      <c r="J89" s="428"/>
      <c r="K89" s="428"/>
    </row>
    <row r="90" spans="1:11" s="468" customFormat="1" hidden="1" x14ac:dyDescent="0.25">
      <c r="A90" s="118">
        <v>16</v>
      </c>
      <c r="B90" s="151">
        <v>5600</v>
      </c>
      <c r="C90" s="159" t="s">
        <v>276</v>
      </c>
      <c r="D90" s="428"/>
      <c r="E90" s="428"/>
      <c r="F90" s="428">
        <v>0</v>
      </c>
      <c r="G90" s="428">
        <v>0</v>
      </c>
      <c r="H90" s="428"/>
      <c r="I90" s="428"/>
      <c r="J90" s="428"/>
      <c r="K90" s="428"/>
    </row>
    <row r="91" spans="1:11" s="468" customFormat="1" hidden="1" x14ac:dyDescent="0.25">
      <c r="A91" s="118">
        <v>16</v>
      </c>
      <c r="B91" s="151">
        <v>5605</v>
      </c>
      <c r="C91" s="159" t="s">
        <v>277</v>
      </c>
      <c r="D91" s="428"/>
      <c r="E91" s="428"/>
      <c r="F91" s="428">
        <f t="shared" ref="F91:F109" si="9">E91-D91</f>
        <v>0</v>
      </c>
      <c r="G91" s="428"/>
      <c r="H91" s="428"/>
      <c r="I91" s="428"/>
      <c r="J91" s="428"/>
      <c r="K91" s="428"/>
    </row>
    <row r="92" spans="1:11" s="468" customFormat="1" ht="17.25" hidden="1" customHeight="1" x14ac:dyDescent="0.25">
      <c r="A92" s="118">
        <v>16</v>
      </c>
      <c r="B92" s="151">
        <v>5610</v>
      </c>
      <c r="C92" s="159" t="s">
        <v>278</v>
      </c>
      <c r="D92" s="428"/>
      <c r="E92" s="428"/>
      <c r="F92" s="428">
        <f t="shared" si="9"/>
        <v>0</v>
      </c>
      <c r="G92" s="428"/>
      <c r="H92" s="428"/>
      <c r="I92" s="428"/>
      <c r="J92" s="428"/>
      <c r="K92" s="428"/>
    </row>
    <row r="93" spans="1:11" s="468" customFormat="1" ht="17.25" hidden="1" customHeight="1" x14ac:dyDescent="0.25">
      <c r="A93" s="118">
        <v>16</v>
      </c>
      <c r="B93" s="151">
        <v>5615</v>
      </c>
      <c r="C93" s="159" t="s">
        <v>279</v>
      </c>
      <c r="D93" s="428"/>
      <c r="E93" s="428"/>
      <c r="F93" s="428">
        <f t="shared" si="9"/>
        <v>0</v>
      </c>
      <c r="G93" s="428"/>
      <c r="H93" s="428"/>
      <c r="I93" s="428"/>
      <c r="J93" s="428"/>
      <c r="K93" s="428"/>
    </row>
    <row r="94" spans="1:11" s="468" customFormat="1" ht="20.25" hidden="1" customHeight="1" x14ac:dyDescent="0.25">
      <c r="A94" s="118">
        <v>16</v>
      </c>
      <c r="B94" s="151">
        <v>5620</v>
      </c>
      <c r="C94" s="159" t="s">
        <v>280</v>
      </c>
      <c r="D94" s="428"/>
      <c r="E94" s="428"/>
      <c r="F94" s="428">
        <f t="shared" si="9"/>
        <v>0</v>
      </c>
      <c r="G94" s="428"/>
      <c r="H94" s="428"/>
      <c r="I94" s="428"/>
      <c r="J94" s="428"/>
      <c r="K94" s="428"/>
    </row>
    <row r="95" spans="1:11" s="468" customFormat="1" ht="18" hidden="1" customHeight="1" x14ac:dyDescent="0.25">
      <c r="A95" s="118">
        <v>16</v>
      </c>
      <c r="B95" s="151">
        <v>5625</v>
      </c>
      <c r="C95" s="159" t="s">
        <v>281</v>
      </c>
      <c r="D95" s="428"/>
      <c r="E95" s="428"/>
      <c r="F95" s="428">
        <f t="shared" si="9"/>
        <v>0</v>
      </c>
      <c r="G95" s="428"/>
      <c r="H95" s="428"/>
      <c r="I95" s="428"/>
      <c r="J95" s="428"/>
      <c r="K95" s="428"/>
    </row>
    <row r="96" spans="1:11" s="468" customFormat="1" ht="15.75" hidden="1" customHeight="1" x14ac:dyDescent="0.25">
      <c r="A96" s="118">
        <v>16</v>
      </c>
      <c r="B96" s="151">
        <v>5630</v>
      </c>
      <c r="C96" s="159" t="s">
        <v>282</v>
      </c>
      <c r="D96" s="428"/>
      <c r="E96" s="428"/>
      <c r="F96" s="428">
        <f t="shared" si="9"/>
        <v>0</v>
      </c>
      <c r="G96" s="428"/>
      <c r="H96" s="428"/>
      <c r="I96" s="428"/>
      <c r="J96" s="428"/>
      <c r="K96" s="428"/>
    </row>
    <row r="97" spans="1:11" s="468" customFormat="1" ht="17.25" hidden="1" customHeight="1" x14ac:dyDescent="0.25">
      <c r="A97" s="118">
        <v>16</v>
      </c>
      <c r="B97" s="151">
        <v>5635</v>
      </c>
      <c r="C97" s="159" t="s">
        <v>283</v>
      </c>
      <c r="D97" s="428"/>
      <c r="E97" s="428"/>
      <c r="F97" s="428">
        <f t="shared" si="9"/>
        <v>0</v>
      </c>
      <c r="G97" s="428"/>
      <c r="H97" s="428"/>
      <c r="I97" s="428"/>
      <c r="J97" s="428"/>
      <c r="K97" s="428"/>
    </row>
    <row r="98" spans="1:11" s="468" customFormat="1" ht="16.5" hidden="1" customHeight="1" x14ac:dyDescent="0.25">
      <c r="A98" s="118">
        <v>16</v>
      </c>
      <c r="B98" s="151">
        <v>5640</v>
      </c>
      <c r="C98" s="159" t="s">
        <v>284</v>
      </c>
      <c r="D98" s="428"/>
      <c r="E98" s="428"/>
      <c r="F98" s="428">
        <f t="shared" si="9"/>
        <v>0</v>
      </c>
      <c r="G98" s="428"/>
      <c r="H98" s="428"/>
      <c r="I98" s="428"/>
      <c r="J98" s="428"/>
      <c r="K98" s="428"/>
    </row>
    <row r="99" spans="1:11" s="468" customFormat="1" ht="17.25" hidden="1" customHeight="1" x14ac:dyDescent="0.25">
      <c r="A99" s="118">
        <v>16</v>
      </c>
      <c r="B99" s="151">
        <v>5645</v>
      </c>
      <c r="C99" s="159" t="s">
        <v>285</v>
      </c>
      <c r="D99" s="428"/>
      <c r="E99" s="428"/>
      <c r="F99" s="428">
        <f t="shared" si="9"/>
        <v>0</v>
      </c>
      <c r="G99" s="428"/>
      <c r="H99" s="428"/>
      <c r="I99" s="428"/>
      <c r="J99" s="428"/>
      <c r="K99" s="428"/>
    </row>
    <row r="100" spans="1:11" s="468" customFormat="1" ht="15.75" hidden="1" customHeight="1" x14ac:dyDescent="0.25">
      <c r="A100" s="118">
        <v>16</v>
      </c>
      <c r="B100" s="151">
        <v>5650</v>
      </c>
      <c r="C100" s="159" t="s">
        <v>286</v>
      </c>
      <c r="D100" s="428"/>
      <c r="E100" s="428"/>
      <c r="F100" s="428">
        <f t="shared" si="9"/>
        <v>0</v>
      </c>
      <c r="G100" s="428"/>
      <c r="H100" s="428"/>
      <c r="I100" s="428"/>
      <c r="J100" s="428"/>
      <c r="K100" s="428"/>
    </row>
    <row r="101" spans="1:11" s="468" customFormat="1" ht="16.5" hidden="1" customHeight="1" x14ac:dyDescent="0.25">
      <c r="A101" s="118">
        <v>16</v>
      </c>
      <c r="B101" s="151">
        <v>5655</v>
      </c>
      <c r="C101" s="159" t="s">
        <v>374</v>
      </c>
      <c r="D101" s="428"/>
      <c r="E101" s="428"/>
      <c r="F101" s="428">
        <f t="shared" si="9"/>
        <v>0</v>
      </c>
      <c r="G101" s="428"/>
      <c r="H101" s="428"/>
      <c r="I101" s="428"/>
      <c r="J101" s="428"/>
      <c r="K101" s="428"/>
    </row>
    <row r="102" spans="1:11" s="468" customFormat="1" ht="17.25" hidden="1" customHeight="1" x14ac:dyDescent="0.25">
      <c r="A102" s="118">
        <v>16</v>
      </c>
      <c r="B102" s="151">
        <v>5660</v>
      </c>
      <c r="C102" s="159" t="s">
        <v>288</v>
      </c>
      <c r="D102" s="428"/>
      <c r="E102" s="428"/>
      <c r="F102" s="428">
        <f t="shared" si="9"/>
        <v>0</v>
      </c>
      <c r="G102" s="428"/>
      <c r="H102" s="428"/>
      <c r="I102" s="428"/>
      <c r="J102" s="428"/>
      <c r="K102" s="428"/>
    </row>
    <row r="103" spans="1:11" s="468" customFormat="1" ht="15.75" hidden="1" customHeight="1" x14ac:dyDescent="0.25">
      <c r="A103" s="118">
        <v>16</v>
      </c>
      <c r="B103" s="151">
        <v>5665</v>
      </c>
      <c r="C103" s="94" t="s">
        <v>289</v>
      </c>
      <c r="D103" s="428"/>
      <c r="E103" s="428"/>
      <c r="F103" s="428">
        <f t="shared" si="9"/>
        <v>0</v>
      </c>
      <c r="G103" s="428"/>
      <c r="H103" s="428"/>
      <c r="I103" s="428"/>
      <c r="J103" s="428"/>
      <c r="K103" s="428"/>
    </row>
    <row r="104" spans="1:11" s="468" customFormat="1" ht="15" hidden="1" customHeight="1" x14ac:dyDescent="0.25">
      <c r="A104" s="118">
        <v>16</v>
      </c>
      <c r="B104" s="151">
        <v>5670</v>
      </c>
      <c r="C104" s="94" t="s">
        <v>290</v>
      </c>
      <c r="D104" s="428"/>
      <c r="E104" s="428"/>
      <c r="F104" s="428">
        <f t="shared" si="9"/>
        <v>0</v>
      </c>
      <c r="G104" s="428"/>
      <c r="H104" s="428"/>
      <c r="I104" s="428"/>
      <c r="J104" s="428"/>
      <c r="K104" s="428"/>
    </row>
    <row r="105" spans="1:11" s="468" customFormat="1" ht="11.25" hidden="1" customHeight="1" x14ac:dyDescent="0.25">
      <c r="A105" s="118">
        <v>16</v>
      </c>
      <c r="B105" s="151">
        <v>5675</v>
      </c>
      <c r="C105" s="94" t="s">
        <v>291</v>
      </c>
      <c r="D105" s="428"/>
      <c r="E105" s="428"/>
      <c r="F105" s="428">
        <f t="shared" si="9"/>
        <v>0</v>
      </c>
      <c r="G105" s="428"/>
      <c r="H105" s="428"/>
      <c r="I105" s="428"/>
      <c r="J105" s="428"/>
      <c r="K105" s="428"/>
    </row>
    <row r="106" spans="1:11" s="468" customFormat="1" hidden="1" x14ac:dyDescent="0.25">
      <c r="A106" s="118">
        <v>16</v>
      </c>
      <c r="B106" s="151">
        <v>5680</v>
      </c>
      <c r="C106" s="94" t="s">
        <v>292</v>
      </c>
      <c r="D106" s="428"/>
      <c r="E106" s="428"/>
      <c r="F106" s="428">
        <f t="shared" si="9"/>
        <v>0</v>
      </c>
      <c r="G106" s="428"/>
      <c r="H106" s="428"/>
      <c r="I106" s="428"/>
      <c r="J106" s="428"/>
      <c r="K106" s="428"/>
    </row>
    <row r="107" spans="1:11" s="468" customFormat="1" hidden="1" x14ac:dyDescent="0.25">
      <c r="A107" s="118">
        <v>16</v>
      </c>
      <c r="B107" s="151">
        <v>5685</v>
      </c>
      <c r="C107" s="94" t="s">
        <v>293</v>
      </c>
      <c r="D107" s="428"/>
      <c r="E107" s="428"/>
      <c r="F107" s="428">
        <f t="shared" si="9"/>
        <v>0</v>
      </c>
      <c r="G107" s="428"/>
      <c r="H107" s="428"/>
      <c r="I107" s="428"/>
      <c r="J107" s="428"/>
      <c r="K107" s="428"/>
    </row>
    <row r="108" spans="1:11" s="468" customFormat="1" hidden="1" x14ac:dyDescent="0.25">
      <c r="A108" s="118">
        <v>16</v>
      </c>
      <c r="B108" s="151">
        <v>5690</v>
      </c>
      <c r="C108" s="94" t="s">
        <v>247</v>
      </c>
      <c r="D108" s="428"/>
      <c r="E108" s="428"/>
      <c r="F108" s="428">
        <f t="shared" si="9"/>
        <v>0</v>
      </c>
      <c r="G108" s="428"/>
      <c r="H108" s="428"/>
      <c r="I108" s="428"/>
      <c r="J108" s="428"/>
      <c r="K108" s="428"/>
    </row>
    <row r="109" spans="1:11" s="468" customFormat="1" hidden="1" x14ac:dyDescent="0.25">
      <c r="A109" s="118">
        <v>16</v>
      </c>
      <c r="B109" s="151">
        <v>5695</v>
      </c>
      <c r="C109" s="94" t="s">
        <v>294</v>
      </c>
      <c r="D109" s="428"/>
      <c r="E109" s="428"/>
      <c r="F109" s="428">
        <f t="shared" si="9"/>
        <v>0</v>
      </c>
      <c r="G109" s="428"/>
      <c r="H109" s="428"/>
      <c r="I109" s="428"/>
      <c r="J109" s="428"/>
      <c r="K109" s="428"/>
    </row>
    <row r="110" spans="1:11" s="468" customFormat="1" x14ac:dyDescent="0.25">
      <c r="A110" s="118">
        <v>16</v>
      </c>
      <c r="B110" s="151">
        <v>5700</v>
      </c>
      <c r="C110" s="94" t="s">
        <v>295</v>
      </c>
      <c r="D110" s="428">
        <v>74856</v>
      </c>
      <c r="E110" s="428">
        <v>65000</v>
      </c>
      <c r="F110" s="428">
        <v>25000</v>
      </c>
      <c r="G110" s="428">
        <v>25000</v>
      </c>
      <c r="H110" s="428">
        <v>50000</v>
      </c>
      <c r="I110" s="428">
        <v>50000</v>
      </c>
      <c r="J110" s="428">
        <v>50000</v>
      </c>
      <c r="K110" s="428">
        <v>50000</v>
      </c>
    </row>
    <row r="111" spans="1:11" s="468" customFormat="1" x14ac:dyDescent="0.25">
      <c r="A111" s="118">
        <v>16</v>
      </c>
      <c r="B111" s="151">
        <v>5710</v>
      </c>
      <c r="C111" s="94" t="s">
        <v>297</v>
      </c>
      <c r="D111" s="428"/>
      <c r="E111" s="428"/>
      <c r="F111" s="428">
        <v>0</v>
      </c>
      <c r="G111" s="428">
        <v>0</v>
      </c>
      <c r="H111" s="428"/>
      <c r="I111" s="428"/>
      <c r="J111" s="428"/>
      <c r="K111" s="428"/>
    </row>
    <row r="112" spans="1:11" s="468" customFormat="1" x14ac:dyDescent="0.25">
      <c r="A112" s="118">
        <v>16</v>
      </c>
      <c r="B112" s="151">
        <v>5715</v>
      </c>
      <c r="C112" s="94" t="s">
        <v>298</v>
      </c>
      <c r="D112" s="428"/>
      <c r="E112" s="428"/>
      <c r="F112" s="428">
        <v>0</v>
      </c>
      <c r="G112" s="428">
        <v>0</v>
      </c>
      <c r="H112" s="428"/>
      <c r="I112" s="428"/>
      <c r="J112" s="428"/>
      <c r="K112" s="428"/>
    </row>
    <row r="113" spans="1:11" s="468" customFormat="1" x14ac:dyDescent="0.25">
      <c r="A113" s="118">
        <v>16</v>
      </c>
      <c r="B113" s="151">
        <v>5720</v>
      </c>
      <c r="C113" s="94" t="s">
        <v>299</v>
      </c>
      <c r="D113" s="428">
        <v>34500</v>
      </c>
      <c r="E113" s="428">
        <v>180000</v>
      </c>
      <c r="F113" s="428">
        <v>80000</v>
      </c>
      <c r="G113" s="428">
        <v>80000</v>
      </c>
      <c r="H113" s="428">
        <v>150000</v>
      </c>
      <c r="I113" s="428"/>
      <c r="J113" s="428"/>
      <c r="K113" s="428"/>
    </row>
    <row r="114" spans="1:11" s="468" customFormat="1" x14ac:dyDescent="0.25">
      <c r="A114" s="118">
        <v>16</v>
      </c>
      <c r="B114" s="151">
        <v>5730</v>
      </c>
      <c r="C114" s="94" t="s">
        <v>300</v>
      </c>
      <c r="D114" s="428"/>
      <c r="E114" s="428"/>
      <c r="F114" s="428">
        <v>0</v>
      </c>
      <c r="G114" s="428">
        <v>0</v>
      </c>
      <c r="H114" s="428"/>
      <c r="I114" s="428"/>
      <c r="J114" s="428"/>
      <c r="K114" s="428"/>
    </row>
    <row r="115" spans="1:11" s="468" customFormat="1" x14ac:dyDescent="0.25">
      <c r="A115" s="118">
        <v>16</v>
      </c>
      <c r="B115" s="151">
        <v>5735</v>
      </c>
      <c r="C115" s="94" t="s">
        <v>301</v>
      </c>
      <c r="D115" s="428">
        <v>1920000</v>
      </c>
      <c r="E115" s="428">
        <f>1920000*1.055</f>
        <v>2025599.9999999998</v>
      </c>
      <c r="F115" s="428">
        <v>3225600</v>
      </c>
      <c r="G115" s="428">
        <v>3225600</v>
      </c>
      <c r="H115" s="428">
        <v>2600000</v>
      </c>
      <c r="I115" s="428"/>
      <c r="J115" s="428"/>
      <c r="K115" s="428"/>
    </row>
    <row r="116" spans="1:11" s="468" customFormat="1" x14ac:dyDescent="0.25">
      <c r="A116" s="118">
        <v>16</v>
      </c>
      <c r="B116" s="151">
        <v>5740</v>
      </c>
      <c r="C116" s="94" t="s">
        <v>302</v>
      </c>
      <c r="D116" s="428"/>
      <c r="E116" s="428"/>
      <c r="F116" s="428">
        <v>0</v>
      </c>
      <c r="G116" s="428">
        <v>0</v>
      </c>
      <c r="H116" s="428"/>
      <c r="I116" s="428"/>
      <c r="J116" s="428"/>
      <c r="K116" s="428"/>
    </row>
    <row r="117" spans="1:11" s="468" customFormat="1" x14ac:dyDescent="0.25">
      <c r="A117" s="118">
        <v>16</v>
      </c>
      <c r="B117" s="151">
        <v>5745</v>
      </c>
      <c r="C117" s="94" t="s">
        <v>303</v>
      </c>
      <c r="D117" s="428"/>
      <c r="E117" s="428"/>
      <c r="F117" s="428">
        <v>0</v>
      </c>
      <c r="G117" s="428">
        <v>0</v>
      </c>
      <c r="H117" s="428"/>
      <c r="I117" s="428"/>
      <c r="J117" s="428"/>
      <c r="K117" s="428"/>
    </row>
    <row r="118" spans="1:11" s="468" customFormat="1" x14ac:dyDescent="0.25">
      <c r="A118" s="118">
        <v>16</v>
      </c>
      <c r="B118" s="151">
        <v>5750</v>
      </c>
      <c r="C118" s="94" t="s">
        <v>304</v>
      </c>
      <c r="D118" s="428">
        <v>296</v>
      </c>
      <c r="E118" s="428">
        <v>780</v>
      </c>
      <c r="F118" s="428">
        <v>780</v>
      </c>
      <c r="G118" s="428">
        <v>780</v>
      </c>
      <c r="H118" s="428"/>
      <c r="I118" s="428"/>
      <c r="J118" s="428"/>
      <c r="K118" s="428"/>
    </row>
    <row r="119" spans="1:11" s="468" customFormat="1" x14ac:dyDescent="0.25">
      <c r="A119" s="118">
        <v>16</v>
      </c>
      <c r="B119" s="151">
        <v>5755</v>
      </c>
      <c r="C119" s="94" t="s">
        <v>305</v>
      </c>
      <c r="D119" s="428">
        <v>21092</v>
      </c>
      <c r="E119" s="428">
        <v>31900</v>
      </c>
      <c r="F119" s="428">
        <v>31900</v>
      </c>
      <c r="G119" s="428">
        <v>31900</v>
      </c>
      <c r="H119" s="428"/>
      <c r="I119" s="428"/>
      <c r="J119" s="428"/>
      <c r="K119" s="428"/>
    </row>
    <row r="120" spans="1:11" s="468" customFormat="1" ht="12" customHeight="1" x14ac:dyDescent="0.25">
      <c r="A120" s="118">
        <v>16</v>
      </c>
      <c r="B120" s="151">
        <v>5760</v>
      </c>
      <c r="C120" s="94" t="s">
        <v>306</v>
      </c>
      <c r="D120" s="428"/>
      <c r="E120" s="428"/>
      <c r="F120" s="428">
        <v>0</v>
      </c>
      <c r="G120" s="428">
        <v>0</v>
      </c>
      <c r="H120" s="428"/>
      <c r="I120" s="428"/>
      <c r="J120" s="428"/>
      <c r="K120" s="428"/>
    </row>
    <row r="121" spans="1:11" s="468" customFormat="1" x14ac:dyDescent="0.25">
      <c r="A121" s="118">
        <v>16</v>
      </c>
      <c r="B121" s="151">
        <v>5765</v>
      </c>
      <c r="C121" s="94" t="s">
        <v>307</v>
      </c>
      <c r="D121" s="428"/>
      <c r="E121" s="428"/>
      <c r="F121" s="428">
        <v>0</v>
      </c>
      <c r="G121" s="428">
        <v>0</v>
      </c>
      <c r="H121" s="428"/>
      <c r="I121" s="428"/>
      <c r="J121" s="428"/>
      <c r="K121" s="428"/>
    </row>
    <row r="122" spans="1:11" s="468" customFormat="1" x14ac:dyDescent="0.25">
      <c r="A122" s="118">
        <v>16</v>
      </c>
      <c r="B122" s="151">
        <v>5770</v>
      </c>
      <c r="C122" s="94" t="s">
        <v>308</v>
      </c>
      <c r="D122" s="428"/>
      <c r="E122" s="428"/>
      <c r="F122" s="428">
        <v>0</v>
      </c>
      <c r="G122" s="428"/>
      <c r="H122" s="428"/>
      <c r="I122" s="428"/>
      <c r="J122" s="428"/>
      <c r="K122" s="428"/>
    </row>
    <row r="123" spans="1:11" s="468" customFormat="1" x14ac:dyDescent="0.25">
      <c r="A123" s="118">
        <v>16</v>
      </c>
      <c r="B123" s="151">
        <v>5775</v>
      </c>
      <c r="C123" s="94" t="s">
        <v>309</v>
      </c>
      <c r="D123" s="428"/>
      <c r="E123" s="428"/>
      <c r="F123" s="428">
        <v>0</v>
      </c>
      <c r="G123" s="428"/>
      <c r="H123" s="428"/>
      <c r="I123" s="428"/>
      <c r="J123" s="428"/>
      <c r="K123" s="428"/>
    </row>
    <row r="124" spans="1:11" s="468" customFormat="1" x14ac:dyDescent="0.25">
      <c r="A124" s="118">
        <v>16</v>
      </c>
      <c r="B124" s="151">
        <v>5780</v>
      </c>
      <c r="C124" s="94" t="s">
        <v>310</v>
      </c>
      <c r="D124" s="428"/>
      <c r="E124" s="428"/>
      <c r="F124" s="428">
        <v>0</v>
      </c>
      <c r="G124" s="428"/>
      <c r="H124" s="428"/>
      <c r="I124" s="428"/>
      <c r="J124" s="428"/>
      <c r="K124" s="428"/>
    </row>
    <row r="125" spans="1:11" s="468" customFormat="1" x14ac:dyDescent="0.25">
      <c r="A125" s="118">
        <v>16</v>
      </c>
      <c r="B125" s="151">
        <v>5785</v>
      </c>
      <c r="C125" s="94" t="s">
        <v>311</v>
      </c>
      <c r="D125" s="428"/>
      <c r="E125" s="428"/>
      <c r="F125" s="428">
        <v>0</v>
      </c>
      <c r="G125" s="428"/>
      <c r="H125" s="428"/>
      <c r="I125" s="428"/>
      <c r="J125" s="428"/>
      <c r="K125" s="428"/>
    </row>
    <row r="126" spans="1:11" s="468" customFormat="1" x14ac:dyDescent="0.25">
      <c r="A126" s="118">
        <v>16</v>
      </c>
      <c r="B126" s="151">
        <v>5790</v>
      </c>
      <c r="C126" s="94" t="s">
        <v>312</v>
      </c>
      <c r="D126" s="428"/>
      <c r="E126" s="428"/>
      <c r="F126" s="428">
        <v>0</v>
      </c>
      <c r="G126" s="428"/>
      <c r="H126" s="428"/>
      <c r="I126" s="428"/>
      <c r="J126" s="428"/>
      <c r="K126" s="428"/>
    </row>
    <row r="127" spans="1:11" s="468" customFormat="1" x14ac:dyDescent="0.25">
      <c r="A127" s="118">
        <v>16</v>
      </c>
      <c r="B127" s="151">
        <v>5795</v>
      </c>
      <c r="C127" s="94" t="s">
        <v>313</v>
      </c>
      <c r="D127" s="428"/>
      <c r="E127" s="428"/>
      <c r="F127" s="428">
        <v>0</v>
      </c>
      <c r="G127" s="428"/>
      <c r="H127" s="428"/>
      <c r="I127" s="428"/>
      <c r="J127" s="428"/>
      <c r="K127" s="428"/>
    </row>
    <row r="128" spans="1:11" s="468" customFormat="1" x14ac:dyDescent="0.25">
      <c r="A128" s="118">
        <v>16</v>
      </c>
      <c r="B128" s="151">
        <v>5800</v>
      </c>
      <c r="C128" s="94" t="s">
        <v>314</v>
      </c>
      <c r="D128" s="428"/>
      <c r="E128" s="428"/>
      <c r="F128" s="428">
        <v>0</v>
      </c>
      <c r="G128" s="428"/>
      <c r="H128" s="428"/>
      <c r="I128" s="428"/>
      <c r="J128" s="428"/>
      <c r="K128" s="428"/>
    </row>
    <row r="129" spans="1:11" s="468" customFormat="1" x14ac:dyDescent="0.25">
      <c r="A129" s="118">
        <v>16</v>
      </c>
      <c r="B129" s="151">
        <v>5805</v>
      </c>
      <c r="C129" s="94" t="s">
        <v>315</v>
      </c>
      <c r="D129" s="428"/>
      <c r="E129" s="428"/>
      <c r="F129" s="428">
        <v>0</v>
      </c>
      <c r="G129" s="428"/>
      <c r="H129" s="428"/>
      <c r="I129" s="428"/>
      <c r="J129" s="428"/>
      <c r="K129" s="428"/>
    </row>
    <row r="130" spans="1:11" s="468" customFormat="1" x14ac:dyDescent="0.25">
      <c r="A130" s="118">
        <v>16</v>
      </c>
      <c r="B130" s="151">
        <v>5810</v>
      </c>
      <c r="C130" s="94" t="s">
        <v>316</v>
      </c>
      <c r="D130" s="428"/>
      <c r="E130" s="428"/>
      <c r="F130" s="428">
        <v>0</v>
      </c>
      <c r="G130" s="428"/>
      <c r="H130" s="428"/>
      <c r="I130" s="428"/>
      <c r="J130" s="428"/>
      <c r="K130" s="428"/>
    </row>
    <row r="131" spans="1:11" s="468" customFormat="1" x14ac:dyDescent="0.25">
      <c r="A131" s="118">
        <v>16</v>
      </c>
      <c r="B131" s="151">
        <v>5815</v>
      </c>
      <c r="C131" s="94" t="s">
        <v>99</v>
      </c>
      <c r="D131" s="428"/>
      <c r="E131" s="428"/>
      <c r="F131" s="428">
        <v>0</v>
      </c>
      <c r="G131" s="428"/>
      <c r="H131" s="428"/>
      <c r="I131" s="428"/>
      <c r="J131" s="428"/>
      <c r="K131" s="428"/>
    </row>
    <row r="132" spans="1:11" s="468" customFormat="1" x14ac:dyDescent="0.25">
      <c r="A132" s="118">
        <v>16</v>
      </c>
      <c r="B132" s="151">
        <v>5820</v>
      </c>
      <c r="C132" s="94" t="s">
        <v>114</v>
      </c>
      <c r="D132" s="86"/>
      <c r="E132" s="428"/>
      <c r="F132" s="428">
        <v>0</v>
      </c>
      <c r="G132" s="428"/>
      <c r="H132" s="428"/>
      <c r="I132" s="428"/>
      <c r="J132" s="428"/>
      <c r="K132" s="428"/>
    </row>
    <row r="133" spans="1:11" s="468" customFormat="1" x14ac:dyDescent="0.25">
      <c r="A133" s="118">
        <v>16</v>
      </c>
      <c r="B133" s="151">
        <v>5825</v>
      </c>
      <c r="C133" s="94" t="s">
        <v>317</v>
      </c>
      <c r="D133" s="86"/>
      <c r="E133" s="428"/>
      <c r="F133" s="428">
        <v>0</v>
      </c>
      <c r="G133" s="428"/>
      <c r="H133" s="428"/>
      <c r="I133" s="428"/>
      <c r="J133" s="428"/>
      <c r="K133" s="428"/>
    </row>
    <row r="134" spans="1:11" s="468" customFormat="1" x14ac:dyDescent="0.25">
      <c r="A134" s="371">
        <v>16</v>
      </c>
      <c r="B134" s="152">
        <v>5830</v>
      </c>
      <c r="C134" s="106" t="s">
        <v>318</v>
      </c>
      <c r="D134" s="400">
        <v>71051</v>
      </c>
      <c r="E134" s="383">
        <v>7667</v>
      </c>
      <c r="F134" s="383">
        <v>7667</v>
      </c>
      <c r="G134" s="383">
        <v>7668</v>
      </c>
      <c r="H134" s="383"/>
      <c r="I134" s="428"/>
      <c r="J134" s="428"/>
      <c r="K134" s="428"/>
    </row>
    <row r="135" spans="1:11" s="468" customFormat="1" x14ac:dyDescent="0.25">
      <c r="A135" s="374">
        <v>16</v>
      </c>
      <c r="B135" s="153">
        <v>5835</v>
      </c>
      <c r="C135" s="97" t="s">
        <v>319</v>
      </c>
      <c r="D135" s="113"/>
      <c r="E135" s="88"/>
      <c r="F135" s="88">
        <f>E135-D135</f>
        <v>0</v>
      </c>
      <c r="G135" s="88">
        <v>0</v>
      </c>
      <c r="H135" s="88"/>
      <c r="I135" s="428"/>
      <c r="J135" s="428"/>
      <c r="K135" s="428"/>
    </row>
    <row r="136" spans="1:11" s="468" customFormat="1" x14ac:dyDescent="0.25">
      <c r="A136" s="118">
        <v>16</v>
      </c>
      <c r="B136" s="151">
        <v>5840</v>
      </c>
      <c r="C136" s="94" t="s">
        <v>332</v>
      </c>
      <c r="D136" s="440"/>
      <c r="E136" s="428"/>
      <c r="F136" s="428">
        <f>E136-D136</f>
        <v>0</v>
      </c>
      <c r="G136" s="428">
        <v>0</v>
      </c>
      <c r="H136" s="428"/>
      <c r="I136" s="428"/>
      <c r="J136" s="428"/>
      <c r="K136" s="428"/>
    </row>
    <row r="137" spans="1:11" s="468" customFormat="1" x14ac:dyDescent="0.25">
      <c r="A137" s="118">
        <v>16</v>
      </c>
      <c r="B137" s="151">
        <v>5845</v>
      </c>
      <c r="C137" s="94" t="s">
        <v>320</v>
      </c>
      <c r="D137" s="86"/>
      <c r="E137" s="428">
        <v>163979</v>
      </c>
      <c r="F137" s="428">
        <v>163979</v>
      </c>
      <c r="G137" s="428">
        <v>163979</v>
      </c>
      <c r="H137" s="428">
        <v>200000</v>
      </c>
      <c r="I137" s="428"/>
      <c r="J137" s="428"/>
      <c r="K137" s="428"/>
    </row>
    <row r="138" spans="1:11" s="468" customFormat="1" hidden="1" x14ac:dyDescent="0.25">
      <c r="A138" s="118">
        <v>16</v>
      </c>
      <c r="B138" s="151">
        <v>5855</v>
      </c>
      <c r="C138" s="94" t="s">
        <v>321</v>
      </c>
      <c r="D138" s="428"/>
      <c r="E138" s="428"/>
      <c r="F138" s="428">
        <v>0</v>
      </c>
      <c r="G138" s="428">
        <v>0</v>
      </c>
      <c r="H138" s="428"/>
      <c r="I138" s="428"/>
      <c r="J138" s="428"/>
      <c r="K138" s="428"/>
    </row>
    <row r="139" spans="1:11" s="468" customFormat="1" hidden="1" x14ac:dyDescent="0.25">
      <c r="A139" s="118">
        <v>16</v>
      </c>
      <c r="B139" s="151">
        <v>5860</v>
      </c>
      <c r="C139" s="94" t="s">
        <v>322</v>
      </c>
      <c r="D139" s="428"/>
      <c r="E139" s="428"/>
      <c r="F139" s="428">
        <v>0</v>
      </c>
      <c r="G139" s="428">
        <v>0</v>
      </c>
      <c r="H139" s="428"/>
      <c r="I139" s="428"/>
      <c r="J139" s="428"/>
      <c r="K139" s="428"/>
    </row>
    <row r="140" spans="1:11" s="468" customFormat="1" hidden="1" x14ac:dyDescent="0.25">
      <c r="A140" s="118">
        <v>16</v>
      </c>
      <c r="B140" s="151">
        <v>5865</v>
      </c>
      <c r="C140" s="94" t="s">
        <v>323</v>
      </c>
      <c r="D140" s="428"/>
      <c r="E140" s="428"/>
      <c r="F140" s="428">
        <v>0</v>
      </c>
      <c r="G140" s="428">
        <v>0</v>
      </c>
      <c r="H140" s="428"/>
      <c r="I140" s="428"/>
      <c r="J140" s="428"/>
      <c r="K140" s="428"/>
    </row>
    <row r="141" spans="1:11" s="468" customFormat="1" hidden="1" x14ac:dyDescent="0.25">
      <c r="A141" s="118">
        <v>16</v>
      </c>
      <c r="B141" s="151">
        <v>5870</v>
      </c>
      <c r="C141" s="94" t="s">
        <v>324</v>
      </c>
      <c r="D141" s="428"/>
      <c r="E141" s="428"/>
      <c r="F141" s="428">
        <v>0</v>
      </c>
      <c r="G141" s="428">
        <v>0</v>
      </c>
      <c r="H141" s="428"/>
      <c r="I141" s="428"/>
      <c r="J141" s="428"/>
      <c r="K141" s="428"/>
    </row>
    <row r="142" spans="1:11" s="468" customFormat="1" hidden="1" x14ac:dyDescent="0.25">
      <c r="A142" s="118">
        <v>16</v>
      </c>
      <c r="B142" s="151">
        <v>5875</v>
      </c>
      <c r="C142" s="94" t="s">
        <v>325</v>
      </c>
      <c r="D142" s="428"/>
      <c r="E142" s="428"/>
      <c r="F142" s="428">
        <v>0</v>
      </c>
      <c r="G142" s="428">
        <v>0</v>
      </c>
      <c r="H142" s="428"/>
      <c r="I142" s="428"/>
      <c r="J142" s="428"/>
      <c r="K142" s="428"/>
    </row>
    <row r="143" spans="1:11" s="468" customFormat="1" x14ac:dyDescent="0.25">
      <c r="A143" s="118">
        <v>16</v>
      </c>
      <c r="B143" s="151">
        <v>5880</v>
      </c>
      <c r="C143" s="94" t="s">
        <v>526</v>
      </c>
      <c r="D143" s="428"/>
      <c r="E143" s="428">
        <v>400000</v>
      </c>
      <c r="F143" s="428">
        <v>1050000</v>
      </c>
      <c r="G143" s="428">
        <v>1050000</v>
      </c>
      <c r="H143" s="428">
        <v>1000000</v>
      </c>
      <c r="I143" s="428">
        <v>250000</v>
      </c>
      <c r="J143" s="428">
        <f>+I143*1.055</f>
        <v>263750</v>
      </c>
      <c r="K143" s="428">
        <f>+J143*1.053</f>
        <v>277728.75</v>
      </c>
    </row>
    <row r="144" spans="1:11" s="468" customFormat="1" x14ac:dyDescent="0.25">
      <c r="A144" s="118">
        <v>16</v>
      </c>
      <c r="B144" s="151">
        <v>5885</v>
      </c>
      <c r="C144" s="94" t="s">
        <v>331</v>
      </c>
      <c r="D144" s="428">
        <v>14850</v>
      </c>
      <c r="E144" s="428">
        <v>0</v>
      </c>
      <c r="F144" s="428">
        <v>130000</v>
      </c>
      <c r="G144" s="428">
        <v>130000</v>
      </c>
      <c r="H144" s="428">
        <v>100000</v>
      </c>
      <c r="I144" s="428"/>
      <c r="J144" s="428"/>
      <c r="K144" s="428"/>
    </row>
    <row r="145" spans="1:11" s="468" customFormat="1" hidden="1" x14ac:dyDescent="0.25">
      <c r="A145" s="118">
        <v>16</v>
      </c>
      <c r="B145" s="151">
        <v>5890</v>
      </c>
      <c r="C145" s="94" t="s">
        <v>327</v>
      </c>
      <c r="D145" s="428"/>
      <c r="E145" s="428">
        <v>0</v>
      </c>
      <c r="F145" s="428">
        <v>0</v>
      </c>
      <c r="G145" s="428">
        <v>0</v>
      </c>
      <c r="H145" s="428"/>
      <c r="I145" s="428"/>
      <c r="J145" s="428"/>
      <c r="K145" s="428"/>
    </row>
    <row r="146" spans="1:11" s="468" customFormat="1" hidden="1" x14ac:dyDescent="0.25">
      <c r="A146" s="118">
        <v>16</v>
      </c>
      <c r="B146" s="151">
        <v>5895</v>
      </c>
      <c r="C146" s="94" t="s">
        <v>328</v>
      </c>
      <c r="D146" s="428"/>
      <c r="E146" s="428">
        <v>0</v>
      </c>
      <c r="F146" s="428">
        <v>0</v>
      </c>
      <c r="G146" s="428">
        <v>0</v>
      </c>
      <c r="H146" s="428"/>
      <c r="I146" s="428"/>
      <c r="J146" s="428"/>
      <c r="K146" s="428"/>
    </row>
    <row r="147" spans="1:11" s="468" customFormat="1" hidden="1" x14ac:dyDescent="0.25">
      <c r="A147" s="118">
        <v>16</v>
      </c>
      <c r="B147" s="151">
        <v>5910</v>
      </c>
      <c r="C147" s="94" t="s">
        <v>330</v>
      </c>
      <c r="D147" s="428"/>
      <c r="E147" s="428">
        <v>0</v>
      </c>
      <c r="F147" s="428">
        <v>0</v>
      </c>
      <c r="G147" s="428">
        <v>0</v>
      </c>
      <c r="H147" s="428"/>
      <c r="I147" s="428"/>
      <c r="J147" s="428"/>
      <c r="K147" s="428"/>
    </row>
    <row r="148" spans="1:11" s="468" customFormat="1" x14ac:dyDescent="0.25">
      <c r="A148" s="344"/>
      <c r="B148" s="151"/>
      <c r="C148" s="94"/>
      <c r="D148" s="429">
        <f t="shared" ref="D148:K148" si="10">SUM(D72:D147)</f>
        <v>3812054</v>
      </c>
      <c r="E148" s="429">
        <f t="shared" si="10"/>
        <v>4788624</v>
      </c>
      <c r="F148" s="429">
        <f t="shared" si="10"/>
        <v>6878624</v>
      </c>
      <c r="G148" s="429">
        <f t="shared" si="10"/>
        <v>6878625</v>
      </c>
      <c r="H148" s="429">
        <f t="shared" si="10"/>
        <v>5633000</v>
      </c>
      <c r="I148" s="429">
        <f t="shared" si="10"/>
        <v>706480</v>
      </c>
      <c r="J148" s="429">
        <f t="shared" si="10"/>
        <v>733721.4</v>
      </c>
      <c r="K148" s="429">
        <f t="shared" si="10"/>
        <v>589249.63419999997</v>
      </c>
    </row>
    <row r="149" spans="1:11" s="468" customFormat="1" hidden="1" x14ac:dyDescent="0.25">
      <c r="A149" s="344"/>
      <c r="B149" s="151"/>
      <c r="C149" s="93" t="s">
        <v>187</v>
      </c>
      <c r="D149" s="428"/>
      <c r="E149" s="425"/>
      <c r="F149" s="425"/>
      <c r="G149" s="425"/>
      <c r="H149" s="425"/>
      <c r="I149" s="425"/>
      <c r="J149" s="425"/>
      <c r="K149" s="425"/>
    </row>
    <row r="150" spans="1:11" s="468" customFormat="1" hidden="1" x14ac:dyDescent="0.25">
      <c r="A150" s="118">
        <v>16</v>
      </c>
      <c r="B150" s="151">
        <v>6005</v>
      </c>
      <c r="C150" s="94" t="s">
        <v>188</v>
      </c>
      <c r="D150" s="428">
        <v>0</v>
      </c>
      <c r="E150" s="425"/>
      <c r="F150" s="428">
        <f>E150-D150</f>
        <v>0</v>
      </c>
      <c r="G150" s="428">
        <v>0</v>
      </c>
      <c r="H150" s="428"/>
      <c r="I150" s="428"/>
      <c r="J150" s="428"/>
      <c r="K150" s="425"/>
    </row>
    <row r="151" spans="1:11" s="468" customFormat="1" hidden="1" x14ac:dyDescent="0.25">
      <c r="A151" s="344"/>
      <c r="B151" s="151"/>
      <c r="C151" s="94"/>
      <c r="D151" s="429">
        <v>0</v>
      </c>
      <c r="E151" s="429">
        <f>SUM(E150)</f>
        <v>0</v>
      </c>
      <c r="F151" s="429">
        <f>SUM(F150)</f>
        <v>0</v>
      </c>
      <c r="G151" s="429">
        <v>0</v>
      </c>
      <c r="H151" s="429">
        <f>SUM(H150)</f>
        <v>0</v>
      </c>
      <c r="I151" s="429"/>
      <c r="J151" s="429"/>
      <c r="K151" s="429"/>
    </row>
    <row r="152" spans="1:11" s="468" customFormat="1" x14ac:dyDescent="0.25">
      <c r="A152" s="344"/>
      <c r="B152" s="151"/>
      <c r="C152" s="93" t="s">
        <v>64</v>
      </c>
      <c r="D152" s="88"/>
      <c r="E152" s="113"/>
      <c r="F152" s="113"/>
      <c r="G152" s="113"/>
      <c r="H152" s="113"/>
      <c r="I152" s="113"/>
      <c r="J152" s="113"/>
      <c r="K152" s="88"/>
    </row>
    <row r="153" spans="1:11" s="468" customFormat="1" x14ac:dyDescent="0.25">
      <c r="A153" s="118">
        <v>16</v>
      </c>
      <c r="B153" s="151">
        <v>6105</v>
      </c>
      <c r="C153" s="94" t="s">
        <v>336</v>
      </c>
      <c r="D153" s="428">
        <v>0</v>
      </c>
      <c r="E153" s="425">
        <v>0</v>
      </c>
      <c r="F153" s="428">
        <f>E153-D153</f>
        <v>0</v>
      </c>
      <c r="G153" s="428">
        <v>0</v>
      </c>
      <c r="H153" s="428">
        <v>3200000</v>
      </c>
      <c r="I153" s="428"/>
      <c r="J153" s="428"/>
      <c r="K153" s="428"/>
    </row>
    <row r="154" spans="1:11" s="468" customFormat="1" x14ac:dyDescent="0.25">
      <c r="A154" s="118">
        <v>16</v>
      </c>
      <c r="B154" s="151">
        <v>6110</v>
      </c>
      <c r="C154" s="94" t="s">
        <v>337</v>
      </c>
      <c r="D154" s="428">
        <v>0</v>
      </c>
      <c r="E154" s="425">
        <v>170000</v>
      </c>
      <c r="F154" s="428">
        <f>E154-D154</f>
        <v>170000</v>
      </c>
      <c r="G154" s="428">
        <v>170000</v>
      </c>
      <c r="H154" s="428"/>
      <c r="I154" s="428"/>
      <c r="J154" s="428"/>
      <c r="K154" s="428"/>
    </row>
    <row r="155" spans="1:11" s="468" customFormat="1" x14ac:dyDescent="0.25">
      <c r="A155" s="118">
        <v>16</v>
      </c>
      <c r="B155" s="151">
        <v>6115</v>
      </c>
      <c r="C155" s="94" t="s">
        <v>60</v>
      </c>
      <c r="D155" s="428">
        <v>0</v>
      </c>
      <c r="E155" s="425">
        <v>0</v>
      </c>
      <c r="F155" s="428">
        <f>E155-D155</f>
        <v>0</v>
      </c>
      <c r="G155" s="428">
        <v>0</v>
      </c>
      <c r="H155" s="428"/>
      <c r="I155" s="428"/>
      <c r="J155" s="428"/>
      <c r="K155" s="428"/>
    </row>
    <row r="156" spans="1:11" s="468" customFormat="1" x14ac:dyDescent="0.25">
      <c r="A156" s="344"/>
      <c r="B156" s="151"/>
      <c r="C156" s="94"/>
      <c r="D156" s="429">
        <f t="shared" ref="D156:K156" si="11">SUM(D153:D155)</f>
        <v>0</v>
      </c>
      <c r="E156" s="429">
        <f t="shared" si="11"/>
        <v>170000</v>
      </c>
      <c r="F156" s="429">
        <f t="shared" si="11"/>
        <v>170000</v>
      </c>
      <c r="G156" s="429">
        <f t="shared" si="11"/>
        <v>170000</v>
      </c>
      <c r="H156" s="429">
        <f t="shared" si="11"/>
        <v>3200000</v>
      </c>
      <c r="I156" s="429">
        <f t="shared" si="11"/>
        <v>0</v>
      </c>
      <c r="J156" s="429">
        <f t="shared" si="11"/>
        <v>0</v>
      </c>
      <c r="K156" s="429">
        <f t="shared" si="11"/>
        <v>0</v>
      </c>
    </row>
    <row r="157" spans="1:11" s="468" customFormat="1" hidden="1" x14ac:dyDescent="0.25">
      <c r="A157" s="344"/>
      <c r="B157" s="151"/>
      <c r="C157" s="459" t="s">
        <v>65</v>
      </c>
      <c r="D157" s="88"/>
      <c r="E157" s="113"/>
      <c r="F157" s="113"/>
      <c r="G157" s="113"/>
      <c r="H157" s="113"/>
      <c r="I157" s="113"/>
      <c r="J157" s="113"/>
      <c r="K157" s="113"/>
    </row>
    <row r="158" spans="1:11" s="468" customFormat="1" hidden="1" x14ac:dyDescent="0.25">
      <c r="A158" s="118">
        <v>16</v>
      </c>
      <c r="B158" s="151">
        <v>6205</v>
      </c>
      <c r="C158" s="94" t="s">
        <v>338</v>
      </c>
      <c r="D158" s="428">
        <v>0</v>
      </c>
      <c r="E158" s="425"/>
      <c r="F158" s="428">
        <f>E158-D158</f>
        <v>0</v>
      </c>
      <c r="G158" s="428"/>
      <c r="H158" s="428"/>
      <c r="I158" s="428"/>
      <c r="J158" s="428"/>
      <c r="K158" s="428"/>
    </row>
    <row r="159" spans="1:11" s="468" customFormat="1" hidden="1" x14ac:dyDescent="0.25">
      <c r="A159" s="118">
        <v>16</v>
      </c>
      <c r="B159" s="151">
        <v>6210</v>
      </c>
      <c r="C159" s="94" t="s">
        <v>339</v>
      </c>
      <c r="D159" s="428">
        <v>0</v>
      </c>
      <c r="E159" s="428"/>
      <c r="F159" s="428">
        <f>E159-D159</f>
        <v>0</v>
      </c>
      <c r="G159" s="428"/>
      <c r="H159" s="428"/>
      <c r="I159" s="428"/>
      <c r="J159" s="428"/>
      <c r="K159" s="428"/>
    </row>
    <row r="160" spans="1:11" s="468" customFormat="1" hidden="1" x14ac:dyDescent="0.25">
      <c r="A160" s="344"/>
      <c r="B160" s="346"/>
      <c r="C160" s="347"/>
      <c r="D160" s="441">
        <v>0</v>
      </c>
      <c r="E160" s="441">
        <f>SUM(E158:E159)</f>
        <v>0</v>
      </c>
      <c r="F160" s="441">
        <f>SUM(F158:F159)</f>
        <v>0</v>
      </c>
      <c r="G160" s="441"/>
      <c r="H160" s="441">
        <f>SUM(H158:H159)</f>
        <v>0</v>
      </c>
      <c r="I160" s="441">
        <f>SUM(I158:I159)</f>
        <v>0</v>
      </c>
      <c r="J160" s="441">
        <f>SUM(J158:J159)</f>
        <v>0</v>
      </c>
      <c r="K160" s="441">
        <f>SUM(K158:K159)</f>
        <v>0</v>
      </c>
    </row>
    <row r="161" spans="1:11" s="468" customFormat="1" x14ac:dyDescent="0.25">
      <c r="A161" s="344"/>
      <c r="B161" s="346"/>
      <c r="C161" s="93" t="s">
        <v>189</v>
      </c>
      <c r="D161" s="441">
        <f t="shared" ref="D161:K161" si="12">D160+D156+D151+D148+D70+D66+D63+D59+D38+D35+D32+D29+D25+D18</f>
        <v>9629487</v>
      </c>
      <c r="E161" s="441">
        <f t="shared" si="12"/>
        <v>11014324</v>
      </c>
      <c r="F161" s="441">
        <f t="shared" si="12"/>
        <v>13089324</v>
      </c>
      <c r="G161" s="441">
        <f t="shared" si="12"/>
        <v>13969325</v>
      </c>
      <c r="H161" s="441">
        <f t="shared" si="12"/>
        <v>15329175.6</v>
      </c>
      <c r="I161" s="441">
        <f t="shared" si="12"/>
        <v>8425663.7848000005</v>
      </c>
      <c r="J161" s="441">
        <f t="shared" si="12"/>
        <v>8835135.2929640003</v>
      </c>
      <c r="K161" s="441">
        <f t="shared" si="12"/>
        <v>9078119.4634910915</v>
      </c>
    </row>
    <row r="162" spans="1:11" s="468" customFormat="1" hidden="1" x14ac:dyDescent="0.25">
      <c r="A162" s="344"/>
      <c r="B162" s="151"/>
      <c r="C162" s="93" t="s">
        <v>258</v>
      </c>
      <c r="D162" s="442"/>
      <c r="E162" s="442"/>
      <c r="F162" s="442"/>
      <c r="G162" s="442"/>
      <c r="H162" s="442"/>
      <c r="I162" s="442"/>
      <c r="J162" s="442"/>
      <c r="K162" s="442"/>
    </row>
    <row r="163" spans="1:11" s="468" customFormat="1" hidden="1" x14ac:dyDescent="0.25">
      <c r="A163" s="118">
        <v>16</v>
      </c>
      <c r="B163" s="151">
        <v>6305</v>
      </c>
      <c r="C163" s="94" t="s">
        <v>190</v>
      </c>
      <c r="D163" s="428">
        <v>0</v>
      </c>
      <c r="E163" s="428"/>
      <c r="F163" s="428">
        <f>E163-D163</f>
        <v>0</v>
      </c>
      <c r="G163" s="428"/>
      <c r="H163" s="428">
        <f>F163-E163</f>
        <v>0</v>
      </c>
      <c r="I163" s="428">
        <f>G163-F163</f>
        <v>0</v>
      </c>
      <c r="J163" s="428">
        <f>H163-G163</f>
        <v>0</v>
      </c>
      <c r="K163" s="428">
        <f>I163-H163</f>
        <v>0</v>
      </c>
    </row>
    <row r="164" spans="1:11" s="468" customFormat="1" ht="14.25" hidden="1" customHeight="1" x14ac:dyDescent="0.25">
      <c r="A164" s="344"/>
      <c r="B164" s="151"/>
      <c r="C164" s="94"/>
      <c r="D164" s="441">
        <v>0</v>
      </c>
      <c r="E164" s="441">
        <f>E163</f>
        <v>0</v>
      </c>
      <c r="F164" s="441">
        <f>F163</f>
        <v>0</v>
      </c>
      <c r="G164" s="441"/>
      <c r="H164" s="441">
        <f>H163</f>
        <v>0</v>
      </c>
      <c r="I164" s="441">
        <f>I163</f>
        <v>0</v>
      </c>
      <c r="J164" s="441">
        <f>J163</f>
        <v>0</v>
      </c>
      <c r="K164" s="441">
        <f>K163</f>
        <v>0</v>
      </c>
    </row>
    <row r="165" spans="1:11" s="468" customFormat="1" x14ac:dyDescent="0.25">
      <c r="A165" s="348"/>
      <c r="B165" s="152"/>
      <c r="C165" s="119" t="s">
        <v>191</v>
      </c>
      <c r="D165" s="448">
        <f t="shared" ref="D165:K165" si="13">SUM(D161+D164)</f>
        <v>9629487</v>
      </c>
      <c r="E165" s="448">
        <f t="shared" si="13"/>
        <v>11014324</v>
      </c>
      <c r="F165" s="448">
        <f t="shared" si="13"/>
        <v>13089324</v>
      </c>
      <c r="G165" s="448">
        <f t="shared" si="13"/>
        <v>13969325</v>
      </c>
      <c r="H165" s="448">
        <f t="shared" si="13"/>
        <v>15329175.6</v>
      </c>
      <c r="I165" s="448">
        <f t="shared" si="13"/>
        <v>8425663.7848000005</v>
      </c>
      <c r="J165" s="448">
        <f t="shared" si="13"/>
        <v>8835135.2929640003</v>
      </c>
      <c r="K165" s="448">
        <f t="shared" si="13"/>
        <v>9078119.4634910915</v>
      </c>
    </row>
    <row r="166" spans="1:11" s="468" customFormat="1" x14ac:dyDescent="0.25">
      <c r="A166" s="344"/>
      <c r="B166" s="130"/>
      <c r="C166" s="440"/>
      <c r="D166" s="111"/>
      <c r="E166" s="120"/>
      <c r="F166" s="120"/>
      <c r="G166" s="120"/>
      <c r="H166" s="120"/>
      <c r="I166" s="120"/>
      <c r="J166" s="120"/>
      <c r="K166" s="380"/>
    </row>
    <row r="167" spans="1:11" s="468" customFormat="1" x14ac:dyDescent="0.25">
      <c r="A167" s="344"/>
      <c r="B167" s="130"/>
      <c r="C167" s="440"/>
      <c r="D167" s="111"/>
      <c r="E167" s="111"/>
      <c r="F167" s="111"/>
      <c r="G167" s="111"/>
      <c r="H167" s="111"/>
      <c r="I167" s="111"/>
      <c r="J167" s="111"/>
      <c r="K167" s="381"/>
    </row>
    <row r="168" spans="1:11" s="468" customFormat="1" x14ac:dyDescent="0.25">
      <c r="A168" s="349"/>
      <c r="B168" s="546" t="s">
        <v>416</v>
      </c>
      <c r="C168" s="546"/>
      <c r="D168" s="547"/>
      <c r="E168" s="548"/>
      <c r="F168" s="548"/>
      <c r="G168" s="563"/>
      <c r="H168" s="548"/>
      <c r="I168" s="581"/>
      <c r="J168" s="548"/>
      <c r="K168" s="549"/>
    </row>
    <row r="169" spans="1:11" s="468" customFormat="1" x14ac:dyDescent="0.25">
      <c r="A169" s="944" t="s">
        <v>21</v>
      </c>
      <c r="B169" s="945"/>
      <c r="C169" s="150" t="s">
        <v>22</v>
      </c>
      <c r="D169" s="103" t="s">
        <v>880</v>
      </c>
      <c r="E169" s="104" t="s">
        <v>24</v>
      </c>
      <c r="F169" s="103" t="s">
        <v>535</v>
      </c>
      <c r="G169" s="103" t="s">
        <v>413</v>
      </c>
      <c r="H169" s="104" t="s">
        <v>24</v>
      </c>
      <c r="I169" s="583" t="s">
        <v>24</v>
      </c>
      <c r="J169" s="583" t="s">
        <v>24</v>
      </c>
      <c r="K169" s="583" t="s">
        <v>24</v>
      </c>
    </row>
    <row r="170" spans="1:11" s="468" customFormat="1" x14ac:dyDescent="0.25">
      <c r="A170" s="946"/>
      <c r="B170" s="947"/>
      <c r="C170" s="106"/>
      <c r="D170" s="333" t="s">
        <v>257</v>
      </c>
      <c r="E170" s="107" t="s">
        <v>382</v>
      </c>
      <c r="F170" s="107" t="s">
        <v>382</v>
      </c>
      <c r="G170" s="107"/>
      <c r="H170" s="107" t="s">
        <v>407</v>
      </c>
      <c r="I170" s="586" t="s">
        <v>414</v>
      </c>
      <c r="J170" s="586" t="s">
        <v>530</v>
      </c>
      <c r="K170" s="586" t="s">
        <v>886</v>
      </c>
    </row>
    <row r="171" spans="1:11" s="468" customFormat="1" hidden="1" x14ac:dyDescent="0.25">
      <c r="A171" s="350"/>
      <c r="B171" s="153"/>
      <c r="C171" s="93" t="s">
        <v>98</v>
      </c>
      <c r="D171" s="444"/>
      <c r="E171" s="435"/>
      <c r="F171" s="435"/>
      <c r="G171" s="435"/>
      <c r="H171" s="435"/>
      <c r="I171" s="435"/>
      <c r="J171" s="435"/>
      <c r="K171" s="444"/>
    </row>
    <row r="172" spans="1:11" s="468" customFormat="1" hidden="1" x14ac:dyDescent="0.25">
      <c r="A172" s="118">
        <v>16</v>
      </c>
      <c r="B172" s="151">
        <v>1237</v>
      </c>
      <c r="C172" s="94" t="s">
        <v>99</v>
      </c>
      <c r="D172" s="444"/>
      <c r="E172" s="425"/>
      <c r="F172" s="435">
        <f>E172/8*12</f>
        <v>0</v>
      </c>
      <c r="G172" s="435"/>
      <c r="H172" s="435"/>
      <c r="I172" s="435"/>
      <c r="J172" s="435"/>
      <c r="K172" s="425">
        <f>F172*(1+[1]INPUT!C15)</f>
        <v>0</v>
      </c>
    </row>
    <row r="173" spans="1:11" s="468" customFormat="1" hidden="1" x14ac:dyDescent="0.25">
      <c r="A173" s="118">
        <v>16</v>
      </c>
      <c r="B173" s="151">
        <v>5725</v>
      </c>
      <c r="C173" s="94" t="s">
        <v>400</v>
      </c>
      <c r="D173" s="428"/>
      <c r="E173" s="428">
        <v>0</v>
      </c>
      <c r="F173" s="428">
        <v>0</v>
      </c>
      <c r="G173" s="428"/>
      <c r="H173" s="428"/>
      <c r="I173" s="428"/>
      <c r="J173" s="428"/>
      <c r="K173" s="428">
        <f>F173*(1+[1]INPUT!C$10)</f>
        <v>0</v>
      </c>
    </row>
    <row r="174" spans="1:11" s="468" customFormat="1" hidden="1" x14ac:dyDescent="0.25">
      <c r="A174" s="344"/>
      <c r="B174" s="151"/>
      <c r="C174" s="94"/>
      <c r="D174" s="436">
        <f>SUM(D172)</f>
        <v>0</v>
      </c>
      <c r="E174" s="436">
        <f>SUM(E172)</f>
        <v>0</v>
      </c>
      <c r="F174" s="436">
        <f>SUM(F172)</f>
        <v>0</v>
      </c>
      <c r="G174" s="436">
        <f>SUM(G172)</f>
        <v>0</v>
      </c>
      <c r="H174" s="436"/>
      <c r="I174" s="436"/>
      <c r="J174" s="436"/>
      <c r="K174" s="436">
        <f>SUM(K172)</f>
        <v>0</v>
      </c>
    </row>
    <row r="175" spans="1:11" s="468" customFormat="1" x14ac:dyDescent="0.25">
      <c r="A175" s="344"/>
      <c r="B175" s="151"/>
      <c r="C175" s="93" t="s">
        <v>100</v>
      </c>
      <c r="D175" s="444"/>
      <c r="E175" s="435"/>
      <c r="F175" s="435"/>
      <c r="G175" s="435"/>
      <c r="H175" s="435"/>
      <c r="I175" s="435"/>
      <c r="J175" s="435"/>
      <c r="K175" s="444"/>
    </row>
    <row r="176" spans="1:11" s="468" customFormat="1" hidden="1" x14ac:dyDescent="0.25">
      <c r="A176" s="118">
        <v>16</v>
      </c>
      <c r="B176" s="151">
        <v>1147</v>
      </c>
      <c r="C176" s="94" t="s">
        <v>102</v>
      </c>
      <c r="D176" s="444"/>
      <c r="E176" s="435"/>
      <c r="F176" s="435">
        <f>E176/8*12</f>
        <v>0</v>
      </c>
      <c r="G176" s="435"/>
      <c r="H176" s="435"/>
      <c r="I176" s="435"/>
      <c r="J176" s="435"/>
      <c r="K176" s="444">
        <f>F176*(1+[1]INPUT!C18)</f>
        <v>0</v>
      </c>
    </row>
    <row r="177" spans="1:11" s="468" customFormat="1" hidden="1" x14ac:dyDescent="0.25">
      <c r="A177" s="118">
        <v>16</v>
      </c>
      <c r="B177" s="151">
        <v>1202</v>
      </c>
      <c r="C177" s="94" t="s">
        <v>343</v>
      </c>
      <c r="D177" s="444"/>
      <c r="E177" s="435"/>
      <c r="F177" s="435">
        <f>E177/8*12</f>
        <v>0</v>
      </c>
      <c r="G177" s="435"/>
      <c r="H177" s="435"/>
      <c r="I177" s="435"/>
      <c r="J177" s="435"/>
      <c r="K177" s="444">
        <f>F177*(1+[1]INPUT!C19)</f>
        <v>0</v>
      </c>
    </row>
    <row r="178" spans="1:11" s="468" customFormat="1" hidden="1" x14ac:dyDescent="0.25">
      <c r="A178" s="118">
        <v>16</v>
      </c>
      <c r="B178" s="151">
        <v>1207</v>
      </c>
      <c r="C178" s="94" t="s">
        <v>104</v>
      </c>
      <c r="D178" s="444"/>
      <c r="E178" s="435"/>
      <c r="F178" s="435">
        <f>E178/8*12</f>
        <v>0</v>
      </c>
      <c r="G178" s="435"/>
      <c r="H178" s="435"/>
      <c r="I178" s="435"/>
      <c r="J178" s="435"/>
      <c r="K178" s="444">
        <f>F178*(1+[1]INPUT!C20)</f>
        <v>0</v>
      </c>
    </row>
    <row r="179" spans="1:11" s="468" customFormat="1" hidden="1" x14ac:dyDescent="0.25">
      <c r="A179" s="118">
        <v>16</v>
      </c>
      <c r="B179" s="151">
        <v>1153</v>
      </c>
      <c r="C179" s="94" t="s">
        <v>115</v>
      </c>
      <c r="D179" s="444"/>
      <c r="E179" s="435"/>
      <c r="F179" s="435">
        <f>E179/8*12</f>
        <v>0</v>
      </c>
      <c r="G179" s="435"/>
      <c r="H179" s="435"/>
      <c r="I179" s="435"/>
      <c r="J179" s="435"/>
      <c r="K179" s="444">
        <f>F179*(1+[1]INPUT!C21)</f>
        <v>0</v>
      </c>
    </row>
    <row r="180" spans="1:11" s="468" customFormat="1" hidden="1" x14ac:dyDescent="0.25">
      <c r="A180" s="118">
        <v>16</v>
      </c>
      <c r="B180" s="151">
        <v>1143</v>
      </c>
      <c r="C180" s="94" t="s">
        <v>109</v>
      </c>
      <c r="D180" s="444"/>
      <c r="E180" s="435"/>
      <c r="F180" s="435">
        <f>E180/8*12</f>
        <v>0</v>
      </c>
      <c r="G180" s="435"/>
      <c r="H180" s="435"/>
      <c r="I180" s="435"/>
      <c r="J180" s="435"/>
      <c r="K180" s="444">
        <f>F180*(1+[1]INPUT!C22)</f>
        <v>0</v>
      </c>
    </row>
    <row r="181" spans="1:11" s="468" customFormat="1" x14ac:dyDescent="0.25">
      <c r="A181" s="118">
        <v>16</v>
      </c>
      <c r="B181" s="151">
        <v>5500</v>
      </c>
      <c r="C181" s="94" t="s">
        <v>266</v>
      </c>
      <c r="D181" s="428">
        <v>-31895</v>
      </c>
      <c r="E181" s="428">
        <v>-33969</v>
      </c>
      <c r="F181" s="428">
        <f t="shared" ref="F181:F200" si="14">E181-D181</f>
        <v>-2074</v>
      </c>
      <c r="G181" s="428">
        <v>-2074</v>
      </c>
      <c r="H181" s="597">
        <v>-2281</v>
      </c>
      <c r="I181" s="428">
        <f>+H181*1.058</f>
        <v>-2413.2980000000002</v>
      </c>
      <c r="J181" s="428">
        <f>+I181*1.055</f>
        <v>-2546.0293900000001</v>
      </c>
      <c r="K181" s="428">
        <f>+J181*1.053</f>
        <v>-2680.96894767</v>
      </c>
    </row>
    <row r="182" spans="1:11" s="468" customFormat="1" hidden="1" x14ac:dyDescent="0.25">
      <c r="A182" s="118">
        <v>16</v>
      </c>
      <c r="B182" s="151">
        <v>5705</v>
      </c>
      <c r="C182" s="94" t="s">
        <v>296</v>
      </c>
      <c r="D182" s="428"/>
      <c r="E182" s="428"/>
      <c r="F182" s="428">
        <f t="shared" si="14"/>
        <v>0</v>
      </c>
      <c r="G182" s="428">
        <v>0</v>
      </c>
      <c r="H182" s="428">
        <f t="shared" ref="H182:H200" si="15">+(F182*0.1)+F182</f>
        <v>0</v>
      </c>
      <c r="I182" s="428">
        <f t="shared" ref="I182:I205" si="16">+H182*1.058</f>
        <v>0</v>
      </c>
      <c r="J182" s="428">
        <f t="shared" ref="J182:J205" si="17">+I182*1.055</f>
        <v>0</v>
      </c>
      <c r="K182" s="428">
        <f t="shared" ref="K182:K205" si="18">+J182*1.053</f>
        <v>0</v>
      </c>
    </row>
    <row r="183" spans="1:11" s="468" customFormat="1" hidden="1" x14ac:dyDescent="0.25">
      <c r="A183" s="118">
        <v>16</v>
      </c>
      <c r="B183" s="151">
        <v>1140</v>
      </c>
      <c r="C183" s="94" t="s">
        <v>113</v>
      </c>
      <c r="D183" s="444"/>
      <c r="E183" s="435"/>
      <c r="F183" s="428">
        <f t="shared" si="14"/>
        <v>0</v>
      </c>
      <c r="G183" s="428">
        <v>0</v>
      </c>
      <c r="H183" s="428">
        <f t="shared" si="15"/>
        <v>0</v>
      </c>
      <c r="I183" s="428">
        <f t="shared" si="16"/>
        <v>0</v>
      </c>
      <c r="J183" s="428">
        <f t="shared" si="17"/>
        <v>0</v>
      </c>
      <c r="K183" s="428">
        <f t="shared" si="18"/>
        <v>0</v>
      </c>
    </row>
    <row r="184" spans="1:11" s="468" customFormat="1" hidden="1" x14ac:dyDescent="0.25">
      <c r="A184" s="118">
        <v>16</v>
      </c>
      <c r="B184" s="151">
        <v>1145</v>
      </c>
      <c r="C184" s="94" t="s">
        <v>132</v>
      </c>
      <c r="D184" s="444"/>
      <c r="E184" s="435"/>
      <c r="F184" s="428">
        <f t="shared" si="14"/>
        <v>0</v>
      </c>
      <c r="G184" s="428">
        <v>0</v>
      </c>
      <c r="H184" s="428">
        <f t="shared" si="15"/>
        <v>0</v>
      </c>
      <c r="I184" s="428">
        <f t="shared" si="16"/>
        <v>0</v>
      </c>
      <c r="J184" s="428">
        <f t="shared" si="17"/>
        <v>0</v>
      </c>
      <c r="K184" s="428">
        <f t="shared" si="18"/>
        <v>0</v>
      </c>
    </row>
    <row r="185" spans="1:11" s="468" customFormat="1" hidden="1" x14ac:dyDescent="0.25">
      <c r="A185" s="118">
        <v>16</v>
      </c>
      <c r="B185" s="151">
        <v>1150</v>
      </c>
      <c r="C185" s="94" t="s">
        <v>120</v>
      </c>
      <c r="D185" s="444"/>
      <c r="E185" s="435"/>
      <c r="F185" s="428">
        <f t="shared" si="14"/>
        <v>0</v>
      </c>
      <c r="G185" s="428">
        <v>0</v>
      </c>
      <c r="H185" s="428">
        <f t="shared" si="15"/>
        <v>0</v>
      </c>
      <c r="I185" s="428">
        <f t="shared" si="16"/>
        <v>0</v>
      </c>
      <c r="J185" s="428">
        <f t="shared" si="17"/>
        <v>0</v>
      </c>
      <c r="K185" s="428">
        <f t="shared" si="18"/>
        <v>0</v>
      </c>
    </row>
    <row r="186" spans="1:11" s="468" customFormat="1" hidden="1" x14ac:dyDescent="0.25">
      <c r="A186" s="118">
        <v>16</v>
      </c>
      <c r="B186" s="151">
        <v>1155</v>
      </c>
      <c r="C186" s="94" t="s">
        <v>116</v>
      </c>
      <c r="D186" s="444"/>
      <c r="E186" s="435"/>
      <c r="F186" s="428">
        <f t="shared" si="14"/>
        <v>0</v>
      </c>
      <c r="G186" s="428">
        <v>0</v>
      </c>
      <c r="H186" s="428">
        <f t="shared" si="15"/>
        <v>0</v>
      </c>
      <c r="I186" s="428">
        <f t="shared" si="16"/>
        <v>0</v>
      </c>
      <c r="J186" s="428">
        <f t="shared" si="17"/>
        <v>0</v>
      </c>
      <c r="K186" s="428">
        <f t="shared" si="18"/>
        <v>0</v>
      </c>
    </row>
    <row r="187" spans="1:11" s="468" customFormat="1" hidden="1" x14ac:dyDescent="0.25">
      <c r="A187" s="118">
        <v>16</v>
      </c>
      <c r="B187" s="151">
        <v>1160</v>
      </c>
      <c r="C187" s="94" t="s">
        <v>101</v>
      </c>
      <c r="D187" s="444"/>
      <c r="E187" s="435"/>
      <c r="F187" s="428">
        <f t="shared" si="14"/>
        <v>0</v>
      </c>
      <c r="G187" s="428">
        <v>0</v>
      </c>
      <c r="H187" s="428">
        <f t="shared" si="15"/>
        <v>0</v>
      </c>
      <c r="I187" s="428">
        <f t="shared" si="16"/>
        <v>0</v>
      </c>
      <c r="J187" s="428">
        <f t="shared" si="17"/>
        <v>0</v>
      </c>
      <c r="K187" s="428">
        <f t="shared" si="18"/>
        <v>0</v>
      </c>
    </row>
    <row r="188" spans="1:11" s="468" customFormat="1" hidden="1" x14ac:dyDescent="0.25">
      <c r="A188" s="118">
        <v>16</v>
      </c>
      <c r="B188" s="151">
        <v>1165</v>
      </c>
      <c r="C188" s="94" t="s">
        <v>114</v>
      </c>
      <c r="D188" s="444"/>
      <c r="E188" s="435"/>
      <c r="F188" s="428">
        <f t="shared" si="14"/>
        <v>0</v>
      </c>
      <c r="G188" s="428">
        <v>0</v>
      </c>
      <c r="H188" s="428">
        <f t="shared" si="15"/>
        <v>0</v>
      </c>
      <c r="I188" s="428">
        <f t="shared" si="16"/>
        <v>0</v>
      </c>
      <c r="J188" s="428">
        <f t="shared" si="17"/>
        <v>0</v>
      </c>
      <c r="K188" s="428">
        <f t="shared" si="18"/>
        <v>0</v>
      </c>
    </row>
    <row r="189" spans="1:11" s="468" customFormat="1" hidden="1" x14ac:dyDescent="0.25">
      <c r="A189" s="118"/>
      <c r="B189" s="151"/>
      <c r="C189" s="94" t="s">
        <v>401</v>
      </c>
      <c r="D189" s="444"/>
      <c r="E189" s="435"/>
      <c r="F189" s="428">
        <f t="shared" si="14"/>
        <v>0</v>
      </c>
      <c r="G189" s="428">
        <v>0</v>
      </c>
      <c r="H189" s="428">
        <f t="shared" si="15"/>
        <v>0</v>
      </c>
      <c r="I189" s="428">
        <f t="shared" si="16"/>
        <v>0</v>
      </c>
      <c r="J189" s="428">
        <f t="shared" si="17"/>
        <v>0</v>
      </c>
      <c r="K189" s="428">
        <f t="shared" si="18"/>
        <v>0</v>
      </c>
    </row>
    <row r="190" spans="1:11" s="468" customFormat="1" hidden="1" x14ac:dyDescent="0.25">
      <c r="A190" s="118">
        <v>16</v>
      </c>
      <c r="B190" s="151">
        <v>1180</v>
      </c>
      <c r="C190" s="94" t="s">
        <v>402</v>
      </c>
      <c r="D190" s="444"/>
      <c r="E190" s="435"/>
      <c r="F190" s="428">
        <f t="shared" si="14"/>
        <v>0</v>
      </c>
      <c r="G190" s="428">
        <v>0</v>
      </c>
      <c r="H190" s="428">
        <f t="shared" si="15"/>
        <v>0</v>
      </c>
      <c r="I190" s="428">
        <f t="shared" si="16"/>
        <v>0</v>
      </c>
      <c r="J190" s="428">
        <f t="shared" si="17"/>
        <v>0</v>
      </c>
      <c r="K190" s="428">
        <f t="shared" si="18"/>
        <v>0</v>
      </c>
    </row>
    <row r="191" spans="1:11" s="468" customFormat="1" hidden="1" x14ac:dyDescent="0.25">
      <c r="A191" s="118">
        <v>16</v>
      </c>
      <c r="B191" s="151">
        <v>1185</v>
      </c>
      <c r="C191" s="94" t="s">
        <v>403</v>
      </c>
      <c r="D191" s="444"/>
      <c r="E191" s="435"/>
      <c r="F191" s="428">
        <f t="shared" si="14"/>
        <v>0</v>
      </c>
      <c r="G191" s="428">
        <v>0</v>
      </c>
      <c r="H191" s="428">
        <f t="shared" si="15"/>
        <v>0</v>
      </c>
      <c r="I191" s="428">
        <f t="shared" si="16"/>
        <v>0</v>
      </c>
      <c r="J191" s="428">
        <f t="shared" si="17"/>
        <v>0</v>
      </c>
      <c r="K191" s="428">
        <f t="shared" si="18"/>
        <v>0</v>
      </c>
    </row>
    <row r="192" spans="1:11" s="468" customFormat="1" hidden="1" x14ac:dyDescent="0.25">
      <c r="A192" s="118">
        <v>16</v>
      </c>
      <c r="B192" s="151">
        <v>1190</v>
      </c>
      <c r="C192" s="94" t="s">
        <v>404</v>
      </c>
      <c r="D192" s="444"/>
      <c r="E192" s="435"/>
      <c r="F192" s="428">
        <f t="shared" si="14"/>
        <v>0</v>
      </c>
      <c r="G192" s="428">
        <v>0</v>
      </c>
      <c r="H192" s="428">
        <f t="shared" si="15"/>
        <v>0</v>
      </c>
      <c r="I192" s="428">
        <f t="shared" si="16"/>
        <v>0</v>
      </c>
      <c r="J192" s="428">
        <f t="shared" si="17"/>
        <v>0</v>
      </c>
      <c r="K192" s="428">
        <f t="shared" si="18"/>
        <v>0</v>
      </c>
    </row>
    <row r="193" spans="1:11" s="468" customFormat="1" hidden="1" x14ac:dyDescent="0.25">
      <c r="A193" s="118"/>
      <c r="B193" s="151"/>
      <c r="C193" s="94" t="s">
        <v>405</v>
      </c>
      <c r="D193" s="444"/>
      <c r="E193" s="435"/>
      <c r="F193" s="428">
        <f t="shared" si="14"/>
        <v>0</v>
      </c>
      <c r="G193" s="428">
        <v>0</v>
      </c>
      <c r="H193" s="428">
        <f t="shared" si="15"/>
        <v>0</v>
      </c>
      <c r="I193" s="428">
        <f t="shared" si="16"/>
        <v>0</v>
      </c>
      <c r="J193" s="428">
        <f t="shared" si="17"/>
        <v>0</v>
      </c>
      <c r="K193" s="428">
        <f t="shared" si="18"/>
        <v>0</v>
      </c>
    </row>
    <row r="194" spans="1:11" s="468" customFormat="1" hidden="1" x14ac:dyDescent="0.25">
      <c r="A194" s="118">
        <v>16</v>
      </c>
      <c r="B194" s="151">
        <v>1195</v>
      </c>
      <c r="C194" s="94" t="s">
        <v>199</v>
      </c>
      <c r="D194" s="444"/>
      <c r="E194" s="435"/>
      <c r="F194" s="428">
        <f t="shared" si="14"/>
        <v>0</v>
      </c>
      <c r="G194" s="428">
        <v>0</v>
      </c>
      <c r="H194" s="428">
        <f t="shared" si="15"/>
        <v>0</v>
      </c>
      <c r="I194" s="428">
        <f t="shared" si="16"/>
        <v>0</v>
      </c>
      <c r="J194" s="428">
        <f t="shared" si="17"/>
        <v>0</v>
      </c>
      <c r="K194" s="428">
        <f t="shared" si="18"/>
        <v>0</v>
      </c>
    </row>
    <row r="195" spans="1:11" s="468" customFormat="1" hidden="1" x14ac:dyDescent="0.25">
      <c r="A195" s="118">
        <v>16</v>
      </c>
      <c r="B195" s="151">
        <v>1200</v>
      </c>
      <c r="C195" s="94" t="s">
        <v>117</v>
      </c>
      <c r="D195" s="444"/>
      <c r="E195" s="435"/>
      <c r="F195" s="428">
        <f t="shared" si="14"/>
        <v>0</v>
      </c>
      <c r="G195" s="428">
        <v>0</v>
      </c>
      <c r="H195" s="428">
        <f t="shared" si="15"/>
        <v>0</v>
      </c>
      <c r="I195" s="428">
        <f t="shared" si="16"/>
        <v>0</v>
      </c>
      <c r="J195" s="428">
        <f t="shared" si="17"/>
        <v>0</v>
      </c>
      <c r="K195" s="428">
        <f t="shared" si="18"/>
        <v>0</v>
      </c>
    </row>
    <row r="196" spans="1:11" s="468" customFormat="1" hidden="1" x14ac:dyDescent="0.25">
      <c r="A196" s="118">
        <v>16</v>
      </c>
      <c r="B196" s="151">
        <v>1205</v>
      </c>
      <c r="C196" s="440" t="s">
        <v>105</v>
      </c>
      <c r="D196" s="444"/>
      <c r="E196" s="435"/>
      <c r="F196" s="428">
        <f t="shared" si="14"/>
        <v>0</v>
      </c>
      <c r="G196" s="428">
        <v>0</v>
      </c>
      <c r="H196" s="428">
        <f t="shared" si="15"/>
        <v>0</v>
      </c>
      <c r="I196" s="428">
        <f t="shared" si="16"/>
        <v>0</v>
      </c>
      <c r="J196" s="428">
        <f t="shared" si="17"/>
        <v>0</v>
      </c>
      <c r="K196" s="428">
        <f t="shared" si="18"/>
        <v>0</v>
      </c>
    </row>
    <row r="197" spans="1:11" s="468" customFormat="1" hidden="1" x14ac:dyDescent="0.25">
      <c r="A197" s="118">
        <v>16</v>
      </c>
      <c r="B197" s="151">
        <v>1210</v>
      </c>
      <c r="C197" s="94" t="s">
        <v>118</v>
      </c>
      <c r="D197" s="444"/>
      <c r="E197" s="435"/>
      <c r="F197" s="428">
        <f t="shared" si="14"/>
        <v>0</v>
      </c>
      <c r="G197" s="428">
        <v>0</v>
      </c>
      <c r="H197" s="428">
        <f t="shared" si="15"/>
        <v>0</v>
      </c>
      <c r="I197" s="428">
        <f t="shared" si="16"/>
        <v>0</v>
      </c>
      <c r="J197" s="428">
        <f t="shared" si="17"/>
        <v>0</v>
      </c>
      <c r="K197" s="428">
        <f t="shared" si="18"/>
        <v>0</v>
      </c>
    </row>
    <row r="198" spans="1:11" s="468" customFormat="1" hidden="1" x14ac:dyDescent="0.25">
      <c r="A198" s="118">
        <v>16</v>
      </c>
      <c r="B198" s="151">
        <v>1215</v>
      </c>
      <c r="C198" s="94" t="s">
        <v>133</v>
      </c>
      <c r="D198" s="444"/>
      <c r="E198" s="435"/>
      <c r="F198" s="428">
        <f t="shared" si="14"/>
        <v>0</v>
      </c>
      <c r="G198" s="428">
        <v>0</v>
      </c>
      <c r="H198" s="428">
        <f t="shared" si="15"/>
        <v>0</v>
      </c>
      <c r="I198" s="428">
        <f t="shared" si="16"/>
        <v>0</v>
      </c>
      <c r="J198" s="428">
        <f t="shared" si="17"/>
        <v>0</v>
      </c>
      <c r="K198" s="428">
        <f t="shared" si="18"/>
        <v>0</v>
      </c>
    </row>
    <row r="199" spans="1:11" s="468" customFormat="1" hidden="1" x14ac:dyDescent="0.25">
      <c r="A199" s="118">
        <v>16</v>
      </c>
      <c r="B199" s="151">
        <v>5905</v>
      </c>
      <c r="C199" s="94" t="s">
        <v>329</v>
      </c>
      <c r="D199" s="428"/>
      <c r="E199" s="428"/>
      <c r="F199" s="428">
        <f t="shared" si="14"/>
        <v>0</v>
      </c>
      <c r="G199" s="428">
        <v>0</v>
      </c>
      <c r="H199" s="428">
        <f t="shared" si="15"/>
        <v>0</v>
      </c>
      <c r="I199" s="428">
        <f t="shared" si="16"/>
        <v>0</v>
      </c>
      <c r="J199" s="428">
        <f t="shared" si="17"/>
        <v>0</v>
      </c>
      <c r="K199" s="428">
        <f t="shared" si="18"/>
        <v>0</v>
      </c>
    </row>
    <row r="200" spans="1:11" s="468" customFormat="1" x14ac:dyDescent="0.25">
      <c r="A200" s="118">
        <v>16</v>
      </c>
      <c r="B200" s="151">
        <v>5900</v>
      </c>
      <c r="C200" s="94" t="s">
        <v>333</v>
      </c>
      <c r="D200" s="428">
        <v>-26875</v>
      </c>
      <c r="E200" s="428">
        <v>-28373</v>
      </c>
      <c r="F200" s="428">
        <f t="shared" si="14"/>
        <v>-1498</v>
      </c>
      <c r="G200" s="428">
        <v>-1498</v>
      </c>
      <c r="H200" s="428">
        <f t="shared" si="15"/>
        <v>-1647.8</v>
      </c>
      <c r="I200" s="428">
        <f t="shared" si="16"/>
        <v>-1743.3724</v>
      </c>
      <c r="J200" s="428">
        <f t="shared" si="17"/>
        <v>-1839.2578819999999</v>
      </c>
      <c r="K200" s="428">
        <f t="shared" si="18"/>
        <v>-1936.7385497459998</v>
      </c>
    </row>
    <row r="201" spans="1:11" s="468" customFormat="1" hidden="1" x14ac:dyDescent="0.25">
      <c r="A201" s="118">
        <v>16</v>
      </c>
      <c r="B201" s="151">
        <v>1220</v>
      </c>
      <c r="C201" s="94" t="s">
        <v>340</v>
      </c>
      <c r="D201" s="444"/>
      <c r="E201" s="435"/>
      <c r="F201" s="435">
        <f>E201/8*12</f>
        <v>0</v>
      </c>
      <c r="G201" s="435">
        <v>0</v>
      </c>
      <c r="H201" s="435"/>
      <c r="I201" s="428">
        <f t="shared" si="16"/>
        <v>0</v>
      </c>
      <c r="J201" s="428">
        <f t="shared" si="17"/>
        <v>0</v>
      </c>
      <c r="K201" s="428">
        <f t="shared" si="18"/>
        <v>0</v>
      </c>
    </row>
    <row r="202" spans="1:11" s="468" customFormat="1" hidden="1" x14ac:dyDescent="0.25">
      <c r="A202" s="118">
        <v>16</v>
      </c>
      <c r="B202" s="151">
        <v>1225</v>
      </c>
      <c r="C202" s="94" t="s">
        <v>370</v>
      </c>
      <c r="D202" s="444"/>
      <c r="E202" s="435"/>
      <c r="F202" s="435">
        <f>E202/8*12</f>
        <v>0</v>
      </c>
      <c r="G202" s="435">
        <v>0</v>
      </c>
      <c r="H202" s="435"/>
      <c r="I202" s="428">
        <f t="shared" si="16"/>
        <v>0</v>
      </c>
      <c r="J202" s="428">
        <f t="shared" si="17"/>
        <v>0</v>
      </c>
      <c r="K202" s="428">
        <f t="shared" si="18"/>
        <v>0</v>
      </c>
    </row>
    <row r="203" spans="1:11" s="468" customFormat="1" hidden="1" x14ac:dyDescent="0.25">
      <c r="A203" s="118">
        <v>16</v>
      </c>
      <c r="B203" s="151">
        <v>1230</v>
      </c>
      <c r="C203" s="94" t="s">
        <v>119</v>
      </c>
      <c r="D203" s="444"/>
      <c r="E203" s="435"/>
      <c r="F203" s="435">
        <f>E203/8*12</f>
        <v>0</v>
      </c>
      <c r="G203" s="435">
        <v>0</v>
      </c>
      <c r="H203" s="435"/>
      <c r="I203" s="428">
        <f t="shared" si="16"/>
        <v>0</v>
      </c>
      <c r="J203" s="428">
        <f t="shared" si="17"/>
        <v>0</v>
      </c>
      <c r="K203" s="428">
        <f t="shared" si="18"/>
        <v>0</v>
      </c>
    </row>
    <row r="204" spans="1:11" s="468" customFormat="1" hidden="1" x14ac:dyDescent="0.25">
      <c r="A204" s="118">
        <v>16</v>
      </c>
      <c r="B204" s="151">
        <v>1235</v>
      </c>
      <c r="C204" s="94" t="s">
        <v>347</v>
      </c>
      <c r="D204" s="444"/>
      <c r="E204" s="435"/>
      <c r="F204" s="435">
        <f>E204/8*12</f>
        <v>0</v>
      </c>
      <c r="G204" s="435">
        <v>0</v>
      </c>
      <c r="H204" s="435"/>
      <c r="I204" s="428">
        <f t="shared" si="16"/>
        <v>0</v>
      </c>
      <c r="J204" s="428">
        <f t="shared" si="17"/>
        <v>0</v>
      </c>
      <c r="K204" s="428">
        <f t="shared" si="18"/>
        <v>0</v>
      </c>
    </row>
    <row r="205" spans="1:11" s="468" customFormat="1" hidden="1" x14ac:dyDescent="0.25">
      <c r="A205" s="118"/>
      <c r="B205" s="151"/>
      <c r="C205" s="94" t="s">
        <v>510</v>
      </c>
      <c r="D205" s="225"/>
      <c r="E205" s="428"/>
      <c r="F205" s="428"/>
      <c r="G205" s="428"/>
      <c r="H205" s="428"/>
      <c r="I205" s="428">
        <f t="shared" si="16"/>
        <v>0</v>
      </c>
      <c r="J205" s="428">
        <f t="shared" si="17"/>
        <v>0</v>
      </c>
      <c r="K205" s="428">
        <f t="shared" si="18"/>
        <v>0</v>
      </c>
    </row>
    <row r="206" spans="1:11" s="468" customFormat="1" x14ac:dyDescent="0.25">
      <c r="A206" s="344"/>
      <c r="B206" s="151"/>
      <c r="C206" s="94"/>
      <c r="D206" s="437">
        <f>SUM(D176:D204)</f>
        <v>-58770</v>
      </c>
      <c r="E206" s="437">
        <f>SUM(E176:E204)</f>
        <v>-62342</v>
      </c>
      <c r="F206" s="437">
        <f>SUM(F176:F204)</f>
        <v>-3572</v>
      </c>
      <c r="G206" s="437">
        <v>-3572</v>
      </c>
      <c r="H206" s="437">
        <f>SUM(H176:H204)</f>
        <v>-3928.8</v>
      </c>
      <c r="I206" s="437">
        <f>SUM(I176:I204)</f>
        <v>-4156.6704</v>
      </c>
      <c r="J206" s="437">
        <f>SUM(J176:J204)</f>
        <v>-4385.2872719999996</v>
      </c>
      <c r="K206" s="437">
        <f>SUM(K176:K204)</f>
        <v>-4617.7074974159996</v>
      </c>
    </row>
    <row r="207" spans="1:11" s="468" customFormat="1" x14ac:dyDescent="0.25">
      <c r="A207" s="344"/>
      <c r="B207" s="151"/>
      <c r="C207" s="93" t="s">
        <v>66</v>
      </c>
      <c r="D207" s="444"/>
      <c r="E207" s="435"/>
      <c r="F207" s="435"/>
      <c r="G207" s="435"/>
      <c r="H207" s="435"/>
      <c r="I207" s="435"/>
      <c r="J207" s="435"/>
      <c r="K207" s="435"/>
    </row>
    <row r="208" spans="1:11" s="468" customFormat="1" x14ac:dyDescent="0.25">
      <c r="A208" s="118">
        <v>16</v>
      </c>
      <c r="B208" s="151">
        <v>1305</v>
      </c>
      <c r="C208" s="94" t="s">
        <v>342</v>
      </c>
      <c r="D208" s="444">
        <v>0</v>
      </c>
      <c r="E208" s="435"/>
      <c r="F208" s="435">
        <f>E208/8*12</f>
        <v>0</v>
      </c>
      <c r="G208" s="435">
        <v>0</v>
      </c>
      <c r="H208" s="435">
        <f>F208/8*12</f>
        <v>0</v>
      </c>
      <c r="I208" s="435">
        <f t="shared" ref="I208:K211" si="19">G208/8*12</f>
        <v>0</v>
      </c>
      <c r="J208" s="435">
        <f t="shared" si="19"/>
        <v>0</v>
      </c>
      <c r="K208" s="435">
        <f t="shared" si="19"/>
        <v>0</v>
      </c>
    </row>
    <row r="209" spans="1:11" s="468" customFormat="1" x14ac:dyDescent="0.25">
      <c r="A209" s="118">
        <v>16</v>
      </c>
      <c r="B209" s="151">
        <v>1310</v>
      </c>
      <c r="C209" s="94" t="s">
        <v>344</v>
      </c>
      <c r="D209" s="444">
        <v>0</v>
      </c>
      <c r="E209" s="435"/>
      <c r="F209" s="435">
        <f>E209/8*12</f>
        <v>0</v>
      </c>
      <c r="G209" s="435">
        <v>0</v>
      </c>
      <c r="H209" s="435">
        <f>F209/8*12</f>
        <v>0</v>
      </c>
      <c r="I209" s="435">
        <f t="shared" si="19"/>
        <v>0</v>
      </c>
      <c r="J209" s="435">
        <f t="shared" si="19"/>
        <v>0</v>
      </c>
      <c r="K209" s="435">
        <f t="shared" si="19"/>
        <v>0</v>
      </c>
    </row>
    <row r="210" spans="1:11" s="468" customFormat="1" x14ac:dyDescent="0.25">
      <c r="A210" s="118">
        <v>16</v>
      </c>
      <c r="B210" s="151">
        <v>1320</v>
      </c>
      <c r="C210" s="94" t="s">
        <v>345</v>
      </c>
      <c r="D210" s="444">
        <v>0</v>
      </c>
      <c r="E210" s="435"/>
      <c r="F210" s="435">
        <f>E210/8*12</f>
        <v>0</v>
      </c>
      <c r="G210" s="435">
        <v>0</v>
      </c>
      <c r="H210" s="435">
        <f>F210/8*12</f>
        <v>0</v>
      </c>
      <c r="I210" s="435">
        <f t="shared" si="19"/>
        <v>0</v>
      </c>
      <c r="J210" s="435">
        <f t="shared" si="19"/>
        <v>0</v>
      </c>
      <c r="K210" s="435">
        <f t="shared" si="19"/>
        <v>0</v>
      </c>
    </row>
    <row r="211" spans="1:11" s="468" customFormat="1" x14ac:dyDescent="0.25">
      <c r="A211" s="118">
        <v>16</v>
      </c>
      <c r="B211" s="151">
        <v>1315</v>
      </c>
      <c r="C211" s="94" t="s">
        <v>346</v>
      </c>
      <c r="D211" s="444">
        <v>0</v>
      </c>
      <c r="E211" s="425"/>
      <c r="F211" s="435">
        <f>E211/8*12</f>
        <v>0</v>
      </c>
      <c r="G211" s="435">
        <v>0</v>
      </c>
      <c r="H211" s="435">
        <f>F211/8*12</f>
        <v>0</v>
      </c>
      <c r="I211" s="435">
        <f t="shared" si="19"/>
        <v>0</v>
      </c>
      <c r="J211" s="435">
        <f t="shared" si="19"/>
        <v>0</v>
      </c>
      <c r="K211" s="435">
        <f t="shared" si="19"/>
        <v>0</v>
      </c>
    </row>
    <row r="212" spans="1:11" s="468" customFormat="1" x14ac:dyDescent="0.25">
      <c r="A212" s="344"/>
      <c r="B212" s="151"/>
      <c r="C212" s="94"/>
      <c r="D212" s="436">
        <v>0</v>
      </c>
      <c r="E212" s="436">
        <f>SUM(E208:E211)</f>
        <v>0</v>
      </c>
      <c r="F212" s="436">
        <f>SUM(F208:F211)</f>
        <v>0</v>
      </c>
      <c r="G212" s="436">
        <v>0</v>
      </c>
      <c r="H212" s="436">
        <f>SUM(H208:H211)</f>
        <v>0</v>
      </c>
      <c r="I212" s="436">
        <f>SUM(I208:I211)</f>
        <v>0</v>
      </c>
      <c r="J212" s="436">
        <f>SUM(J208:J211)</f>
        <v>0</v>
      </c>
      <c r="K212" s="436">
        <f>SUM(K208:K211)</f>
        <v>0</v>
      </c>
    </row>
    <row r="213" spans="1:11" s="468" customFormat="1" x14ac:dyDescent="0.25">
      <c r="A213" s="344"/>
      <c r="B213" s="151"/>
      <c r="C213" s="93" t="s">
        <v>67</v>
      </c>
      <c r="D213" s="444"/>
      <c r="E213" s="435"/>
      <c r="F213" s="435"/>
      <c r="G213" s="435"/>
      <c r="H213" s="435"/>
      <c r="I213" s="435"/>
      <c r="J213" s="435"/>
      <c r="K213" s="435"/>
    </row>
    <row r="214" spans="1:11" s="468" customFormat="1" x14ac:dyDescent="0.25">
      <c r="A214" s="118">
        <v>16</v>
      </c>
      <c r="B214" s="151">
        <v>1400</v>
      </c>
      <c r="C214" s="94" t="s">
        <v>68</v>
      </c>
      <c r="D214" s="444">
        <v>0</v>
      </c>
      <c r="E214" s="425"/>
      <c r="F214" s="435">
        <f>E214/8*12</f>
        <v>0</v>
      </c>
      <c r="G214" s="435">
        <v>0</v>
      </c>
      <c r="H214" s="435">
        <f>F214/8*12</f>
        <v>0</v>
      </c>
      <c r="I214" s="435">
        <f t="shared" ref="I214:K215" si="20">G214/8*12</f>
        <v>0</v>
      </c>
      <c r="J214" s="435">
        <f t="shared" si="20"/>
        <v>0</v>
      </c>
      <c r="K214" s="435">
        <f t="shared" si="20"/>
        <v>0</v>
      </c>
    </row>
    <row r="215" spans="1:11" s="468" customFormat="1" x14ac:dyDescent="0.25">
      <c r="A215" s="118">
        <v>16</v>
      </c>
      <c r="B215" s="151">
        <v>1405</v>
      </c>
      <c r="C215" s="94" t="s">
        <v>69</v>
      </c>
      <c r="D215" s="444">
        <v>0</v>
      </c>
      <c r="E215" s="425"/>
      <c r="F215" s="435">
        <f>E215/8*12</f>
        <v>0</v>
      </c>
      <c r="G215" s="435">
        <v>0</v>
      </c>
      <c r="H215" s="435">
        <f>F215/8*12</f>
        <v>0</v>
      </c>
      <c r="I215" s="435">
        <f t="shared" si="20"/>
        <v>0</v>
      </c>
      <c r="J215" s="435">
        <f t="shared" si="20"/>
        <v>0</v>
      </c>
      <c r="K215" s="435">
        <f t="shared" si="20"/>
        <v>0</v>
      </c>
    </row>
    <row r="216" spans="1:11" s="468" customFormat="1" x14ac:dyDescent="0.25">
      <c r="A216" s="344"/>
      <c r="B216" s="151"/>
      <c r="C216" s="94"/>
      <c r="D216" s="436">
        <f t="shared" ref="D216:K216" si="21">SUM(D214:D215)</f>
        <v>0</v>
      </c>
      <c r="E216" s="436">
        <f t="shared" si="21"/>
        <v>0</v>
      </c>
      <c r="F216" s="436">
        <f t="shared" si="21"/>
        <v>0</v>
      </c>
      <c r="G216" s="436">
        <f t="shared" si="21"/>
        <v>0</v>
      </c>
      <c r="H216" s="436">
        <f t="shared" si="21"/>
        <v>0</v>
      </c>
      <c r="I216" s="436">
        <f t="shared" si="21"/>
        <v>0</v>
      </c>
      <c r="J216" s="436">
        <f t="shared" si="21"/>
        <v>0</v>
      </c>
      <c r="K216" s="436">
        <f t="shared" si="21"/>
        <v>0</v>
      </c>
    </row>
    <row r="217" spans="1:11" s="468" customFormat="1" x14ac:dyDescent="0.25">
      <c r="A217" s="344"/>
      <c r="B217" s="151"/>
      <c r="C217" s="93" t="s">
        <v>70</v>
      </c>
      <c r="D217" s="444"/>
      <c r="E217" s="435"/>
      <c r="F217" s="435"/>
      <c r="G217" s="435"/>
      <c r="H217" s="435"/>
      <c r="I217" s="435"/>
      <c r="J217" s="435"/>
      <c r="K217" s="435"/>
    </row>
    <row r="218" spans="1:11" s="468" customFormat="1" x14ac:dyDescent="0.25">
      <c r="A218" s="118">
        <v>16</v>
      </c>
      <c r="B218" s="151">
        <v>1500</v>
      </c>
      <c r="C218" s="94" t="s">
        <v>106</v>
      </c>
      <c r="D218" s="444">
        <v>0</v>
      </c>
      <c r="E218" s="425"/>
      <c r="F218" s="435">
        <f>E218/8*12</f>
        <v>0</v>
      </c>
      <c r="G218" s="435">
        <v>0</v>
      </c>
      <c r="H218" s="435">
        <f>F218/8*12</f>
        <v>0</v>
      </c>
      <c r="I218" s="435">
        <f t="shared" ref="I218:K220" si="22">G218/8*12</f>
        <v>0</v>
      </c>
      <c r="J218" s="435">
        <f t="shared" si="22"/>
        <v>0</v>
      </c>
      <c r="K218" s="435">
        <f t="shared" si="22"/>
        <v>0</v>
      </c>
    </row>
    <row r="219" spans="1:11" s="468" customFormat="1" x14ac:dyDescent="0.25">
      <c r="A219" s="118">
        <v>16</v>
      </c>
      <c r="B219" s="151">
        <v>1505</v>
      </c>
      <c r="C219" s="94" t="s">
        <v>71</v>
      </c>
      <c r="D219" s="444">
        <v>0</v>
      </c>
      <c r="E219" s="425"/>
      <c r="F219" s="435">
        <f>E219/8*12</f>
        <v>0</v>
      </c>
      <c r="G219" s="435">
        <v>0</v>
      </c>
      <c r="H219" s="435">
        <f>F219/8*12</f>
        <v>0</v>
      </c>
      <c r="I219" s="435">
        <f t="shared" si="22"/>
        <v>0</v>
      </c>
      <c r="J219" s="435">
        <f t="shared" si="22"/>
        <v>0</v>
      </c>
      <c r="K219" s="435">
        <f t="shared" si="22"/>
        <v>0</v>
      </c>
    </row>
    <row r="220" spans="1:11" s="468" customFormat="1" x14ac:dyDescent="0.25">
      <c r="A220" s="118">
        <v>16</v>
      </c>
      <c r="B220" s="151">
        <v>1510</v>
      </c>
      <c r="C220" s="94" t="s">
        <v>72</v>
      </c>
      <c r="D220" s="444">
        <v>0</v>
      </c>
      <c r="E220" s="425"/>
      <c r="F220" s="435">
        <f>E220/8*12</f>
        <v>0</v>
      </c>
      <c r="G220" s="435">
        <v>0</v>
      </c>
      <c r="H220" s="435">
        <f>F220/8*12</f>
        <v>0</v>
      </c>
      <c r="I220" s="435">
        <f t="shared" si="22"/>
        <v>0</v>
      </c>
      <c r="J220" s="435">
        <f t="shared" si="22"/>
        <v>0</v>
      </c>
      <c r="K220" s="435">
        <f t="shared" si="22"/>
        <v>0</v>
      </c>
    </row>
    <row r="221" spans="1:11" s="468" customFormat="1" x14ac:dyDescent="0.25">
      <c r="A221" s="344"/>
      <c r="B221" s="151"/>
      <c r="C221" s="94"/>
      <c r="D221" s="436">
        <f>SUM(D218:D220)</f>
        <v>0</v>
      </c>
      <c r="E221" s="436">
        <f>SUM(E218:E220)</f>
        <v>0</v>
      </c>
      <c r="F221" s="436">
        <f>SUM(F218:F220)</f>
        <v>0</v>
      </c>
      <c r="G221" s="436">
        <v>0</v>
      </c>
      <c r="H221" s="436">
        <f>SUM(H218:H220)</f>
        <v>0</v>
      </c>
      <c r="I221" s="436">
        <f>SUM(I218:I220)</f>
        <v>0</v>
      </c>
      <c r="J221" s="436">
        <f>SUM(J218:J220)</f>
        <v>0</v>
      </c>
      <c r="K221" s="436">
        <f>SUM(K218:K220)</f>
        <v>0</v>
      </c>
    </row>
    <row r="222" spans="1:11" s="468" customFormat="1" x14ac:dyDescent="0.25">
      <c r="A222" s="344"/>
      <c r="B222" s="151"/>
      <c r="C222" s="93" t="s">
        <v>73</v>
      </c>
      <c r="D222" s="444"/>
      <c r="E222" s="435"/>
      <c r="F222" s="435"/>
      <c r="G222" s="435"/>
      <c r="H222" s="435"/>
      <c r="I222" s="435"/>
      <c r="J222" s="435"/>
      <c r="K222" s="435"/>
    </row>
    <row r="223" spans="1:11" s="468" customFormat="1" x14ac:dyDescent="0.25">
      <c r="A223" s="118">
        <v>16</v>
      </c>
      <c r="B223" s="151">
        <v>1550</v>
      </c>
      <c r="C223" s="94" t="s">
        <v>349</v>
      </c>
      <c r="D223" s="444">
        <v>0</v>
      </c>
      <c r="E223" s="435"/>
      <c r="F223" s="435">
        <f>E223/8*12</f>
        <v>0</v>
      </c>
      <c r="G223" s="435">
        <v>0</v>
      </c>
      <c r="H223" s="435">
        <f>F223/8*12</f>
        <v>0</v>
      </c>
      <c r="I223" s="435">
        <f t="shared" ref="I223:K224" si="23">G223/8*12</f>
        <v>0</v>
      </c>
      <c r="J223" s="435">
        <f t="shared" si="23"/>
        <v>0</v>
      </c>
      <c r="K223" s="435">
        <f t="shared" si="23"/>
        <v>0</v>
      </c>
    </row>
    <row r="224" spans="1:11" s="468" customFormat="1" x14ac:dyDescent="0.25">
      <c r="A224" s="118">
        <v>16</v>
      </c>
      <c r="B224" s="151">
        <v>1555</v>
      </c>
      <c r="C224" s="94" t="s">
        <v>348</v>
      </c>
      <c r="D224" s="444">
        <v>0</v>
      </c>
      <c r="E224" s="435"/>
      <c r="F224" s="435">
        <f>E224/8*12</f>
        <v>0</v>
      </c>
      <c r="G224" s="435">
        <v>0</v>
      </c>
      <c r="H224" s="435">
        <f>F224/8*12</f>
        <v>0</v>
      </c>
      <c r="I224" s="435">
        <f t="shared" si="23"/>
        <v>0</v>
      </c>
      <c r="J224" s="435">
        <f t="shared" si="23"/>
        <v>0</v>
      </c>
      <c r="K224" s="435">
        <f t="shared" si="23"/>
        <v>0</v>
      </c>
    </row>
    <row r="225" spans="1:11" s="468" customFormat="1" x14ac:dyDescent="0.25">
      <c r="A225" s="344"/>
      <c r="B225" s="151"/>
      <c r="C225" s="94"/>
      <c r="D225" s="437">
        <v>0</v>
      </c>
      <c r="E225" s="437">
        <f>SUM(E223:E224)</f>
        <v>0</v>
      </c>
      <c r="F225" s="437">
        <f>SUM(F223:F224)</f>
        <v>0</v>
      </c>
      <c r="G225" s="437">
        <v>0</v>
      </c>
      <c r="H225" s="437">
        <f>SUM(H223:H224)</f>
        <v>0</v>
      </c>
      <c r="I225" s="437">
        <f>SUM(I223:I224)</f>
        <v>0</v>
      </c>
      <c r="J225" s="437">
        <f>SUM(J223:J224)</f>
        <v>0</v>
      </c>
      <c r="K225" s="437">
        <f>SUM(K223:K224)</f>
        <v>0</v>
      </c>
    </row>
    <row r="226" spans="1:11" s="468" customFormat="1" ht="13.5" customHeight="1" x14ac:dyDescent="0.25">
      <c r="A226" s="344"/>
      <c r="B226" s="151"/>
      <c r="C226" s="93" t="s">
        <v>74</v>
      </c>
      <c r="D226" s="444"/>
      <c r="E226" s="435"/>
      <c r="F226" s="435"/>
      <c r="G226" s="435"/>
      <c r="H226" s="435"/>
      <c r="I226" s="435"/>
      <c r="J226" s="435"/>
      <c r="K226" s="435"/>
    </row>
    <row r="227" spans="1:11" s="468" customFormat="1" x14ac:dyDescent="0.25">
      <c r="A227" s="118">
        <v>16</v>
      </c>
      <c r="B227" s="151">
        <v>1605</v>
      </c>
      <c r="C227" s="94" t="s">
        <v>75</v>
      </c>
      <c r="D227" s="444">
        <v>0</v>
      </c>
      <c r="E227" s="435"/>
      <c r="F227" s="435">
        <f t="shared" ref="F227:F239" si="24">E227/8*12</f>
        <v>0</v>
      </c>
      <c r="G227" s="435">
        <v>0</v>
      </c>
      <c r="H227" s="435">
        <f t="shared" ref="H227:H239" si="25">F227/8*12</f>
        <v>0</v>
      </c>
      <c r="I227" s="435">
        <f>3567655+7380495</f>
        <v>10948150</v>
      </c>
      <c r="J227" s="435">
        <f>+I227*1.055+4166308-3763876</f>
        <v>11952730.25</v>
      </c>
      <c r="K227" s="435">
        <f>+J227*1.053-5000000</f>
        <v>7586224.9532499984</v>
      </c>
    </row>
    <row r="228" spans="1:11" s="468" customFormat="1" x14ac:dyDescent="0.25">
      <c r="A228" s="118">
        <v>16</v>
      </c>
      <c r="B228" s="151">
        <v>1610</v>
      </c>
      <c r="C228" s="94" t="s">
        <v>131</v>
      </c>
      <c r="D228" s="444">
        <v>0</v>
      </c>
      <c r="E228" s="425"/>
      <c r="F228" s="435">
        <f t="shared" si="24"/>
        <v>0</v>
      </c>
      <c r="G228" s="435">
        <v>0</v>
      </c>
      <c r="H228" s="435">
        <f t="shared" si="25"/>
        <v>0</v>
      </c>
      <c r="I228" s="435">
        <f t="shared" ref="I228:I239" si="26">G228/8*12</f>
        <v>0</v>
      </c>
      <c r="J228" s="435">
        <f t="shared" ref="J228:J239" si="27">H228/8*12</f>
        <v>0</v>
      </c>
      <c r="K228" s="435">
        <f t="shared" ref="K228:K239" si="28">I228/8*12</f>
        <v>0</v>
      </c>
    </row>
    <row r="229" spans="1:11" s="468" customFormat="1" x14ac:dyDescent="0.25">
      <c r="A229" s="118">
        <v>16</v>
      </c>
      <c r="B229" s="151">
        <v>1615</v>
      </c>
      <c r="C229" s="94" t="s">
        <v>182</v>
      </c>
      <c r="D229" s="444">
        <v>0</v>
      </c>
      <c r="E229" s="425"/>
      <c r="F229" s="435">
        <f t="shared" si="24"/>
        <v>0</v>
      </c>
      <c r="G229" s="435">
        <v>0</v>
      </c>
      <c r="H229" s="435">
        <f t="shared" si="25"/>
        <v>0</v>
      </c>
      <c r="I229" s="435">
        <f t="shared" si="26"/>
        <v>0</v>
      </c>
      <c r="J229" s="435">
        <f t="shared" si="27"/>
        <v>0</v>
      </c>
      <c r="K229" s="435">
        <f t="shared" si="28"/>
        <v>0</v>
      </c>
    </row>
    <row r="230" spans="1:11" s="468" customFormat="1" x14ac:dyDescent="0.25">
      <c r="A230" s="118">
        <v>16</v>
      </c>
      <c r="B230" s="151">
        <v>1620</v>
      </c>
      <c r="C230" s="94" t="s">
        <v>255</v>
      </c>
      <c r="D230" s="444">
        <v>0</v>
      </c>
      <c r="E230" s="425"/>
      <c r="F230" s="435">
        <f t="shared" si="24"/>
        <v>0</v>
      </c>
      <c r="G230" s="435">
        <v>0</v>
      </c>
      <c r="H230" s="435">
        <f t="shared" si="25"/>
        <v>0</v>
      </c>
      <c r="I230" s="435">
        <f t="shared" si="26"/>
        <v>0</v>
      </c>
      <c r="J230" s="435">
        <f t="shared" si="27"/>
        <v>0</v>
      </c>
      <c r="K230" s="435">
        <f t="shared" si="28"/>
        <v>0</v>
      </c>
    </row>
    <row r="231" spans="1:11" s="468" customFormat="1" x14ac:dyDescent="0.25">
      <c r="A231" s="118">
        <v>16</v>
      </c>
      <c r="B231" s="151">
        <v>1625</v>
      </c>
      <c r="C231" s="94" t="s">
        <v>108</v>
      </c>
      <c r="D231" s="444">
        <v>0</v>
      </c>
      <c r="E231" s="425"/>
      <c r="F231" s="435">
        <f t="shared" si="24"/>
        <v>0</v>
      </c>
      <c r="G231" s="435">
        <v>0</v>
      </c>
      <c r="H231" s="435">
        <f t="shared" si="25"/>
        <v>0</v>
      </c>
      <c r="I231" s="435">
        <f t="shared" si="26"/>
        <v>0</v>
      </c>
      <c r="J231" s="435">
        <f t="shared" si="27"/>
        <v>0</v>
      </c>
      <c r="K231" s="435">
        <f t="shared" si="28"/>
        <v>0</v>
      </c>
    </row>
    <row r="232" spans="1:11" s="468" customFormat="1" x14ac:dyDescent="0.25">
      <c r="A232" s="118">
        <v>16</v>
      </c>
      <c r="B232" s="151">
        <v>1630</v>
      </c>
      <c r="C232" s="94" t="s">
        <v>76</v>
      </c>
      <c r="D232" s="444">
        <v>0</v>
      </c>
      <c r="E232" s="425"/>
      <c r="F232" s="435">
        <f t="shared" si="24"/>
        <v>0</v>
      </c>
      <c r="G232" s="435">
        <v>0</v>
      </c>
      <c r="H232" s="435">
        <f t="shared" si="25"/>
        <v>0</v>
      </c>
      <c r="I232" s="435">
        <f t="shared" si="26"/>
        <v>0</v>
      </c>
      <c r="J232" s="435">
        <f t="shared" si="27"/>
        <v>0</v>
      </c>
      <c r="K232" s="435">
        <f t="shared" si="28"/>
        <v>0</v>
      </c>
    </row>
    <row r="233" spans="1:11" s="468" customFormat="1" x14ac:dyDescent="0.25">
      <c r="A233" s="118">
        <v>16</v>
      </c>
      <c r="B233" s="151">
        <v>1635</v>
      </c>
      <c r="C233" s="94" t="s">
        <v>180</v>
      </c>
      <c r="D233" s="444">
        <v>0</v>
      </c>
      <c r="E233" s="425"/>
      <c r="F233" s="435">
        <f t="shared" si="24"/>
        <v>0</v>
      </c>
      <c r="G233" s="435">
        <v>0</v>
      </c>
      <c r="H233" s="435">
        <f t="shared" si="25"/>
        <v>0</v>
      </c>
      <c r="I233" s="435">
        <f t="shared" si="26"/>
        <v>0</v>
      </c>
      <c r="J233" s="435">
        <f t="shared" si="27"/>
        <v>0</v>
      </c>
      <c r="K233" s="435">
        <f t="shared" si="28"/>
        <v>0</v>
      </c>
    </row>
    <row r="234" spans="1:11" s="468" customFormat="1" x14ac:dyDescent="0.25">
      <c r="A234" s="118">
        <v>16</v>
      </c>
      <c r="B234" s="151">
        <v>1640</v>
      </c>
      <c r="C234" s="94" t="s">
        <v>184</v>
      </c>
      <c r="D234" s="444">
        <v>0</v>
      </c>
      <c r="E234" s="425"/>
      <c r="F234" s="435">
        <f t="shared" si="24"/>
        <v>0</v>
      </c>
      <c r="G234" s="435">
        <v>0</v>
      </c>
      <c r="H234" s="435">
        <f t="shared" si="25"/>
        <v>0</v>
      </c>
      <c r="I234" s="435">
        <f t="shared" si="26"/>
        <v>0</v>
      </c>
      <c r="J234" s="435">
        <f t="shared" si="27"/>
        <v>0</v>
      </c>
      <c r="K234" s="435">
        <f t="shared" si="28"/>
        <v>0</v>
      </c>
    </row>
    <row r="235" spans="1:11" s="468" customFormat="1" x14ac:dyDescent="0.25">
      <c r="A235" s="118">
        <v>16</v>
      </c>
      <c r="B235" s="151">
        <v>1645</v>
      </c>
      <c r="C235" s="94" t="s">
        <v>77</v>
      </c>
      <c r="D235" s="444">
        <v>0</v>
      </c>
      <c r="E235" s="425"/>
      <c r="F235" s="435">
        <f t="shared" si="24"/>
        <v>0</v>
      </c>
      <c r="G235" s="435">
        <v>0</v>
      </c>
      <c r="H235" s="435">
        <f t="shared" si="25"/>
        <v>0</v>
      </c>
      <c r="I235" s="435">
        <f t="shared" si="26"/>
        <v>0</v>
      </c>
      <c r="J235" s="435">
        <f t="shared" si="27"/>
        <v>0</v>
      </c>
      <c r="K235" s="435">
        <f t="shared" si="28"/>
        <v>0</v>
      </c>
    </row>
    <row r="236" spans="1:11" s="468" customFormat="1" x14ac:dyDescent="0.25">
      <c r="A236" s="118">
        <v>16</v>
      </c>
      <c r="B236" s="151">
        <v>1650</v>
      </c>
      <c r="C236" s="94" t="s">
        <v>78</v>
      </c>
      <c r="D236" s="444">
        <v>0</v>
      </c>
      <c r="E236" s="425"/>
      <c r="F236" s="435">
        <f t="shared" si="24"/>
        <v>0</v>
      </c>
      <c r="G236" s="435">
        <v>0</v>
      </c>
      <c r="H236" s="435">
        <f t="shared" si="25"/>
        <v>0</v>
      </c>
      <c r="I236" s="435">
        <f t="shared" si="26"/>
        <v>0</v>
      </c>
      <c r="J236" s="435">
        <f t="shared" si="27"/>
        <v>0</v>
      </c>
      <c r="K236" s="435">
        <f t="shared" si="28"/>
        <v>0</v>
      </c>
    </row>
    <row r="237" spans="1:11" s="468" customFormat="1" x14ac:dyDescent="0.25">
      <c r="A237" s="118">
        <v>16</v>
      </c>
      <c r="B237" s="151"/>
      <c r="C237" s="94" t="s">
        <v>200</v>
      </c>
      <c r="D237" s="444">
        <v>0</v>
      </c>
      <c r="E237" s="425"/>
      <c r="F237" s="435">
        <f t="shared" si="24"/>
        <v>0</v>
      </c>
      <c r="G237" s="435">
        <v>0</v>
      </c>
      <c r="H237" s="435">
        <f t="shared" si="25"/>
        <v>0</v>
      </c>
      <c r="I237" s="435">
        <f t="shared" si="26"/>
        <v>0</v>
      </c>
      <c r="J237" s="435">
        <f t="shared" si="27"/>
        <v>0</v>
      </c>
      <c r="K237" s="435">
        <f t="shared" si="28"/>
        <v>0</v>
      </c>
    </row>
    <row r="238" spans="1:11" s="468" customFormat="1" x14ac:dyDescent="0.25">
      <c r="A238" s="118">
        <v>16</v>
      </c>
      <c r="B238" s="151">
        <v>1660</v>
      </c>
      <c r="C238" s="94" t="s">
        <v>185</v>
      </c>
      <c r="D238" s="444">
        <v>0</v>
      </c>
      <c r="E238" s="425"/>
      <c r="F238" s="435">
        <f t="shared" si="24"/>
        <v>0</v>
      </c>
      <c r="G238" s="435">
        <v>0</v>
      </c>
      <c r="H238" s="435">
        <f t="shared" si="25"/>
        <v>0</v>
      </c>
      <c r="I238" s="435">
        <f t="shared" si="26"/>
        <v>0</v>
      </c>
      <c r="J238" s="435">
        <f t="shared" si="27"/>
        <v>0</v>
      </c>
      <c r="K238" s="435">
        <f t="shared" si="28"/>
        <v>0</v>
      </c>
    </row>
    <row r="239" spans="1:11" s="468" customFormat="1" x14ac:dyDescent="0.25">
      <c r="A239" s="118">
        <v>16</v>
      </c>
      <c r="B239" s="151">
        <v>1665</v>
      </c>
      <c r="C239" s="94" t="s">
        <v>181</v>
      </c>
      <c r="D239" s="444">
        <v>0</v>
      </c>
      <c r="E239" s="425"/>
      <c r="F239" s="435">
        <f t="shared" si="24"/>
        <v>0</v>
      </c>
      <c r="G239" s="435">
        <v>0</v>
      </c>
      <c r="H239" s="435">
        <f t="shared" si="25"/>
        <v>0</v>
      </c>
      <c r="I239" s="435">
        <f t="shared" si="26"/>
        <v>0</v>
      </c>
      <c r="J239" s="435">
        <f t="shared" si="27"/>
        <v>0</v>
      </c>
      <c r="K239" s="435">
        <f t="shared" si="28"/>
        <v>0</v>
      </c>
    </row>
    <row r="240" spans="1:11" s="468" customFormat="1" x14ac:dyDescent="0.25">
      <c r="A240" s="344"/>
      <c r="B240" s="151"/>
      <c r="C240" s="94"/>
      <c r="D240" s="436">
        <f>SUM(D227:D239)</f>
        <v>0</v>
      </c>
      <c r="E240" s="436">
        <f>SUM(E227:E239)</f>
        <v>0</v>
      </c>
      <c r="F240" s="436">
        <f>SUM(F227:F239)</f>
        <v>0</v>
      </c>
      <c r="G240" s="436">
        <v>0</v>
      </c>
      <c r="H240" s="436">
        <f>SUM(H227:H239)</f>
        <v>0</v>
      </c>
      <c r="I240" s="436">
        <f>SUM(I227:I239)</f>
        <v>10948150</v>
      </c>
      <c r="J240" s="436">
        <f>SUM(J227:J239)</f>
        <v>11952730.25</v>
      </c>
      <c r="K240" s="436">
        <f>SUM(K227:K239)</f>
        <v>7586224.9532499984</v>
      </c>
    </row>
    <row r="241" spans="1:11" s="468" customFormat="1" x14ac:dyDescent="0.25">
      <c r="A241" s="344"/>
      <c r="B241" s="151"/>
      <c r="C241" s="93" t="s">
        <v>79</v>
      </c>
      <c r="D241" s="444"/>
      <c r="E241" s="435"/>
      <c r="F241" s="435"/>
      <c r="G241" s="435"/>
      <c r="H241" s="435"/>
      <c r="I241" s="435"/>
      <c r="J241" s="435"/>
      <c r="K241" s="435"/>
    </row>
    <row r="242" spans="1:11" s="468" customFormat="1" x14ac:dyDescent="0.25">
      <c r="A242" s="118">
        <v>16</v>
      </c>
      <c r="B242" s="151">
        <v>1705</v>
      </c>
      <c r="C242" s="94" t="s">
        <v>123</v>
      </c>
      <c r="D242" s="444">
        <v>0</v>
      </c>
      <c r="E242" s="435"/>
      <c r="F242" s="435">
        <f t="shared" ref="F242:F247" si="29">E242/8*12</f>
        <v>0</v>
      </c>
      <c r="G242" s="435">
        <v>0</v>
      </c>
      <c r="H242" s="435">
        <f t="shared" ref="H242:H247" si="30">F242/8*12</f>
        <v>0</v>
      </c>
      <c r="I242" s="435">
        <f t="shared" ref="I242:I247" si="31">G242/8*12</f>
        <v>0</v>
      </c>
      <c r="J242" s="435">
        <f t="shared" ref="J242:J247" si="32">H242/8*12</f>
        <v>0</v>
      </c>
      <c r="K242" s="435">
        <f t="shared" ref="K242:K247" si="33">I242/8*12</f>
        <v>0</v>
      </c>
    </row>
    <row r="243" spans="1:11" s="468" customFormat="1" x14ac:dyDescent="0.25">
      <c r="A243" s="118">
        <v>16</v>
      </c>
      <c r="B243" s="151">
        <v>1710</v>
      </c>
      <c r="C243" s="94" t="s">
        <v>242</v>
      </c>
      <c r="D243" s="444">
        <v>0</v>
      </c>
      <c r="E243" s="435"/>
      <c r="F243" s="435">
        <f t="shared" si="29"/>
        <v>0</v>
      </c>
      <c r="G243" s="435">
        <v>0</v>
      </c>
      <c r="H243" s="435">
        <f t="shared" si="30"/>
        <v>0</v>
      </c>
      <c r="I243" s="435">
        <f t="shared" si="31"/>
        <v>0</v>
      </c>
      <c r="J243" s="435">
        <f t="shared" si="32"/>
        <v>0</v>
      </c>
      <c r="K243" s="435">
        <f t="shared" si="33"/>
        <v>0</v>
      </c>
    </row>
    <row r="244" spans="1:11" s="468" customFormat="1" x14ac:dyDescent="0.25">
      <c r="A244" s="118">
        <v>16</v>
      </c>
      <c r="B244" s="151">
        <v>1715</v>
      </c>
      <c r="C244" s="94" t="s">
        <v>183</v>
      </c>
      <c r="D244" s="444">
        <v>0</v>
      </c>
      <c r="E244" s="435"/>
      <c r="F244" s="435">
        <f t="shared" si="29"/>
        <v>0</v>
      </c>
      <c r="G244" s="435">
        <v>0</v>
      </c>
      <c r="H244" s="435">
        <f t="shared" si="30"/>
        <v>0</v>
      </c>
      <c r="I244" s="435">
        <f t="shared" si="31"/>
        <v>0</v>
      </c>
      <c r="J244" s="435">
        <f t="shared" si="32"/>
        <v>0</v>
      </c>
      <c r="K244" s="435">
        <f t="shared" si="33"/>
        <v>0</v>
      </c>
    </row>
    <row r="245" spans="1:11" s="468" customFormat="1" x14ac:dyDescent="0.25">
      <c r="A245" s="118">
        <v>16</v>
      </c>
      <c r="B245" s="151">
        <v>1720</v>
      </c>
      <c r="C245" s="94" t="s">
        <v>103</v>
      </c>
      <c r="D245" s="444">
        <v>0</v>
      </c>
      <c r="E245" s="435"/>
      <c r="F245" s="435">
        <f t="shared" si="29"/>
        <v>0</v>
      </c>
      <c r="G245" s="435">
        <v>0</v>
      </c>
      <c r="H245" s="435">
        <f t="shared" si="30"/>
        <v>0</v>
      </c>
      <c r="I245" s="435">
        <f t="shared" si="31"/>
        <v>0</v>
      </c>
      <c r="J245" s="435">
        <f t="shared" si="32"/>
        <v>0</v>
      </c>
      <c r="K245" s="435">
        <f t="shared" si="33"/>
        <v>0</v>
      </c>
    </row>
    <row r="246" spans="1:11" s="468" customFormat="1" x14ac:dyDescent="0.25">
      <c r="A246" s="118">
        <v>16</v>
      </c>
      <c r="B246" s="151">
        <v>1725</v>
      </c>
      <c r="C246" s="94" t="s">
        <v>107</v>
      </c>
      <c r="D246" s="444">
        <v>0</v>
      </c>
      <c r="E246" s="435"/>
      <c r="F246" s="435">
        <f t="shared" si="29"/>
        <v>0</v>
      </c>
      <c r="G246" s="435">
        <v>0</v>
      </c>
      <c r="H246" s="435">
        <f t="shared" si="30"/>
        <v>0</v>
      </c>
      <c r="I246" s="435">
        <f t="shared" si="31"/>
        <v>0</v>
      </c>
      <c r="J246" s="435">
        <f t="shared" si="32"/>
        <v>0</v>
      </c>
      <c r="K246" s="435">
        <f t="shared" si="33"/>
        <v>0</v>
      </c>
    </row>
    <row r="247" spans="1:11" s="468" customFormat="1" x14ac:dyDescent="0.25">
      <c r="A247" s="118">
        <v>16</v>
      </c>
      <c r="B247" s="151">
        <v>1730</v>
      </c>
      <c r="C247" s="94" t="s">
        <v>256</v>
      </c>
      <c r="D247" s="444">
        <v>0</v>
      </c>
      <c r="E247" s="435"/>
      <c r="F247" s="435">
        <f t="shared" si="29"/>
        <v>0</v>
      </c>
      <c r="G247" s="435">
        <v>0</v>
      </c>
      <c r="H247" s="435">
        <f t="shared" si="30"/>
        <v>0</v>
      </c>
      <c r="I247" s="435">
        <f t="shared" si="31"/>
        <v>0</v>
      </c>
      <c r="J247" s="435">
        <f t="shared" si="32"/>
        <v>0</v>
      </c>
      <c r="K247" s="435">
        <f t="shared" si="33"/>
        <v>0</v>
      </c>
    </row>
    <row r="248" spans="1:11" s="468" customFormat="1" x14ac:dyDescent="0.25">
      <c r="A248" s="344"/>
      <c r="B248" s="151"/>
      <c r="C248" s="94"/>
      <c r="D248" s="436">
        <f t="shared" ref="D248:K248" si="34">SUM(D242:D247)</f>
        <v>0</v>
      </c>
      <c r="E248" s="436">
        <f t="shared" si="34"/>
        <v>0</v>
      </c>
      <c r="F248" s="436">
        <f t="shared" si="34"/>
        <v>0</v>
      </c>
      <c r="G248" s="436">
        <f t="shared" si="34"/>
        <v>0</v>
      </c>
      <c r="H248" s="436">
        <f t="shared" si="34"/>
        <v>0</v>
      </c>
      <c r="I248" s="436">
        <f t="shared" si="34"/>
        <v>0</v>
      </c>
      <c r="J248" s="436">
        <f t="shared" si="34"/>
        <v>0</v>
      </c>
      <c r="K248" s="436">
        <f t="shared" si="34"/>
        <v>0</v>
      </c>
    </row>
    <row r="249" spans="1:11" s="468" customFormat="1" x14ac:dyDescent="0.25">
      <c r="A249" s="344"/>
      <c r="B249" s="151"/>
      <c r="C249" s="93" t="s">
        <v>80</v>
      </c>
      <c r="D249" s="444"/>
      <c r="E249" s="435"/>
      <c r="F249" s="435"/>
      <c r="G249" s="435"/>
      <c r="H249" s="435"/>
      <c r="I249" s="435"/>
      <c r="J249" s="435"/>
      <c r="K249" s="435"/>
    </row>
    <row r="250" spans="1:11" s="468" customFormat="1" x14ac:dyDescent="0.25">
      <c r="A250" s="118">
        <v>16</v>
      </c>
      <c r="B250" s="151">
        <v>1805</v>
      </c>
      <c r="C250" s="94" t="s">
        <v>81</v>
      </c>
      <c r="D250" s="444">
        <v>0</v>
      </c>
      <c r="E250" s="425"/>
      <c r="F250" s="435">
        <f>E250/8*12</f>
        <v>0</v>
      </c>
      <c r="G250" s="435">
        <v>0</v>
      </c>
      <c r="H250" s="435">
        <f>F250/8*12</f>
        <v>0</v>
      </c>
      <c r="I250" s="435">
        <f>G250/8*12</f>
        <v>0</v>
      </c>
      <c r="J250" s="435">
        <f>H250/8*12</f>
        <v>0</v>
      </c>
      <c r="K250" s="435">
        <f>I250/8*12</f>
        <v>0</v>
      </c>
    </row>
    <row r="251" spans="1:11" s="468" customFormat="1" x14ac:dyDescent="0.25">
      <c r="A251" s="344"/>
      <c r="B251" s="151"/>
      <c r="C251" s="94"/>
      <c r="D251" s="436">
        <v>0</v>
      </c>
      <c r="E251" s="436">
        <f>E250</f>
        <v>0</v>
      </c>
      <c r="F251" s="436">
        <f>F250</f>
        <v>0</v>
      </c>
      <c r="G251" s="436">
        <v>0</v>
      </c>
      <c r="H251" s="436">
        <f>H250</f>
        <v>0</v>
      </c>
      <c r="I251" s="436">
        <f>I250</f>
        <v>0</v>
      </c>
      <c r="J251" s="436">
        <f>J250</f>
        <v>0</v>
      </c>
      <c r="K251" s="436">
        <f>K250</f>
        <v>0</v>
      </c>
    </row>
    <row r="252" spans="1:11" s="468" customFormat="1" x14ac:dyDescent="0.25">
      <c r="A252" s="344"/>
      <c r="B252" s="346"/>
      <c r="C252" s="93" t="s">
        <v>192</v>
      </c>
      <c r="D252" s="442">
        <f t="shared" ref="D252:K252" si="35">SUM(D171:D251)/2</f>
        <v>-58770</v>
      </c>
      <c r="E252" s="442">
        <f t="shared" si="35"/>
        <v>-62342</v>
      </c>
      <c r="F252" s="442">
        <f t="shared" si="35"/>
        <v>-3572</v>
      </c>
      <c r="G252" s="442">
        <f t="shared" si="35"/>
        <v>-3572</v>
      </c>
      <c r="H252" s="442">
        <f t="shared" si="35"/>
        <v>-3928.8</v>
      </c>
      <c r="I252" s="442">
        <f t="shared" si="35"/>
        <v>10943993.329599999</v>
      </c>
      <c r="J252" s="442">
        <f t="shared" si="35"/>
        <v>11948344.962728001</v>
      </c>
      <c r="K252" s="442">
        <f t="shared" si="35"/>
        <v>7581607.2457525823</v>
      </c>
    </row>
    <row r="253" spans="1:11" s="468" customFormat="1" hidden="1" x14ac:dyDescent="0.25">
      <c r="A253" s="344"/>
      <c r="B253" s="151"/>
      <c r="C253" s="94"/>
      <c r="D253" s="442"/>
      <c r="E253" s="442"/>
      <c r="F253" s="442"/>
      <c r="G253" s="442"/>
      <c r="H253" s="442"/>
      <c r="I253" s="442"/>
      <c r="J253" s="442"/>
      <c r="K253" s="442"/>
    </row>
    <row r="254" spans="1:11" s="468" customFormat="1" hidden="1" x14ac:dyDescent="0.25">
      <c r="A254" s="344"/>
      <c r="B254" s="151"/>
      <c r="C254" s="145" t="s">
        <v>193</v>
      </c>
      <c r="D254" s="445"/>
      <c r="E254" s="146"/>
      <c r="F254" s="445"/>
      <c r="G254" s="445"/>
      <c r="H254" s="445"/>
      <c r="I254" s="445"/>
      <c r="J254" s="445"/>
      <c r="K254" s="445"/>
    </row>
    <row r="255" spans="1:11" s="468" customFormat="1" hidden="1" x14ac:dyDescent="0.25">
      <c r="A255" s="118">
        <v>16</v>
      </c>
      <c r="B255" s="151">
        <v>1905</v>
      </c>
      <c r="C255" s="118" t="s">
        <v>194</v>
      </c>
      <c r="D255" s="127">
        <v>0</v>
      </c>
      <c r="E255" s="147"/>
      <c r="F255" s="435">
        <f>E255/8*12</f>
        <v>0</v>
      </c>
      <c r="G255" s="435">
        <v>0</v>
      </c>
      <c r="H255" s="435">
        <f>F255/8*12</f>
        <v>0</v>
      </c>
      <c r="I255" s="435">
        <f>G255/8*12</f>
        <v>0</v>
      </c>
      <c r="J255" s="435">
        <f>H255/8*12</f>
        <v>0</v>
      </c>
      <c r="K255" s="435">
        <f>I255/8*12</f>
        <v>0</v>
      </c>
    </row>
    <row r="256" spans="1:11" s="468" customFormat="1" hidden="1" x14ac:dyDescent="0.25">
      <c r="A256" s="344"/>
      <c r="B256" s="151"/>
      <c r="C256" s="94"/>
      <c r="D256" s="442">
        <v>0</v>
      </c>
      <c r="E256" s="442">
        <f>SUM(E255)</f>
        <v>0</v>
      </c>
      <c r="F256" s="442">
        <f>SUM(F255)</f>
        <v>0</v>
      </c>
      <c r="G256" s="442">
        <v>0</v>
      </c>
      <c r="H256" s="442">
        <f>SUM(H255)</f>
        <v>0</v>
      </c>
      <c r="I256" s="442">
        <f>SUM(I255)</f>
        <v>0</v>
      </c>
      <c r="J256" s="442">
        <f>SUM(J255)</f>
        <v>0</v>
      </c>
      <c r="K256" s="442">
        <f>SUM(K255)</f>
        <v>0</v>
      </c>
    </row>
    <row r="257" spans="1:11" s="468" customFormat="1" x14ac:dyDescent="0.25">
      <c r="A257" s="344"/>
      <c r="B257" s="151"/>
      <c r="C257" s="93" t="s">
        <v>189</v>
      </c>
      <c r="D257" s="442">
        <f t="shared" ref="D257:K257" si="36">D252+D256</f>
        <v>-58770</v>
      </c>
      <c r="E257" s="442">
        <f t="shared" si="36"/>
        <v>-62342</v>
      </c>
      <c r="F257" s="442">
        <f t="shared" si="36"/>
        <v>-3572</v>
      </c>
      <c r="G257" s="442">
        <f t="shared" si="36"/>
        <v>-3572</v>
      </c>
      <c r="H257" s="442">
        <f t="shared" si="36"/>
        <v>-3928.8</v>
      </c>
      <c r="I257" s="442">
        <f t="shared" si="36"/>
        <v>10943993.329599999</v>
      </c>
      <c r="J257" s="442">
        <f t="shared" si="36"/>
        <v>11948344.962728001</v>
      </c>
      <c r="K257" s="442">
        <f t="shared" si="36"/>
        <v>7581607.2457525823</v>
      </c>
    </row>
    <row r="258" spans="1:11" s="468" customFormat="1" hidden="1" x14ac:dyDescent="0.25">
      <c r="A258" s="344"/>
      <c r="B258" s="151"/>
      <c r="C258" s="145" t="s">
        <v>195</v>
      </c>
      <c r="D258" s="445"/>
      <c r="E258" s="148"/>
      <c r="F258" s="446"/>
      <c r="G258" s="446"/>
      <c r="H258" s="446"/>
      <c r="I258" s="446"/>
      <c r="J258" s="446"/>
      <c r="K258" s="446"/>
    </row>
    <row r="259" spans="1:11" s="468" customFormat="1" hidden="1" x14ac:dyDescent="0.25">
      <c r="A259" s="118">
        <v>16</v>
      </c>
      <c r="B259" s="151">
        <v>1950</v>
      </c>
      <c r="C259" s="118" t="s">
        <v>196</v>
      </c>
      <c r="D259" s="127">
        <v>0</v>
      </c>
      <c r="E259" s="147"/>
      <c r="F259" s="435">
        <f>E259/8*12</f>
        <v>0</v>
      </c>
      <c r="G259" s="435">
        <v>0</v>
      </c>
      <c r="H259" s="435">
        <f>F259/8*12</f>
        <v>0</v>
      </c>
      <c r="I259" s="435">
        <f>G259/8*12</f>
        <v>0</v>
      </c>
      <c r="J259" s="435">
        <f>H259/8*12</f>
        <v>0</v>
      </c>
      <c r="K259" s="435">
        <f>I259/8*12</f>
        <v>0</v>
      </c>
    </row>
    <row r="260" spans="1:11" s="468" customFormat="1" hidden="1" x14ac:dyDescent="0.25">
      <c r="A260" s="344"/>
      <c r="B260" s="346"/>
      <c r="C260" s="94"/>
      <c r="D260" s="445">
        <v>0</v>
      </c>
      <c r="E260" s="445">
        <f>E259</f>
        <v>0</v>
      </c>
      <c r="F260" s="445">
        <f>F259</f>
        <v>0</v>
      </c>
      <c r="G260" s="445">
        <v>0</v>
      </c>
      <c r="H260" s="445">
        <f>H259</f>
        <v>0</v>
      </c>
      <c r="I260" s="445">
        <f>I259</f>
        <v>0</v>
      </c>
      <c r="J260" s="445">
        <f>J259</f>
        <v>0</v>
      </c>
      <c r="K260" s="445">
        <f>K259</f>
        <v>0</v>
      </c>
    </row>
    <row r="261" spans="1:11" s="468" customFormat="1" x14ac:dyDescent="0.25">
      <c r="A261" s="348"/>
      <c r="B261" s="351"/>
      <c r="C261" s="93" t="s">
        <v>197</v>
      </c>
      <c r="D261" s="448">
        <f t="shared" ref="D261:K261" si="37">D257+D260</f>
        <v>-58770</v>
      </c>
      <c r="E261" s="448">
        <f t="shared" si="37"/>
        <v>-62342</v>
      </c>
      <c r="F261" s="448">
        <f t="shared" si="37"/>
        <v>-3572</v>
      </c>
      <c r="G261" s="448">
        <f t="shared" si="37"/>
        <v>-3572</v>
      </c>
      <c r="H261" s="448">
        <f t="shared" si="37"/>
        <v>-3928.8</v>
      </c>
      <c r="I261" s="448">
        <f t="shared" si="37"/>
        <v>10943993.329599999</v>
      </c>
      <c r="J261" s="448">
        <f t="shared" si="37"/>
        <v>11948344.962728001</v>
      </c>
      <c r="K261" s="448">
        <f t="shared" si="37"/>
        <v>7581607.2457525823</v>
      </c>
    </row>
    <row r="262" spans="1:11" s="468" customFormat="1" x14ac:dyDescent="0.25">
      <c r="A262" s="349"/>
      <c r="B262" s="154"/>
      <c r="C262" s="126" t="s">
        <v>82</v>
      </c>
      <c r="D262" s="449">
        <f t="shared" ref="D262:K262" si="38">D261-D165</f>
        <v>-9688257</v>
      </c>
      <c r="E262" s="449">
        <f t="shared" si="38"/>
        <v>-11076666</v>
      </c>
      <c r="F262" s="449">
        <f t="shared" si="38"/>
        <v>-13092896</v>
      </c>
      <c r="G262" s="449">
        <f t="shared" si="38"/>
        <v>-13972897</v>
      </c>
      <c r="H262" s="449">
        <f t="shared" si="38"/>
        <v>-15333104.4</v>
      </c>
      <c r="I262" s="449">
        <f t="shared" si="38"/>
        <v>2518329.5447999984</v>
      </c>
      <c r="J262" s="449">
        <f t="shared" si="38"/>
        <v>3113209.6697640009</v>
      </c>
      <c r="K262" s="449">
        <f t="shared" si="38"/>
        <v>-1496512.2177385092</v>
      </c>
    </row>
    <row r="263" spans="1:11" s="468" customFormat="1" x14ac:dyDescent="0.25">
      <c r="A263" s="443"/>
      <c r="B263" s="352"/>
    </row>
    <row r="264" spans="1:11" s="468" customFormat="1" x14ac:dyDescent="0.25">
      <c r="A264" s="443"/>
      <c r="B264" s="352"/>
    </row>
    <row r="265" spans="1:11" s="468" customFormat="1" x14ac:dyDescent="0.25">
      <c r="B265" s="352"/>
    </row>
    <row r="266" spans="1:11" x14ac:dyDescent="0.25">
      <c r="E266" s="128"/>
      <c r="F266" s="128"/>
      <c r="G266" s="128"/>
      <c r="H266" s="128"/>
      <c r="I266" s="128"/>
      <c r="J266" s="128"/>
    </row>
    <row r="267" spans="1:11" x14ac:dyDescent="0.25">
      <c r="E267" s="128"/>
      <c r="F267" s="128"/>
      <c r="G267" s="128"/>
      <c r="H267" s="128"/>
      <c r="I267" s="128"/>
      <c r="J267" s="128"/>
      <c r="K267" s="109"/>
    </row>
    <row r="268" spans="1:11" x14ac:dyDescent="0.25">
      <c r="E268" s="128"/>
      <c r="F268" s="128"/>
      <c r="G268" s="128"/>
      <c r="H268" s="128"/>
      <c r="I268" s="128"/>
      <c r="J268" s="128"/>
    </row>
  </sheetData>
  <mergeCells count="4">
    <mergeCell ref="A3:C3"/>
    <mergeCell ref="A4:B5"/>
    <mergeCell ref="A169:B170"/>
    <mergeCell ref="A1:K1"/>
  </mergeCells>
  <phoneticPr fontId="0" type="noConversion"/>
  <pageMargins left="0.25" right="0.25" top="0.75" bottom="0.75" header="0.3" footer="0.3"/>
  <pageSetup paperSize="17" scale="58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tabColor rgb="FFFF0000"/>
    <pageSetUpPr fitToPage="1"/>
  </sheetPr>
  <dimension ref="A1:M267"/>
  <sheetViews>
    <sheetView view="pageBreakPreview" topLeftCell="A144" zoomScaleSheetLayoutView="100" workbookViewId="0">
      <selection activeCell="I161" sqref="I161:K161"/>
    </sheetView>
  </sheetViews>
  <sheetFormatPr defaultColWidth="9.109375" defaultRowHeight="13.2" x14ac:dyDescent="0.25"/>
  <cols>
    <col min="1" max="1" width="3.33203125" style="96" customWidth="1"/>
    <col min="2" max="2" width="9" style="131" customWidth="1"/>
    <col min="3" max="3" width="39.109375" style="96" customWidth="1"/>
    <col min="4" max="4" width="11.33203125" style="96" customWidth="1"/>
    <col min="5" max="5" width="10.88671875" style="96" customWidth="1"/>
    <col min="6" max="6" width="12" style="96" customWidth="1"/>
    <col min="7" max="7" width="12" style="434" customWidth="1"/>
    <col min="8" max="8" width="11.88671875" style="96" customWidth="1"/>
    <col min="9" max="9" width="10" style="434" customWidth="1"/>
    <col min="10" max="10" width="9.5546875" style="96" customWidth="1"/>
    <col min="11" max="11" width="10.88671875" style="96" customWidth="1"/>
    <col min="12" max="12" width="0" style="96" hidden="1" customWidth="1"/>
    <col min="13" max="16384" width="9.109375" style="96"/>
  </cols>
  <sheetData>
    <row r="1" spans="1:11" ht="12.75" customHeight="1" x14ac:dyDescent="0.25">
      <c r="A1" s="937" t="s">
        <v>144</v>
      </c>
      <c r="B1" s="938"/>
      <c r="C1" s="938"/>
      <c r="D1" s="938"/>
      <c r="E1" s="938"/>
      <c r="F1" s="938"/>
      <c r="G1" s="938"/>
      <c r="H1" s="938"/>
      <c r="I1" s="938"/>
      <c r="J1" s="938"/>
      <c r="K1" s="953"/>
    </row>
    <row r="2" spans="1:11" ht="12.75" customHeight="1" x14ac:dyDescent="0.25">
      <c r="A2" s="552"/>
      <c r="B2" s="553"/>
      <c r="C2" s="553"/>
      <c r="D2" s="553"/>
      <c r="E2" s="553"/>
      <c r="F2" s="553"/>
      <c r="G2" s="553"/>
      <c r="H2" s="553"/>
      <c r="I2" s="553"/>
      <c r="J2" s="553"/>
      <c r="K2" s="554"/>
    </row>
    <row r="3" spans="1:11" s="285" customFormat="1" x14ac:dyDescent="0.25">
      <c r="A3" s="419" t="s">
        <v>415</v>
      </c>
      <c r="B3" s="546"/>
      <c r="C3" s="546"/>
      <c r="D3" s="546"/>
      <c r="E3" s="546"/>
      <c r="F3" s="546"/>
      <c r="G3" s="546"/>
      <c r="H3" s="546"/>
      <c r="I3" s="546"/>
      <c r="J3" s="546"/>
      <c r="K3" s="547"/>
    </row>
    <row r="4" spans="1:11" s="285" customFormat="1" x14ac:dyDescent="0.25">
      <c r="A4" s="944" t="s">
        <v>21</v>
      </c>
      <c r="B4" s="945"/>
      <c r="C4" s="150" t="s">
        <v>22</v>
      </c>
      <c r="D4" s="103" t="s">
        <v>23</v>
      </c>
      <c r="E4" s="104" t="s">
        <v>24</v>
      </c>
      <c r="F4" s="103" t="s">
        <v>535</v>
      </c>
      <c r="G4" s="103" t="s">
        <v>413</v>
      </c>
      <c r="H4" s="104" t="s">
        <v>24</v>
      </c>
      <c r="I4" s="583" t="s">
        <v>24</v>
      </c>
      <c r="J4" s="583" t="s">
        <v>24</v>
      </c>
      <c r="K4" s="583" t="s">
        <v>24</v>
      </c>
    </row>
    <row r="5" spans="1:11" s="285" customFormat="1" x14ac:dyDescent="0.25">
      <c r="A5" s="946"/>
      <c r="B5" s="947"/>
      <c r="C5" s="106"/>
      <c r="D5" s="333" t="s">
        <v>257</v>
      </c>
      <c r="E5" s="107" t="s">
        <v>382</v>
      </c>
      <c r="F5" s="107" t="s">
        <v>382</v>
      </c>
      <c r="G5" s="107" t="s">
        <v>382</v>
      </c>
      <c r="H5" s="107" t="s">
        <v>407</v>
      </c>
      <c r="I5" s="586" t="s">
        <v>414</v>
      </c>
      <c r="J5" s="586" t="s">
        <v>530</v>
      </c>
      <c r="K5" s="586" t="s">
        <v>886</v>
      </c>
    </row>
    <row r="6" spans="1:11" s="285" customFormat="1" x14ac:dyDescent="0.25">
      <c r="A6" s="344"/>
      <c r="B6" s="151"/>
      <c r="C6" s="93" t="s">
        <v>33</v>
      </c>
      <c r="D6" s="85"/>
      <c r="E6" s="85"/>
      <c r="F6" s="85"/>
      <c r="G6" s="428"/>
      <c r="H6" s="85"/>
      <c r="I6" s="428"/>
      <c r="J6" s="85"/>
      <c r="K6" s="85"/>
    </row>
    <row r="7" spans="1:11" s="285" customFormat="1" x14ac:dyDescent="0.25">
      <c r="A7" s="118">
        <v>18</v>
      </c>
      <c r="B7" s="155">
        <v>5005</v>
      </c>
      <c r="C7" s="94" t="s">
        <v>241</v>
      </c>
      <c r="D7" s="85">
        <v>3600</v>
      </c>
      <c r="E7" s="85">
        <v>8110</v>
      </c>
      <c r="F7" s="85">
        <v>8110</v>
      </c>
      <c r="G7" s="428">
        <v>8110</v>
      </c>
      <c r="H7" s="428">
        <f t="shared" ref="H7:H17" si="0">(F7*0.068)+F7</f>
        <v>8661.48</v>
      </c>
      <c r="I7" s="428">
        <f>+H7*1.058</f>
        <v>9163.84584</v>
      </c>
      <c r="J7" s="428">
        <f>+I7*1.055</f>
        <v>9667.8573612</v>
      </c>
      <c r="K7" s="428">
        <f>+J7*1.053</f>
        <v>10180.253801343599</v>
      </c>
    </row>
    <row r="8" spans="1:11" s="285" customFormat="1" x14ac:dyDescent="0.25">
      <c r="A8" s="118">
        <v>18</v>
      </c>
      <c r="B8" s="151">
        <v>5010</v>
      </c>
      <c r="C8" s="94" t="s">
        <v>34</v>
      </c>
      <c r="D8" s="85"/>
      <c r="E8" s="85"/>
      <c r="F8" s="85"/>
      <c r="G8" s="428"/>
      <c r="H8" s="428">
        <f t="shared" si="0"/>
        <v>0</v>
      </c>
      <c r="I8" s="428">
        <f t="shared" ref="I8:I17" si="1">+H8*1.058</f>
        <v>0</v>
      </c>
      <c r="J8" s="428">
        <f t="shared" ref="J8:J17" si="2">+I8*1.055</f>
        <v>0</v>
      </c>
      <c r="K8" s="428">
        <f t="shared" ref="K8:K17" si="3">+J8*1.053</f>
        <v>0</v>
      </c>
    </row>
    <row r="9" spans="1:11" s="285" customFormat="1" x14ac:dyDescent="0.25">
      <c r="A9" s="118">
        <v>18</v>
      </c>
      <c r="B9" s="151">
        <v>5015</v>
      </c>
      <c r="C9" s="94" t="s">
        <v>35</v>
      </c>
      <c r="D9" s="85">
        <v>15300</v>
      </c>
      <c r="E9" s="85">
        <v>15200</v>
      </c>
      <c r="F9" s="85">
        <v>15200</v>
      </c>
      <c r="G9" s="428">
        <v>15200</v>
      </c>
      <c r="H9" s="428">
        <f t="shared" si="0"/>
        <v>16233.6</v>
      </c>
      <c r="I9" s="428">
        <f t="shared" si="1"/>
        <v>17175.148800000003</v>
      </c>
      <c r="J9" s="428">
        <f t="shared" si="2"/>
        <v>18119.781984000001</v>
      </c>
      <c r="K9" s="428">
        <f t="shared" si="3"/>
        <v>19080.130429151999</v>
      </c>
    </row>
    <row r="10" spans="1:11" s="285" customFormat="1" x14ac:dyDescent="0.25">
      <c r="A10" s="118">
        <v>18</v>
      </c>
      <c r="B10" s="151">
        <v>5020</v>
      </c>
      <c r="C10" s="94" t="s">
        <v>350</v>
      </c>
      <c r="D10" s="85">
        <v>433900</v>
      </c>
      <c r="E10" s="85">
        <v>257000</v>
      </c>
      <c r="F10" s="85">
        <v>257000</v>
      </c>
      <c r="G10" s="428">
        <v>257000</v>
      </c>
      <c r="H10" s="428">
        <f t="shared" si="0"/>
        <v>274476</v>
      </c>
      <c r="I10" s="428">
        <f t="shared" si="1"/>
        <v>290395.60800000001</v>
      </c>
      <c r="J10" s="428">
        <f t="shared" si="2"/>
        <v>306367.36644000001</v>
      </c>
      <c r="K10" s="428">
        <f t="shared" si="3"/>
        <v>322604.83686132001</v>
      </c>
    </row>
    <row r="11" spans="1:11" s="285" customFormat="1" x14ac:dyDescent="0.25">
      <c r="A11" s="118">
        <v>18</v>
      </c>
      <c r="B11" s="151">
        <v>5025</v>
      </c>
      <c r="C11" s="94" t="s">
        <v>36</v>
      </c>
      <c r="D11" s="85"/>
      <c r="E11" s="85"/>
      <c r="F11" s="85"/>
      <c r="G11" s="428"/>
      <c r="H11" s="428">
        <f t="shared" si="0"/>
        <v>0</v>
      </c>
      <c r="I11" s="428">
        <f t="shared" si="1"/>
        <v>0</v>
      </c>
      <c r="J11" s="428">
        <f t="shared" si="2"/>
        <v>0</v>
      </c>
      <c r="K11" s="428">
        <f t="shared" si="3"/>
        <v>0</v>
      </c>
    </row>
    <row r="12" spans="1:11" s="285" customFormat="1" x14ac:dyDescent="0.25">
      <c r="A12" s="118">
        <v>18</v>
      </c>
      <c r="B12" s="151">
        <v>5030</v>
      </c>
      <c r="C12" s="94" t="s">
        <v>85</v>
      </c>
      <c r="D12" s="85"/>
      <c r="E12" s="85"/>
      <c r="F12" s="85"/>
      <c r="G12" s="428"/>
      <c r="H12" s="428">
        <f t="shared" si="0"/>
        <v>0</v>
      </c>
      <c r="I12" s="428">
        <f t="shared" si="1"/>
        <v>0</v>
      </c>
      <c r="J12" s="428">
        <f t="shared" si="2"/>
        <v>0</v>
      </c>
      <c r="K12" s="428">
        <f t="shared" si="3"/>
        <v>0</v>
      </c>
    </row>
    <row r="13" spans="1:11" s="285" customFormat="1" x14ac:dyDescent="0.25">
      <c r="A13" s="118">
        <v>18</v>
      </c>
      <c r="B13" s="151">
        <v>5035</v>
      </c>
      <c r="C13" s="94" t="s">
        <v>84</v>
      </c>
      <c r="D13" s="85"/>
      <c r="E13" s="85"/>
      <c r="F13" s="85"/>
      <c r="G13" s="428"/>
      <c r="H13" s="428">
        <f t="shared" si="0"/>
        <v>0</v>
      </c>
      <c r="I13" s="428">
        <f t="shared" si="1"/>
        <v>0</v>
      </c>
      <c r="J13" s="428">
        <f t="shared" si="2"/>
        <v>0</v>
      </c>
      <c r="K13" s="428">
        <f t="shared" si="3"/>
        <v>0</v>
      </c>
    </row>
    <row r="14" spans="1:11" s="285" customFormat="1" x14ac:dyDescent="0.25">
      <c r="A14" s="118">
        <v>18</v>
      </c>
      <c r="B14" s="151">
        <v>5040</v>
      </c>
      <c r="C14" s="94" t="s">
        <v>37</v>
      </c>
      <c r="D14" s="85">
        <v>199515</v>
      </c>
      <c r="E14" s="85">
        <v>274000</v>
      </c>
      <c r="F14" s="85">
        <v>274000</v>
      </c>
      <c r="G14" s="428">
        <v>274000</v>
      </c>
      <c r="H14" s="428">
        <f t="shared" si="0"/>
        <v>292632</v>
      </c>
      <c r="I14" s="428">
        <f t="shared" si="1"/>
        <v>309604.65600000002</v>
      </c>
      <c r="J14" s="428">
        <f t="shared" si="2"/>
        <v>326632.91207999998</v>
      </c>
      <c r="K14" s="428">
        <f t="shared" si="3"/>
        <v>343944.45642023993</v>
      </c>
    </row>
    <row r="15" spans="1:11" s="285" customFormat="1" x14ac:dyDescent="0.25">
      <c r="A15" s="118">
        <v>18</v>
      </c>
      <c r="B15" s="151">
        <v>5045</v>
      </c>
      <c r="C15" s="94" t="s">
        <v>38</v>
      </c>
      <c r="D15" s="85"/>
      <c r="E15" s="85"/>
      <c r="F15" s="85"/>
      <c r="G15" s="428"/>
      <c r="H15" s="428">
        <f t="shared" si="0"/>
        <v>0</v>
      </c>
      <c r="I15" s="428">
        <f t="shared" si="1"/>
        <v>0</v>
      </c>
      <c r="J15" s="428">
        <f t="shared" si="2"/>
        <v>0</v>
      </c>
      <c r="K15" s="428">
        <f t="shared" si="3"/>
        <v>0</v>
      </c>
    </row>
    <row r="16" spans="1:11" s="285" customFormat="1" x14ac:dyDescent="0.25">
      <c r="A16" s="118">
        <v>18</v>
      </c>
      <c r="B16" s="151">
        <v>5050</v>
      </c>
      <c r="C16" s="94" t="s">
        <v>83</v>
      </c>
      <c r="D16" s="85">
        <v>25660</v>
      </c>
      <c r="E16" s="85"/>
      <c r="F16" s="85"/>
      <c r="G16" s="428"/>
      <c r="H16" s="428">
        <f t="shared" si="0"/>
        <v>0</v>
      </c>
      <c r="I16" s="428">
        <f t="shared" si="1"/>
        <v>0</v>
      </c>
      <c r="J16" s="428">
        <f t="shared" si="2"/>
        <v>0</v>
      </c>
      <c r="K16" s="428">
        <f t="shared" si="3"/>
        <v>0</v>
      </c>
    </row>
    <row r="17" spans="1:12" s="285" customFormat="1" x14ac:dyDescent="0.25">
      <c r="A17" s="118">
        <v>18</v>
      </c>
      <c r="B17" s="151">
        <v>5055</v>
      </c>
      <c r="C17" s="94" t="s">
        <v>39</v>
      </c>
      <c r="D17" s="85">
        <v>2394180</v>
      </c>
      <c r="E17" s="85">
        <v>4241000</v>
      </c>
      <c r="F17" s="85">
        <v>4241000</v>
      </c>
      <c r="G17" s="428">
        <v>4241000</v>
      </c>
      <c r="H17" s="428">
        <f t="shared" si="0"/>
        <v>4529388</v>
      </c>
      <c r="I17" s="428">
        <f t="shared" si="1"/>
        <v>4792092.5040000007</v>
      </c>
      <c r="J17" s="428">
        <f t="shared" si="2"/>
        <v>5055657.5917200008</v>
      </c>
      <c r="K17" s="428">
        <f t="shared" si="3"/>
        <v>5323607.4440811602</v>
      </c>
    </row>
    <row r="18" spans="1:12" s="285" customFormat="1" x14ac:dyDescent="0.25">
      <c r="A18" s="344"/>
      <c r="B18" s="151"/>
      <c r="C18" s="94"/>
      <c r="D18" s="89">
        <v>3072155</v>
      </c>
      <c r="E18" s="89">
        <f t="shared" ref="E18:K18" si="4">SUM(E7:E17)</f>
        <v>4795310</v>
      </c>
      <c r="F18" s="89">
        <f t="shared" si="4"/>
        <v>4795310</v>
      </c>
      <c r="G18" s="429">
        <f t="shared" si="4"/>
        <v>4795310</v>
      </c>
      <c r="H18" s="429">
        <f t="shared" si="4"/>
        <v>5121391.08</v>
      </c>
      <c r="I18" s="429">
        <f t="shared" si="4"/>
        <v>5418431.7626400003</v>
      </c>
      <c r="J18" s="429">
        <f t="shared" si="4"/>
        <v>5716445.5095852008</v>
      </c>
      <c r="K18" s="429">
        <f t="shared" si="4"/>
        <v>6019417.1215932155</v>
      </c>
    </row>
    <row r="19" spans="1:12" s="285" customFormat="1" x14ac:dyDescent="0.25">
      <c r="A19" s="344"/>
      <c r="B19" s="151"/>
      <c r="C19" s="93" t="s">
        <v>40</v>
      </c>
      <c r="D19" s="85"/>
      <c r="E19" s="86"/>
      <c r="F19" s="86"/>
      <c r="G19" s="86"/>
      <c r="H19" s="86"/>
      <c r="I19" s="86"/>
      <c r="J19" s="86"/>
      <c r="K19" s="86"/>
    </row>
    <row r="20" spans="1:12" s="285" customFormat="1" x14ac:dyDescent="0.25">
      <c r="A20" s="118">
        <v>18</v>
      </c>
      <c r="B20" s="151">
        <v>5105</v>
      </c>
      <c r="C20" s="94" t="s">
        <v>41</v>
      </c>
      <c r="D20" s="85">
        <v>376700</v>
      </c>
      <c r="E20" s="85">
        <v>409000</v>
      </c>
      <c r="F20" s="85">
        <v>409000</v>
      </c>
      <c r="G20" s="428">
        <v>409000</v>
      </c>
      <c r="H20" s="428">
        <f>(F20*0.068)+F20</f>
        <v>436812</v>
      </c>
      <c r="I20" s="428">
        <f>+H20*1.058</f>
        <v>462147.09600000002</v>
      </c>
      <c r="J20" s="428">
        <f>+I20*1.055</f>
        <v>487565.18627999997</v>
      </c>
      <c r="K20" s="428">
        <f>+J20*1.053</f>
        <v>513406.14115283993</v>
      </c>
    </row>
    <row r="21" spans="1:12" s="285" customFormat="1" x14ac:dyDescent="0.25">
      <c r="A21" s="118">
        <v>18</v>
      </c>
      <c r="B21" s="151">
        <v>5115</v>
      </c>
      <c r="C21" s="94" t="s">
        <v>42</v>
      </c>
      <c r="D21" s="85">
        <v>329700</v>
      </c>
      <c r="E21" s="85">
        <v>520000</v>
      </c>
      <c r="F21" s="85">
        <v>520000</v>
      </c>
      <c r="G21" s="428">
        <v>520000</v>
      </c>
      <c r="H21" s="428">
        <f>(F21*0.068)+F21</f>
        <v>555360</v>
      </c>
      <c r="I21" s="428">
        <f>+H21*1.058</f>
        <v>587570.88</v>
      </c>
      <c r="J21" s="428">
        <f>+I21*1.055</f>
        <v>619887.27839999995</v>
      </c>
      <c r="K21" s="428">
        <f>+J21*1.053</f>
        <v>652741.3041551999</v>
      </c>
    </row>
    <row r="22" spans="1:12" s="285" customFormat="1" x14ac:dyDescent="0.25">
      <c r="A22" s="118">
        <v>18</v>
      </c>
      <c r="B22" s="151">
        <v>5120</v>
      </c>
      <c r="C22" s="94" t="s">
        <v>43</v>
      </c>
      <c r="D22" s="85">
        <v>59900</v>
      </c>
      <c r="E22" s="85">
        <v>62300</v>
      </c>
      <c r="F22" s="85">
        <v>62300</v>
      </c>
      <c r="G22" s="428">
        <v>62300</v>
      </c>
      <c r="H22" s="428">
        <f>(F22*0.068)+F22</f>
        <v>66536.399999999994</v>
      </c>
      <c r="I22" s="428">
        <f>+H22*1.058</f>
        <v>70395.511199999994</v>
      </c>
      <c r="J22" s="428">
        <f>+I22*1.055</f>
        <v>74267.264315999986</v>
      </c>
      <c r="K22" s="428">
        <f>+J22*1.053</f>
        <v>78203.42932474798</v>
      </c>
    </row>
    <row r="23" spans="1:12" s="285" customFormat="1" x14ac:dyDescent="0.25">
      <c r="A23" s="118">
        <v>18</v>
      </c>
      <c r="B23" s="151">
        <v>5125</v>
      </c>
      <c r="C23" s="94" t="s">
        <v>44</v>
      </c>
      <c r="D23" s="85">
        <v>0</v>
      </c>
      <c r="E23" s="85"/>
      <c r="F23" s="85"/>
      <c r="G23" s="428"/>
      <c r="H23" s="428">
        <f>(F23*0.068)+F23</f>
        <v>0</v>
      </c>
      <c r="I23" s="428">
        <f>+H23*1.058</f>
        <v>0</v>
      </c>
      <c r="J23" s="428">
        <f>+I23*1.055</f>
        <v>0</v>
      </c>
      <c r="K23" s="428">
        <f>+J23*1.053</f>
        <v>0</v>
      </c>
    </row>
    <row r="24" spans="1:12" s="285" customFormat="1" x14ac:dyDescent="0.25">
      <c r="A24" s="118">
        <v>18</v>
      </c>
      <c r="B24" s="151">
        <v>5130</v>
      </c>
      <c r="C24" s="94" t="s">
        <v>45</v>
      </c>
      <c r="D24" s="85">
        <v>26400</v>
      </c>
      <c r="E24" s="85">
        <v>30200</v>
      </c>
      <c r="F24" s="85">
        <v>30200</v>
      </c>
      <c r="G24" s="428">
        <v>30200</v>
      </c>
      <c r="H24" s="428">
        <f>(F24*0.068)+F24</f>
        <v>32253.599999999999</v>
      </c>
      <c r="I24" s="428">
        <f>+H24*1.058</f>
        <v>34124.308799999999</v>
      </c>
      <c r="J24" s="428">
        <f>+I24*1.055</f>
        <v>36001.145784</v>
      </c>
      <c r="K24" s="428">
        <f>+J24*1.053</f>
        <v>37909.206510552001</v>
      </c>
    </row>
    <row r="25" spans="1:12" s="285" customFormat="1" x14ac:dyDescent="0.25">
      <c r="A25" s="344"/>
      <c r="B25" s="151"/>
      <c r="C25" s="94"/>
      <c r="D25" s="429">
        <f t="shared" ref="D25:L25" si="5">SUM(D20:D24)</f>
        <v>792700</v>
      </c>
      <c r="E25" s="89">
        <f t="shared" si="5"/>
        <v>1021500</v>
      </c>
      <c r="F25" s="429">
        <f t="shared" si="5"/>
        <v>1021500</v>
      </c>
      <c r="G25" s="429">
        <f t="shared" si="5"/>
        <v>1021500</v>
      </c>
      <c r="H25" s="89">
        <f t="shared" si="5"/>
        <v>1090962</v>
      </c>
      <c r="I25" s="429">
        <f t="shared" si="5"/>
        <v>1154237.7960000001</v>
      </c>
      <c r="J25" s="429">
        <f t="shared" si="5"/>
        <v>1217720.87478</v>
      </c>
      <c r="K25" s="429">
        <f t="shared" si="5"/>
        <v>1282260.0811433399</v>
      </c>
      <c r="L25" s="429">
        <f t="shared" si="5"/>
        <v>0</v>
      </c>
    </row>
    <row r="26" spans="1:12" s="285" customFormat="1" hidden="1" x14ac:dyDescent="0.25">
      <c r="A26" s="344"/>
      <c r="B26" s="151"/>
      <c r="C26" s="93" t="s">
        <v>46</v>
      </c>
      <c r="D26" s="85"/>
      <c r="E26" s="86"/>
      <c r="F26" s="86"/>
      <c r="G26" s="86"/>
      <c r="H26" s="86"/>
      <c r="I26" s="86"/>
      <c r="J26" s="86"/>
      <c r="K26" s="86"/>
    </row>
    <row r="27" spans="1:12" s="285" customFormat="1" hidden="1" x14ac:dyDescent="0.25">
      <c r="A27" s="344"/>
      <c r="B27" s="151"/>
      <c r="C27" s="93" t="s">
        <v>47</v>
      </c>
      <c r="D27" s="85"/>
      <c r="E27" s="86"/>
      <c r="F27" s="86"/>
      <c r="G27" s="86"/>
      <c r="H27" s="86"/>
      <c r="I27" s="86"/>
      <c r="J27" s="86"/>
      <c r="K27" s="86"/>
    </row>
    <row r="28" spans="1:12" s="285" customFormat="1" hidden="1" x14ac:dyDescent="0.25">
      <c r="A28" s="118">
        <v>18</v>
      </c>
      <c r="B28" s="151">
        <v>5150</v>
      </c>
      <c r="C28" s="94" t="s">
        <v>48</v>
      </c>
      <c r="D28" s="85"/>
      <c r="E28" s="85"/>
      <c r="F28" s="85">
        <f>0/8*12</f>
        <v>0</v>
      </c>
      <c r="G28" s="428">
        <v>0</v>
      </c>
      <c r="H28" s="85"/>
      <c r="I28" s="428"/>
      <c r="J28" s="85"/>
      <c r="K28" s="85"/>
    </row>
    <row r="29" spans="1:12" s="285" customFormat="1" hidden="1" x14ac:dyDescent="0.25">
      <c r="A29" s="344"/>
      <c r="B29" s="151"/>
      <c r="C29" s="94"/>
      <c r="D29" s="89"/>
      <c r="E29" s="89">
        <f>E28</f>
        <v>0</v>
      </c>
      <c r="F29" s="89">
        <f>F28</f>
        <v>0</v>
      </c>
      <c r="G29" s="429">
        <v>0</v>
      </c>
      <c r="H29" s="89"/>
      <c r="I29" s="429"/>
      <c r="J29" s="89"/>
      <c r="K29" s="89"/>
    </row>
    <row r="30" spans="1:12" s="285" customFormat="1" hidden="1" x14ac:dyDescent="0.25">
      <c r="A30" s="344"/>
      <c r="B30" s="151"/>
      <c r="C30" s="93" t="s">
        <v>49</v>
      </c>
      <c r="D30" s="85"/>
      <c r="E30" s="86"/>
      <c r="F30" s="86"/>
      <c r="G30" s="86"/>
      <c r="H30" s="86"/>
      <c r="I30" s="86"/>
      <c r="J30" s="86"/>
      <c r="K30" s="86"/>
    </row>
    <row r="31" spans="1:12" s="285" customFormat="1" hidden="1" x14ac:dyDescent="0.25">
      <c r="A31" s="118">
        <v>18</v>
      </c>
      <c r="B31" s="151">
        <v>5170</v>
      </c>
      <c r="C31" s="94" t="s">
        <v>341</v>
      </c>
      <c r="D31" s="425"/>
      <c r="E31" s="108"/>
      <c r="F31" s="425"/>
      <c r="G31" s="428">
        <v>0</v>
      </c>
      <c r="H31" s="85"/>
      <c r="I31" s="428"/>
      <c r="J31" s="85"/>
      <c r="K31" s="85"/>
    </row>
    <row r="32" spans="1:12" s="285" customFormat="1" hidden="1" x14ac:dyDescent="0.25">
      <c r="A32" s="344"/>
      <c r="B32" s="151"/>
      <c r="C32" s="94"/>
      <c r="D32" s="89"/>
      <c r="E32" s="429"/>
      <c r="F32" s="429"/>
      <c r="G32" s="429"/>
      <c r="H32" s="429"/>
      <c r="I32" s="429"/>
      <c r="J32" s="429"/>
      <c r="K32" s="429"/>
    </row>
    <row r="33" spans="1:11" s="285" customFormat="1" hidden="1" x14ac:dyDescent="0.25">
      <c r="A33" s="344"/>
      <c r="B33" s="151"/>
      <c r="C33" s="93" t="s">
        <v>50</v>
      </c>
      <c r="D33" s="85"/>
      <c r="E33" s="86"/>
      <c r="F33" s="86"/>
      <c r="G33" s="86"/>
      <c r="H33" s="86"/>
      <c r="I33" s="86"/>
      <c r="J33" s="86"/>
      <c r="K33" s="86"/>
    </row>
    <row r="34" spans="1:11" s="285" customFormat="1" hidden="1" x14ac:dyDescent="0.25">
      <c r="A34" s="118">
        <v>18</v>
      </c>
      <c r="B34" s="151">
        <v>5180</v>
      </c>
      <c r="C34" s="94" t="s">
        <v>51</v>
      </c>
      <c r="D34" s="85"/>
      <c r="E34" s="108"/>
      <c r="F34" s="85">
        <f>0/8*12</f>
        <v>0</v>
      </c>
      <c r="G34" s="428">
        <v>0</v>
      </c>
      <c r="H34" s="85"/>
      <c r="I34" s="428"/>
      <c r="J34" s="85"/>
      <c r="K34" s="108"/>
    </row>
    <row r="35" spans="1:11" s="285" customFormat="1" hidden="1" x14ac:dyDescent="0.25">
      <c r="A35" s="344"/>
      <c r="B35" s="151"/>
      <c r="C35" s="94"/>
      <c r="D35" s="89"/>
      <c r="E35" s="89">
        <f>SUM(E34)</f>
        <v>0</v>
      </c>
      <c r="F35" s="89">
        <f>SUM(F34)</f>
        <v>0</v>
      </c>
      <c r="G35" s="429">
        <v>0</v>
      </c>
      <c r="H35" s="89"/>
      <c r="I35" s="429"/>
      <c r="J35" s="89"/>
      <c r="K35" s="89"/>
    </row>
    <row r="36" spans="1:11" s="285" customFormat="1" hidden="1" x14ac:dyDescent="0.25">
      <c r="A36" s="344"/>
      <c r="B36" s="151"/>
      <c r="C36" s="93" t="s">
        <v>52</v>
      </c>
      <c r="D36" s="85"/>
      <c r="E36" s="86"/>
      <c r="F36" s="86"/>
      <c r="G36" s="86"/>
      <c r="H36" s="86"/>
      <c r="I36" s="86"/>
      <c r="J36" s="86"/>
      <c r="K36" s="86"/>
    </row>
    <row r="37" spans="1:11" s="285" customFormat="1" hidden="1" x14ac:dyDescent="0.25">
      <c r="A37" s="118">
        <v>18</v>
      </c>
      <c r="B37" s="151">
        <v>5190</v>
      </c>
      <c r="C37" s="94" t="s">
        <v>53</v>
      </c>
      <c r="D37" s="85"/>
      <c r="E37" s="108"/>
      <c r="F37" s="85">
        <f>0/8*12</f>
        <v>0</v>
      </c>
      <c r="G37" s="428">
        <v>0</v>
      </c>
      <c r="H37" s="85"/>
      <c r="I37" s="428"/>
      <c r="J37" s="85"/>
      <c r="K37" s="85"/>
    </row>
    <row r="38" spans="1:11" s="285" customFormat="1" hidden="1" x14ac:dyDescent="0.25">
      <c r="A38" s="344"/>
      <c r="B38" s="151"/>
      <c r="C38" s="94"/>
      <c r="D38" s="89"/>
      <c r="E38" s="89">
        <f>E37</f>
        <v>0</v>
      </c>
      <c r="F38" s="89">
        <f>F37</f>
        <v>0</v>
      </c>
      <c r="G38" s="429">
        <v>0</v>
      </c>
      <c r="H38" s="89"/>
      <c r="I38" s="429"/>
      <c r="J38" s="89"/>
      <c r="K38" s="89"/>
    </row>
    <row r="39" spans="1:11" s="285" customFormat="1" x14ac:dyDescent="0.25">
      <c r="A39" s="344"/>
      <c r="B39" s="151"/>
      <c r="C39" s="93" t="s">
        <v>54</v>
      </c>
      <c r="D39" s="85"/>
      <c r="E39" s="86"/>
      <c r="F39" s="86"/>
      <c r="G39" s="86"/>
      <c r="H39" s="86"/>
      <c r="I39" s="86"/>
      <c r="J39" s="86"/>
      <c r="K39" s="86"/>
    </row>
    <row r="40" spans="1:11" s="285" customFormat="1" x14ac:dyDescent="0.25">
      <c r="A40" s="118">
        <v>18</v>
      </c>
      <c r="B40" s="151">
        <v>5200</v>
      </c>
      <c r="C40" s="94" t="s">
        <v>55</v>
      </c>
      <c r="D40" s="85"/>
      <c r="E40" s="108"/>
      <c r="F40" s="85">
        <f>0/8*12</f>
        <v>0</v>
      </c>
      <c r="G40" s="428">
        <v>0</v>
      </c>
      <c r="H40" s="85"/>
      <c r="I40" s="428"/>
      <c r="J40" s="85"/>
      <c r="K40" s="85"/>
    </row>
    <row r="41" spans="1:11" s="285" customFormat="1" x14ac:dyDescent="0.25">
      <c r="A41" s="118">
        <v>18</v>
      </c>
      <c r="B41" s="151">
        <v>5205</v>
      </c>
      <c r="C41" s="94" t="s">
        <v>56</v>
      </c>
      <c r="D41" s="85"/>
      <c r="E41" s="85">
        <v>35000</v>
      </c>
      <c r="F41" s="85">
        <v>0</v>
      </c>
      <c r="G41" s="428">
        <v>0</v>
      </c>
      <c r="H41" s="85">
        <v>15000</v>
      </c>
      <c r="I41" s="428">
        <v>53050</v>
      </c>
      <c r="J41" s="85">
        <f>+I41*1.055</f>
        <v>55967.75</v>
      </c>
      <c r="K41" s="85">
        <f>+J41*1.053</f>
        <v>58934.040749999993</v>
      </c>
    </row>
    <row r="42" spans="1:11" s="285" customFormat="1" x14ac:dyDescent="0.25">
      <c r="A42" s="118">
        <v>18</v>
      </c>
      <c r="B42" s="151">
        <v>5210</v>
      </c>
      <c r="C42" s="94" t="s">
        <v>57</v>
      </c>
      <c r="D42" s="85"/>
      <c r="E42" s="85">
        <v>0</v>
      </c>
      <c r="F42" s="85">
        <v>0</v>
      </c>
      <c r="G42" s="428">
        <v>0</v>
      </c>
      <c r="H42" s="85"/>
      <c r="I42" s="428"/>
      <c r="J42" s="428">
        <f t="shared" ref="J42:J48" si="6">+I42*1.055</f>
        <v>0</v>
      </c>
      <c r="K42" s="428">
        <f t="shared" ref="K42:K48" si="7">+J42*1.053</f>
        <v>0</v>
      </c>
    </row>
    <row r="43" spans="1:11" s="285" customFormat="1" x14ac:dyDescent="0.25">
      <c r="A43" s="118">
        <v>18</v>
      </c>
      <c r="B43" s="151">
        <v>5215</v>
      </c>
      <c r="C43" s="94" t="s">
        <v>95</v>
      </c>
      <c r="D43" s="85"/>
      <c r="E43" s="85">
        <v>0</v>
      </c>
      <c r="F43" s="85">
        <v>0</v>
      </c>
      <c r="G43" s="428">
        <v>0</v>
      </c>
      <c r="H43" s="85"/>
      <c r="I43" s="428"/>
      <c r="J43" s="428">
        <f t="shared" si="6"/>
        <v>0</v>
      </c>
      <c r="K43" s="428">
        <f t="shared" si="7"/>
        <v>0</v>
      </c>
    </row>
    <row r="44" spans="1:11" s="285" customFormat="1" x14ac:dyDescent="0.25">
      <c r="A44" s="118">
        <v>18</v>
      </c>
      <c r="B44" s="151">
        <v>5220</v>
      </c>
      <c r="C44" s="94" t="s">
        <v>58</v>
      </c>
      <c r="D44" s="85"/>
      <c r="E44" s="85">
        <v>0</v>
      </c>
      <c r="F44" s="85">
        <v>0</v>
      </c>
      <c r="G44" s="428">
        <v>0</v>
      </c>
      <c r="H44" s="85"/>
      <c r="I44" s="428"/>
      <c r="J44" s="428">
        <f t="shared" si="6"/>
        <v>0</v>
      </c>
      <c r="K44" s="428">
        <f t="shared" si="7"/>
        <v>0</v>
      </c>
    </row>
    <row r="45" spans="1:11" s="285" customFormat="1" x14ac:dyDescent="0.25">
      <c r="A45" s="118">
        <v>18</v>
      </c>
      <c r="B45" s="151">
        <v>5225</v>
      </c>
      <c r="C45" s="94" t="s">
        <v>92</v>
      </c>
      <c r="D45" s="85"/>
      <c r="E45" s="85">
        <v>0</v>
      </c>
      <c r="F45" s="85">
        <v>0</v>
      </c>
      <c r="G45" s="428">
        <v>0</v>
      </c>
      <c r="H45" s="85"/>
      <c r="I45" s="428"/>
      <c r="J45" s="428">
        <f t="shared" si="6"/>
        <v>0</v>
      </c>
      <c r="K45" s="428">
        <f t="shared" si="7"/>
        <v>0</v>
      </c>
    </row>
    <row r="46" spans="1:11" s="285" customFormat="1" x14ac:dyDescent="0.25">
      <c r="A46" s="118">
        <v>18</v>
      </c>
      <c r="B46" s="151">
        <v>5230</v>
      </c>
      <c r="C46" s="94" t="s">
        <v>86</v>
      </c>
      <c r="D46" s="85"/>
      <c r="E46" s="85"/>
      <c r="F46" s="85">
        <v>0</v>
      </c>
      <c r="G46" s="428">
        <v>0</v>
      </c>
      <c r="H46" s="85"/>
      <c r="I46" s="428"/>
      <c r="J46" s="428">
        <f t="shared" si="6"/>
        <v>0</v>
      </c>
      <c r="K46" s="428">
        <f t="shared" si="7"/>
        <v>0</v>
      </c>
    </row>
    <row r="47" spans="1:11" s="285" customFormat="1" x14ac:dyDescent="0.25">
      <c r="A47" s="118">
        <v>18</v>
      </c>
      <c r="B47" s="151">
        <v>5235</v>
      </c>
      <c r="C47" s="94" t="s">
        <v>124</v>
      </c>
      <c r="D47" s="85"/>
      <c r="E47" s="85"/>
      <c r="F47" s="85">
        <v>0</v>
      </c>
      <c r="G47" s="428">
        <v>0</v>
      </c>
      <c r="H47" s="85"/>
      <c r="I47" s="428"/>
      <c r="J47" s="428">
        <f t="shared" si="6"/>
        <v>0</v>
      </c>
      <c r="K47" s="428">
        <f t="shared" si="7"/>
        <v>0</v>
      </c>
    </row>
    <row r="48" spans="1:11" s="285" customFormat="1" x14ac:dyDescent="0.25">
      <c r="A48" s="118">
        <v>18</v>
      </c>
      <c r="B48" s="151">
        <v>5240</v>
      </c>
      <c r="C48" s="94" t="s">
        <v>59</v>
      </c>
      <c r="D48" s="85">
        <v>8957</v>
      </c>
      <c r="E48" s="85">
        <v>10000</v>
      </c>
      <c r="F48" s="85">
        <v>130000</v>
      </c>
      <c r="G48" s="428">
        <v>130000</v>
      </c>
      <c r="H48" s="85">
        <v>30000</v>
      </c>
      <c r="I48" s="428">
        <v>111000</v>
      </c>
      <c r="J48" s="428">
        <f t="shared" si="6"/>
        <v>117105</v>
      </c>
      <c r="K48" s="428">
        <f t="shared" si="7"/>
        <v>123311.56499999999</v>
      </c>
    </row>
    <row r="49" spans="1:11" s="285" customFormat="1" x14ac:dyDescent="0.25">
      <c r="A49" s="118">
        <v>18</v>
      </c>
      <c r="B49" s="151">
        <v>5245</v>
      </c>
      <c r="C49" s="94" t="s">
        <v>91</v>
      </c>
      <c r="D49" s="85"/>
      <c r="E49" s="85"/>
      <c r="F49" s="85">
        <v>0</v>
      </c>
      <c r="G49" s="428">
        <v>0</v>
      </c>
      <c r="H49" s="85"/>
      <c r="I49" s="428"/>
      <c r="J49" s="85"/>
      <c r="K49" s="85"/>
    </row>
    <row r="50" spans="1:11" s="285" customFormat="1" x14ac:dyDescent="0.25">
      <c r="A50" s="118">
        <v>18</v>
      </c>
      <c r="B50" s="151">
        <v>5250</v>
      </c>
      <c r="C50" s="94" t="s">
        <v>88</v>
      </c>
      <c r="D50" s="85"/>
      <c r="E50" s="85"/>
      <c r="F50" s="85">
        <v>0</v>
      </c>
      <c r="G50" s="428">
        <v>0</v>
      </c>
      <c r="H50" s="85"/>
      <c r="I50" s="428">
        <v>86000</v>
      </c>
      <c r="J50" s="85"/>
      <c r="K50" s="85"/>
    </row>
    <row r="51" spans="1:11" s="285" customFormat="1" x14ac:dyDescent="0.25">
      <c r="A51" s="118">
        <v>18</v>
      </c>
      <c r="B51" s="151">
        <v>5255</v>
      </c>
      <c r="C51" s="94" t="s">
        <v>125</v>
      </c>
      <c r="D51" s="85"/>
      <c r="E51" s="85"/>
      <c r="F51" s="85">
        <v>0</v>
      </c>
      <c r="G51" s="428">
        <v>0</v>
      </c>
      <c r="H51" s="85"/>
      <c r="I51" s="428"/>
      <c r="J51" s="85"/>
      <c r="K51" s="85"/>
    </row>
    <row r="52" spans="1:11" s="285" customFormat="1" x14ac:dyDescent="0.25">
      <c r="A52" s="118">
        <v>18</v>
      </c>
      <c r="B52" s="151">
        <v>5260</v>
      </c>
      <c r="C52" s="94" t="s">
        <v>90</v>
      </c>
      <c r="D52" s="85"/>
      <c r="E52" s="85"/>
      <c r="F52" s="85">
        <v>0</v>
      </c>
      <c r="G52" s="428">
        <v>0</v>
      </c>
      <c r="H52" s="85"/>
      <c r="I52" s="428"/>
      <c r="J52" s="85"/>
      <c r="K52" s="85"/>
    </row>
    <row r="53" spans="1:11" s="285" customFormat="1" x14ac:dyDescent="0.25">
      <c r="A53" s="118">
        <v>18</v>
      </c>
      <c r="B53" s="151">
        <v>5265</v>
      </c>
      <c r="C53" s="94" t="s">
        <v>87</v>
      </c>
      <c r="D53" s="85"/>
      <c r="E53" s="85"/>
      <c r="F53" s="85">
        <v>0</v>
      </c>
      <c r="G53" s="428">
        <v>0</v>
      </c>
      <c r="H53" s="85"/>
      <c r="I53" s="428"/>
      <c r="J53" s="85"/>
      <c r="K53" s="85"/>
    </row>
    <row r="54" spans="1:11" s="285" customFormat="1" x14ac:dyDescent="0.25">
      <c r="A54" s="118">
        <v>18</v>
      </c>
      <c r="B54" s="151">
        <v>5270</v>
      </c>
      <c r="C54" s="94" t="s">
        <v>89</v>
      </c>
      <c r="D54" s="85"/>
      <c r="E54" s="85"/>
      <c r="F54" s="85">
        <v>0</v>
      </c>
      <c r="G54" s="428">
        <v>0</v>
      </c>
      <c r="H54" s="85"/>
      <c r="I54" s="428"/>
      <c r="J54" s="85"/>
      <c r="K54" s="85"/>
    </row>
    <row r="55" spans="1:11" s="285" customFormat="1" x14ac:dyDescent="0.25">
      <c r="A55" s="118">
        <v>18</v>
      </c>
      <c r="B55" s="151">
        <v>5275</v>
      </c>
      <c r="C55" s="94" t="s">
        <v>93</v>
      </c>
      <c r="D55" s="85"/>
      <c r="E55" s="85"/>
      <c r="F55" s="85">
        <v>0</v>
      </c>
      <c r="G55" s="428">
        <v>0</v>
      </c>
      <c r="H55" s="85"/>
      <c r="I55" s="428"/>
      <c r="J55" s="85"/>
      <c r="K55" s="85"/>
    </row>
    <row r="56" spans="1:11" s="285" customFormat="1" x14ac:dyDescent="0.25">
      <c r="A56" s="118">
        <v>18</v>
      </c>
      <c r="B56" s="151">
        <v>5280</v>
      </c>
      <c r="C56" s="94" t="s">
        <v>94</v>
      </c>
      <c r="D56" s="85"/>
      <c r="E56" s="85"/>
      <c r="F56" s="85">
        <v>0</v>
      </c>
      <c r="G56" s="428">
        <v>0</v>
      </c>
      <c r="H56" s="85"/>
      <c r="I56" s="428"/>
      <c r="J56" s="85"/>
      <c r="K56" s="85"/>
    </row>
    <row r="57" spans="1:11" s="285" customFormat="1" x14ac:dyDescent="0.25">
      <c r="A57" s="118">
        <v>18</v>
      </c>
      <c r="B57" s="151">
        <v>5285</v>
      </c>
      <c r="C57" s="94" t="s">
        <v>60</v>
      </c>
      <c r="D57" s="85">
        <v>4100</v>
      </c>
      <c r="E57" s="85">
        <v>2000</v>
      </c>
      <c r="F57" s="85">
        <v>2000</v>
      </c>
      <c r="G57" s="428">
        <v>2000</v>
      </c>
      <c r="H57" s="85"/>
      <c r="I57" s="428"/>
      <c r="J57" s="85"/>
      <c r="K57" s="85"/>
    </row>
    <row r="58" spans="1:11" s="285" customFormat="1" x14ac:dyDescent="0.25">
      <c r="A58" s="118">
        <v>18</v>
      </c>
      <c r="B58" s="151">
        <v>5290</v>
      </c>
      <c r="C58" s="94" t="s">
        <v>186</v>
      </c>
      <c r="D58" s="85"/>
      <c r="E58" s="85">
        <v>0</v>
      </c>
      <c r="F58" s="85">
        <v>0</v>
      </c>
      <c r="G58" s="428">
        <v>0</v>
      </c>
      <c r="H58" s="85"/>
      <c r="I58" s="428"/>
      <c r="J58" s="85"/>
      <c r="K58" s="85"/>
    </row>
    <row r="59" spans="1:11" s="285" customFormat="1" x14ac:dyDescent="0.25">
      <c r="A59" s="344"/>
      <c r="B59" s="151"/>
      <c r="C59" s="94"/>
      <c r="D59" s="439">
        <f t="shared" ref="D59:K59" si="8">SUM(D40:D58)</f>
        <v>13057</v>
      </c>
      <c r="E59" s="110">
        <f t="shared" si="8"/>
        <v>47000</v>
      </c>
      <c r="F59" s="110">
        <f t="shared" si="8"/>
        <v>132000</v>
      </c>
      <c r="G59" s="439">
        <f t="shared" si="8"/>
        <v>132000</v>
      </c>
      <c r="H59" s="110">
        <f t="shared" si="8"/>
        <v>45000</v>
      </c>
      <c r="I59" s="439">
        <f t="shared" si="8"/>
        <v>250050</v>
      </c>
      <c r="J59" s="439">
        <f t="shared" si="8"/>
        <v>173072.75</v>
      </c>
      <c r="K59" s="439">
        <f t="shared" si="8"/>
        <v>182245.60574999999</v>
      </c>
    </row>
    <row r="60" spans="1:11" s="285" customFormat="1" hidden="1" x14ac:dyDescent="0.25">
      <c r="A60" s="344"/>
      <c r="B60" s="151"/>
      <c r="C60" s="93" t="s">
        <v>198</v>
      </c>
      <c r="D60" s="85"/>
      <c r="E60" s="112"/>
      <c r="F60" s="112"/>
      <c r="G60" s="112"/>
      <c r="H60" s="112"/>
      <c r="I60" s="112"/>
      <c r="J60" s="112"/>
      <c r="K60" s="112"/>
    </row>
    <row r="61" spans="1:11" s="285" customFormat="1" hidden="1" x14ac:dyDescent="0.25">
      <c r="A61" s="118">
        <v>18</v>
      </c>
      <c r="B61" s="151">
        <v>5400</v>
      </c>
      <c r="C61" s="94" t="s">
        <v>334</v>
      </c>
      <c r="D61" s="85"/>
      <c r="E61" s="86"/>
      <c r="F61" s="86"/>
      <c r="G61" s="86"/>
      <c r="H61" s="86"/>
      <c r="I61" s="86"/>
      <c r="J61" s="86"/>
      <c r="K61" s="86"/>
    </row>
    <row r="62" spans="1:11" s="285" customFormat="1" hidden="1" x14ac:dyDescent="0.25">
      <c r="A62" s="118">
        <v>18</v>
      </c>
      <c r="B62" s="151">
        <v>5405</v>
      </c>
      <c r="C62" s="94" t="s">
        <v>335</v>
      </c>
      <c r="D62" s="85"/>
      <c r="E62" s="108"/>
      <c r="F62" s="108"/>
      <c r="G62" s="425"/>
      <c r="H62" s="108"/>
      <c r="I62" s="425"/>
      <c r="J62" s="85"/>
      <c r="K62" s="108"/>
    </row>
    <row r="63" spans="1:11" s="285" customFormat="1" hidden="1" x14ac:dyDescent="0.25">
      <c r="A63" s="344"/>
      <c r="B63" s="151"/>
      <c r="C63" s="94"/>
      <c r="D63" s="429">
        <f>SUM(D61:D62)</f>
        <v>0</v>
      </c>
      <c r="E63" s="89">
        <f>SUM(E61:E62)</f>
        <v>0</v>
      </c>
      <c r="F63" s="89"/>
      <c r="G63" s="429"/>
      <c r="H63" s="89"/>
      <c r="I63" s="429"/>
      <c r="J63" s="89"/>
      <c r="K63" s="89"/>
    </row>
    <row r="64" spans="1:11" s="285" customFormat="1" hidden="1" x14ac:dyDescent="0.25">
      <c r="A64" s="344"/>
      <c r="B64" s="151"/>
      <c r="C64" s="93" t="s">
        <v>61</v>
      </c>
      <c r="D64" s="85"/>
      <c r="E64" s="86"/>
      <c r="F64" s="86"/>
      <c r="G64" s="86"/>
      <c r="H64" s="86"/>
      <c r="I64" s="86"/>
      <c r="J64" s="86"/>
      <c r="K64" s="86"/>
    </row>
    <row r="65" spans="1:11" s="285" customFormat="1" hidden="1" x14ac:dyDescent="0.25">
      <c r="A65" s="118">
        <v>18</v>
      </c>
      <c r="B65" s="151">
        <v>5450</v>
      </c>
      <c r="C65" s="94" t="s">
        <v>351</v>
      </c>
      <c r="D65" s="85"/>
      <c r="E65" s="108"/>
      <c r="F65" s="108"/>
      <c r="G65" s="425"/>
      <c r="H65" s="108"/>
      <c r="I65" s="425"/>
      <c r="J65" s="85"/>
      <c r="K65" s="108"/>
    </row>
    <row r="66" spans="1:11" s="285" customFormat="1" hidden="1" x14ac:dyDescent="0.25">
      <c r="A66" s="344"/>
      <c r="B66" s="151"/>
      <c r="C66" s="94"/>
      <c r="D66" s="89"/>
      <c r="E66" s="89">
        <f>E65</f>
        <v>0</v>
      </c>
      <c r="F66" s="89"/>
      <c r="G66" s="429"/>
      <c r="H66" s="89"/>
      <c r="I66" s="429"/>
      <c r="J66" s="89"/>
      <c r="K66" s="89"/>
    </row>
    <row r="67" spans="1:11" s="285" customFormat="1" hidden="1" x14ac:dyDescent="0.25">
      <c r="A67" s="344"/>
      <c r="B67" s="151"/>
      <c r="C67" s="93" t="s">
        <v>96</v>
      </c>
      <c r="D67" s="85"/>
      <c r="E67" s="86"/>
      <c r="F67" s="86"/>
      <c r="G67" s="86"/>
      <c r="H67" s="86"/>
      <c r="I67" s="86"/>
      <c r="J67" s="86"/>
      <c r="K67" s="86"/>
    </row>
    <row r="68" spans="1:11" s="285" customFormat="1" hidden="1" x14ac:dyDescent="0.25">
      <c r="A68" s="118">
        <v>18</v>
      </c>
      <c r="B68" s="151">
        <v>5470</v>
      </c>
      <c r="C68" s="94" t="s">
        <v>97</v>
      </c>
      <c r="D68" s="85"/>
      <c r="E68" s="85">
        <v>0</v>
      </c>
      <c r="F68" s="85"/>
      <c r="G68" s="428"/>
      <c r="H68" s="85"/>
      <c r="I68" s="428"/>
      <c r="J68" s="85"/>
      <c r="K68" s="85"/>
    </row>
    <row r="69" spans="1:11" s="285" customFormat="1" hidden="1" x14ac:dyDescent="0.25">
      <c r="A69" s="118">
        <v>18</v>
      </c>
      <c r="B69" s="151">
        <v>5475</v>
      </c>
      <c r="C69" s="94" t="s">
        <v>134</v>
      </c>
      <c r="D69" s="85"/>
      <c r="E69" s="85">
        <v>0</v>
      </c>
      <c r="F69" s="85"/>
      <c r="G69" s="428"/>
      <c r="H69" s="85"/>
      <c r="I69" s="428"/>
      <c r="J69" s="85"/>
      <c r="K69" s="85"/>
    </row>
    <row r="70" spans="1:11" s="285" customFormat="1" hidden="1" x14ac:dyDescent="0.25">
      <c r="A70" s="344"/>
      <c r="B70" s="151"/>
      <c r="C70" s="94"/>
      <c r="D70" s="110"/>
      <c r="E70" s="110">
        <f>SUM(E68:E69)</f>
        <v>0</v>
      </c>
      <c r="F70" s="110"/>
      <c r="G70" s="439"/>
      <c r="H70" s="110"/>
      <c r="I70" s="439"/>
      <c r="J70" s="110"/>
      <c r="K70" s="110"/>
    </row>
    <row r="71" spans="1:11" s="285" customFormat="1" ht="14.25" customHeight="1" x14ac:dyDescent="0.25">
      <c r="A71" s="344"/>
      <c r="B71" s="151"/>
      <c r="C71" s="93" t="s">
        <v>62</v>
      </c>
      <c r="D71" s="88"/>
      <c r="E71" s="113"/>
      <c r="F71" s="113"/>
      <c r="G71" s="113"/>
      <c r="H71" s="113"/>
      <c r="I71" s="113"/>
      <c r="J71" s="113"/>
      <c r="K71" s="85"/>
    </row>
    <row r="72" spans="1:11" s="285" customFormat="1" x14ac:dyDescent="0.25">
      <c r="A72" s="118">
        <v>18</v>
      </c>
      <c r="B72" s="151">
        <v>5505</v>
      </c>
      <c r="C72" s="94" t="s">
        <v>259</v>
      </c>
      <c r="D72" s="85"/>
      <c r="E72" s="85">
        <v>50000</v>
      </c>
      <c r="F72" s="85">
        <v>50000</v>
      </c>
      <c r="G72" s="428">
        <v>50000</v>
      </c>
      <c r="H72" s="85">
        <v>50000</v>
      </c>
      <c r="I72" s="428">
        <v>252000</v>
      </c>
      <c r="J72" s="428">
        <f>+I72*1.055</f>
        <v>265860</v>
      </c>
      <c r="K72" s="428">
        <f>+J72*1.053</f>
        <v>279950.57999999996</v>
      </c>
    </row>
    <row r="73" spans="1:11" s="285" customFormat="1" x14ac:dyDescent="0.25">
      <c r="A73" s="118">
        <v>18</v>
      </c>
      <c r="B73" s="151">
        <v>5510</v>
      </c>
      <c r="C73" s="94" t="s">
        <v>63</v>
      </c>
      <c r="D73" s="85">
        <v>9900</v>
      </c>
      <c r="E73" s="85">
        <v>5411</v>
      </c>
      <c r="F73" s="85">
        <v>5411</v>
      </c>
      <c r="G73" s="428">
        <v>5411</v>
      </c>
      <c r="H73" s="85">
        <v>5000</v>
      </c>
      <c r="I73" s="428"/>
      <c r="J73" s="428">
        <f t="shared" ref="J73:J136" si="9">+I73*1.055</f>
        <v>0</v>
      </c>
      <c r="K73" s="428">
        <f t="shared" ref="K73:K136" si="10">+J73*1.053</f>
        <v>0</v>
      </c>
    </row>
    <row r="74" spans="1:11" s="285" customFormat="1" x14ac:dyDescent="0.25">
      <c r="A74" s="118">
        <v>18</v>
      </c>
      <c r="B74" s="151">
        <v>5520</v>
      </c>
      <c r="C74" s="94" t="s">
        <v>260</v>
      </c>
      <c r="D74" s="85"/>
      <c r="E74" s="85">
        <v>0</v>
      </c>
      <c r="F74" s="85">
        <v>0</v>
      </c>
      <c r="G74" s="428">
        <v>0</v>
      </c>
      <c r="H74" s="85"/>
      <c r="I74" s="428"/>
      <c r="J74" s="428">
        <f t="shared" si="9"/>
        <v>0</v>
      </c>
      <c r="K74" s="428">
        <f t="shared" si="10"/>
        <v>0</v>
      </c>
    </row>
    <row r="75" spans="1:11" s="285" customFormat="1" x14ac:dyDescent="0.25">
      <c r="A75" s="118">
        <v>18</v>
      </c>
      <c r="B75" s="151">
        <v>5525</v>
      </c>
      <c r="C75" s="94" t="s">
        <v>261</v>
      </c>
      <c r="D75" s="85"/>
      <c r="E75" s="85">
        <v>11394</v>
      </c>
      <c r="F75" s="85">
        <v>71394</v>
      </c>
      <c r="G75" s="428">
        <v>71394</v>
      </c>
      <c r="H75" s="85">
        <v>270000</v>
      </c>
      <c r="I75" s="428">
        <v>256300</v>
      </c>
      <c r="J75" s="428">
        <f t="shared" si="9"/>
        <v>270396.5</v>
      </c>
      <c r="K75" s="428">
        <f t="shared" si="10"/>
        <v>284727.51449999999</v>
      </c>
    </row>
    <row r="76" spans="1:11" s="285" customFormat="1" x14ac:dyDescent="0.25">
      <c r="A76" s="118">
        <v>18</v>
      </c>
      <c r="B76" s="151">
        <v>5530</v>
      </c>
      <c r="C76" s="94" t="s">
        <v>262</v>
      </c>
      <c r="D76" s="85"/>
      <c r="E76" s="85"/>
      <c r="F76" s="85">
        <v>0</v>
      </c>
      <c r="G76" s="428">
        <v>0</v>
      </c>
      <c r="H76" s="85"/>
      <c r="I76" s="428"/>
      <c r="J76" s="428">
        <f t="shared" si="9"/>
        <v>0</v>
      </c>
      <c r="K76" s="428">
        <f t="shared" si="10"/>
        <v>0</v>
      </c>
    </row>
    <row r="77" spans="1:11" s="285" customFormat="1" x14ac:dyDescent="0.25">
      <c r="A77" s="118">
        <v>18</v>
      </c>
      <c r="B77" s="151">
        <v>5535</v>
      </c>
      <c r="C77" s="94" t="s">
        <v>263</v>
      </c>
      <c r="D77" s="85"/>
      <c r="E77" s="85">
        <v>15000</v>
      </c>
      <c r="F77" s="85">
        <v>15000</v>
      </c>
      <c r="G77" s="428">
        <v>15000</v>
      </c>
      <c r="H77" s="85">
        <v>5000</v>
      </c>
      <c r="I77" s="428">
        <v>10000</v>
      </c>
      <c r="J77" s="428">
        <f t="shared" si="9"/>
        <v>10550</v>
      </c>
      <c r="K77" s="428">
        <f t="shared" si="10"/>
        <v>11109.15</v>
      </c>
    </row>
    <row r="78" spans="1:11" s="285" customFormat="1" x14ac:dyDescent="0.25">
      <c r="A78" s="118">
        <v>18</v>
      </c>
      <c r="B78" s="151">
        <v>5540</v>
      </c>
      <c r="C78" s="94" t="s">
        <v>264</v>
      </c>
      <c r="D78" s="85">
        <v>48240</v>
      </c>
      <c r="E78" s="85">
        <v>203590</v>
      </c>
      <c r="F78" s="85">
        <v>253590</v>
      </c>
      <c r="G78" s="428">
        <v>253590</v>
      </c>
      <c r="H78" s="85">
        <v>100000</v>
      </c>
      <c r="I78" s="428"/>
      <c r="J78" s="428">
        <f t="shared" si="9"/>
        <v>0</v>
      </c>
      <c r="K78" s="428">
        <f t="shared" si="10"/>
        <v>0</v>
      </c>
    </row>
    <row r="79" spans="1:11" s="285" customFormat="1" ht="13.5" customHeight="1" x14ac:dyDescent="0.25">
      <c r="A79" s="118">
        <v>18</v>
      </c>
      <c r="B79" s="151">
        <v>5545</v>
      </c>
      <c r="C79" s="94" t="s">
        <v>265</v>
      </c>
      <c r="D79" s="85">
        <v>267</v>
      </c>
      <c r="E79" s="85">
        <v>295</v>
      </c>
      <c r="F79" s="85">
        <v>295</v>
      </c>
      <c r="G79" s="428">
        <v>295</v>
      </c>
      <c r="H79" s="85"/>
      <c r="I79" s="428">
        <f>142160+30000</f>
        <v>172160</v>
      </c>
      <c r="J79" s="428">
        <f t="shared" si="9"/>
        <v>181628.79999999999</v>
      </c>
      <c r="K79" s="428">
        <f t="shared" si="10"/>
        <v>191255.12639999998</v>
      </c>
    </row>
    <row r="80" spans="1:11" s="285" customFormat="1" x14ac:dyDescent="0.25">
      <c r="A80" s="118">
        <v>18</v>
      </c>
      <c r="B80" s="151">
        <v>5550</v>
      </c>
      <c r="C80" s="94" t="s">
        <v>267</v>
      </c>
      <c r="D80" s="85"/>
      <c r="E80" s="85"/>
      <c r="F80" s="85">
        <v>0</v>
      </c>
      <c r="G80" s="428">
        <v>0</v>
      </c>
      <c r="H80" s="85"/>
      <c r="I80" s="428"/>
      <c r="J80" s="428">
        <f t="shared" si="9"/>
        <v>0</v>
      </c>
      <c r="K80" s="428">
        <f t="shared" si="10"/>
        <v>0</v>
      </c>
    </row>
    <row r="81" spans="1:11" s="285" customFormat="1" x14ac:dyDescent="0.25">
      <c r="A81" s="118">
        <v>18</v>
      </c>
      <c r="B81" s="151">
        <v>5555</v>
      </c>
      <c r="C81" s="94" t="s">
        <v>268</v>
      </c>
      <c r="D81" s="85">
        <v>8000</v>
      </c>
      <c r="E81" s="85">
        <v>10550</v>
      </c>
      <c r="F81" s="85">
        <v>1550</v>
      </c>
      <c r="G81" s="428">
        <v>1550</v>
      </c>
      <c r="H81" s="85">
        <v>5000</v>
      </c>
      <c r="I81" s="428">
        <v>1025000</v>
      </c>
      <c r="J81" s="428">
        <f t="shared" si="9"/>
        <v>1081375</v>
      </c>
      <c r="K81" s="428">
        <f t="shared" si="10"/>
        <v>1138687.875</v>
      </c>
    </row>
    <row r="82" spans="1:11" s="285" customFormat="1" x14ac:dyDescent="0.25">
      <c r="A82" s="118">
        <v>18</v>
      </c>
      <c r="B82" s="151">
        <v>5560</v>
      </c>
      <c r="C82" s="94" t="s">
        <v>269</v>
      </c>
      <c r="D82" s="85">
        <v>21600</v>
      </c>
      <c r="E82" s="85">
        <v>25320</v>
      </c>
      <c r="F82" s="85">
        <v>385320</v>
      </c>
      <c r="G82" s="428">
        <v>385320</v>
      </c>
      <c r="H82" s="85">
        <v>40800</v>
      </c>
      <c r="I82" s="428">
        <v>794000</v>
      </c>
      <c r="J82" s="428">
        <f t="shared" si="9"/>
        <v>837670</v>
      </c>
      <c r="K82" s="428">
        <f t="shared" si="10"/>
        <v>882066.50999999989</v>
      </c>
    </row>
    <row r="83" spans="1:11" s="285" customFormat="1" x14ac:dyDescent="0.25">
      <c r="A83" s="118">
        <v>18</v>
      </c>
      <c r="B83" s="151">
        <v>5565</v>
      </c>
      <c r="C83" s="94" t="s">
        <v>246</v>
      </c>
      <c r="D83" s="85"/>
      <c r="E83" s="85"/>
      <c r="F83" s="85">
        <v>0</v>
      </c>
      <c r="G83" s="428">
        <v>0</v>
      </c>
      <c r="H83" s="85"/>
      <c r="I83" s="428">
        <v>547000</v>
      </c>
      <c r="J83" s="428">
        <f t="shared" si="9"/>
        <v>577085</v>
      </c>
      <c r="K83" s="428">
        <f t="shared" si="10"/>
        <v>607670.505</v>
      </c>
    </row>
    <row r="84" spans="1:11" s="285" customFormat="1" x14ac:dyDescent="0.25">
      <c r="A84" s="118">
        <v>18</v>
      </c>
      <c r="B84" s="151">
        <v>5570</v>
      </c>
      <c r="C84" s="94" t="s">
        <v>270</v>
      </c>
      <c r="D84" s="85">
        <v>827</v>
      </c>
      <c r="E84" s="85">
        <v>4500</v>
      </c>
      <c r="F84" s="85">
        <v>4500</v>
      </c>
      <c r="G84" s="428">
        <v>4500</v>
      </c>
      <c r="H84" s="85"/>
      <c r="I84" s="428">
        <v>4500</v>
      </c>
      <c r="J84" s="428">
        <f t="shared" si="9"/>
        <v>4747.5</v>
      </c>
      <c r="K84" s="428">
        <f t="shared" si="10"/>
        <v>4999.1174999999994</v>
      </c>
    </row>
    <row r="85" spans="1:11" s="285" customFormat="1" x14ac:dyDescent="0.25">
      <c r="A85" s="118">
        <v>18</v>
      </c>
      <c r="B85" s="151">
        <v>5575</v>
      </c>
      <c r="C85" s="94" t="s">
        <v>271</v>
      </c>
      <c r="D85" s="85">
        <v>757708</v>
      </c>
      <c r="E85" s="85">
        <v>250000</v>
      </c>
      <c r="F85" s="85">
        <v>700000</v>
      </c>
      <c r="G85" s="428">
        <v>700000</v>
      </c>
      <c r="H85" s="85">
        <v>700000</v>
      </c>
      <c r="I85" s="428">
        <v>1050000</v>
      </c>
      <c r="J85" s="428">
        <f t="shared" si="9"/>
        <v>1107750</v>
      </c>
      <c r="K85" s="428">
        <f t="shared" si="10"/>
        <v>1166460.75</v>
      </c>
    </row>
    <row r="86" spans="1:11" s="285" customFormat="1" x14ac:dyDescent="0.25">
      <c r="A86" s="118">
        <v>18</v>
      </c>
      <c r="B86" s="151">
        <v>5580</v>
      </c>
      <c r="C86" s="94" t="s">
        <v>272</v>
      </c>
      <c r="D86" s="85"/>
      <c r="E86" s="85">
        <v>10000</v>
      </c>
      <c r="F86" s="85">
        <v>0</v>
      </c>
      <c r="G86" s="428">
        <v>0</v>
      </c>
      <c r="H86" s="85">
        <v>5000</v>
      </c>
      <c r="I86" s="428">
        <v>5000</v>
      </c>
      <c r="J86" s="428">
        <f t="shared" si="9"/>
        <v>5275</v>
      </c>
      <c r="K86" s="428">
        <f t="shared" si="10"/>
        <v>5554.5749999999998</v>
      </c>
    </row>
    <row r="87" spans="1:11" s="285" customFormat="1" x14ac:dyDescent="0.25">
      <c r="A87" s="118">
        <v>18</v>
      </c>
      <c r="B87" s="151">
        <v>5585</v>
      </c>
      <c r="C87" s="94" t="s">
        <v>273</v>
      </c>
      <c r="D87" s="86"/>
      <c r="E87" s="85">
        <v>60000</v>
      </c>
      <c r="F87" s="85">
        <v>30000</v>
      </c>
      <c r="G87" s="428">
        <v>30000</v>
      </c>
      <c r="H87" s="85">
        <v>50000</v>
      </c>
      <c r="I87" s="428"/>
      <c r="J87" s="428">
        <f t="shared" si="9"/>
        <v>0</v>
      </c>
      <c r="K87" s="428">
        <f t="shared" si="10"/>
        <v>0</v>
      </c>
    </row>
    <row r="88" spans="1:11" s="285" customFormat="1" x14ac:dyDescent="0.25">
      <c r="A88" s="118">
        <v>18</v>
      </c>
      <c r="B88" s="151">
        <v>5590</v>
      </c>
      <c r="C88" s="94" t="s">
        <v>274</v>
      </c>
      <c r="D88" s="86">
        <v>23780</v>
      </c>
      <c r="E88" s="85">
        <v>25200</v>
      </c>
      <c r="F88" s="85">
        <v>125200</v>
      </c>
      <c r="G88" s="428">
        <v>125200</v>
      </c>
      <c r="H88" s="85">
        <v>100000</v>
      </c>
      <c r="I88" s="428">
        <f>124800+38600</f>
        <v>163400</v>
      </c>
      <c r="J88" s="428">
        <f t="shared" si="9"/>
        <v>172387</v>
      </c>
      <c r="K88" s="428">
        <f t="shared" si="10"/>
        <v>181523.511</v>
      </c>
    </row>
    <row r="89" spans="1:11" s="285" customFormat="1" x14ac:dyDescent="0.25">
      <c r="A89" s="118">
        <v>18</v>
      </c>
      <c r="B89" s="151">
        <v>5595</v>
      </c>
      <c r="C89" s="94" t="s">
        <v>275</v>
      </c>
      <c r="D89" s="85">
        <v>1100478</v>
      </c>
      <c r="E89" s="85">
        <v>500000</v>
      </c>
      <c r="F89" s="85">
        <v>700000</v>
      </c>
      <c r="G89" s="428">
        <v>700000</v>
      </c>
      <c r="H89" s="85">
        <v>800000</v>
      </c>
      <c r="I89" s="428">
        <v>1000000</v>
      </c>
      <c r="J89" s="428">
        <f t="shared" si="9"/>
        <v>1055000</v>
      </c>
      <c r="K89" s="428">
        <f t="shared" si="10"/>
        <v>1110915</v>
      </c>
    </row>
    <row r="90" spans="1:11" s="285" customFormat="1" x14ac:dyDescent="0.25">
      <c r="A90" s="118">
        <v>18</v>
      </c>
      <c r="B90" s="151">
        <v>5600</v>
      </c>
      <c r="C90" s="159" t="s">
        <v>276</v>
      </c>
      <c r="D90" s="85"/>
      <c r="E90" s="85"/>
      <c r="F90" s="85">
        <v>0</v>
      </c>
      <c r="G90" s="428">
        <v>0</v>
      </c>
      <c r="H90" s="85"/>
      <c r="I90" s="428"/>
      <c r="J90" s="428">
        <f t="shared" si="9"/>
        <v>0</v>
      </c>
      <c r="K90" s="428">
        <f t="shared" si="10"/>
        <v>0</v>
      </c>
    </row>
    <row r="91" spans="1:11" s="285" customFormat="1" x14ac:dyDescent="0.25">
      <c r="A91" s="118">
        <v>18</v>
      </c>
      <c r="B91" s="151">
        <v>5605</v>
      </c>
      <c r="C91" s="159" t="s">
        <v>277</v>
      </c>
      <c r="D91" s="85"/>
      <c r="E91" s="85"/>
      <c r="F91" s="85">
        <v>0</v>
      </c>
      <c r="G91" s="428">
        <v>0</v>
      </c>
      <c r="H91" s="85"/>
      <c r="I91" s="428"/>
      <c r="J91" s="428">
        <f t="shared" si="9"/>
        <v>0</v>
      </c>
      <c r="K91" s="428">
        <f t="shared" si="10"/>
        <v>0</v>
      </c>
    </row>
    <row r="92" spans="1:11" s="285" customFormat="1" ht="21.75" customHeight="1" x14ac:dyDescent="0.25">
      <c r="A92" s="118">
        <v>18</v>
      </c>
      <c r="B92" s="151">
        <v>5610</v>
      </c>
      <c r="C92" s="159" t="s">
        <v>278</v>
      </c>
      <c r="D92" s="85"/>
      <c r="E92" s="85"/>
      <c r="F92" s="85">
        <v>0</v>
      </c>
      <c r="G92" s="428">
        <v>0</v>
      </c>
      <c r="H92" s="85"/>
      <c r="I92" s="428"/>
      <c r="J92" s="428">
        <f t="shared" si="9"/>
        <v>0</v>
      </c>
      <c r="K92" s="428">
        <f t="shared" si="10"/>
        <v>0</v>
      </c>
    </row>
    <row r="93" spans="1:11" s="285" customFormat="1" x14ac:dyDescent="0.25">
      <c r="A93" s="118">
        <v>18</v>
      </c>
      <c r="B93" s="151">
        <v>5615</v>
      </c>
      <c r="C93" s="159" t="s">
        <v>279</v>
      </c>
      <c r="D93" s="85">
        <v>18980</v>
      </c>
      <c r="E93" s="85">
        <v>30000</v>
      </c>
      <c r="F93" s="85">
        <v>30000</v>
      </c>
      <c r="G93" s="428">
        <v>30000</v>
      </c>
      <c r="H93" s="85">
        <v>500000</v>
      </c>
      <c r="I93" s="428"/>
      <c r="J93" s="428">
        <f t="shared" si="9"/>
        <v>0</v>
      </c>
      <c r="K93" s="428">
        <f t="shared" si="10"/>
        <v>0</v>
      </c>
    </row>
    <row r="94" spans="1:11" s="285" customFormat="1" x14ac:dyDescent="0.25">
      <c r="A94" s="118">
        <v>18</v>
      </c>
      <c r="B94" s="151">
        <v>5620</v>
      </c>
      <c r="C94" s="159" t="s">
        <v>514</v>
      </c>
      <c r="D94" s="85"/>
      <c r="E94" s="85">
        <v>200000</v>
      </c>
      <c r="F94" s="85">
        <v>200000</v>
      </c>
      <c r="G94" s="428">
        <v>200000</v>
      </c>
      <c r="H94" s="85">
        <v>250000</v>
      </c>
      <c r="I94" s="428">
        <v>250000</v>
      </c>
      <c r="J94" s="428">
        <f t="shared" si="9"/>
        <v>263750</v>
      </c>
      <c r="K94" s="428">
        <f t="shared" si="10"/>
        <v>277728.75</v>
      </c>
    </row>
    <row r="95" spans="1:11" s="285" customFormat="1" x14ac:dyDescent="0.25">
      <c r="A95" s="118"/>
      <c r="B95" s="151">
        <v>5625</v>
      </c>
      <c r="C95" s="159" t="s">
        <v>281</v>
      </c>
      <c r="D95" s="85"/>
      <c r="E95" s="85"/>
      <c r="F95" s="85"/>
      <c r="G95" s="428"/>
      <c r="H95" s="85"/>
      <c r="I95" s="428"/>
      <c r="J95" s="428">
        <f t="shared" si="9"/>
        <v>0</v>
      </c>
      <c r="K95" s="428">
        <f t="shared" si="10"/>
        <v>0</v>
      </c>
    </row>
    <row r="96" spans="1:11" s="285" customFormat="1" x14ac:dyDescent="0.25">
      <c r="A96" s="118"/>
      <c r="B96" s="151">
        <v>5630</v>
      </c>
      <c r="C96" s="159" t="s">
        <v>282</v>
      </c>
      <c r="D96" s="85"/>
      <c r="E96" s="85"/>
      <c r="F96" s="85"/>
      <c r="G96" s="428"/>
      <c r="H96" s="85"/>
      <c r="I96" s="428">
        <v>1024000</v>
      </c>
      <c r="J96" s="428">
        <f t="shared" si="9"/>
        <v>1080320</v>
      </c>
      <c r="K96" s="428">
        <f t="shared" si="10"/>
        <v>1137576.96</v>
      </c>
    </row>
    <row r="97" spans="1:11" s="285" customFormat="1" x14ac:dyDescent="0.25">
      <c r="A97" s="118"/>
      <c r="B97" s="151">
        <v>5635</v>
      </c>
      <c r="C97" s="159" t="s">
        <v>283</v>
      </c>
      <c r="D97" s="85"/>
      <c r="E97" s="85"/>
      <c r="F97" s="85"/>
      <c r="G97" s="428"/>
      <c r="H97" s="85"/>
      <c r="I97" s="428"/>
      <c r="J97" s="428">
        <f t="shared" si="9"/>
        <v>0</v>
      </c>
      <c r="K97" s="428">
        <f t="shared" si="10"/>
        <v>0</v>
      </c>
    </row>
    <row r="98" spans="1:11" s="285" customFormat="1" x14ac:dyDescent="0.25">
      <c r="A98" s="118"/>
      <c r="B98" s="151">
        <v>5640</v>
      </c>
      <c r="C98" s="159" t="s">
        <v>284</v>
      </c>
      <c r="D98" s="85"/>
      <c r="E98" s="85"/>
      <c r="F98" s="85"/>
      <c r="G98" s="428"/>
      <c r="H98" s="85"/>
      <c r="I98" s="428"/>
      <c r="J98" s="428">
        <f t="shared" si="9"/>
        <v>0</v>
      </c>
      <c r="K98" s="428">
        <f t="shared" si="10"/>
        <v>0</v>
      </c>
    </row>
    <row r="99" spans="1:11" s="285" customFormat="1" ht="12" customHeight="1" x14ac:dyDescent="0.25">
      <c r="A99" s="118"/>
      <c r="B99" s="151">
        <v>5645</v>
      </c>
      <c r="C99" s="159" t="s">
        <v>285</v>
      </c>
      <c r="D99" s="85"/>
      <c r="E99" s="85"/>
      <c r="F99" s="85"/>
      <c r="G99" s="428"/>
      <c r="H99" s="85"/>
      <c r="I99" s="428"/>
      <c r="J99" s="428">
        <f t="shared" si="9"/>
        <v>0</v>
      </c>
      <c r="K99" s="428">
        <f t="shared" si="10"/>
        <v>0</v>
      </c>
    </row>
    <row r="100" spans="1:11" s="285" customFormat="1" x14ac:dyDescent="0.25">
      <c r="A100" s="371">
        <v>18</v>
      </c>
      <c r="B100" s="152">
        <v>5650</v>
      </c>
      <c r="C100" s="382" t="s">
        <v>286</v>
      </c>
      <c r="D100" s="383"/>
      <c r="E100" s="383"/>
      <c r="F100" s="383">
        <v>100000</v>
      </c>
      <c r="G100" s="383">
        <v>100000</v>
      </c>
      <c r="H100" s="383"/>
      <c r="I100" s="428">
        <v>872080</v>
      </c>
      <c r="J100" s="428">
        <f t="shared" si="9"/>
        <v>920044.39999999991</v>
      </c>
      <c r="K100" s="428">
        <f t="shared" si="10"/>
        <v>968806.7531999998</v>
      </c>
    </row>
    <row r="101" spans="1:11" s="285" customFormat="1" x14ac:dyDescent="0.25">
      <c r="A101" s="374">
        <v>18</v>
      </c>
      <c r="B101" s="153">
        <v>5655</v>
      </c>
      <c r="C101" s="384" t="s">
        <v>515</v>
      </c>
      <c r="D101" s="88">
        <v>1250000</v>
      </c>
      <c r="E101" s="88">
        <v>480000</v>
      </c>
      <c r="F101" s="88">
        <v>510000</v>
      </c>
      <c r="G101" s="88">
        <v>510000</v>
      </c>
      <c r="H101" s="88">
        <v>250000</v>
      </c>
      <c r="I101" s="428"/>
      <c r="J101" s="428">
        <f t="shared" si="9"/>
        <v>0</v>
      </c>
      <c r="K101" s="428">
        <f t="shared" si="10"/>
        <v>0</v>
      </c>
    </row>
    <row r="102" spans="1:11" s="285" customFormat="1" x14ac:dyDescent="0.25">
      <c r="A102" s="118">
        <v>18</v>
      </c>
      <c r="B102" s="151">
        <v>5660</v>
      </c>
      <c r="C102" s="159" t="s">
        <v>288</v>
      </c>
      <c r="D102" s="85"/>
      <c r="E102" s="85"/>
      <c r="F102" s="85">
        <v>0</v>
      </c>
      <c r="G102" s="428">
        <v>0</v>
      </c>
      <c r="H102" s="85"/>
      <c r="I102" s="428"/>
      <c r="J102" s="428">
        <f t="shared" si="9"/>
        <v>0</v>
      </c>
      <c r="K102" s="428">
        <f t="shared" si="10"/>
        <v>0</v>
      </c>
    </row>
    <row r="103" spans="1:11" s="285" customFormat="1" x14ac:dyDescent="0.25">
      <c r="A103" s="118">
        <v>18</v>
      </c>
      <c r="B103" s="151">
        <v>5665</v>
      </c>
      <c r="C103" s="94" t="s">
        <v>289</v>
      </c>
      <c r="D103" s="85"/>
      <c r="E103" s="85"/>
      <c r="F103" s="85">
        <v>0</v>
      </c>
      <c r="G103" s="428">
        <v>0</v>
      </c>
      <c r="H103" s="85"/>
      <c r="I103" s="428"/>
      <c r="J103" s="428">
        <f t="shared" si="9"/>
        <v>0</v>
      </c>
      <c r="K103" s="428">
        <f t="shared" si="10"/>
        <v>0</v>
      </c>
    </row>
    <row r="104" spans="1:11" s="285" customFormat="1" x14ac:dyDescent="0.25">
      <c r="A104" s="118">
        <v>18</v>
      </c>
      <c r="B104" s="151">
        <v>5670</v>
      </c>
      <c r="C104" s="94" t="s">
        <v>290</v>
      </c>
      <c r="D104" s="85"/>
      <c r="E104" s="85"/>
      <c r="F104" s="85">
        <v>0</v>
      </c>
      <c r="G104" s="428">
        <v>0</v>
      </c>
      <c r="H104" s="85"/>
      <c r="I104" s="428"/>
      <c r="J104" s="428">
        <f t="shared" si="9"/>
        <v>0</v>
      </c>
      <c r="K104" s="428">
        <f t="shared" si="10"/>
        <v>0</v>
      </c>
    </row>
    <row r="105" spans="1:11" s="285" customFormat="1" x14ac:dyDescent="0.25">
      <c r="A105" s="118">
        <v>18</v>
      </c>
      <c r="B105" s="151">
        <v>5675</v>
      </c>
      <c r="C105" s="94" t="s">
        <v>291</v>
      </c>
      <c r="D105" s="85"/>
      <c r="E105" s="85"/>
      <c r="F105" s="85">
        <v>0</v>
      </c>
      <c r="G105" s="428">
        <v>0</v>
      </c>
      <c r="H105" s="85"/>
      <c r="I105" s="428"/>
      <c r="J105" s="428">
        <f t="shared" si="9"/>
        <v>0</v>
      </c>
      <c r="K105" s="428">
        <f t="shared" si="10"/>
        <v>0</v>
      </c>
    </row>
    <row r="106" spans="1:11" s="285" customFormat="1" x14ac:dyDescent="0.25">
      <c r="A106" s="118">
        <v>18</v>
      </c>
      <c r="B106" s="151">
        <v>5680</v>
      </c>
      <c r="C106" s="94" t="s">
        <v>292</v>
      </c>
      <c r="D106" s="85"/>
      <c r="E106" s="85"/>
      <c r="F106" s="85">
        <v>0</v>
      </c>
      <c r="G106" s="428">
        <v>0</v>
      </c>
      <c r="H106" s="85"/>
      <c r="I106" s="428">
        <v>5000</v>
      </c>
      <c r="J106" s="428">
        <f t="shared" si="9"/>
        <v>5275</v>
      </c>
      <c r="K106" s="428">
        <f t="shared" si="10"/>
        <v>5554.5749999999998</v>
      </c>
    </row>
    <row r="107" spans="1:11" s="285" customFormat="1" x14ac:dyDescent="0.25">
      <c r="A107" s="118">
        <v>18</v>
      </c>
      <c r="B107" s="151">
        <v>5685</v>
      </c>
      <c r="C107" s="94" t="s">
        <v>293</v>
      </c>
      <c r="D107" s="85"/>
      <c r="E107" s="85"/>
      <c r="F107" s="85">
        <v>0</v>
      </c>
      <c r="G107" s="428">
        <v>0</v>
      </c>
      <c r="H107" s="85"/>
      <c r="I107" s="428"/>
      <c r="J107" s="428">
        <f t="shared" si="9"/>
        <v>0</v>
      </c>
      <c r="K107" s="428">
        <f t="shared" si="10"/>
        <v>0</v>
      </c>
    </row>
    <row r="108" spans="1:11" s="285" customFormat="1" x14ac:dyDescent="0.25">
      <c r="A108" s="118">
        <v>18</v>
      </c>
      <c r="B108" s="151">
        <v>5690</v>
      </c>
      <c r="C108" s="94" t="s">
        <v>247</v>
      </c>
      <c r="D108" s="85"/>
      <c r="E108" s="85"/>
      <c r="F108" s="85">
        <v>0</v>
      </c>
      <c r="G108" s="428">
        <v>0</v>
      </c>
      <c r="H108" s="85"/>
      <c r="I108" s="428"/>
      <c r="J108" s="428">
        <f t="shared" si="9"/>
        <v>0</v>
      </c>
      <c r="K108" s="428">
        <f t="shared" si="10"/>
        <v>0</v>
      </c>
    </row>
    <row r="109" spans="1:11" s="285" customFormat="1" x14ac:dyDescent="0.25">
      <c r="A109" s="118">
        <v>18</v>
      </c>
      <c r="B109" s="151">
        <v>5695</v>
      </c>
      <c r="C109" s="94" t="s">
        <v>294</v>
      </c>
      <c r="D109" s="85"/>
      <c r="E109" s="85"/>
      <c r="F109" s="85">
        <v>0</v>
      </c>
      <c r="G109" s="428">
        <v>0</v>
      </c>
      <c r="H109" s="85"/>
      <c r="I109" s="428"/>
      <c r="J109" s="428">
        <f t="shared" si="9"/>
        <v>0</v>
      </c>
      <c r="K109" s="428">
        <f t="shared" si="10"/>
        <v>0</v>
      </c>
    </row>
    <row r="110" spans="1:11" s="285" customFormat="1" x14ac:dyDescent="0.25">
      <c r="A110" s="118">
        <v>18</v>
      </c>
      <c r="B110" s="151">
        <v>5700</v>
      </c>
      <c r="C110" s="94" t="s">
        <v>516</v>
      </c>
      <c r="D110" s="85"/>
      <c r="E110" s="85">
        <v>150000</v>
      </c>
      <c r="F110" s="85">
        <v>20000</v>
      </c>
      <c r="G110" s="428">
        <v>20000</v>
      </c>
      <c r="H110" s="85"/>
      <c r="I110" s="428"/>
      <c r="J110" s="428">
        <f t="shared" si="9"/>
        <v>0</v>
      </c>
      <c r="K110" s="428">
        <f t="shared" si="10"/>
        <v>0</v>
      </c>
    </row>
    <row r="111" spans="1:11" s="285" customFormat="1" x14ac:dyDescent="0.25">
      <c r="A111" s="118">
        <v>18</v>
      </c>
      <c r="B111" s="151">
        <v>5710</v>
      </c>
      <c r="C111" s="94" t="s">
        <v>297</v>
      </c>
      <c r="D111" s="85"/>
      <c r="E111" s="85"/>
      <c r="F111" s="85">
        <v>0</v>
      </c>
      <c r="G111" s="428">
        <v>0</v>
      </c>
      <c r="H111" s="85"/>
      <c r="I111" s="428"/>
      <c r="J111" s="428">
        <f t="shared" si="9"/>
        <v>0</v>
      </c>
      <c r="K111" s="428">
        <f t="shared" si="10"/>
        <v>0</v>
      </c>
    </row>
    <row r="112" spans="1:11" s="285" customFormat="1" x14ac:dyDescent="0.25">
      <c r="A112" s="118">
        <v>18</v>
      </c>
      <c r="B112" s="151">
        <v>5715</v>
      </c>
      <c r="C112" s="94" t="s">
        <v>298</v>
      </c>
      <c r="D112" s="85"/>
      <c r="E112" s="85"/>
      <c r="F112" s="85">
        <v>0</v>
      </c>
      <c r="G112" s="428">
        <v>0</v>
      </c>
      <c r="H112" s="85"/>
      <c r="I112" s="428"/>
      <c r="J112" s="428">
        <f t="shared" si="9"/>
        <v>0</v>
      </c>
      <c r="K112" s="428">
        <f t="shared" si="10"/>
        <v>0</v>
      </c>
    </row>
    <row r="113" spans="1:11" s="285" customFormat="1" x14ac:dyDescent="0.25">
      <c r="A113" s="118">
        <v>18</v>
      </c>
      <c r="B113" s="151">
        <v>5720</v>
      </c>
      <c r="C113" s="94" t="s">
        <v>299</v>
      </c>
      <c r="D113" s="85"/>
      <c r="E113" s="85"/>
      <c r="F113" s="85">
        <v>0</v>
      </c>
      <c r="G113" s="428">
        <v>0</v>
      </c>
      <c r="H113" s="85"/>
      <c r="I113" s="428"/>
      <c r="J113" s="428">
        <f t="shared" si="9"/>
        <v>0</v>
      </c>
      <c r="K113" s="428">
        <f t="shared" si="10"/>
        <v>0</v>
      </c>
    </row>
    <row r="114" spans="1:11" s="285" customFormat="1" x14ac:dyDescent="0.25">
      <c r="A114" s="118">
        <v>18</v>
      </c>
      <c r="B114" s="151">
        <v>5730</v>
      </c>
      <c r="C114" s="94" t="s">
        <v>300</v>
      </c>
      <c r="D114" s="85"/>
      <c r="E114" s="85"/>
      <c r="F114" s="85">
        <v>0</v>
      </c>
      <c r="G114" s="428">
        <v>0</v>
      </c>
      <c r="H114" s="85"/>
      <c r="I114" s="428"/>
      <c r="J114" s="428">
        <f t="shared" si="9"/>
        <v>0</v>
      </c>
      <c r="K114" s="428">
        <f t="shared" si="10"/>
        <v>0</v>
      </c>
    </row>
    <row r="115" spans="1:11" s="285" customFormat="1" x14ac:dyDescent="0.25">
      <c r="A115" s="118">
        <v>18</v>
      </c>
      <c r="B115" s="151">
        <v>5735</v>
      </c>
      <c r="C115" s="94" t="s">
        <v>301</v>
      </c>
      <c r="D115" s="85"/>
      <c r="E115" s="85"/>
      <c r="F115" s="85">
        <v>0</v>
      </c>
      <c r="G115" s="428">
        <v>0</v>
      </c>
      <c r="H115" s="85"/>
      <c r="I115" s="428">
        <v>2400000</v>
      </c>
      <c r="J115" s="428">
        <f t="shared" si="9"/>
        <v>2532000</v>
      </c>
      <c r="K115" s="428">
        <f t="shared" si="10"/>
        <v>2666196</v>
      </c>
    </row>
    <row r="116" spans="1:11" s="285" customFormat="1" x14ac:dyDescent="0.25">
      <c r="A116" s="118">
        <v>18</v>
      </c>
      <c r="B116" s="151">
        <v>5740</v>
      </c>
      <c r="C116" s="94" t="s">
        <v>500</v>
      </c>
      <c r="D116" s="85">
        <v>3008950</v>
      </c>
      <c r="E116" s="85">
        <v>350000</v>
      </c>
      <c r="F116" s="85">
        <v>1550000</v>
      </c>
      <c r="G116" s="428">
        <v>1550000</v>
      </c>
      <c r="H116" s="85">
        <v>500000</v>
      </c>
      <c r="I116" s="428">
        <v>7607250</v>
      </c>
      <c r="J116" s="428">
        <f t="shared" si="9"/>
        <v>8025648.7499999991</v>
      </c>
      <c r="K116" s="428">
        <f t="shared" si="10"/>
        <v>8451008.1337499991</v>
      </c>
    </row>
    <row r="117" spans="1:11" s="285" customFormat="1" x14ac:dyDescent="0.25">
      <c r="A117" s="118">
        <v>18</v>
      </c>
      <c r="B117" s="151">
        <v>5745</v>
      </c>
      <c r="C117" s="94" t="s">
        <v>303</v>
      </c>
      <c r="D117" s="85"/>
      <c r="E117" s="85"/>
      <c r="F117" s="85">
        <v>0</v>
      </c>
      <c r="G117" s="428">
        <v>0</v>
      </c>
      <c r="H117" s="85"/>
      <c r="I117" s="428"/>
      <c r="J117" s="428">
        <f t="shared" si="9"/>
        <v>0</v>
      </c>
      <c r="K117" s="428">
        <f t="shared" si="10"/>
        <v>0</v>
      </c>
    </row>
    <row r="118" spans="1:11" s="285" customFormat="1" x14ac:dyDescent="0.25">
      <c r="A118" s="118">
        <v>18</v>
      </c>
      <c r="B118" s="151">
        <v>5750</v>
      </c>
      <c r="C118" s="94" t="s">
        <v>304</v>
      </c>
      <c r="D118" s="85">
        <v>626</v>
      </c>
      <c r="E118" s="85">
        <v>1500</v>
      </c>
      <c r="F118" s="85">
        <v>1500</v>
      </c>
      <c r="G118" s="428">
        <v>1500</v>
      </c>
      <c r="H118" s="85">
        <v>1500</v>
      </c>
      <c r="I118" s="428"/>
      <c r="J118" s="428">
        <f t="shared" si="9"/>
        <v>0</v>
      </c>
      <c r="K118" s="428">
        <f t="shared" si="10"/>
        <v>0</v>
      </c>
    </row>
    <row r="119" spans="1:11" s="285" customFormat="1" x14ac:dyDescent="0.25">
      <c r="A119" s="118">
        <v>18</v>
      </c>
      <c r="B119" s="151">
        <v>5755</v>
      </c>
      <c r="C119" s="94" t="s">
        <v>305</v>
      </c>
      <c r="D119" s="85">
        <v>21801</v>
      </c>
      <c r="E119" s="85">
        <v>53500</v>
      </c>
      <c r="F119" s="85">
        <v>53500</v>
      </c>
      <c r="G119" s="428">
        <v>53500</v>
      </c>
      <c r="H119" s="85"/>
      <c r="I119" s="428"/>
      <c r="J119" s="428">
        <f t="shared" si="9"/>
        <v>0</v>
      </c>
      <c r="K119" s="428">
        <f t="shared" si="10"/>
        <v>0</v>
      </c>
    </row>
    <row r="120" spans="1:11" s="285" customFormat="1" ht="12" customHeight="1" x14ac:dyDescent="0.25">
      <c r="A120" s="118">
        <v>18</v>
      </c>
      <c r="B120" s="151">
        <v>5760</v>
      </c>
      <c r="C120" s="94" t="s">
        <v>525</v>
      </c>
      <c r="D120" s="85"/>
      <c r="E120" s="85">
        <v>80000</v>
      </c>
      <c r="F120" s="85">
        <v>80000</v>
      </c>
      <c r="G120" s="428">
        <v>80000</v>
      </c>
      <c r="H120" s="85"/>
      <c r="I120" s="428"/>
      <c r="J120" s="428">
        <f t="shared" si="9"/>
        <v>0</v>
      </c>
      <c r="K120" s="428">
        <f t="shared" si="10"/>
        <v>0</v>
      </c>
    </row>
    <row r="121" spans="1:11" s="285" customFormat="1" x14ac:dyDescent="0.25">
      <c r="A121" s="118">
        <v>18</v>
      </c>
      <c r="B121" s="151">
        <v>5765</v>
      </c>
      <c r="C121" s="94" t="s">
        <v>369</v>
      </c>
      <c r="D121" s="85">
        <v>31200</v>
      </c>
      <c r="E121" s="85">
        <v>34000</v>
      </c>
      <c r="F121" s="85">
        <v>34000</v>
      </c>
      <c r="G121" s="428">
        <v>34000</v>
      </c>
      <c r="H121" s="85">
        <v>50000</v>
      </c>
      <c r="I121" s="428">
        <v>293828</v>
      </c>
      <c r="J121" s="428">
        <f t="shared" si="9"/>
        <v>309988.53999999998</v>
      </c>
      <c r="K121" s="428">
        <f t="shared" si="10"/>
        <v>326417.93261999998</v>
      </c>
    </row>
    <row r="122" spans="1:11" s="285" customFormat="1" x14ac:dyDescent="0.25">
      <c r="A122" s="118">
        <v>18</v>
      </c>
      <c r="B122" s="151">
        <v>5770</v>
      </c>
      <c r="C122" s="94" t="s">
        <v>308</v>
      </c>
      <c r="D122" s="85"/>
      <c r="E122" s="85"/>
      <c r="F122" s="85">
        <v>0</v>
      </c>
      <c r="G122" s="428"/>
      <c r="H122" s="85"/>
      <c r="I122" s="428">
        <f>9000+1840</f>
        <v>10840</v>
      </c>
      <c r="J122" s="428">
        <f t="shared" si="9"/>
        <v>11436.199999999999</v>
      </c>
      <c r="K122" s="428">
        <f t="shared" si="10"/>
        <v>12042.318599999999</v>
      </c>
    </row>
    <row r="123" spans="1:11" s="285" customFormat="1" x14ac:dyDescent="0.25">
      <c r="A123" s="118">
        <v>18</v>
      </c>
      <c r="B123" s="151">
        <v>5775</v>
      </c>
      <c r="C123" s="94" t="s">
        <v>309</v>
      </c>
      <c r="D123" s="85"/>
      <c r="E123" s="85"/>
      <c r="F123" s="85">
        <v>0</v>
      </c>
      <c r="G123" s="428"/>
      <c r="H123" s="85"/>
      <c r="I123" s="428">
        <v>120000</v>
      </c>
      <c r="J123" s="428">
        <f t="shared" si="9"/>
        <v>126599.99999999999</v>
      </c>
      <c r="K123" s="428">
        <f t="shared" si="10"/>
        <v>133309.79999999999</v>
      </c>
    </row>
    <row r="124" spans="1:11" s="285" customFormat="1" x14ac:dyDescent="0.25">
      <c r="A124" s="118">
        <v>18</v>
      </c>
      <c r="B124" s="151">
        <v>5780</v>
      </c>
      <c r="C124" s="94" t="s">
        <v>310</v>
      </c>
      <c r="D124" s="85"/>
      <c r="E124" s="85"/>
      <c r="F124" s="85">
        <v>0</v>
      </c>
      <c r="G124" s="428"/>
      <c r="H124" s="85"/>
      <c r="I124" s="428"/>
      <c r="J124" s="428">
        <f t="shared" si="9"/>
        <v>0</v>
      </c>
      <c r="K124" s="428">
        <f t="shared" si="10"/>
        <v>0</v>
      </c>
    </row>
    <row r="125" spans="1:11" s="285" customFormat="1" x14ac:dyDescent="0.25">
      <c r="A125" s="118">
        <v>18</v>
      </c>
      <c r="B125" s="151">
        <v>5785</v>
      </c>
      <c r="C125" s="94" t="s">
        <v>311</v>
      </c>
      <c r="D125" s="85"/>
      <c r="E125" s="85"/>
      <c r="F125" s="85">
        <v>0</v>
      </c>
      <c r="G125" s="428"/>
      <c r="H125" s="85"/>
      <c r="I125" s="428"/>
      <c r="J125" s="428">
        <f t="shared" si="9"/>
        <v>0</v>
      </c>
      <c r="K125" s="428">
        <f t="shared" si="10"/>
        <v>0</v>
      </c>
    </row>
    <row r="126" spans="1:11" s="285" customFormat="1" x14ac:dyDescent="0.25">
      <c r="A126" s="118">
        <v>18</v>
      </c>
      <c r="B126" s="151">
        <v>5790</v>
      </c>
      <c r="C126" s="94" t="s">
        <v>312</v>
      </c>
      <c r="D126" s="85"/>
      <c r="E126" s="85">
        <v>338307</v>
      </c>
      <c r="F126" s="85">
        <v>338307</v>
      </c>
      <c r="G126" s="428">
        <v>338307</v>
      </c>
      <c r="H126" s="85"/>
      <c r="I126" s="428"/>
      <c r="J126" s="428">
        <f t="shared" si="9"/>
        <v>0</v>
      </c>
      <c r="K126" s="428">
        <f t="shared" si="10"/>
        <v>0</v>
      </c>
    </row>
    <row r="127" spans="1:11" s="285" customFormat="1" hidden="1" x14ac:dyDescent="0.25">
      <c r="A127" s="118">
        <v>18</v>
      </c>
      <c r="B127" s="151">
        <v>5795</v>
      </c>
      <c r="C127" s="94" t="s">
        <v>313</v>
      </c>
      <c r="D127" s="85"/>
      <c r="E127" s="85"/>
      <c r="F127" s="85">
        <v>0</v>
      </c>
      <c r="G127" s="428"/>
      <c r="H127" s="85"/>
      <c r="I127" s="428"/>
      <c r="J127" s="428">
        <f t="shared" si="9"/>
        <v>0</v>
      </c>
      <c r="K127" s="428">
        <f t="shared" si="10"/>
        <v>0</v>
      </c>
    </row>
    <row r="128" spans="1:11" s="285" customFormat="1" hidden="1" x14ac:dyDescent="0.25">
      <c r="A128" s="118">
        <v>18</v>
      </c>
      <c r="B128" s="151">
        <v>5800</v>
      </c>
      <c r="C128" s="94" t="s">
        <v>314</v>
      </c>
      <c r="D128" s="85"/>
      <c r="E128" s="85"/>
      <c r="F128" s="85">
        <v>0</v>
      </c>
      <c r="G128" s="428"/>
      <c r="H128" s="85"/>
      <c r="I128" s="428"/>
      <c r="J128" s="428">
        <f t="shared" si="9"/>
        <v>0</v>
      </c>
      <c r="K128" s="428">
        <f t="shared" si="10"/>
        <v>0</v>
      </c>
    </row>
    <row r="129" spans="1:11" s="285" customFormat="1" hidden="1" x14ac:dyDescent="0.25">
      <c r="A129" s="118">
        <v>18</v>
      </c>
      <c r="B129" s="151">
        <v>5805</v>
      </c>
      <c r="C129" s="94" t="s">
        <v>315</v>
      </c>
      <c r="D129" s="85"/>
      <c r="E129" s="85"/>
      <c r="F129" s="85">
        <f>E129-D129</f>
        <v>0</v>
      </c>
      <c r="G129" s="428"/>
      <c r="H129" s="85"/>
      <c r="I129" s="428"/>
      <c r="J129" s="428">
        <f t="shared" si="9"/>
        <v>0</v>
      </c>
      <c r="K129" s="428">
        <f t="shared" si="10"/>
        <v>0</v>
      </c>
    </row>
    <row r="130" spans="1:11" s="285" customFormat="1" hidden="1" x14ac:dyDescent="0.25">
      <c r="A130" s="118">
        <v>18</v>
      </c>
      <c r="B130" s="151">
        <v>5810</v>
      </c>
      <c r="C130" s="94" t="s">
        <v>316</v>
      </c>
      <c r="D130" s="85"/>
      <c r="E130" s="85"/>
      <c r="F130" s="85">
        <f>E130-D130</f>
        <v>0</v>
      </c>
      <c r="G130" s="428"/>
      <c r="H130" s="85"/>
      <c r="I130" s="428"/>
      <c r="J130" s="428">
        <f t="shared" si="9"/>
        <v>0</v>
      </c>
      <c r="K130" s="428">
        <f t="shared" si="10"/>
        <v>0</v>
      </c>
    </row>
    <row r="131" spans="1:11" s="285" customFormat="1" hidden="1" x14ac:dyDescent="0.25">
      <c r="A131" s="118">
        <v>18</v>
      </c>
      <c r="B131" s="151">
        <v>5815</v>
      </c>
      <c r="C131" s="94" t="s">
        <v>99</v>
      </c>
      <c r="D131" s="85"/>
      <c r="E131" s="85"/>
      <c r="F131" s="85">
        <f>E131-D131</f>
        <v>0</v>
      </c>
      <c r="G131" s="428"/>
      <c r="H131" s="85"/>
      <c r="I131" s="428"/>
      <c r="J131" s="428">
        <f t="shared" si="9"/>
        <v>0</v>
      </c>
      <c r="K131" s="428">
        <f t="shared" si="10"/>
        <v>0</v>
      </c>
    </row>
    <row r="132" spans="1:11" s="285" customFormat="1" hidden="1" x14ac:dyDescent="0.25">
      <c r="A132" s="118">
        <v>18</v>
      </c>
      <c r="B132" s="151">
        <v>5820</v>
      </c>
      <c r="C132" s="94" t="s">
        <v>114</v>
      </c>
      <c r="D132" s="86"/>
      <c r="E132" s="85"/>
      <c r="F132" s="85">
        <f>E132-D132</f>
        <v>0</v>
      </c>
      <c r="G132" s="428"/>
      <c r="H132" s="85"/>
      <c r="I132" s="428"/>
      <c r="J132" s="428">
        <f t="shared" si="9"/>
        <v>0</v>
      </c>
      <c r="K132" s="428">
        <f t="shared" si="10"/>
        <v>0</v>
      </c>
    </row>
    <row r="133" spans="1:11" s="285" customFormat="1" hidden="1" x14ac:dyDescent="0.25">
      <c r="A133" s="118">
        <v>18</v>
      </c>
      <c r="B133" s="151">
        <v>5825</v>
      </c>
      <c r="C133" s="94" t="s">
        <v>317</v>
      </c>
      <c r="D133" s="86"/>
      <c r="E133" s="85"/>
      <c r="F133" s="85">
        <f>E133-D133</f>
        <v>0</v>
      </c>
      <c r="G133" s="428"/>
      <c r="H133" s="85"/>
      <c r="I133" s="428"/>
      <c r="J133" s="428">
        <f t="shared" si="9"/>
        <v>0</v>
      </c>
      <c r="K133" s="428">
        <f t="shared" si="10"/>
        <v>0</v>
      </c>
    </row>
    <row r="134" spans="1:11" s="285" customFormat="1" x14ac:dyDescent="0.25">
      <c r="A134" s="118">
        <v>18</v>
      </c>
      <c r="B134" s="151">
        <v>5830</v>
      </c>
      <c r="C134" s="94" t="s">
        <v>318</v>
      </c>
      <c r="D134" s="86">
        <v>292131</v>
      </c>
      <c r="E134" s="85">
        <f>19166+15333+3833+10222+6389+12778+3833</f>
        <v>71554</v>
      </c>
      <c r="F134" s="85">
        <v>771554</v>
      </c>
      <c r="G134" s="428">
        <v>771554</v>
      </c>
      <c r="H134" s="85"/>
      <c r="I134" s="428">
        <v>810000</v>
      </c>
      <c r="J134" s="428">
        <f t="shared" si="9"/>
        <v>854550</v>
      </c>
      <c r="K134" s="428">
        <f t="shared" si="10"/>
        <v>899841.14999999991</v>
      </c>
    </row>
    <row r="135" spans="1:11" s="285" customFormat="1" x14ac:dyDescent="0.25">
      <c r="A135" s="118">
        <v>18</v>
      </c>
      <c r="B135" s="151">
        <v>5835</v>
      </c>
      <c r="C135" s="94" t="s">
        <v>319</v>
      </c>
      <c r="D135" s="86">
        <v>56175</v>
      </c>
      <c r="E135" s="85">
        <v>141000</v>
      </c>
      <c r="F135" s="85">
        <v>71000</v>
      </c>
      <c r="G135" s="428">
        <v>71000</v>
      </c>
      <c r="H135" s="85">
        <v>100000</v>
      </c>
      <c r="I135" s="428"/>
      <c r="J135" s="428">
        <f t="shared" si="9"/>
        <v>0</v>
      </c>
      <c r="K135" s="428">
        <f t="shared" si="10"/>
        <v>0</v>
      </c>
    </row>
    <row r="136" spans="1:11" s="285" customFormat="1" hidden="1" x14ac:dyDescent="0.25">
      <c r="A136" s="118">
        <v>18</v>
      </c>
      <c r="B136" s="151">
        <v>5840</v>
      </c>
      <c r="C136" s="94" t="s">
        <v>332</v>
      </c>
      <c r="D136" s="115"/>
      <c r="E136" s="85"/>
      <c r="F136" s="85">
        <v>0</v>
      </c>
      <c r="G136" s="428">
        <v>0</v>
      </c>
      <c r="H136" s="85"/>
      <c r="I136" s="428"/>
      <c r="J136" s="428">
        <f t="shared" si="9"/>
        <v>0</v>
      </c>
      <c r="K136" s="428">
        <f t="shared" si="10"/>
        <v>0</v>
      </c>
    </row>
    <row r="137" spans="1:11" s="285" customFormat="1" hidden="1" x14ac:dyDescent="0.25">
      <c r="A137" s="118">
        <v>18</v>
      </c>
      <c r="B137" s="151">
        <v>5845</v>
      </c>
      <c r="C137" s="94" t="s">
        <v>320</v>
      </c>
      <c r="D137" s="86"/>
      <c r="E137" s="85"/>
      <c r="F137" s="85">
        <v>0</v>
      </c>
      <c r="G137" s="428">
        <v>0</v>
      </c>
      <c r="H137" s="85"/>
      <c r="I137" s="428"/>
      <c r="J137" s="428">
        <f t="shared" ref="J137:J147" si="11">+I137*1.055</f>
        <v>0</v>
      </c>
      <c r="K137" s="428">
        <f t="shared" ref="K137:K147" si="12">+J137*1.053</f>
        <v>0</v>
      </c>
    </row>
    <row r="138" spans="1:11" s="285" customFormat="1" hidden="1" x14ac:dyDescent="0.25">
      <c r="A138" s="118">
        <v>18</v>
      </c>
      <c r="B138" s="151">
        <v>5855</v>
      </c>
      <c r="C138" s="94" t="s">
        <v>321</v>
      </c>
      <c r="D138" s="85"/>
      <c r="E138" s="85"/>
      <c r="F138" s="85">
        <v>0</v>
      </c>
      <c r="G138" s="428">
        <v>0</v>
      </c>
      <c r="H138" s="85"/>
      <c r="I138" s="428"/>
      <c r="J138" s="428">
        <f t="shared" si="11"/>
        <v>0</v>
      </c>
      <c r="K138" s="428">
        <f t="shared" si="12"/>
        <v>0</v>
      </c>
    </row>
    <row r="139" spans="1:11" s="285" customFormat="1" hidden="1" x14ac:dyDescent="0.25">
      <c r="A139" s="118">
        <v>18</v>
      </c>
      <c r="B139" s="151">
        <v>5860</v>
      </c>
      <c r="C139" s="94" t="s">
        <v>322</v>
      </c>
      <c r="D139" s="85"/>
      <c r="E139" s="85"/>
      <c r="F139" s="85">
        <v>0</v>
      </c>
      <c r="G139" s="428">
        <v>0</v>
      </c>
      <c r="H139" s="85"/>
      <c r="I139" s="428"/>
      <c r="J139" s="428">
        <f t="shared" si="11"/>
        <v>0</v>
      </c>
      <c r="K139" s="428">
        <f t="shared" si="12"/>
        <v>0</v>
      </c>
    </row>
    <row r="140" spans="1:11" s="285" customFormat="1" hidden="1" x14ac:dyDescent="0.25">
      <c r="A140" s="118">
        <v>18</v>
      </c>
      <c r="B140" s="151">
        <v>5865</v>
      </c>
      <c r="C140" s="94" t="s">
        <v>323</v>
      </c>
      <c r="D140" s="85"/>
      <c r="E140" s="85"/>
      <c r="F140" s="85">
        <v>0</v>
      </c>
      <c r="G140" s="428">
        <v>0</v>
      </c>
      <c r="H140" s="85"/>
      <c r="I140" s="428"/>
      <c r="J140" s="428">
        <f t="shared" si="11"/>
        <v>0</v>
      </c>
      <c r="K140" s="428">
        <f t="shared" si="12"/>
        <v>0</v>
      </c>
    </row>
    <row r="141" spans="1:11" s="285" customFormat="1" hidden="1" x14ac:dyDescent="0.25">
      <c r="A141" s="118">
        <v>18</v>
      </c>
      <c r="B141" s="151">
        <v>5870</v>
      </c>
      <c r="C141" s="94" t="s">
        <v>324</v>
      </c>
      <c r="D141" s="85"/>
      <c r="E141" s="85"/>
      <c r="F141" s="85">
        <v>0</v>
      </c>
      <c r="G141" s="428">
        <v>0</v>
      </c>
      <c r="H141" s="85"/>
      <c r="I141" s="428"/>
      <c r="J141" s="428">
        <f t="shared" si="11"/>
        <v>0</v>
      </c>
      <c r="K141" s="428">
        <f t="shared" si="12"/>
        <v>0</v>
      </c>
    </row>
    <row r="142" spans="1:11" s="285" customFormat="1" hidden="1" x14ac:dyDescent="0.25">
      <c r="A142" s="118">
        <v>18</v>
      </c>
      <c r="B142" s="151">
        <v>5875</v>
      </c>
      <c r="C142" s="94" t="s">
        <v>325</v>
      </c>
      <c r="D142" s="85"/>
      <c r="E142" s="85"/>
      <c r="F142" s="85">
        <v>0</v>
      </c>
      <c r="G142" s="428">
        <v>0</v>
      </c>
      <c r="H142" s="85"/>
      <c r="I142" s="428"/>
      <c r="J142" s="428">
        <f t="shared" si="11"/>
        <v>0</v>
      </c>
      <c r="K142" s="428">
        <f t="shared" si="12"/>
        <v>0</v>
      </c>
    </row>
    <row r="143" spans="1:11" s="285" customFormat="1" hidden="1" x14ac:dyDescent="0.25">
      <c r="A143" s="118">
        <v>18</v>
      </c>
      <c r="B143" s="151">
        <v>5880</v>
      </c>
      <c r="C143" s="94" t="s">
        <v>326</v>
      </c>
      <c r="D143" s="85"/>
      <c r="E143" s="85"/>
      <c r="F143" s="85">
        <v>0</v>
      </c>
      <c r="G143" s="428">
        <v>0</v>
      </c>
      <c r="H143" s="85"/>
      <c r="I143" s="428"/>
      <c r="J143" s="428">
        <f t="shared" si="11"/>
        <v>0</v>
      </c>
      <c r="K143" s="428">
        <f t="shared" si="12"/>
        <v>0</v>
      </c>
    </row>
    <row r="144" spans="1:11" s="285" customFormat="1" x14ac:dyDescent="0.25">
      <c r="A144" s="118">
        <v>18</v>
      </c>
      <c r="B144" s="151">
        <v>5885</v>
      </c>
      <c r="C144" s="94" t="s">
        <v>331</v>
      </c>
      <c r="D144" s="85">
        <v>9000</v>
      </c>
      <c r="E144" s="85">
        <v>400000</v>
      </c>
      <c r="F144" s="85">
        <v>400000</v>
      </c>
      <c r="G144" s="428">
        <v>400000</v>
      </c>
      <c r="H144" s="85">
        <v>500000</v>
      </c>
      <c r="I144" s="428">
        <f>35000+1348750+100000</f>
        <v>1483750</v>
      </c>
      <c r="J144" s="428">
        <f t="shared" si="11"/>
        <v>1565356.25</v>
      </c>
      <c r="K144" s="428">
        <f t="shared" si="12"/>
        <v>1648320.1312499999</v>
      </c>
    </row>
    <row r="145" spans="1:12" s="285" customFormat="1" x14ac:dyDescent="0.25">
      <c r="A145" s="118">
        <v>18</v>
      </c>
      <c r="B145" s="151">
        <v>5890</v>
      </c>
      <c r="C145" s="94" t="s">
        <v>327</v>
      </c>
      <c r="D145" s="85"/>
      <c r="E145" s="85"/>
      <c r="F145" s="85">
        <v>0</v>
      </c>
      <c r="G145" s="428"/>
      <c r="H145" s="85"/>
      <c r="I145" s="428"/>
      <c r="J145" s="428">
        <f t="shared" si="11"/>
        <v>0</v>
      </c>
      <c r="K145" s="428">
        <f t="shared" si="12"/>
        <v>0</v>
      </c>
    </row>
    <row r="146" spans="1:12" s="285" customFormat="1" x14ac:dyDescent="0.25">
      <c r="A146" s="118">
        <v>18</v>
      </c>
      <c r="B146" s="151">
        <v>5895</v>
      </c>
      <c r="C146" s="94" t="s">
        <v>328</v>
      </c>
      <c r="D146" s="85"/>
      <c r="E146" s="85"/>
      <c r="F146" s="85">
        <v>0</v>
      </c>
      <c r="G146" s="428"/>
      <c r="H146" s="85"/>
      <c r="I146" s="428"/>
      <c r="J146" s="428">
        <f t="shared" si="11"/>
        <v>0</v>
      </c>
      <c r="K146" s="428">
        <f t="shared" si="12"/>
        <v>0</v>
      </c>
    </row>
    <row r="147" spans="1:12" s="285" customFormat="1" x14ac:dyDescent="0.25">
      <c r="A147" s="118">
        <v>18</v>
      </c>
      <c r="B147" s="151">
        <v>5910</v>
      </c>
      <c r="C147" s="94" t="s">
        <v>330</v>
      </c>
      <c r="D147" s="85"/>
      <c r="E147" s="85"/>
      <c r="F147" s="85">
        <f>0/8*12</f>
        <v>0</v>
      </c>
      <c r="G147" s="428"/>
      <c r="H147" s="85"/>
      <c r="I147" s="428"/>
      <c r="J147" s="428">
        <f t="shared" si="11"/>
        <v>0</v>
      </c>
      <c r="K147" s="428">
        <f t="shared" si="12"/>
        <v>0</v>
      </c>
    </row>
    <row r="148" spans="1:12" s="285" customFormat="1" x14ac:dyDescent="0.25">
      <c r="A148" s="344"/>
      <c r="B148" s="151"/>
      <c r="C148" s="94"/>
      <c r="D148" s="429">
        <f t="shared" ref="D148:L148" si="13">SUM(D72:D147)</f>
        <v>6659663</v>
      </c>
      <c r="E148" s="89">
        <f t="shared" si="13"/>
        <v>3501121</v>
      </c>
      <c r="F148" s="89">
        <f t="shared" si="13"/>
        <v>6502121</v>
      </c>
      <c r="G148" s="429">
        <f t="shared" si="13"/>
        <v>6502121</v>
      </c>
      <c r="H148" s="429">
        <f t="shared" si="13"/>
        <v>4282300</v>
      </c>
      <c r="I148" s="429">
        <f t="shared" si="13"/>
        <v>20156108</v>
      </c>
      <c r="J148" s="429">
        <f t="shared" si="13"/>
        <v>21264693.939999998</v>
      </c>
      <c r="K148" s="429">
        <f t="shared" si="13"/>
        <v>22391722.718819998</v>
      </c>
      <c r="L148" s="429">
        <f t="shared" si="13"/>
        <v>0</v>
      </c>
    </row>
    <row r="149" spans="1:12" s="285" customFormat="1" x14ac:dyDescent="0.25">
      <c r="A149" s="344"/>
      <c r="B149" s="151"/>
      <c r="C149" s="93" t="s">
        <v>187</v>
      </c>
      <c r="D149" s="85"/>
      <c r="E149" s="108"/>
      <c r="F149" s="108"/>
      <c r="G149" s="425"/>
      <c r="H149" s="108"/>
      <c r="I149" s="425"/>
      <c r="J149" s="108"/>
      <c r="K149" s="108"/>
    </row>
    <row r="150" spans="1:12" s="285" customFormat="1" x14ac:dyDescent="0.25">
      <c r="A150" s="118">
        <v>18</v>
      </c>
      <c r="B150" s="151">
        <v>6005</v>
      </c>
      <c r="C150" s="94" t="s">
        <v>188</v>
      </c>
      <c r="D150" s="85"/>
      <c r="E150" s="108"/>
      <c r="F150" s="85">
        <f>0/8*12</f>
        <v>0</v>
      </c>
      <c r="G150" s="428">
        <v>0</v>
      </c>
      <c r="H150" s="85"/>
      <c r="I150" s="428"/>
      <c r="J150" s="85"/>
      <c r="K150" s="108"/>
    </row>
    <row r="151" spans="1:12" s="285" customFormat="1" x14ac:dyDescent="0.25">
      <c r="A151" s="344"/>
      <c r="B151" s="151"/>
      <c r="C151" s="94"/>
      <c r="D151" s="89"/>
      <c r="E151" s="89">
        <f>SUM(E150)</f>
        <v>0</v>
      </c>
      <c r="F151" s="89">
        <f>SUM(F150)</f>
        <v>0</v>
      </c>
      <c r="G151" s="429">
        <v>0</v>
      </c>
      <c r="H151" s="429">
        <f>SUM(H150)</f>
        <v>0</v>
      </c>
      <c r="I151" s="429"/>
      <c r="J151" s="429"/>
      <c r="K151" s="429"/>
    </row>
    <row r="152" spans="1:12" s="285" customFormat="1" x14ac:dyDescent="0.25">
      <c r="A152" s="344"/>
      <c r="B152" s="151"/>
      <c r="C152" s="93" t="s">
        <v>64</v>
      </c>
      <c r="D152" s="88"/>
      <c r="E152" s="113"/>
      <c r="F152" s="113"/>
      <c r="G152" s="113"/>
      <c r="H152" s="113"/>
      <c r="I152" s="113"/>
      <c r="J152" s="113"/>
      <c r="K152" s="113"/>
    </row>
    <row r="153" spans="1:12" s="285" customFormat="1" x14ac:dyDescent="0.25">
      <c r="A153" s="118">
        <v>18</v>
      </c>
      <c r="B153" s="151">
        <v>6105</v>
      </c>
      <c r="C153" s="94" t="s">
        <v>336</v>
      </c>
      <c r="D153" s="85"/>
      <c r="E153" s="108"/>
      <c r="F153" s="85">
        <f>2890000+E153</f>
        <v>2890000</v>
      </c>
      <c r="G153" s="428">
        <v>2990000</v>
      </c>
      <c r="H153" s="85"/>
      <c r="I153" s="428">
        <v>1917720</v>
      </c>
      <c r="J153" s="85"/>
      <c r="K153" s="108"/>
    </row>
    <row r="154" spans="1:12" s="285" customFormat="1" x14ac:dyDescent="0.25">
      <c r="A154" s="118">
        <v>18</v>
      </c>
      <c r="B154" s="151">
        <v>6110</v>
      </c>
      <c r="C154" s="94" t="s">
        <v>337</v>
      </c>
      <c r="D154" s="85"/>
      <c r="E154" s="108"/>
      <c r="F154" s="85">
        <f>0/8*12</f>
        <v>0</v>
      </c>
      <c r="G154" s="428">
        <v>0</v>
      </c>
      <c r="H154" s="85"/>
      <c r="I154" s="428"/>
      <c r="J154" s="85"/>
      <c r="K154" s="108"/>
    </row>
    <row r="155" spans="1:12" s="285" customFormat="1" x14ac:dyDescent="0.25">
      <c r="A155" s="118">
        <v>18</v>
      </c>
      <c r="B155" s="151">
        <v>6115</v>
      </c>
      <c r="C155" s="94" t="s">
        <v>513</v>
      </c>
      <c r="D155" s="85"/>
      <c r="E155" s="108">
        <v>145000</v>
      </c>
      <c r="F155" s="85">
        <f>E155-D155</f>
        <v>145000</v>
      </c>
      <c r="G155" s="428">
        <v>145000</v>
      </c>
      <c r="H155" s="85"/>
      <c r="I155" s="428"/>
      <c r="J155" s="85"/>
      <c r="K155" s="85"/>
    </row>
    <row r="156" spans="1:12" s="285" customFormat="1" x14ac:dyDescent="0.25">
      <c r="A156" s="344"/>
      <c r="B156" s="151"/>
      <c r="C156" s="94"/>
      <c r="D156" s="429">
        <f t="shared" ref="D156:L156" si="14">SUM(D153:D155)</f>
        <v>0</v>
      </c>
      <c r="E156" s="89">
        <f t="shared" si="14"/>
        <v>145000</v>
      </c>
      <c r="F156" s="89">
        <f t="shared" si="14"/>
        <v>3035000</v>
      </c>
      <c r="G156" s="523">
        <f t="shared" si="14"/>
        <v>3135000</v>
      </c>
      <c r="H156" s="429">
        <f t="shared" si="14"/>
        <v>0</v>
      </c>
      <c r="I156" s="429">
        <f t="shared" si="14"/>
        <v>1917720</v>
      </c>
      <c r="J156" s="429">
        <f t="shared" si="14"/>
        <v>0</v>
      </c>
      <c r="K156" s="429">
        <f t="shared" si="14"/>
        <v>0</v>
      </c>
      <c r="L156" s="429">
        <f t="shared" si="14"/>
        <v>0</v>
      </c>
    </row>
    <row r="157" spans="1:12" s="285" customFormat="1" x14ac:dyDescent="0.25">
      <c r="A157" s="344"/>
      <c r="B157" s="151"/>
      <c r="C157" s="184" t="s">
        <v>65</v>
      </c>
      <c r="D157" s="88"/>
      <c r="E157" s="113"/>
      <c r="F157" s="113"/>
      <c r="G157" s="113"/>
      <c r="H157" s="113"/>
      <c r="I157" s="113"/>
      <c r="J157" s="113"/>
      <c r="K157" s="113"/>
    </row>
    <row r="158" spans="1:12" s="285" customFormat="1" hidden="1" x14ac:dyDescent="0.25">
      <c r="A158" s="118">
        <v>18</v>
      </c>
      <c r="B158" s="151">
        <v>6205</v>
      </c>
      <c r="C158" s="94" t="s">
        <v>338</v>
      </c>
      <c r="D158" s="85">
        <v>35000</v>
      </c>
      <c r="E158" s="85">
        <v>38697</v>
      </c>
      <c r="F158" s="85">
        <f>E158-D158</f>
        <v>3697</v>
      </c>
      <c r="G158" s="428">
        <v>3697</v>
      </c>
      <c r="H158" s="85"/>
      <c r="I158" s="428"/>
      <c r="J158" s="85"/>
      <c r="K158" s="85"/>
    </row>
    <row r="159" spans="1:12" s="285" customFormat="1" hidden="1" x14ac:dyDescent="0.25">
      <c r="A159" s="118">
        <v>18</v>
      </c>
      <c r="B159" s="151">
        <v>6210</v>
      </c>
      <c r="C159" s="94" t="s">
        <v>339</v>
      </c>
      <c r="D159" s="85"/>
      <c r="E159" s="85"/>
      <c r="F159" s="85">
        <f>0/8*12</f>
        <v>0</v>
      </c>
      <c r="G159" s="428">
        <v>0</v>
      </c>
      <c r="H159" s="85"/>
      <c r="I159" s="428"/>
      <c r="J159" s="85"/>
      <c r="K159" s="85"/>
    </row>
    <row r="160" spans="1:12" s="285" customFormat="1" x14ac:dyDescent="0.25">
      <c r="A160" s="344"/>
      <c r="B160" s="346"/>
      <c r="C160" s="347"/>
      <c r="D160" s="116">
        <v>35000</v>
      </c>
      <c r="E160" s="116">
        <f>SUM(E158:E159)</f>
        <v>38697</v>
      </c>
      <c r="F160" s="116">
        <f>SUM(F158:F159)</f>
        <v>3697</v>
      </c>
      <c r="G160" s="441">
        <v>3697</v>
      </c>
      <c r="H160" s="441">
        <f>SUM(H158:H159)</f>
        <v>0</v>
      </c>
      <c r="I160" s="441">
        <f>SUM(I158:I159)</f>
        <v>0</v>
      </c>
      <c r="J160" s="441">
        <f>SUM(J158:J159)</f>
        <v>0</v>
      </c>
      <c r="K160" s="441">
        <f>SUM(K158:K159)</f>
        <v>0</v>
      </c>
    </row>
    <row r="161" spans="1:11" s="285" customFormat="1" x14ac:dyDescent="0.25">
      <c r="A161" s="344"/>
      <c r="B161" s="346"/>
      <c r="C161" s="93" t="s">
        <v>189</v>
      </c>
      <c r="D161" s="441">
        <f t="shared" ref="D161:K161" si="15">D160+D156+D151+D148+D70+D66+D63+D59+D38+D35+D32+D29+D25+D18</f>
        <v>10572575</v>
      </c>
      <c r="E161" s="116">
        <f t="shared" si="15"/>
        <v>9548628</v>
      </c>
      <c r="F161" s="116">
        <f t="shared" si="15"/>
        <v>15489628</v>
      </c>
      <c r="G161" s="441">
        <f t="shared" si="15"/>
        <v>15589628</v>
      </c>
      <c r="H161" s="441">
        <f t="shared" si="15"/>
        <v>10539653.08</v>
      </c>
      <c r="I161" s="441">
        <f t="shared" si="15"/>
        <v>28896547.558639999</v>
      </c>
      <c r="J161" s="441">
        <f t="shared" si="15"/>
        <v>28371933.074365199</v>
      </c>
      <c r="K161" s="441">
        <f t="shared" si="15"/>
        <v>29875645.527306549</v>
      </c>
    </row>
    <row r="162" spans="1:11" s="285" customFormat="1" hidden="1" x14ac:dyDescent="0.25">
      <c r="A162" s="344"/>
      <c r="B162" s="151"/>
      <c r="C162" s="93" t="s">
        <v>258</v>
      </c>
      <c r="D162" s="117"/>
      <c r="E162" s="117"/>
      <c r="F162" s="117"/>
      <c r="G162" s="442"/>
      <c r="H162" s="442"/>
      <c r="I162" s="442"/>
      <c r="J162" s="442"/>
      <c r="K162" s="442"/>
    </row>
    <row r="163" spans="1:11" s="285" customFormat="1" hidden="1" x14ac:dyDescent="0.25">
      <c r="A163" s="118">
        <v>18</v>
      </c>
      <c r="B163" s="151">
        <v>6305</v>
      </c>
      <c r="C163" s="94" t="s">
        <v>190</v>
      </c>
      <c r="D163" s="85">
        <v>0</v>
      </c>
      <c r="E163" s="85"/>
      <c r="F163" s="85"/>
      <c r="G163" s="428"/>
      <c r="H163" s="428"/>
      <c r="I163" s="428"/>
      <c r="J163" s="428"/>
      <c r="K163" s="428"/>
    </row>
    <row r="164" spans="1:11" s="285" customFormat="1" ht="14.25" hidden="1" customHeight="1" x14ac:dyDescent="0.25">
      <c r="A164" s="344"/>
      <c r="B164" s="151"/>
      <c r="C164" s="94"/>
      <c r="D164" s="116">
        <v>0</v>
      </c>
      <c r="E164" s="116">
        <f>E163</f>
        <v>0</v>
      </c>
      <c r="F164" s="116">
        <f>F163</f>
        <v>0</v>
      </c>
      <c r="G164" s="441"/>
      <c r="H164" s="441"/>
      <c r="I164" s="441"/>
      <c r="J164" s="441"/>
      <c r="K164" s="441"/>
    </row>
    <row r="165" spans="1:11" s="285" customFormat="1" x14ac:dyDescent="0.25">
      <c r="A165" s="348"/>
      <c r="B165" s="152"/>
      <c r="C165" s="119" t="s">
        <v>191</v>
      </c>
      <c r="D165" s="448">
        <f t="shared" ref="D165:K165" si="16">SUM(D161+D164)</f>
        <v>10572575</v>
      </c>
      <c r="E165" s="160">
        <f t="shared" si="16"/>
        <v>9548628</v>
      </c>
      <c r="F165" s="160">
        <f t="shared" si="16"/>
        <v>15489628</v>
      </c>
      <c r="G165" s="448">
        <f t="shared" si="16"/>
        <v>15589628</v>
      </c>
      <c r="H165" s="448">
        <f t="shared" si="16"/>
        <v>10539653.08</v>
      </c>
      <c r="I165" s="448">
        <f t="shared" si="16"/>
        <v>28896547.558639999</v>
      </c>
      <c r="J165" s="448">
        <f t="shared" si="16"/>
        <v>28371933.074365199</v>
      </c>
      <c r="K165" s="448">
        <f t="shared" si="16"/>
        <v>29875645.527306549</v>
      </c>
    </row>
    <row r="166" spans="1:11" s="285" customFormat="1" x14ac:dyDescent="0.25">
      <c r="A166" s="349"/>
      <c r="B166" s="402"/>
      <c r="C166" s="403"/>
      <c r="D166" s="401"/>
      <c r="E166" s="401"/>
      <c r="F166" s="401"/>
      <c r="G166" s="401"/>
      <c r="H166" s="401"/>
      <c r="I166" s="401"/>
      <c r="J166" s="401"/>
      <c r="K166" s="395"/>
    </row>
    <row r="167" spans="1:11" s="285" customFormat="1" x14ac:dyDescent="0.25">
      <c r="A167" s="419"/>
      <c r="B167" s="546"/>
      <c r="C167" s="546"/>
      <c r="D167" s="546"/>
      <c r="E167" s="546"/>
      <c r="F167" s="546"/>
      <c r="G167" s="546"/>
      <c r="H167" s="546"/>
      <c r="I167" s="546"/>
      <c r="J167" s="546"/>
      <c r="K167" s="547"/>
    </row>
    <row r="168" spans="1:11" s="285" customFormat="1" x14ac:dyDescent="0.25">
      <c r="A168" s="567" t="s">
        <v>416</v>
      </c>
      <c r="B168" s="568"/>
      <c r="C168" s="150"/>
      <c r="D168" s="103"/>
      <c r="E168" s="104"/>
      <c r="F168" s="103"/>
      <c r="G168" s="103"/>
      <c r="H168" s="104"/>
      <c r="I168" s="583" t="s">
        <v>24</v>
      </c>
      <c r="J168" s="583" t="s">
        <v>24</v>
      </c>
      <c r="K168" s="583" t="s">
        <v>24</v>
      </c>
    </row>
    <row r="169" spans="1:11" s="285" customFormat="1" x14ac:dyDescent="0.25">
      <c r="A169" s="569" t="s">
        <v>21</v>
      </c>
      <c r="B169" s="570"/>
      <c r="C169" s="106" t="s">
        <v>22</v>
      </c>
      <c r="D169" s="333" t="s">
        <v>23</v>
      </c>
      <c r="E169" s="107" t="s">
        <v>24</v>
      </c>
      <c r="F169" s="107" t="s">
        <v>535</v>
      </c>
      <c r="G169" s="107" t="s">
        <v>413</v>
      </c>
      <c r="H169" s="107" t="s">
        <v>24</v>
      </c>
      <c r="I169" s="586" t="s">
        <v>414</v>
      </c>
      <c r="J169" s="586" t="s">
        <v>530</v>
      </c>
      <c r="K169" s="586" t="s">
        <v>886</v>
      </c>
    </row>
    <row r="170" spans="1:11" s="285" customFormat="1" hidden="1" x14ac:dyDescent="0.25">
      <c r="A170" s="350"/>
      <c r="B170" s="153"/>
      <c r="C170" s="93"/>
      <c r="D170" s="122" t="s">
        <v>257</v>
      </c>
      <c r="E170" s="98" t="s">
        <v>382</v>
      </c>
      <c r="F170" s="98" t="s">
        <v>382</v>
      </c>
      <c r="G170" s="435" t="s">
        <v>382</v>
      </c>
      <c r="H170" s="98" t="s">
        <v>407</v>
      </c>
      <c r="I170" s="435"/>
      <c r="J170" s="98" t="s">
        <v>414</v>
      </c>
      <c r="K170" s="98" t="s">
        <v>530</v>
      </c>
    </row>
    <row r="171" spans="1:11" s="285" customFormat="1" hidden="1" x14ac:dyDescent="0.25">
      <c r="A171" s="118"/>
      <c r="B171" s="151"/>
      <c r="C171" s="94" t="s">
        <v>98</v>
      </c>
      <c r="D171" s="122"/>
      <c r="E171" s="108"/>
      <c r="F171" s="98"/>
      <c r="G171" s="435"/>
      <c r="H171" s="98"/>
      <c r="I171" s="435"/>
      <c r="J171" s="98"/>
      <c r="K171" s="108"/>
    </row>
    <row r="172" spans="1:11" s="285" customFormat="1" hidden="1" x14ac:dyDescent="0.25">
      <c r="A172" s="118">
        <v>18</v>
      </c>
      <c r="B172" s="151">
        <v>1237</v>
      </c>
      <c r="C172" s="94" t="s">
        <v>99</v>
      </c>
      <c r="D172" s="85"/>
      <c r="E172" s="85"/>
      <c r="F172" s="85">
        <f>E172/8*12</f>
        <v>0</v>
      </c>
      <c r="G172" s="428"/>
      <c r="H172" s="85"/>
      <c r="I172" s="428"/>
      <c r="J172" s="85"/>
      <c r="K172" s="85">
        <f>F172*(1+[1]INPUT!C15)</f>
        <v>0</v>
      </c>
    </row>
    <row r="173" spans="1:11" s="285" customFormat="1" hidden="1" x14ac:dyDescent="0.25">
      <c r="A173" s="344">
        <v>18</v>
      </c>
      <c r="B173" s="151">
        <v>5725</v>
      </c>
      <c r="C173" s="94" t="s">
        <v>400</v>
      </c>
      <c r="D173" s="99">
        <v>0</v>
      </c>
      <c r="E173" s="99">
        <v>0</v>
      </c>
      <c r="F173" s="99">
        <f>(0/8*12)*-1</f>
        <v>0</v>
      </c>
      <c r="G173" s="436"/>
      <c r="H173" s="99"/>
      <c r="I173" s="436"/>
      <c r="J173" s="99"/>
      <c r="K173" s="99">
        <f>F173*(1+[1]INPUT!C$10)</f>
        <v>0</v>
      </c>
    </row>
    <row r="174" spans="1:11" s="285" customFormat="1" hidden="1" x14ac:dyDescent="0.25">
      <c r="A174" s="344"/>
      <c r="B174" s="151"/>
      <c r="C174" s="93"/>
      <c r="D174" s="435">
        <f>SUM(D172)</f>
        <v>0</v>
      </c>
      <c r="E174" s="98">
        <f>SUM(E172)</f>
        <v>0</v>
      </c>
      <c r="F174" s="98">
        <f>SUM(F172)</f>
        <v>0</v>
      </c>
      <c r="G174" s="435">
        <f>SUM(G172)</f>
        <v>0</v>
      </c>
      <c r="H174" s="98"/>
      <c r="I174" s="435"/>
      <c r="J174" s="98"/>
      <c r="K174" s="334">
        <f>SUM(K172)</f>
        <v>0</v>
      </c>
    </row>
    <row r="175" spans="1:11" s="285" customFormat="1" hidden="1" x14ac:dyDescent="0.25">
      <c r="A175" s="118"/>
      <c r="B175" s="151"/>
      <c r="C175" s="94" t="s">
        <v>100</v>
      </c>
      <c r="D175" s="122"/>
      <c r="E175" s="98"/>
      <c r="F175" s="98"/>
      <c r="G175" s="435"/>
      <c r="H175" s="98"/>
      <c r="I175" s="435"/>
      <c r="J175" s="98"/>
      <c r="K175" s="98"/>
    </row>
    <row r="176" spans="1:11" s="285" customFormat="1" hidden="1" x14ac:dyDescent="0.25">
      <c r="A176" s="118">
        <v>18</v>
      </c>
      <c r="B176" s="151">
        <v>1147</v>
      </c>
      <c r="C176" s="94" t="s">
        <v>102</v>
      </c>
      <c r="D176" s="122"/>
      <c r="E176" s="98"/>
      <c r="F176" s="98">
        <f>E176/8*12</f>
        <v>0</v>
      </c>
      <c r="G176" s="435"/>
      <c r="H176" s="98"/>
      <c r="I176" s="435"/>
      <c r="J176" s="98"/>
      <c r="K176" s="98">
        <f>F176*(1+[1]INPUT!C18)</f>
        <v>0</v>
      </c>
    </row>
    <row r="177" spans="1:11" s="285" customFormat="1" hidden="1" x14ac:dyDescent="0.25">
      <c r="A177" s="118">
        <v>18</v>
      </c>
      <c r="B177" s="151">
        <v>1202</v>
      </c>
      <c r="C177" s="94" t="s">
        <v>343</v>
      </c>
      <c r="D177" s="122"/>
      <c r="E177" s="98"/>
      <c r="F177" s="98">
        <f>E177/8*12</f>
        <v>0</v>
      </c>
      <c r="G177" s="435"/>
      <c r="H177" s="98"/>
      <c r="I177" s="435"/>
      <c r="J177" s="98"/>
      <c r="K177" s="98">
        <f>F177*(1+[1]INPUT!C19)</f>
        <v>0</v>
      </c>
    </row>
    <row r="178" spans="1:11" s="285" customFormat="1" hidden="1" x14ac:dyDescent="0.25">
      <c r="A178" s="118">
        <v>18</v>
      </c>
      <c r="B178" s="151">
        <v>1207</v>
      </c>
      <c r="C178" s="94" t="s">
        <v>104</v>
      </c>
      <c r="D178" s="122"/>
      <c r="E178" s="98"/>
      <c r="F178" s="98">
        <f>E178/8*12</f>
        <v>0</v>
      </c>
      <c r="G178" s="435"/>
      <c r="H178" s="98"/>
      <c r="I178" s="435"/>
      <c r="J178" s="98"/>
      <c r="K178" s="98">
        <f>F178*(1+[1]INPUT!C20)</f>
        <v>0</v>
      </c>
    </row>
    <row r="179" spans="1:11" s="285" customFormat="1" hidden="1" x14ac:dyDescent="0.25">
      <c r="A179" s="118">
        <v>18</v>
      </c>
      <c r="B179" s="151">
        <v>1153</v>
      </c>
      <c r="C179" s="94" t="s">
        <v>115</v>
      </c>
      <c r="D179" s="122"/>
      <c r="E179" s="98"/>
      <c r="F179" s="98">
        <f>E179/8*12</f>
        <v>0</v>
      </c>
      <c r="G179" s="435"/>
      <c r="H179" s="98"/>
      <c r="I179" s="435"/>
      <c r="J179" s="98"/>
      <c r="K179" s="98">
        <f>F179*(1+[1]INPUT!C21)</f>
        <v>0</v>
      </c>
    </row>
    <row r="180" spans="1:11" s="285" customFormat="1" hidden="1" x14ac:dyDescent="0.25">
      <c r="A180" s="118">
        <v>18</v>
      </c>
      <c r="B180" s="151">
        <v>1143</v>
      </c>
      <c r="C180" s="94" t="s">
        <v>109</v>
      </c>
      <c r="D180" s="85"/>
      <c r="E180" s="85"/>
      <c r="F180" s="85">
        <f>E180/8*12</f>
        <v>0</v>
      </c>
      <c r="G180" s="428"/>
      <c r="H180" s="85"/>
      <c r="I180" s="428"/>
      <c r="J180" s="85"/>
      <c r="K180" s="85">
        <f>F180*(1+[1]INPUT!C22)</f>
        <v>0</v>
      </c>
    </row>
    <row r="181" spans="1:11" s="285" customFormat="1" x14ac:dyDescent="0.25">
      <c r="A181" s="118">
        <v>18</v>
      </c>
      <c r="B181" s="151">
        <v>5500</v>
      </c>
      <c r="C181" s="94" t="s">
        <v>266</v>
      </c>
      <c r="D181" s="85">
        <v>67938</v>
      </c>
      <c r="E181" s="85">
        <v>-67938</v>
      </c>
      <c r="F181" s="428">
        <v>-67938</v>
      </c>
      <c r="G181" s="428">
        <v>-67938</v>
      </c>
      <c r="H181" s="85">
        <f t="shared" ref="H181:H200" si="17">+F181*1.0739</f>
        <v>-72958.618200000012</v>
      </c>
      <c r="I181" s="428">
        <f>+H181*1.058</f>
        <v>-77190.218055600009</v>
      </c>
      <c r="J181" s="85">
        <f>+I181*1.055</f>
        <v>-81435.680048658003</v>
      </c>
      <c r="K181" s="85">
        <f>+J181*1.053</f>
        <v>-85751.771091236878</v>
      </c>
    </row>
    <row r="182" spans="1:11" s="285" customFormat="1" hidden="1" x14ac:dyDescent="0.25">
      <c r="A182" s="118">
        <v>18</v>
      </c>
      <c r="B182" s="151">
        <v>5705</v>
      </c>
      <c r="C182" s="94" t="s">
        <v>296</v>
      </c>
      <c r="D182" s="122"/>
      <c r="E182" s="98"/>
      <c r="F182" s="85">
        <f t="shared" ref="F182:F199" si="18">E182-D182</f>
        <v>0</v>
      </c>
      <c r="G182" s="86">
        <v>0</v>
      </c>
      <c r="H182" s="86">
        <f t="shared" si="17"/>
        <v>0</v>
      </c>
      <c r="I182" s="428">
        <f t="shared" ref="I182:I200" si="19">+H182*1.058</f>
        <v>0</v>
      </c>
      <c r="J182" s="428">
        <f t="shared" ref="J182:J200" si="20">+I182*1.055</f>
        <v>0</v>
      </c>
      <c r="K182" s="428">
        <f t="shared" ref="K182:K200" si="21">+J182*1.053</f>
        <v>0</v>
      </c>
    </row>
    <row r="183" spans="1:11" s="285" customFormat="1" hidden="1" x14ac:dyDescent="0.25">
      <c r="A183" s="118">
        <v>18</v>
      </c>
      <c r="B183" s="151">
        <v>1140</v>
      </c>
      <c r="C183" s="94" t="s">
        <v>113</v>
      </c>
      <c r="D183" s="122"/>
      <c r="E183" s="98"/>
      <c r="F183" s="85">
        <f t="shared" si="18"/>
        <v>0</v>
      </c>
      <c r="G183" s="86">
        <v>0</v>
      </c>
      <c r="H183" s="86">
        <f t="shared" si="17"/>
        <v>0</v>
      </c>
      <c r="I183" s="428">
        <f t="shared" si="19"/>
        <v>0</v>
      </c>
      <c r="J183" s="428">
        <f t="shared" si="20"/>
        <v>0</v>
      </c>
      <c r="K183" s="428">
        <f t="shared" si="21"/>
        <v>0</v>
      </c>
    </row>
    <row r="184" spans="1:11" s="285" customFormat="1" hidden="1" x14ac:dyDescent="0.25">
      <c r="A184" s="118">
        <v>18</v>
      </c>
      <c r="B184" s="151">
        <v>1145</v>
      </c>
      <c r="C184" s="94" t="s">
        <v>132</v>
      </c>
      <c r="D184" s="122"/>
      <c r="E184" s="98"/>
      <c r="F184" s="85">
        <f t="shared" si="18"/>
        <v>0</v>
      </c>
      <c r="G184" s="86">
        <v>0</v>
      </c>
      <c r="H184" s="86">
        <f t="shared" si="17"/>
        <v>0</v>
      </c>
      <c r="I184" s="428">
        <f t="shared" si="19"/>
        <v>0</v>
      </c>
      <c r="J184" s="428">
        <f t="shared" si="20"/>
        <v>0</v>
      </c>
      <c r="K184" s="428">
        <f t="shared" si="21"/>
        <v>0</v>
      </c>
    </row>
    <row r="185" spans="1:11" s="285" customFormat="1" hidden="1" x14ac:dyDescent="0.25">
      <c r="A185" s="118">
        <v>18</v>
      </c>
      <c r="B185" s="151">
        <v>1150</v>
      </c>
      <c r="C185" s="94" t="s">
        <v>120</v>
      </c>
      <c r="D185" s="122"/>
      <c r="E185" s="98"/>
      <c r="F185" s="85">
        <f t="shared" si="18"/>
        <v>0</v>
      </c>
      <c r="G185" s="86">
        <v>0</v>
      </c>
      <c r="H185" s="86">
        <f t="shared" si="17"/>
        <v>0</v>
      </c>
      <c r="I185" s="428">
        <f t="shared" si="19"/>
        <v>0</v>
      </c>
      <c r="J185" s="428">
        <f t="shared" si="20"/>
        <v>0</v>
      </c>
      <c r="K185" s="428">
        <f t="shared" si="21"/>
        <v>0</v>
      </c>
    </row>
    <row r="186" spans="1:11" s="285" customFormat="1" hidden="1" x14ac:dyDescent="0.25">
      <c r="A186" s="118">
        <v>18</v>
      </c>
      <c r="B186" s="151">
        <v>1155</v>
      </c>
      <c r="C186" s="94" t="s">
        <v>116</v>
      </c>
      <c r="D186" s="122"/>
      <c r="E186" s="98"/>
      <c r="F186" s="85">
        <f t="shared" si="18"/>
        <v>0</v>
      </c>
      <c r="G186" s="86">
        <v>0</v>
      </c>
      <c r="H186" s="86">
        <f t="shared" si="17"/>
        <v>0</v>
      </c>
      <c r="I186" s="428">
        <f t="shared" si="19"/>
        <v>0</v>
      </c>
      <c r="J186" s="428">
        <f t="shared" si="20"/>
        <v>0</v>
      </c>
      <c r="K186" s="428">
        <f t="shared" si="21"/>
        <v>0</v>
      </c>
    </row>
    <row r="187" spans="1:11" s="285" customFormat="1" hidden="1" x14ac:dyDescent="0.25">
      <c r="A187" s="118">
        <v>18</v>
      </c>
      <c r="B187" s="151">
        <v>1160</v>
      </c>
      <c r="C187" s="94" t="s">
        <v>101</v>
      </c>
      <c r="D187" s="122"/>
      <c r="E187" s="98"/>
      <c r="F187" s="85">
        <f t="shared" si="18"/>
        <v>0</v>
      </c>
      <c r="G187" s="86">
        <v>0</v>
      </c>
      <c r="H187" s="86">
        <f t="shared" si="17"/>
        <v>0</v>
      </c>
      <c r="I187" s="428">
        <f t="shared" si="19"/>
        <v>0</v>
      </c>
      <c r="J187" s="428">
        <f t="shared" si="20"/>
        <v>0</v>
      </c>
      <c r="K187" s="428">
        <f t="shared" si="21"/>
        <v>0</v>
      </c>
    </row>
    <row r="188" spans="1:11" s="285" customFormat="1" hidden="1" x14ac:dyDescent="0.25">
      <c r="A188" s="118">
        <v>18</v>
      </c>
      <c r="B188" s="151">
        <v>1165</v>
      </c>
      <c r="C188" s="94" t="s">
        <v>114</v>
      </c>
      <c r="D188" s="122"/>
      <c r="E188" s="98"/>
      <c r="F188" s="85">
        <f t="shared" si="18"/>
        <v>0</v>
      </c>
      <c r="G188" s="86">
        <v>0</v>
      </c>
      <c r="H188" s="86">
        <f t="shared" si="17"/>
        <v>0</v>
      </c>
      <c r="I188" s="428">
        <f t="shared" si="19"/>
        <v>0</v>
      </c>
      <c r="J188" s="428">
        <f t="shared" si="20"/>
        <v>0</v>
      </c>
      <c r="K188" s="428">
        <f t="shared" si="21"/>
        <v>0</v>
      </c>
    </row>
    <row r="189" spans="1:11" s="285" customFormat="1" hidden="1" x14ac:dyDescent="0.25">
      <c r="A189" s="118"/>
      <c r="B189" s="151"/>
      <c r="C189" s="94" t="s">
        <v>401</v>
      </c>
      <c r="D189" s="122"/>
      <c r="E189" s="98"/>
      <c r="F189" s="85">
        <f t="shared" si="18"/>
        <v>0</v>
      </c>
      <c r="G189" s="86">
        <v>0</v>
      </c>
      <c r="H189" s="86">
        <f t="shared" si="17"/>
        <v>0</v>
      </c>
      <c r="I189" s="428">
        <f t="shared" si="19"/>
        <v>0</v>
      </c>
      <c r="J189" s="428">
        <f t="shared" si="20"/>
        <v>0</v>
      </c>
      <c r="K189" s="428">
        <f t="shared" si="21"/>
        <v>0</v>
      </c>
    </row>
    <row r="190" spans="1:11" s="285" customFormat="1" hidden="1" x14ac:dyDescent="0.25">
      <c r="A190" s="118">
        <v>18</v>
      </c>
      <c r="B190" s="151">
        <v>1180</v>
      </c>
      <c r="C190" s="94" t="s">
        <v>402</v>
      </c>
      <c r="D190" s="122"/>
      <c r="E190" s="98"/>
      <c r="F190" s="85">
        <f t="shared" si="18"/>
        <v>0</v>
      </c>
      <c r="G190" s="86">
        <v>0</v>
      </c>
      <c r="H190" s="86">
        <f t="shared" si="17"/>
        <v>0</v>
      </c>
      <c r="I190" s="428">
        <f t="shared" si="19"/>
        <v>0</v>
      </c>
      <c r="J190" s="428">
        <f t="shared" si="20"/>
        <v>0</v>
      </c>
      <c r="K190" s="428">
        <f t="shared" si="21"/>
        <v>0</v>
      </c>
    </row>
    <row r="191" spans="1:11" s="285" customFormat="1" hidden="1" x14ac:dyDescent="0.25">
      <c r="A191" s="118">
        <v>18</v>
      </c>
      <c r="B191" s="151">
        <v>1185</v>
      </c>
      <c r="C191" s="94" t="s">
        <v>403</v>
      </c>
      <c r="D191" s="122"/>
      <c r="E191" s="98"/>
      <c r="F191" s="85">
        <f t="shared" si="18"/>
        <v>0</v>
      </c>
      <c r="G191" s="86">
        <v>0</v>
      </c>
      <c r="H191" s="86">
        <f t="shared" si="17"/>
        <v>0</v>
      </c>
      <c r="I191" s="428">
        <f t="shared" si="19"/>
        <v>0</v>
      </c>
      <c r="J191" s="428">
        <f t="shared" si="20"/>
        <v>0</v>
      </c>
      <c r="K191" s="428">
        <f t="shared" si="21"/>
        <v>0</v>
      </c>
    </row>
    <row r="192" spans="1:11" s="285" customFormat="1" hidden="1" x14ac:dyDescent="0.25">
      <c r="A192" s="118">
        <v>18</v>
      </c>
      <c r="B192" s="151">
        <v>1190</v>
      </c>
      <c r="C192" s="94" t="s">
        <v>404</v>
      </c>
      <c r="D192" s="122"/>
      <c r="E192" s="98"/>
      <c r="F192" s="85">
        <f t="shared" si="18"/>
        <v>0</v>
      </c>
      <c r="G192" s="86">
        <v>0</v>
      </c>
      <c r="H192" s="86">
        <f t="shared" si="17"/>
        <v>0</v>
      </c>
      <c r="I192" s="428">
        <f t="shared" si="19"/>
        <v>0</v>
      </c>
      <c r="J192" s="428">
        <f t="shared" si="20"/>
        <v>0</v>
      </c>
      <c r="K192" s="428">
        <f t="shared" si="21"/>
        <v>0</v>
      </c>
    </row>
    <row r="193" spans="1:13" s="285" customFormat="1" hidden="1" x14ac:dyDescent="0.25">
      <c r="A193" s="118"/>
      <c r="B193" s="151"/>
      <c r="C193" s="94" t="s">
        <v>405</v>
      </c>
      <c r="D193" s="122"/>
      <c r="E193" s="98"/>
      <c r="F193" s="85">
        <f t="shared" si="18"/>
        <v>0</v>
      </c>
      <c r="G193" s="86">
        <v>0</v>
      </c>
      <c r="H193" s="86">
        <f t="shared" si="17"/>
        <v>0</v>
      </c>
      <c r="I193" s="428">
        <f t="shared" si="19"/>
        <v>0</v>
      </c>
      <c r="J193" s="428">
        <f t="shared" si="20"/>
        <v>0</v>
      </c>
      <c r="K193" s="428">
        <f t="shared" si="21"/>
        <v>0</v>
      </c>
    </row>
    <row r="194" spans="1:13" s="285" customFormat="1" hidden="1" x14ac:dyDescent="0.25">
      <c r="A194" s="118">
        <v>18</v>
      </c>
      <c r="B194" s="151">
        <v>1195</v>
      </c>
      <c r="C194" s="94" t="s">
        <v>199</v>
      </c>
      <c r="D194" s="122"/>
      <c r="E194" s="98"/>
      <c r="F194" s="85">
        <f t="shared" si="18"/>
        <v>0</v>
      </c>
      <c r="G194" s="86">
        <v>0</v>
      </c>
      <c r="H194" s="86">
        <f t="shared" si="17"/>
        <v>0</v>
      </c>
      <c r="I194" s="428">
        <f t="shared" si="19"/>
        <v>0</v>
      </c>
      <c r="J194" s="428">
        <f t="shared" si="20"/>
        <v>0</v>
      </c>
      <c r="K194" s="428">
        <f t="shared" si="21"/>
        <v>0</v>
      </c>
    </row>
    <row r="195" spans="1:13" s="285" customFormat="1" hidden="1" x14ac:dyDescent="0.25">
      <c r="A195" s="118">
        <v>18</v>
      </c>
      <c r="B195" s="151">
        <v>1200</v>
      </c>
      <c r="C195" s="115" t="s">
        <v>117</v>
      </c>
      <c r="D195" s="122"/>
      <c r="E195" s="98"/>
      <c r="F195" s="85">
        <f t="shared" si="18"/>
        <v>0</v>
      </c>
      <c r="G195" s="86">
        <v>0</v>
      </c>
      <c r="H195" s="86">
        <f t="shared" si="17"/>
        <v>0</v>
      </c>
      <c r="I195" s="428">
        <f t="shared" si="19"/>
        <v>0</v>
      </c>
      <c r="J195" s="428">
        <f t="shared" si="20"/>
        <v>0</v>
      </c>
      <c r="K195" s="428">
        <f t="shared" si="21"/>
        <v>0</v>
      </c>
    </row>
    <row r="196" spans="1:13" s="285" customFormat="1" hidden="1" x14ac:dyDescent="0.25">
      <c r="A196" s="118">
        <v>18</v>
      </c>
      <c r="B196" s="151">
        <v>1205</v>
      </c>
      <c r="C196" s="94" t="s">
        <v>105</v>
      </c>
      <c r="D196" s="122"/>
      <c r="E196" s="98"/>
      <c r="F196" s="85">
        <f t="shared" si="18"/>
        <v>0</v>
      </c>
      <c r="G196" s="86">
        <v>0</v>
      </c>
      <c r="H196" s="86">
        <f t="shared" si="17"/>
        <v>0</v>
      </c>
      <c r="I196" s="428">
        <f t="shared" si="19"/>
        <v>0</v>
      </c>
      <c r="J196" s="428">
        <f t="shared" si="20"/>
        <v>0</v>
      </c>
      <c r="K196" s="428">
        <f t="shared" si="21"/>
        <v>0</v>
      </c>
    </row>
    <row r="197" spans="1:13" s="285" customFormat="1" hidden="1" x14ac:dyDescent="0.25">
      <c r="A197" s="118">
        <v>18</v>
      </c>
      <c r="B197" s="151">
        <v>1210</v>
      </c>
      <c r="C197" s="94" t="s">
        <v>118</v>
      </c>
      <c r="D197" s="122"/>
      <c r="E197" s="98"/>
      <c r="F197" s="85">
        <f t="shared" si="18"/>
        <v>0</v>
      </c>
      <c r="G197" s="86">
        <v>0</v>
      </c>
      <c r="H197" s="86">
        <f t="shared" si="17"/>
        <v>0</v>
      </c>
      <c r="I197" s="428">
        <f t="shared" si="19"/>
        <v>0</v>
      </c>
      <c r="J197" s="428">
        <f t="shared" si="20"/>
        <v>0</v>
      </c>
      <c r="K197" s="428">
        <f t="shared" si="21"/>
        <v>0</v>
      </c>
    </row>
    <row r="198" spans="1:13" s="285" customFormat="1" ht="4.5" hidden="1" customHeight="1" x14ac:dyDescent="0.25">
      <c r="A198" s="118">
        <v>18</v>
      </c>
      <c r="B198" s="151">
        <v>1215</v>
      </c>
      <c r="C198" s="94" t="s">
        <v>133</v>
      </c>
      <c r="D198" s="85"/>
      <c r="E198" s="85"/>
      <c r="F198" s="85">
        <f t="shared" si="18"/>
        <v>0</v>
      </c>
      <c r="G198" s="428">
        <v>0</v>
      </c>
      <c r="H198" s="85">
        <f t="shared" si="17"/>
        <v>0</v>
      </c>
      <c r="I198" s="428">
        <f t="shared" si="19"/>
        <v>0</v>
      </c>
      <c r="J198" s="428">
        <f t="shared" si="20"/>
        <v>0</v>
      </c>
      <c r="K198" s="428">
        <f t="shared" si="21"/>
        <v>0</v>
      </c>
    </row>
    <row r="199" spans="1:13" s="285" customFormat="1" hidden="1" x14ac:dyDescent="0.25">
      <c r="A199" s="118">
        <v>18</v>
      </c>
      <c r="B199" s="151">
        <v>5905</v>
      </c>
      <c r="C199" s="94" t="s">
        <v>329</v>
      </c>
      <c r="D199" s="85"/>
      <c r="E199" s="85"/>
      <c r="F199" s="85">
        <f t="shared" si="18"/>
        <v>0</v>
      </c>
      <c r="G199" s="428">
        <v>0</v>
      </c>
      <c r="H199" s="85">
        <f t="shared" si="17"/>
        <v>0</v>
      </c>
      <c r="I199" s="428">
        <f t="shared" si="19"/>
        <v>0</v>
      </c>
      <c r="J199" s="428">
        <f t="shared" si="20"/>
        <v>0</v>
      </c>
      <c r="K199" s="428">
        <f t="shared" si="21"/>
        <v>0</v>
      </c>
    </row>
    <row r="200" spans="1:13" s="285" customFormat="1" x14ac:dyDescent="0.25">
      <c r="A200" s="118">
        <v>18</v>
      </c>
      <c r="B200" s="151">
        <v>5900</v>
      </c>
      <c r="C200" s="94" t="s">
        <v>333</v>
      </c>
      <c r="D200" s="122">
        <v>-43000</v>
      </c>
      <c r="E200" s="98">
        <v>-45397</v>
      </c>
      <c r="F200" s="435">
        <v>-45397</v>
      </c>
      <c r="G200" s="435">
        <v>-45397</v>
      </c>
      <c r="H200" s="98">
        <f t="shared" si="17"/>
        <v>-48751.838300000003</v>
      </c>
      <c r="I200" s="428">
        <f t="shared" si="19"/>
        <v>-51579.444921400005</v>
      </c>
      <c r="J200" s="428">
        <f t="shared" si="20"/>
        <v>-54416.314392077002</v>
      </c>
      <c r="K200" s="428">
        <f t="shared" si="21"/>
        <v>-57300.379054857076</v>
      </c>
    </row>
    <row r="201" spans="1:13" s="285" customFormat="1" x14ac:dyDescent="0.25">
      <c r="A201" s="118">
        <v>18</v>
      </c>
      <c r="B201" s="151">
        <v>1220</v>
      </c>
      <c r="C201" s="94" t="s">
        <v>340</v>
      </c>
      <c r="D201" s="122"/>
      <c r="E201" s="98"/>
      <c r="F201" s="98">
        <f>E201/8*12</f>
        <v>0</v>
      </c>
      <c r="G201" s="435">
        <v>0</v>
      </c>
      <c r="H201" s="98"/>
      <c r="I201" s="435"/>
      <c r="J201" s="98"/>
      <c r="K201" s="98"/>
    </row>
    <row r="202" spans="1:13" s="285" customFormat="1" x14ac:dyDescent="0.25">
      <c r="A202" s="118">
        <v>18</v>
      </c>
      <c r="B202" s="151">
        <v>1225</v>
      </c>
      <c r="C202" s="94" t="s">
        <v>370</v>
      </c>
      <c r="D202" s="122"/>
      <c r="E202" s="98"/>
      <c r="F202" s="98">
        <f>E202/8*12</f>
        <v>0</v>
      </c>
      <c r="G202" s="435">
        <v>0</v>
      </c>
      <c r="H202" s="98"/>
      <c r="I202" s="435"/>
      <c r="J202" s="98"/>
      <c r="K202" s="98"/>
    </row>
    <row r="203" spans="1:13" s="285" customFormat="1" x14ac:dyDescent="0.25">
      <c r="A203" s="118">
        <v>18</v>
      </c>
      <c r="B203" s="151">
        <v>1230</v>
      </c>
      <c r="C203" s="94" t="s">
        <v>119</v>
      </c>
      <c r="D203" s="122"/>
      <c r="E203" s="98"/>
      <c r="F203" s="98">
        <f>E203/8*12</f>
        <v>0</v>
      </c>
      <c r="G203" s="435">
        <v>0</v>
      </c>
      <c r="H203" s="98"/>
      <c r="I203" s="435"/>
      <c r="J203" s="98"/>
      <c r="K203" s="98"/>
    </row>
    <row r="204" spans="1:13" s="285" customFormat="1" x14ac:dyDescent="0.25">
      <c r="A204" s="118">
        <v>18</v>
      </c>
      <c r="B204" s="151">
        <v>1235</v>
      </c>
      <c r="C204" s="94" t="s">
        <v>347</v>
      </c>
      <c r="D204" s="225"/>
      <c r="E204" s="428"/>
      <c r="F204" s="428">
        <f>E204/8*12</f>
        <v>0</v>
      </c>
      <c r="G204" s="428">
        <v>0</v>
      </c>
      <c r="H204" s="85"/>
      <c r="I204" s="428"/>
      <c r="J204" s="428"/>
      <c r="K204" s="85"/>
    </row>
    <row r="205" spans="1:13" s="285" customFormat="1" x14ac:dyDescent="0.25">
      <c r="A205" s="344"/>
      <c r="B205" s="151"/>
      <c r="C205" s="94" t="s">
        <v>510</v>
      </c>
      <c r="D205" s="375"/>
      <c r="E205" s="376"/>
      <c r="F205" s="376"/>
      <c r="G205" s="376"/>
      <c r="H205" s="375"/>
      <c r="I205" s="375"/>
      <c r="J205" s="376"/>
      <c r="K205" s="376"/>
    </row>
    <row r="206" spans="1:13" s="285" customFormat="1" x14ac:dyDescent="0.25">
      <c r="A206" s="344"/>
      <c r="B206" s="151"/>
      <c r="C206" s="93"/>
      <c r="D206" s="436">
        <f t="shared" ref="D206:K206" si="22">SUM(D176:D204)</f>
        <v>24938</v>
      </c>
      <c r="E206" s="436">
        <f t="shared" si="22"/>
        <v>-113335</v>
      </c>
      <c r="F206" s="436">
        <f t="shared" si="22"/>
        <v>-113335</v>
      </c>
      <c r="G206" s="436">
        <v>-138273</v>
      </c>
      <c r="H206" s="436">
        <f t="shared" si="22"/>
        <v>-121710.45650000001</v>
      </c>
      <c r="I206" s="436">
        <f t="shared" si="22"/>
        <v>-128769.66297700001</v>
      </c>
      <c r="J206" s="436">
        <f t="shared" si="22"/>
        <v>-135851.994440735</v>
      </c>
      <c r="K206" s="436">
        <f t="shared" si="22"/>
        <v>-143052.15014609395</v>
      </c>
      <c r="M206" s="443"/>
    </row>
    <row r="207" spans="1:13" s="285" customFormat="1" x14ac:dyDescent="0.25">
      <c r="A207" s="118"/>
      <c r="B207" s="151"/>
      <c r="C207" s="94" t="s">
        <v>66</v>
      </c>
      <c r="D207" s="122"/>
      <c r="E207" s="98"/>
      <c r="F207" s="98"/>
      <c r="G207" s="435"/>
      <c r="H207" s="98"/>
      <c r="I207" s="435"/>
      <c r="J207" s="98"/>
      <c r="K207" s="98"/>
    </row>
    <row r="208" spans="1:13" s="285" customFormat="1" x14ac:dyDescent="0.25">
      <c r="A208" s="118">
        <v>18</v>
      </c>
      <c r="B208" s="151">
        <v>1305</v>
      </c>
      <c r="C208" s="94" t="s">
        <v>342</v>
      </c>
      <c r="D208" s="122">
        <v>0</v>
      </c>
      <c r="E208" s="98"/>
      <c r="F208" s="98">
        <f>E208/8*12</f>
        <v>0</v>
      </c>
      <c r="G208" s="435">
        <v>0</v>
      </c>
      <c r="H208" s="98"/>
      <c r="I208" s="435"/>
      <c r="J208" s="98"/>
      <c r="K208" s="98"/>
    </row>
    <row r="209" spans="1:12" s="285" customFormat="1" x14ac:dyDescent="0.25">
      <c r="A209" s="118">
        <v>18</v>
      </c>
      <c r="B209" s="151">
        <v>1310</v>
      </c>
      <c r="C209" s="94" t="s">
        <v>344</v>
      </c>
      <c r="D209" s="122">
        <v>0</v>
      </c>
      <c r="E209" s="98"/>
      <c r="F209" s="98">
        <f>E209/8*12</f>
        <v>0</v>
      </c>
      <c r="G209" s="435">
        <v>0</v>
      </c>
      <c r="H209" s="98"/>
      <c r="I209" s="435"/>
      <c r="J209" s="98"/>
      <c r="K209" s="98"/>
    </row>
    <row r="210" spans="1:12" s="285" customFormat="1" x14ac:dyDescent="0.25">
      <c r="A210" s="118">
        <v>18</v>
      </c>
      <c r="B210" s="151">
        <v>1320</v>
      </c>
      <c r="C210" s="94" t="s">
        <v>345</v>
      </c>
      <c r="D210" s="122">
        <v>0</v>
      </c>
      <c r="E210" s="108"/>
      <c r="F210" s="98">
        <f>E210/8*12</f>
        <v>0</v>
      </c>
      <c r="G210" s="435">
        <v>0</v>
      </c>
      <c r="H210" s="98"/>
      <c r="I210" s="435"/>
      <c r="J210" s="98"/>
      <c r="K210" s="108"/>
    </row>
    <row r="211" spans="1:12" s="285" customFormat="1" x14ac:dyDescent="0.25">
      <c r="A211" s="344">
        <v>18</v>
      </c>
      <c r="B211" s="151">
        <v>1315</v>
      </c>
      <c r="C211" s="94" t="s">
        <v>346</v>
      </c>
      <c r="D211" s="375">
        <v>0</v>
      </c>
      <c r="E211" s="375"/>
      <c r="F211" s="375">
        <f>E211/8*12</f>
        <v>0</v>
      </c>
      <c r="G211" s="375">
        <f t="shared" ref="G211:L211" si="23">F211/8*12</f>
        <v>0</v>
      </c>
      <c r="H211" s="375">
        <f t="shared" si="23"/>
        <v>0</v>
      </c>
      <c r="I211" s="375">
        <f t="shared" si="23"/>
        <v>0</v>
      </c>
      <c r="J211" s="375">
        <f t="shared" si="23"/>
        <v>0</v>
      </c>
      <c r="K211" s="375">
        <f t="shared" si="23"/>
        <v>0</v>
      </c>
      <c r="L211" s="436">
        <f t="shared" si="23"/>
        <v>0</v>
      </c>
    </row>
    <row r="212" spans="1:12" s="285" customFormat="1" x14ac:dyDescent="0.25">
      <c r="A212" s="344"/>
      <c r="B212" s="151"/>
      <c r="C212" s="93"/>
      <c r="D212" s="436">
        <v>0</v>
      </c>
      <c r="E212" s="334">
        <f t="shared" ref="E212:K212" si="24">SUM(E208:E211)</f>
        <v>0</v>
      </c>
      <c r="F212" s="334">
        <f t="shared" si="24"/>
        <v>0</v>
      </c>
      <c r="G212" s="334">
        <f t="shared" si="24"/>
        <v>0</v>
      </c>
      <c r="H212" s="334">
        <f t="shared" si="24"/>
        <v>0</v>
      </c>
      <c r="I212" s="334">
        <f t="shared" si="24"/>
        <v>0</v>
      </c>
      <c r="J212" s="334">
        <f t="shared" si="24"/>
        <v>0</v>
      </c>
      <c r="K212" s="334">
        <f t="shared" si="24"/>
        <v>0</v>
      </c>
    </row>
    <row r="213" spans="1:12" s="285" customFormat="1" x14ac:dyDescent="0.25">
      <c r="A213" s="118"/>
      <c r="B213" s="151"/>
      <c r="C213" s="94" t="s">
        <v>67</v>
      </c>
      <c r="D213" s="122"/>
      <c r="E213" s="425"/>
      <c r="F213" s="98"/>
      <c r="G213" s="435"/>
      <c r="H213" s="98"/>
      <c r="I213" s="435"/>
      <c r="J213" s="98"/>
      <c r="K213" s="108"/>
    </row>
    <row r="214" spans="1:12" s="285" customFormat="1" x14ac:dyDescent="0.25">
      <c r="A214" s="118">
        <v>18</v>
      </c>
      <c r="B214" s="151">
        <v>1400</v>
      </c>
      <c r="C214" s="94" t="s">
        <v>68</v>
      </c>
      <c r="D214" s="122">
        <v>0</v>
      </c>
      <c r="E214" s="108"/>
      <c r="F214" s="98">
        <f>E214/8*12</f>
        <v>0</v>
      </c>
      <c r="G214" s="435">
        <v>0</v>
      </c>
      <c r="H214" s="98"/>
      <c r="I214" s="435"/>
      <c r="J214" s="98"/>
      <c r="K214" s="108"/>
    </row>
    <row r="215" spans="1:12" s="285" customFormat="1" x14ac:dyDescent="0.25">
      <c r="A215" s="344">
        <v>18</v>
      </c>
      <c r="B215" s="151">
        <v>1405</v>
      </c>
      <c r="C215" s="94" t="s">
        <v>69</v>
      </c>
      <c r="D215" s="375">
        <v>0</v>
      </c>
      <c r="E215" s="375"/>
      <c r="F215" s="375">
        <f>E215/8*12</f>
        <v>0</v>
      </c>
      <c r="G215" s="375">
        <v>0</v>
      </c>
      <c r="H215" s="375"/>
      <c r="I215" s="375"/>
      <c r="J215" s="375"/>
      <c r="K215" s="375"/>
    </row>
    <row r="216" spans="1:12" s="285" customFormat="1" x14ac:dyDescent="0.25">
      <c r="A216" s="344"/>
      <c r="B216" s="151"/>
      <c r="C216" s="93"/>
      <c r="D216" s="436">
        <f t="shared" ref="D216:K216" si="25">SUM(D214:D215)</f>
        <v>0</v>
      </c>
      <c r="E216" s="436">
        <f t="shared" si="25"/>
        <v>0</v>
      </c>
      <c r="F216" s="436">
        <f t="shared" si="25"/>
        <v>0</v>
      </c>
      <c r="G216" s="436">
        <f t="shared" si="25"/>
        <v>0</v>
      </c>
      <c r="H216" s="436">
        <f t="shared" si="25"/>
        <v>0</v>
      </c>
      <c r="I216" s="436">
        <f t="shared" si="25"/>
        <v>0</v>
      </c>
      <c r="J216" s="436">
        <f t="shared" si="25"/>
        <v>0</v>
      </c>
      <c r="K216" s="436">
        <f t="shared" si="25"/>
        <v>0</v>
      </c>
    </row>
    <row r="217" spans="1:12" s="285" customFormat="1" x14ac:dyDescent="0.25">
      <c r="A217" s="118"/>
      <c r="B217" s="151"/>
      <c r="C217" s="94" t="s">
        <v>70</v>
      </c>
      <c r="D217" s="122"/>
      <c r="E217" s="108"/>
      <c r="F217" s="98"/>
      <c r="G217" s="435"/>
      <c r="H217" s="98"/>
      <c r="I217" s="435"/>
      <c r="J217" s="98"/>
      <c r="K217" s="108"/>
    </row>
    <row r="218" spans="1:12" s="285" customFormat="1" x14ac:dyDescent="0.25">
      <c r="A218" s="118">
        <v>18</v>
      </c>
      <c r="B218" s="151">
        <v>1500</v>
      </c>
      <c r="C218" s="94" t="s">
        <v>106</v>
      </c>
      <c r="D218" s="122">
        <v>0</v>
      </c>
      <c r="E218" s="108"/>
      <c r="F218" s="98">
        <f>E218/8*12</f>
        <v>0</v>
      </c>
      <c r="G218" s="435">
        <v>0</v>
      </c>
      <c r="H218" s="98"/>
      <c r="I218" s="435"/>
      <c r="J218" s="98"/>
      <c r="K218" s="108"/>
    </row>
    <row r="219" spans="1:12" s="285" customFormat="1" x14ac:dyDescent="0.25">
      <c r="A219" s="118">
        <v>18</v>
      </c>
      <c r="B219" s="151">
        <v>1505</v>
      </c>
      <c r="C219" s="94" t="s">
        <v>71</v>
      </c>
      <c r="D219" s="122">
        <v>0</v>
      </c>
      <c r="E219" s="108"/>
      <c r="F219" s="98">
        <f>E219/8*12</f>
        <v>0</v>
      </c>
      <c r="G219" s="435">
        <v>0</v>
      </c>
      <c r="H219" s="98"/>
      <c r="I219" s="435"/>
      <c r="J219" s="98"/>
      <c r="K219" s="108"/>
    </row>
    <row r="220" spans="1:12" s="285" customFormat="1" x14ac:dyDescent="0.25">
      <c r="A220" s="344">
        <v>18</v>
      </c>
      <c r="B220" s="151">
        <v>1510</v>
      </c>
      <c r="C220" s="94" t="s">
        <v>72</v>
      </c>
      <c r="D220" s="99">
        <v>0</v>
      </c>
      <c r="E220" s="99"/>
      <c r="F220" s="99">
        <f>E220/8*12</f>
        <v>0</v>
      </c>
      <c r="G220" s="436">
        <v>0</v>
      </c>
      <c r="H220" s="99"/>
      <c r="I220" s="436"/>
      <c r="J220" s="99"/>
      <c r="K220" s="99"/>
    </row>
    <row r="221" spans="1:12" s="285" customFormat="1" x14ac:dyDescent="0.25">
      <c r="A221" s="344"/>
      <c r="B221" s="151"/>
      <c r="C221" s="93"/>
      <c r="D221" s="435">
        <f>SUM(D218:D220)</f>
        <v>0</v>
      </c>
      <c r="E221" s="98">
        <f>SUM(E218:E220)</f>
        <v>0</v>
      </c>
      <c r="F221" s="98">
        <f>SUM(F218:F220)</f>
        <v>0</v>
      </c>
      <c r="G221" s="435">
        <v>0</v>
      </c>
      <c r="H221" s="98"/>
      <c r="I221" s="435"/>
      <c r="J221" s="98"/>
      <c r="K221" s="98"/>
    </row>
    <row r="222" spans="1:12" s="285" customFormat="1" x14ac:dyDescent="0.25">
      <c r="A222" s="118"/>
      <c r="B222" s="151"/>
      <c r="C222" s="94" t="s">
        <v>73</v>
      </c>
      <c r="D222" s="122"/>
      <c r="E222" s="98"/>
      <c r="F222" s="98"/>
      <c r="G222" s="435"/>
      <c r="H222" s="98"/>
      <c r="I222" s="435"/>
      <c r="J222" s="98"/>
      <c r="K222" s="98"/>
    </row>
    <row r="223" spans="1:12" s="285" customFormat="1" x14ac:dyDescent="0.25">
      <c r="A223" s="118">
        <v>18</v>
      </c>
      <c r="B223" s="151">
        <v>1550</v>
      </c>
      <c r="C223" s="94" t="s">
        <v>349</v>
      </c>
      <c r="D223" s="122">
        <v>0</v>
      </c>
      <c r="E223" s="444"/>
      <c r="F223" s="98">
        <f>E223/8*12</f>
        <v>0</v>
      </c>
      <c r="G223" s="435">
        <v>0</v>
      </c>
      <c r="H223" s="98"/>
      <c r="I223" s="435"/>
      <c r="J223" s="98"/>
      <c r="K223" s="108"/>
    </row>
    <row r="224" spans="1:12" s="285" customFormat="1" x14ac:dyDescent="0.25">
      <c r="A224" s="344">
        <v>18</v>
      </c>
      <c r="B224" s="151">
        <v>1555</v>
      </c>
      <c r="C224" s="94" t="s">
        <v>348</v>
      </c>
      <c r="D224" s="375">
        <v>0</v>
      </c>
      <c r="E224" s="376"/>
      <c r="F224" s="375">
        <f>E224/8*12</f>
        <v>0</v>
      </c>
      <c r="G224" s="375">
        <v>0</v>
      </c>
      <c r="H224" s="375"/>
      <c r="I224" s="375"/>
      <c r="J224" s="375"/>
      <c r="K224" s="376"/>
    </row>
    <row r="225" spans="1:12" s="285" customFormat="1" ht="13.5" customHeight="1" x14ac:dyDescent="0.25">
      <c r="A225" s="344"/>
      <c r="B225" s="151"/>
      <c r="C225" s="93"/>
      <c r="D225" s="436">
        <f t="shared" ref="D225:K225" si="26">SUM(D223:D224)</f>
        <v>0</v>
      </c>
      <c r="E225" s="436">
        <f t="shared" si="26"/>
        <v>0</v>
      </c>
      <c r="F225" s="436">
        <f t="shared" si="26"/>
        <v>0</v>
      </c>
      <c r="G225" s="436">
        <f t="shared" si="26"/>
        <v>0</v>
      </c>
      <c r="H225" s="436">
        <f t="shared" si="26"/>
        <v>0</v>
      </c>
      <c r="I225" s="436">
        <f t="shared" si="26"/>
        <v>0</v>
      </c>
      <c r="J225" s="436">
        <f t="shared" si="26"/>
        <v>0</v>
      </c>
      <c r="K225" s="436">
        <f t="shared" si="26"/>
        <v>0</v>
      </c>
    </row>
    <row r="226" spans="1:12" s="285" customFormat="1" x14ac:dyDescent="0.25">
      <c r="A226" s="118"/>
      <c r="B226" s="151"/>
      <c r="C226" s="94" t="s">
        <v>74</v>
      </c>
      <c r="D226" s="122"/>
      <c r="E226" s="98"/>
      <c r="F226" s="98"/>
      <c r="G226" s="435"/>
      <c r="H226" s="98"/>
      <c r="I226" s="435"/>
      <c r="J226" s="98"/>
      <c r="K226" s="98"/>
    </row>
    <row r="227" spans="1:12" s="285" customFormat="1" x14ac:dyDescent="0.25">
      <c r="A227" s="118">
        <v>18</v>
      </c>
      <c r="B227" s="151">
        <v>1605</v>
      </c>
      <c r="C227" s="94" t="s">
        <v>75</v>
      </c>
      <c r="D227" s="122">
        <v>0</v>
      </c>
      <c r="E227" s="108"/>
      <c r="F227" s="98">
        <f t="shared" ref="F227:F239" si="27">E227/8*12</f>
        <v>0</v>
      </c>
      <c r="G227" s="435">
        <v>0</v>
      </c>
      <c r="H227" s="98"/>
      <c r="I227" s="435">
        <f>7380495+3567655</f>
        <v>10948150</v>
      </c>
      <c r="J227" s="98">
        <f>+I227*1.055+4166308-3763876</f>
        <v>11952730.25</v>
      </c>
      <c r="K227" s="98">
        <f>+J227*1.053-5000000</f>
        <v>7586224.9532499984</v>
      </c>
    </row>
    <row r="228" spans="1:12" s="285" customFormat="1" x14ac:dyDescent="0.25">
      <c r="A228" s="118">
        <v>18</v>
      </c>
      <c r="B228" s="151">
        <v>1610</v>
      </c>
      <c r="C228" s="94" t="s">
        <v>131</v>
      </c>
      <c r="D228" s="122">
        <v>0</v>
      </c>
      <c r="E228" s="108"/>
      <c r="F228" s="98">
        <f t="shared" si="27"/>
        <v>0</v>
      </c>
      <c r="G228" s="435">
        <v>0</v>
      </c>
      <c r="H228" s="98"/>
      <c r="I228" s="435"/>
      <c r="J228" s="98"/>
      <c r="K228" s="98"/>
    </row>
    <row r="229" spans="1:12" s="285" customFormat="1" x14ac:dyDescent="0.25">
      <c r="A229" s="118">
        <v>18</v>
      </c>
      <c r="B229" s="151">
        <v>1615</v>
      </c>
      <c r="C229" s="94" t="s">
        <v>182</v>
      </c>
      <c r="D229" s="122">
        <v>0</v>
      </c>
      <c r="E229" s="108"/>
      <c r="F229" s="98">
        <f t="shared" si="27"/>
        <v>0</v>
      </c>
      <c r="G229" s="435">
        <v>0</v>
      </c>
      <c r="H229" s="98"/>
      <c r="I229" s="435"/>
      <c r="J229" s="98"/>
      <c r="K229" s="98"/>
    </row>
    <row r="230" spans="1:12" s="285" customFormat="1" x14ac:dyDescent="0.25">
      <c r="A230" s="118">
        <v>18</v>
      </c>
      <c r="B230" s="151">
        <v>1620</v>
      </c>
      <c r="C230" s="94" t="s">
        <v>255</v>
      </c>
      <c r="D230" s="122">
        <v>0</v>
      </c>
      <c r="E230" s="108"/>
      <c r="F230" s="98">
        <f t="shared" si="27"/>
        <v>0</v>
      </c>
      <c r="G230" s="435">
        <v>0</v>
      </c>
      <c r="H230" s="98"/>
      <c r="I230" s="435"/>
      <c r="J230" s="98"/>
      <c r="K230" s="98"/>
    </row>
    <row r="231" spans="1:12" s="285" customFormat="1" x14ac:dyDescent="0.25">
      <c r="A231" s="118">
        <v>18</v>
      </c>
      <c r="B231" s="151">
        <v>1625</v>
      </c>
      <c r="C231" s="94" t="s">
        <v>108</v>
      </c>
      <c r="D231" s="122">
        <v>0</v>
      </c>
      <c r="E231" s="108"/>
      <c r="F231" s="98">
        <f t="shared" si="27"/>
        <v>0</v>
      </c>
      <c r="G231" s="435">
        <v>0</v>
      </c>
      <c r="H231" s="98"/>
      <c r="I231" s="435"/>
      <c r="J231" s="98"/>
      <c r="K231" s="98"/>
    </row>
    <row r="232" spans="1:12" s="285" customFormat="1" x14ac:dyDescent="0.25">
      <c r="A232" s="118">
        <v>18</v>
      </c>
      <c r="B232" s="151">
        <v>1630</v>
      </c>
      <c r="C232" s="94" t="s">
        <v>76</v>
      </c>
      <c r="D232" s="122">
        <v>0</v>
      </c>
      <c r="E232" s="108"/>
      <c r="F232" s="98">
        <f t="shared" si="27"/>
        <v>0</v>
      </c>
      <c r="G232" s="435">
        <v>0</v>
      </c>
      <c r="H232" s="98"/>
      <c r="I232" s="435"/>
      <c r="J232" s="98"/>
      <c r="K232" s="98"/>
    </row>
    <row r="233" spans="1:12" s="285" customFormat="1" x14ac:dyDescent="0.25">
      <c r="A233" s="118">
        <v>18</v>
      </c>
      <c r="B233" s="151">
        <v>1635</v>
      </c>
      <c r="C233" s="94" t="s">
        <v>180</v>
      </c>
      <c r="D233" s="122">
        <v>0</v>
      </c>
      <c r="E233" s="108"/>
      <c r="F233" s="98">
        <f t="shared" si="27"/>
        <v>0</v>
      </c>
      <c r="G233" s="435">
        <v>0</v>
      </c>
      <c r="H233" s="98"/>
      <c r="I233" s="435"/>
      <c r="J233" s="98"/>
      <c r="K233" s="98"/>
    </row>
    <row r="234" spans="1:12" s="285" customFormat="1" x14ac:dyDescent="0.25">
      <c r="A234" s="118">
        <v>18</v>
      </c>
      <c r="B234" s="151">
        <v>1640</v>
      </c>
      <c r="C234" s="94" t="s">
        <v>184</v>
      </c>
      <c r="D234" s="122">
        <v>0</v>
      </c>
      <c r="E234" s="108"/>
      <c r="F234" s="98">
        <f t="shared" si="27"/>
        <v>0</v>
      </c>
      <c r="G234" s="435">
        <v>0</v>
      </c>
      <c r="H234" s="98"/>
      <c r="I234" s="435"/>
      <c r="J234" s="98"/>
      <c r="K234" s="98"/>
    </row>
    <row r="235" spans="1:12" s="285" customFormat="1" x14ac:dyDescent="0.25">
      <c r="A235" s="118">
        <v>18</v>
      </c>
      <c r="B235" s="151">
        <v>1645</v>
      </c>
      <c r="C235" s="94" t="s">
        <v>77</v>
      </c>
      <c r="D235" s="122">
        <v>0</v>
      </c>
      <c r="E235" s="108"/>
      <c r="F235" s="98">
        <f t="shared" si="27"/>
        <v>0</v>
      </c>
      <c r="G235" s="435">
        <v>0</v>
      </c>
      <c r="H235" s="98"/>
      <c r="I235" s="435"/>
      <c r="J235" s="98"/>
      <c r="K235" s="98"/>
    </row>
    <row r="236" spans="1:12" s="285" customFormat="1" x14ac:dyDescent="0.25">
      <c r="A236" s="118">
        <v>18</v>
      </c>
      <c r="B236" s="151">
        <v>1650</v>
      </c>
      <c r="C236" s="94" t="s">
        <v>78</v>
      </c>
      <c r="D236" s="122">
        <v>0</v>
      </c>
      <c r="E236" s="108"/>
      <c r="F236" s="98">
        <f t="shared" si="27"/>
        <v>0</v>
      </c>
      <c r="G236" s="435">
        <v>0</v>
      </c>
      <c r="H236" s="98"/>
      <c r="I236" s="435"/>
      <c r="J236" s="98"/>
      <c r="K236" s="98"/>
    </row>
    <row r="237" spans="1:12" s="285" customFormat="1" x14ac:dyDescent="0.25">
      <c r="A237" s="118">
        <v>18</v>
      </c>
      <c r="B237" s="151"/>
      <c r="C237" s="94" t="s">
        <v>200</v>
      </c>
      <c r="D237" s="122">
        <v>0</v>
      </c>
      <c r="E237" s="108"/>
      <c r="F237" s="98">
        <f t="shared" si="27"/>
        <v>0</v>
      </c>
      <c r="G237" s="435">
        <v>0</v>
      </c>
      <c r="H237" s="98"/>
      <c r="I237" s="435"/>
      <c r="J237" s="98"/>
      <c r="K237" s="98"/>
    </row>
    <row r="238" spans="1:12" s="285" customFormat="1" x14ac:dyDescent="0.25">
      <c r="A238" s="118">
        <v>18</v>
      </c>
      <c r="B238" s="151">
        <v>1660</v>
      </c>
      <c r="C238" s="94" t="s">
        <v>185</v>
      </c>
      <c r="D238" s="122">
        <v>0</v>
      </c>
      <c r="E238" s="108"/>
      <c r="F238" s="98">
        <f t="shared" si="27"/>
        <v>0</v>
      </c>
      <c r="G238" s="435">
        <v>0</v>
      </c>
      <c r="H238" s="98"/>
      <c r="I238" s="444"/>
      <c r="J238" s="98"/>
      <c r="K238" s="98"/>
    </row>
    <row r="239" spans="1:12" s="285" customFormat="1" x14ac:dyDescent="0.25">
      <c r="A239" s="344">
        <v>18</v>
      </c>
      <c r="B239" s="151">
        <v>1665</v>
      </c>
      <c r="C239" s="94" t="s">
        <v>181</v>
      </c>
      <c r="D239" s="375">
        <v>0</v>
      </c>
      <c r="E239" s="375"/>
      <c r="F239" s="375">
        <f t="shared" si="27"/>
        <v>0</v>
      </c>
      <c r="G239" s="375">
        <v>0</v>
      </c>
      <c r="H239" s="375">
        <v>0</v>
      </c>
      <c r="I239" s="375">
        <v>0</v>
      </c>
      <c r="J239" s="375">
        <v>0</v>
      </c>
      <c r="K239" s="375">
        <v>0</v>
      </c>
      <c r="L239" s="436">
        <v>0</v>
      </c>
    </row>
    <row r="240" spans="1:12" s="285" customFormat="1" x14ac:dyDescent="0.25">
      <c r="A240" s="344"/>
      <c r="B240" s="151"/>
      <c r="C240" s="93"/>
      <c r="D240" s="435">
        <f t="shared" ref="D240:K240" si="28">SUM(D227:D239)</f>
        <v>0</v>
      </c>
      <c r="E240" s="435">
        <f t="shared" si="28"/>
        <v>0</v>
      </c>
      <c r="F240" s="435">
        <f t="shared" si="28"/>
        <v>0</v>
      </c>
      <c r="G240" s="435">
        <f t="shared" si="28"/>
        <v>0</v>
      </c>
      <c r="H240" s="435">
        <f t="shared" si="28"/>
        <v>0</v>
      </c>
      <c r="I240" s="435">
        <f t="shared" si="28"/>
        <v>10948150</v>
      </c>
      <c r="J240" s="435">
        <f t="shared" si="28"/>
        <v>11952730.25</v>
      </c>
      <c r="K240" s="435">
        <f t="shared" si="28"/>
        <v>7586224.9532499984</v>
      </c>
    </row>
    <row r="241" spans="1:11" s="285" customFormat="1" hidden="1" x14ac:dyDescent="0.25">
      <c r="A241" s="118"/>
      <c r="B241" s="151"/>
      <c r="C241" s="94" t="s">
        <v>79</v>
      </c>
      <c r="D241" s="122"/>
      <c r="E241" s="98"/>
      <c r="F241" s="98"/>
      <c r="G241" s="435"/>
      <c r="H241" s="98"/>
      <c r="I241" s="435"/>
      <c r="J241" s="98"/>
      <c r="K241" s="122"/>
    </row>
    <row r="242" spans="1:11" s="285" customFormat="1" hidden="1" x14ac:dyDescent="0.25">
      <c r="A242" s="118">
        <v>18</v>
      </c>
      <c r="B242" s="151">
        <v>1705</v>
      </c>
      <c r="C242" s="94" t="s">
        <v>123</v>
      </c>
      <c r="D242" s="122">
        <v>0</v>
      </c>
      <c r="E242" s="98"/>
      <c r="F242" s="98">
        <f t="shared" ref="F242:F247" si="29">E242/8*12</f>
        <v>0</v>
      </c>
      <c r="G242" s="435">
        <v>0</v>
      </c>
      <c r="H242" s="98"/>
      <c r="I242" s="435"/>
      <c r="J242" s="98"/>
      <c r="K242" s="122"/>
    </row>
    <row r="243" spans="1:11" s="285" customFormat="1" hidden="1" x14ac:dyDescent="0.25">
      <c r="A243" s="118">
        <v>18</v>
      </c>
      <c r="B243" s="151">
        <v>1710</v>
      </c>
      <c r="C243" s="94" t="s">
        <v>242</v>
      </c>
      <c r="D243" s="122">
        <v>0</v>
      </c>
      <c r="E243" s="98"/>
      <c r="F243" s="98">
        <f t="shared" si="29"/>
        <v>0</v>
      </c>
      <c r="G243" s="435">
        <v>0</v>
      </c>
      <c r="H243" s="98"/>
      <c r="I243" s="435"/>
      <c r="J243" s="98"/>
      <c r="K243" s="122"/>
    </row>
    <row r="244" spans="1:11" s="285" customFormat="1" hidden="1" x14ac:dyDescent="0.25">
      <c r="A244" s="118">
        <v>18</v>
      </c>
      <c r="B244" s="151">
        <v>1715</v>
      </c>
      <c r="C244" s="94" t="s">
        <v>183</v>
      </c>
      <c r="D244" s="122">
        <v>0</v>
      </c>
      <c r="E244" s="98">
        <v>509256</v>
      </c>
      <c r="F244" s="98">
        <v>509256</v>
      </c>
      <c r="G244" s="435">
        <v>509256</v>
      </c>
      <c r="H244" s="98">
        <v>1000</v>
      </c>
      <c r="I244" s="435"/>
      <c r="J244" s="98"/>
      <c r="K244" s="122"/>
    </row>
    <row r="245" spans="1:11" s="285" customFormat="1" hidden="1" x14ac:dyDescent="0.25">
      <c r="A245" s="118">
        <v>18</v>
      </c>
      <c r="B245" s="151">
        <v>1720</v>
      </c>
      <c r="C245" s="94" t="s">
        <v>103</v>
      </c>
      <c r="D245" s="122">
        <v>0</v>
      </c>
      <c r="E245" s="98"/>
      <c r="F245" s="98">
        <f t="shared" si="29"/>
        <v>0</v>
      </c>
      <c r="G245" s="435">
        <v>0</v>
      </c>
      <c r="H245" s="98"/>
      <c r="I245" s="435"/>
      <c r="J245" s="98"/>
      <c r="K245" s="122"/>
    </row>
    <row r="246" spans="1:11" s="285" customFormat="1" hidden="1" x14ac:dyDescent="0.25">
      <c r="A246" s="118">
        <v>18</v>
      </c>
      <c r="B246" s="151">
        <v>1725</v>
      </c>
      <c r="C246" s="94" t="s">
        <v>107</v>
      </c>
      <c r="D246" s="122">
        <v>0</v>
      </c>
      <c r="E246" s="98"/>
      <c r="F246" s="98">
        <f t="shared" si="29"/>
        <v>0</v>
      </c>
      <c r="G246" s="435">
        <v>0</v>
      </c>
      <c r="H246" s="98"/>
      <c r="I246" s="435"/>
      <c r="J246" s="98"/>
      <c r="K246" s="122"/>
    </row>
    <row r="247" spans="1:11" s="285" customFormat="1" hidden="1" x14ac:dyDescent="0.25">
      <c r="A247" s="344">
        <v>18</v>
      </c>
      <c r="B247" s="151">
        <v>1730</v>
      </c>
      <c r="C247" s="94" t="s">
        <v>256</v>
      </c>
      <c r="D247" s="99">
        <v>0</v>
      </c>
      <c r="E247" s="99"/>
      <c r="F247" s="99">
        <f t="shared" si="29"/>
        <v>0</v>
      </c>
      <c r="G247" s="436">
        <v>0</v>
      </c>
      <c r="H247" s="436"/>
      <c r="I247" s="436"/>
      <c r="J247" s="99"/>
      <c r="K247" s="99"/>
    </row>
    <row r="248" spans="1:11" s="285" customFormat="1" hidden="1" x14ac:dyDescent="0.25">
      <c r="A248" s="344"/>
      <c r="B248" s="151"/>
      <c r="C248" s="93"/>
      <c r="D248" s="435">
        <f>SUM(D242:D247)</f>
        <v>0</v>
      </c>
      <c r="E248" s="98">
        <f>SUM(E242:E247)</f>
        <v>509256</v>
      </c>
      <c r="F248" s="98">
        <f>SUM(F242:F247)</f>
        <v>509256</v>
      </c>
      <c r="G248" s="435">
        <f>SUM(G242:G247)</f>
        <v>509256</v>
      </c>
      <c r="H248" s="435">
        <f>SUM(H242:H247)</f>
        <v>1000</v>
      </c>
      <c r="I248" s="435"/>
      <c r="J248" s="98"/>
      <c r="K248" s="98"/>
    </row>
    <row r="249" spans="1:11" s="285" customFormat="1" hidden="1" x14ac:dyDescent="0.25">
      <c r="A249" s="118"/>
      <c r="B249" s="151"/>
      <c r="C249" s="94" t="s">
        <v>80</v>
      </c>
      <c r="D249" s="122"/>
      <c r="E249" s="108"/>
      <c r="F249" s="98"/>
      <c r="G249" s="435"/>
      <c r="H249" s="435"/>
      <c r="I249" s="435"/>
      <c r="J249" s="98"/>
      <c r="K249" s="108"/>
    </row>
    <row r="250" spans="1:11" s="285" customFormat="1" hidden="1" x14ac:dyDescent="0.25">
      <c r="A250" s="344">
        <v>18</v>
      </c>
      <c r="B250" s="151">
        <v>1805</v>
      </c>
      <c r="C250" s="94" t="s">
        <v>81</v>
      </c>
      <c r="D250" s="99">
        <v>0</v>
      </c>
      <c r="E250" s="99"/>
      <c r="F250" s="99">
        <f>E250/8*12</f>
        <v>0</v>
      </c>
      <c r="G250" s="436">
        <v>0</v>
      </c>
      <c r="H250" s="436">
        <f>F250/8*12</f>
        <v>0</v>
      </c>
      <c r="I250" s="436"/>
      <c r="J250" s="99"/>
      <c r="K250" s="99"/>
    </row>
    <row r="251" spans="1:11" s="285" customFormat="1" x14ac:dyDescent="0.25">
      <c r="A251" s="344"/>
      <c r="B251" s="346"/>
      <c r="C251" s="93"/>
      <c r="D251" s="117">
        <v>0</v>
      </c>
      <c r="E251" s="117">
        <f>E250</f>
        <v>0</v>
      </c>
      <c r="F251" s="117">
        <f>F250</f>
        <v>0</v>
      </c>
      <c r="G251" s="442">
        <v>0</v>
      </c>
      <c r="H251" s="442">
        <f>H250</f>
        <v>0</v>
      </c>
      <c r="I251" s="442">
        <f>I250</f>
        <v>0</v>
      </c>
      <c r="J251" s="442">
        <f>J250</f>
        <v>0</v>
      </c>
      <c r="K251" s="442">
        <f>K250</f>
        <v>0</v>
      </c>
    </row>
    <row r="252" spans="1:11" s="285" customFormat="1" hidden="1" x14ac:dyDescent="0.25">
      <c r="A252" s="344"/>
      <c r="B252" s="151"/>
      <c r="C252" s="94" t="s">
        <v>192</v>
      </c>
      <c r="D252" s="442">
        <f t="shared" ref="D252:K252" si="30">SUM(D171:D251)/2</f>
        <v>24938</v>
      </c>
      <c r="E252" s="117">
        <f t="shared" si="30"/>
        <v>395921</v>
      </c>
      <c r="F252" s="117">
        <f t="shared" si="30"/>
        <v>395921</v>
      </c>
      <c r="G252" s="442">
        <f t="shared" si="30"/>
        <v>383452</v>
      </c>
      <c r="H252" s="442">
        <f t="shared" si="30"/>
        <v>-120710.45650000001</v>
      </c>
      <c r="I252" s="442">
        <f t="shared" si="30"/>
        <v>10819380.337023001</v>
      </c>
      <c r="J252" s="442">
        <f t="shared" si="30"/>
        <v>11816878.255559266</v>
      </c>
      <c r="K252" s="442">
        <f t="shared" si="30"/>
        <v>7443172.8031039042</v>
      </c>
    </row>
    <row r="253" spans="1:11" s="285" customFormat="1" hidden="1" x14ac:dyDescent="0.25">
      <c r="A253" s="344"/>
      <c r="B253" s="151"/>
      <c r="C253" s="145"/>
      <c r="D253" s="124"/>
      <c r="E253" s="146"/>
      <c r="F253" s="124"/>
      <c r="G253" s="445"/>
      <c r="H253" s="445"/>
      <c r="I253" s="445"/>
      <c r="J253" s="445"/>
      <c r="K253" s="445"/>
    </row>
    <row r="254" spans="1:11" s="285" customFormat="1" hidden="1" x14ac:dyDescent="0.25">
      <c r="A254" s="118"/>
      <c r="B254" s="151"/>
      <c r="C254" s="118" t="s">
        <v>193</v>
      </c>
      <c r="D254" s="127"/>
      <c r="E254" s="147"/>
      <c r="F254" s="98"/>
      <c r="G254" s="435"/>
      <c r="H254" s="435"/>
      <c r="I254" s="435"/>
      <c r="J254" s="435"/>
      <c r="K254" s="435"/>
    </row>
    <row r="255" spans="1:11" s="285" customFormat="1" hidden="1" x14ac:dyDescent="0.25">
      <c r="A255" s="344">
        <v>18</v>
      </c>
      <c r="B255" s="151">
        <v>1905</v>
      </c>
      <c r="C255" s="94" t="s">
        <v>194</v>
      </c>
      <c r="D255" s="117">
        <v>0</v>
      </c>
      <c r="E255" s="117"/>
      <c r="F255" s="117">
        <f>E255/8*12</f>
        <v>0</v>
      </c>
      <c r="G255" s="442">
        <v>0</v>
      </c>
      <c r="H255" s="442">
        <f>F255/8*12</f>
        <v>0</v>
      </c>
      <c r="I255" s="442">
        <f>G255/8*12</f>
        <v>0</v>
      </c>
      <c r="J255" s="442">
        <f>H255/8*12</f>
        <v>0</v>
      </c>
      <c r="K255" s="442">
        <f>I255/8*12</f>
        <v>0</v>
      </c>
    </row>
    <row r="256" spans="1:11" s="285" customFormat="1" x14ac:dyDescent="0.25">
      <c r="A256" s="344"/>
      <c r="B256" s="151"/>
      <c r="C256" s="93"/>
      <c r="D256" s="117">
        <v>0</v>
      </c>
      <c r="E256" s="117">
        <f>SUM(E255)</f>
        <v>0</v>
      </c>
      <c r="F256" s="117">
        <f>SUM(F255)</f>
        <v>0</v>
      </c>
      <c r="G256" s="442">
        <v>0</v>
      </c>
      <c r="H256" s="442">
        <f>SUM(H255)</f>
        <v>0</v>
      </c>
      <c r="I256" s="442">
        <f>SUM(I255)</f>
        <v>0</v>
      </c>
      <c r="J256" s="442">
        <f>SUM(J255)</f>
        <v>0</v>
      </c>
      <c r="K256" s="442">
        <f>SUM(K255)</f>
        <v>0</v>
      </c>
    </row>
    <row r="257" spans="1:11" s="285" customFormat="1" hidden="1" x14ac:dyDescent="0.25">
      <c r="A257" s="344"/>
      <c r="B257" s="151"/>
      <c r="C257" s="145" t="s">
        <v>189</v>
      </c>
      <c r="D257" s="148">
        <f t="shared" ref="D257:K257" si="31">D252+D256</f>
        <v>24938</v>
      </c>
      <c r="E257" s="148">
        <f t="shared" si="31"/>
        <v>395921</v>
      </c>
      <c r="F257" s="125">
        <f t="shared" si="31"/>
        <v>395921</v>
      </c>
      <c r="G257" s="446">
        <f t="shared" si="31"/>
        <v>383452</v>
      </c>
      <c r="H257" s="446">
        <f t="shared" si="31"/>
        <v>-120710.45650000001</v>
      </c>
      <c r="I257" s="446">
        <f t="shared" si="31"/>
        <v>10819380.337023001</v>
      </c>
      <c r="J257" s="446">
        <f t="shared" si="31"/>
        <v>11816878.255559266</v>
      </c>
      <c r="K257" s="446">
        <f t="shared" si="31"/>
        <v>7443172.8031039042</v>
      </c>
    </row>
    <row r="258" spans="1:11" s="285" customFormat="1" hidden="1" x14ac:dyDescent="0.25">
      <c r="A258" s="118"/>
      <c r="B258" s="151"/>
      <c r="C258" s="118" t="s">
        <v>195</v>
      </c>
      <c r="D258" s="127"/>
      <c r="E258" s="147"/>
      <c r="F258" s="98"/>
      <c r="G258" s="435"/>
      <c r="H258" s="435"/>
      <c r="I258" s="435"/>
      <c r="J258" s="435"/>
      <c r="K258" s="435"/>
    </row>
    <row r="259" spans="1:11" s="285" customFormat="1" hidden="1" x14ac:dyDescent="0.25">
      <c r="A259" s="344">
        <v>18</v>
      </c>
      <c r="B259" s="346">
        <v>1950</v>
      </c>
      <c r="C259" s="94" t="s">
        <v>196</v>
      </c>
      <c r="D259" s="124">
        <v>0</v>
      </c>
      <c r="E259" s="124"/>
      <c r="F259" s="124">
        <f>E259/8*12</f>
        <v>0</v>
      </c>
      <c r="G259" s="445">
        <v>0</v>
      </c>
      <c r="H259" s="445">
        <f>F259/8*12</f>
        <v>0</v>
      </c>
      <c r="I259" s="445">
        <f>G259/8*12</f>
        <v>0</v>
      </c>
      <c r="J259" s="445">
        <f>H259/8*12</f>
        <v>0</v>
      </c>
      <c r="K259" s="445">
        <f>I259/8*12</f>
        <v>0</v>
      </c>
    </row>
    <row r="260" spans="1:11" s="285" customFormat="1" x14ac:dyDescent="0.25">
      <c r="A260" s="348"/>
      <c r="B260" s="351"/>
      <c r="C260" s="93"/>
      <c r="D260" s="160">
        <v>0</v>
      </c>
      <c r="E260" s="160">
        <f>E259</f>
        <v>0</v>
      </c>
      <c r="F260" s="160">
        <f>F259</f>
        <v>0</v>
      </c>
      <c r="G260" s="448">
        <v>0</v>
      </c>
      <c r="H260" s="448">
        <f>H259</f>
        <v>0</v>
      </c>
      <c r="I260" s="448">
        <f>I259</f>
        <v>0</v>
      </c>
      <c r="J260" s="448">
        <f>J259</f>
        <v>0</v>
      </c>
      <c r="K260" s="448">
        <f>K259</f>
        <v>0</v>
      </c>
    </row>
    <row r="261" spans="1:11" s="285" customFormat="1" x14ac:dyDescent="0.25">
      <c r="A261" s="349"/>
      <c r="B261" s="154"/>
      <c r="C261" s="126" t="s">
        <v>197</v>
      </c>
      <c r="D261" s="449">
        <f t="shared" ref="D261:K261" si="32">D257+D260</f>
        <v>24938</v>
      </c>
      <c r="E261" s="161">
        <f t="shared" si="32"/>
        <v>395921</v>
      </c>
      <c r="F261" s="161">
        <f t="shared" si="32"/>
        <v>395921</v>
      </c>
      <c r="G261" s="449">
        <f t="shared" si="32"/>
        <v>383452</v>
      </c>
      <c r="H261" s="449">
        <f t="shared" si="32"/>
        <v>-120710.45650000001</v>
      </c>
      <c r="I261" s="449">
        <f t="shared" si="32"/>
        <v>10819380.337023001</v>
      </c>
      <c r="J261" s="449">
        <f t="shared" si="32"/>
        <v>11816878.255559266</v>
      </c>
      <c r="K261" s="449">
        <f t="shared" si="32"/>
        <v>7443172.8031039042</v>
      </c>
    </row>
    <row r="262" spans="1:11" s="285" customFormat="1" x14ac:dyDescent="0.25">
      <c r="A262" s="284"/>
      <c r="B262" s="352"/>
      <c r="C262" s="285" t="s">
        <v>82</v>
      </c>
      <c r="D262" s="449">
        <f t="shared" ref="D262:K262" si="33">D261-D165</f>
        <v>-10547637</v>
      </c>
      <c r="E262" s="449">
        <f t="shared" si="33"/>
        <v>-9152707</v>
      </c>
      <c r="F262" s="449">
        <f t="shared" si="33"/>
        <v>-15093707</v>
      </c>
      <c r="G262" s="449">
        <f t="shared" si="33"/>
        <v>-15206176</v>
      </c>
      <c r="H262" s="449">
        <f t="shared" si="33"/>
        <v>-10660363.536499999</v>
      </c>
      <c r="I262" s="449">
        <f t="shared" si="33"/>
        <v>-18077167.221616998</v>
      </c>
      <c r="J262" s="449">
        <f t="shared" si="33"/>
        <v>-16555054.818805933</v>
      </c>
      <c r="K262" s="449">
        <f t="shared" si="33"/>
        <v>-22432472.724202644</v>
      </c>
    </row>
    <row r="263" spans="1:11" x14ac:dyDescent="0.25">
      <c r="A263" s="101"/>
    </row>
    <row r="265" spans="1:11" x14ac:dyDescent="0.25">
      <c r="E265" s="128"/>
      <c r="F265" s="128"/>
      <c r="G265" s="128"/>
      <c r="H265" s="128"/>
      <c r="I265" s="128"/>
      <c r="J265" s="128"/>
    </row>
    <row r="266" spans="1:11" x14ac:dyDescent="0.25">
      <c r="E266" s="128"/>
      <c r="F266" s="128"/>
      <c r="G266" s="128"/>
      <c r="H266" s="128"/>
      <c r="I266" s="128"/>
      <c r="J266" s="128"/>
      <c r="K266" s="109"/>
    </row>
    <row r="267" spans="1:11" x14ac:dyDescent="0.25">
      <c r="E267" s="128"/>
      <c r="F267" s="128"/>
      <c r="G267" s="128"/>
      <c r="H267" s="128"/>
      <c r="I267" s="128"/>
      <c r="J267" s="128"/>
    </row>
  </sheetData>
  <mergeCells count="2">
    <mergeCell ref="A4:B5"/>
    <mergeCell ref="A1:K1"/>
  </mergeCells>
  <phoneticPr fontId="0" type="noConversion"/>
  <pageMargins left="0.25" right="0.25" top="0.75" bottom="0.75" header="0.3" footer="0.3"/>
  <pageSetup scale="74" fitToHeight="0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tabColor rgb="FFFF0000"/>
    <pageSetUpPr fitToPage="1"/>
  </sheetPr>
  <dimension ref="A1:N268"/>
  <sheetViews>
    <sheetView view="pageBreakPreview" topLeftCell="A78" zoomScaleSheetLayoutView="100" workbookViewId="0">
      <selection activeCell="I161" sqref="I161:K161"/>
    </sheetView>
  </sheetViews>
  <sheetFormatPr defaultColWidth="9.109375" defaultRowHeight="13.2" x14ac:dyDescent="0.25"/>
  <cols>
    <col min="1" max="1" width="3.33203125" style="129" customWidth="1"/>
    <col min="2" max="2" width="9" style="131" customWidth="1"/>
    <col min="3" max="3" width="37.109375" style="96" customWidth="1"/>
    <col min="4" max="4" width="15" style="96" customWidth="1"/>
    <col min="5" max="5" width="14.88671875" style="96" customWidth="1"/>
    <col min="6" max="6" width="14.5546875" style="96" customWidth="1"/>
    <col min="7" max="7" width="14.5546875" style="434" customWidth="1"/>
    <col min="8" max="8" width="14.5546875" style="96" customWidth="1"/>
    <col min="9" max="9" width="14.5546875" style="434" customWidth="1"/>
    <col min="10" max="10" width="11.5546875" style="96" customWidth="1"/>
    <col min="11" max="11" width="12.88671875" style="399" customWidth="1"/>
    <col min="12" max="13" width="11.33203125" style="96" bestFit="1" customWidth="1"/>
    <col min="14" max="14" width="12.109375" style="96" customWidth="1"/>
    <col min="15" max="16384" width="9.109375" style="96"/>
  </cols>
  <sheetData>
    <row r="1" spans="1:11" ht="12.75" customHeight="1" x14ac:dyDescent="0.25">
      <c r="A1" s="937" t="s">
        <v>540</v>
      </c>
      <c r="B1" s="938"/>
      <c r="C1" s="938"/>
      <c r="D1" s="938"/>
      <c r="E1" s="938"/>
      <c r="F1" s="938"/>
      <c r="G1" s="938"/>
      <c r="H1" s="938"/>
      <c r="I1" s="938"/>
      <c r="J1" s="938"/>
      <c r="K1" s="953"/>
    </row>
    <row r="2" spans="1:11" ht="12.75" customHeight="1" x14ac:dyDescent="0.25">
      <c r="A2" s="552"/>
      <c r="B2" s="553"/>
      <c r="C2" s="553"/>
      <c r="D2" s="553"/>
      <c r="E2" s="553"/>
      <c r="F2" s="553"/>
      <c r="G2" s="553"/>
      <c r="H2" s="553"/>
      <c r="I2" s="553"/>
      <c r="J2" s="553"/>
      <c r="K2" s="554"/>
    </row>
    <row r="3" spans="1:11" s="285" customFormat="1" x14ac:dyDescent="0.25">
      <c r="A3" s="419" t="s">
        <v>542</v>
      </c>
      <c r="B3" s="546"/>
      <c r="C3" s="546"/>
      <c r="D3" s="546"/>
      <c r="E3" s="546"/>
      <c r="F3" s="546"/>
      <c r="G3" s="546"/>
      <c r="H3" s="546"/>
      <c r="I3" s="546"/>
      <c r="J3" s="546"/>
      <c r="K3" s="547"/>
    </row>
    <row r="4" spans="1:11" s="285" customFormat="1" x14ac:dyDescent="0.25">
      <c r="A4" s="944" t="s">
        <v>21</v>
      </c>
      <c r="B4" s="945"/>
      <c r="C4" s="103" t="s">
        <v>22</v>
      </c>
      <c r="D4" s="103" t="s">
        <v>23</v>
      </c>
      <c r="E4" s="104" t="s">
        <v>24</v>
      </c>
      <c r="F4" s="103" t="s">
        <v>535</v>
      </c>
      <c r="G4" s="103" t="s">
        <v>413</v>
      </c>
      <c r="H4" s="104" t="s">
        <v>24</v>
      </c>
      <c r="I4" s="583" t="s">
        <v>24</v>
      </c>
      <c r="J4" s="583" t="s">
        <v>24</v>
      </c>
      <c r="K4" s="583" t="s">
        <v>24</v>
      </c>
    </row>
    <row r="5" spans="1:11" s="285" customFormat="1" x14ac:dyDescent="0.25">
      <c r="A5" s="946"/>
      <c r="B5" s="947"/>
      <c r="C5" s="106"/>
      <c r="D5" s="333" t="s">
        <v>257</v>
      </c>
      <c r="E5" s="107" t="s">
        <v>382</v>
      </c>
      <c r="F5" s="107" t="s">
        <v>382</v>
      </c>
      <c r="G5" s="107" t="s">
        <v>382</v>
      </c>
      <c r="H5" s="107" t="s">
        <v>407</v>
      </c>
      <c r="I5" s="586" t="s">
        <v>414</v>
      </c>
      <c r="J5" s="586" t="s">
        <v>530</v>
      </c>
      <c r="K5" s="586" t="s">
        <v>886</v>
      </c>
    </row>
    <row r="6" spans="1:11" s="285" customFormat="1" hidden="1" x14ac:dyDescent="0.25">
      <c r="A6" s="344"/>
      <c r="B6" s="151"/>
      <c r="C6" s="93" t="s">
        <v>33</v>
      </c>
      <c r="D6" s="85"/>
      <c r="E6" s="85"/>
      <c r="F6" s="85"/>
      <c r="G6" s="428"/>
      <c r="H6" s="85"/>
      <c r="I6" s="428"/>
      <c r="J6" s="85"/>
      <c r="K6" s="85"/>
    </row>
    <row r="7" spans="1:11" s="285" customFormat="1" hidden="1" x14ac:dyDescent="0.25">
      <c r="A7" s="118">
        <v>20</v>
      </c>
      <c r="B7" s="155">
        <v>5005</v>
      </c>
      <c r="C7" s="94" t="s">
        <v>241</v>
      </c>
      <c r="D7" s="85"/>
      <c r="E7" s="85"/>
      <c r="F7" s="85">
        <f>0/8*12</f>
        <v>0</v>
      </c>
      <c r="G7" s="428"/>
      <c r="H7" s="428">
        <f t="shared" ref="H7:H17" si="0">(F7*0.068)+F7</f>
        <v>0</v>
      </c>
      <c r="I7" s="428"/>
      <c r="J7" s="428">
        <f t="shared" ref="J7:J17" si="1">(H7*0.068)+H7</f>
        <v>0</v>
      </c>
      <c r="K7" s="428">
        <f t="shared" ref="K7:K17" si="2">(J7*0.068)+J7</f>
        <v>0</v>
      </c>
    </row>
    <row r="8" spans="1:11" s="285" customFormat="1" hidden="1" x14ac:dyDescent="0.25">
      <c r="A8" s="118">
        <v>20</v>
      </c>
      <c r="B8" s="151">
        <v>5010</v>
      </c>
      <c r="C8" s="94" t="s">
        <v>34</v>
      </c>
      <c r="D8" s="85"/>
      <c r="E8" s="85"/>
      <c r="F8" s="85">
        <f t="shared" ref="F8:F13" si="3">0/8*12</f>
        <v>0</v>
      </c>
      <c r="G8" s="428"/>
      <c r="H8" s="428">
        <f t="shared" si="0"/>
        <v>0</v>
      </c>
      <c r="I8" s="428"/>
      <c r="J8" s="428">
        <f t="shared" si="1"/>
        <v>0</v>
      </c>
      <c r="K8" s="428">
        <f t="shared" si="2"/>
        <v>0</v>
      </c>
    </row>
    <row r="9" spans="1:11" s="285" customFormat="1" hidden="1" x14ac:dyDescent="0.25">
      <c r="A9" s="118">
        <v>20</v>
      </c>
      <c r="B9" s="151">
        <v>5015</v>
      </c>
      <c r="C9" s="94" t="s">
        <v>35</v>
      </c>
      <c r="D9" s="85"/>
      <c r="E9" s="85"/>
      <c r="F9" s="85">
        <f t="shared" si="3"/>
        <v>0</v>
      </c>
      <c r="G9" s="428"/>
      <c r="H9" s="428">
        <f t="shared" si="0"/>
        <v>0</v>
      </c>
      <c r="I9" s="428"/>
      <c r="J9" s="428">
        <f t="shared" si="1"/>
        <v>0</v>
      </c>
      <c r="K9" s="428">
        <f t="shared" si="2"/>
        <v>0</v>
      </c>
    </row>
    <row r="10" spans="1:11" s="285" customFormat="1" hidden="1" x14ac:dyDescent="0.25">
      <c r="A10" s="118">
        <v>20</v>
      </c>
      <c r="B10" s="151">
        <v>5020</v>
      </c>
      <c r="C10" s="94" t="s">
        <v>350</v>
      </c>
      <c r="D10" s="85"/>
      <c r="E10" s="85"/>
      <c r="F10" s="85">
        <f t="shared" si="3"/>
        <v>0</v>
      </c>
      <c r="G10" s="428"/>
      <c r="H10" s="428">
        <f t="shared" si="0"/>
        <v>0</v>
      </c>
      <c r="I10" s="428"/>
      <c r="J10" s="428">
        <f t="shared" si="1"/>
        <v>0</v>
      </c>
      <c r="K10" s="428">
        <f t="shared" si="2"/>
        <v>0</v>
      </c>
    </row>
    <row r="11" spans="1:11" s="285" customFormat="1" hidden="1" x14ac:dyDescent="0.25">
      <c r="A11" s="118">
        <v>20</v>
      </c>
      <c r="B11" s="151">
        <v>5025</v>
      </c>
      <c r="C11" s="94" t="s">
        <v>36</v>
      </c>
      <c r="D11" s="85"/>
      <c r="E11" s="85"/>
      <c r="F11" s="85">
        <f t="shared" si="3"/>
        <v>0</v>
      </c>
      <c r="G11" s="428"/>
      <c r="H11" s="428">
        <f t="shared" si="0"/>
        <v>0</v>
      </c>
      <c r="I11" s="428"/>
      <c r="J11" s="428">
        <f t="shared" si="1"/>
        <v>0</v>
      </c>
      <c r="K11" s="428">
        <f t="shared" si="2"/>
        <v>0</v>
      </c>
    </row>
    <row r="12" spans="1:11" s="285" customFormat="1" hidden="1" x14ac:dyDescent="0.25">
      <c r="A12" s="118">
        <v>20</v>
      </c>
      <c r="B12" s="151">
        <v>5030</v>
      </c>
      <c r="C12" s="94" t="s">
        <v>85</v>
      </c>
      <c r="D12" s="85"/>
      <c r="E12" s="85"/>
      <c r="F12" s="85">
        <f t="shared" si="3"/>
        <v>0</v>
      </c>
      <c r="G12" s="428"/>
      <c r="H12" s="428">
        <f t="shared" si="0"/>
        <v>0</v>
      </c>
      <c r="I12" s="428"/>
      <c r="J12" s="428">
        <f t="shared" si="1"/>
        <v>0</v>
      </c>
      <c r="K12" s="428">
        <f t="shared" si="2"/>
        <v>0</v>
      </c>
    </row>
    <row r="13" spans="1:11" s="285" customFormat="1" hidden="1" x14ac:dyDescent="0.25">
      <c r="A13" s="118">
        <v>20</v>
      </c>
      <c r="B13" s="151">
        <v>5035</v>
      </c>
      <c r="C13" s="94" t="s">
        <v>84</v>
      </c>
      <c r="D13" s="85"/>
      <c r="E13" s="85"/>
      <c r="F13" s="85">
        <f t="shared" si="3"/>
        <v>0</v>
      </c>
      <c r="G13" s="428"/>
      <c r="H13" s="428">
        <f t="shared" si="0"/>
        <v>0</v>
      </c>
      <c r="I13" s="428"/>
      <c r="J13" s="428">
        <f t="shared" si="1"/>
        <v>0</v>
      </c>
      <c r="K13" s="428">
        <f t="shared" si="2"/>
        <v>0</v>
      </c>
    </row>
    <row r="14" spans="1:11" s="285" customFormat="1" hidden="1" x14ac:dyDescent="0.25">
      <c r="A14" s="118">
        <v>20</v>
      </c>
      <c r="B14" s="151">
        <v>5040</v>
      </c>
      <c r="C14" s="94" t="s">
        <v>37</v>
      </c>
      <c r="D14" s="85"/>
      <c r="E14" s="85"/>
      <c r="F14" s="85"/>
      <c r="G14" s="428"/>
      <c r="H14" s="428">
        <f t="shared" si="0"/>
        <v>0</v>
      </c>
      <c r="I14" s="428"/>
      <c r="J14" s="428">
        <f t="shared" si="1"/>
        <v>0</v>
      </c>
      <c r="K14" s="428">
        <f t="shared" si="2"/>
        <v>0</v>
      </c>
    </row>
    <row r="15" spans="1:11" s="285" customFormat="1" hidden="1" x14ac:dyDescent="0.25">
      <c r="A15" s="118">
        <v>20</v>
      </c>
      <c r="B15" s="151">
        <v>5045</v>
      </c>
      <c r="C15" s="94" t="s">
        <v>38</v>
      </c>
      <c r="D15" s="85"/>
      <c r="E15" s="85"/>
      <c r="F15" s="85"/>
      <c r="G15" s="428"/>
      <c r="H15" s="428">
        <f t="shared" si="0"/>
        <v>0</v>
      </c>
      <c r="I15" s="428"/>
      <c r="J15" s="428">
        <f t="shared" si="1"/>
        <v>0</v>
      </c>
      <c r="K15" s="428">
        <f t="shared" si="2"/>
        <v>0</v>
      </c>
    </row>
    <row r="16" spans="1:11" s="285" customFormat="1" hidden="1" x14ac:dyDescent="0.25">
      <c r="A16" s="118">
        <v>20</v>
      </c>
      <c r="B16" s="151">
        <v>5050</v>
      </c>
      <c r="C16" s="94" t="s">
        <v>83</v>
      </c>
      <c r="D16" s="85"/>
      <c r="E16" s="85"/>
      <c r="F16" s="85"/>
      <c r="G16" s="428"/>
      <c r="H16" s="428">
        <f t="shared" si="0"/>
        <v>0</v>
      </c>
      <c r="I16" s="428"/>
      <c r="J16" s="428">
        <f t="shared" si="1"/>
        <v>0</v>
      </c>
      <c r="K16" s="428">
        <f t="shared" si="2"/>
        <v>0</v>
      </c>
    </row>
    <row r="17" spans="1:11" s="285" customFormat="1" hidden="1" x14ac:dyDescent="0.25">
      <c r="A17" s="118">
        <v>20</v>
      </c>
      <c r="B17" s="151">
        <v>5055</v>
      </c>
      <c r="C17" s="94" t="s">
        <v>39</v>
      </c>
      <c r="D17" s="85"/>
      <c r="E17" s="85"/>
      <c r="F17" s="85"/>
      <c r="G17" s="428"/>
      <c r="H17" s="428">
        <f t="shared" si="0"/>
        <v>0</v>
      </c>
      <c r="I17" s="428"/>
      <c r="J17" s="428">
        <f t="shared" si="1"/>
        <v>0</v>
      </c>
      <c r="K17" s="428">
        <f t="shared" si="2"/>
        <v>0</v>
      </c>
    </row>
    <row r="18" spans="1:11" s="285" customFormat="1" hidden="1" x14ac:dyDescent="0.25">
      <c r="A18" s="344"/>
      <c r="B18" s="151"/>
      <c r="C18" s="94" t="s">
        <v>509</v>
      </c>
      <c r="D18" s="89">
        <v>0</v>
      </c>
      <c r="E18" s="89">
        <f t="shared" ref="E18:K18" si="4">SUM(E7:E17)</f>
        <v>0</v>
      </c>
      <c r="F18" s="89">
        <f t="shared" si="4"/>
        <v>0</v>
      </c>
      <c r="G18" s="429"/>
      <c r="H18" s="89"/>
      <c r="I18" s="429"/>
      <c r="J18" s="89"/>
      <c r="K18" s="89">
        <f t="shared" si="4"/>
        <v>0</v>
      </c>
    </row>
    <row r="19" spans="1:11" s="285" customFormat="1" hidden="1" x14ac:dyDescent="0.25">
      <c r="A19" s="344"/>
      <c r="B19" s="151"/>
      <c r="C19" s="93" t="s">
        <v>40</v>
      </c>
      <c r="D19" s="85"/>
      <c r="E19" s="86"/>
      <c r="F19" s="86"/>
      <c r="G19" s="86"/>
      <c r="H19" s="86"/>
      <c r="I19" s="86"/>
      <c r="J19" s="86"/>
      <c r="K19" s="85"/>
    </row>
    <row r="20" spans="1:11" s="285" customFormat="1" hidden="1" x14ac:dyDescent="0.25">
      <c r="A20" s="118">
        <v>20</v>
      </c>
      <c r="B20" s="151">
        <v>5105</v>
      </c>
      <c r="C20" s="94" t="s">
        <v>41</v>
      </c>
      <c r="D20" s="85"/>
      <c r="E20" s="108"/>
      <c r="F20" s="108"/>
      <c r="G20" s="425"/>
      <c r="H20" s="428">
        <f>(F20*0.068)+F20</f>
        <v>0</v>
      </c>
      <c r="I20" s="428"/>
      <c r="J20" s="428">
        <f>(H20*0.068)+H20</f>
        <v>0</v>
      </c>
      <c r="K20" s="428">
        <f>(J20*0.068)+J20</f>
        <v>0</v>
      </c>
    </row>
    <row r="21" spans="1:11" s="285" customFormat="1" hidden="1" x14ac:dyDescent="0.25">
      <c r="A21" s="118">
        <v>20</v>
      </c>
      <c r="B21" s="151">
        <v>5115</v>
      </c>
      <c r="C21" s="94" t="s">
        <v>42</v>
      </c>
      <c r="D21" s="85"/>
      <c r="E21" s="85"/>
      <c r="F21" s="85"/>
      <c r="G21" s="428"/>
      <c r="H21" s="428">
        <f>(F21*0.068)+F21</f>
        <v>0</v>
      </c>
      <c r="I21" s="428"/>
      <c r="J21" s="428">
        <f>(H21*0.068)+H21</f>
        <v>0</v>
      </c>
      <c r="K21" s="428">
        <f>(J21*0.068)+J21</f>
        <v>0</v>
      </c>
    </row>
    <row r="22" spans="1:11" s="285" customFormat="1" hidden="1" x14ac:dyDescent="0.25">
      <c r="A22" s="118">
        <v>20</v>
      </c>
      <c r="B22" s="151">
        <v>5120</v>
      </c>
      <c r="C22" s="94" t="s">
        <v>43</v>
      </c>
      <c r="D22" s="85"/>
      <c r="E22" s="108"/>
      <c r="F22" s="108"/>
      <c r="G22" s="425"/>
      <c r="H22" s="428">
        <f>(F22*0.068)+F22</f>
        <v>0</v>
      </c>
      <c r="I22" s="428"/>
      <c r="J22" s="428">
        <f>(H22*0.068)+H22</f>
        <v>0</v>
      </c>
      <c r="K22" s="428">
        <f>(J22*0.068)+J22</f>
        <v>0</v>
      </c>
    </row>
    <row r="23" spans="1:11" s="285" customFormat="1" hidden="1" x14ac:dyDescent="0.25">
      <c r="A23" s="118">
        <v>20</v>
      </c>
      <c r="B23" s="151">
        <v>5125</v>
      </c>
      <c r="C23" s="94" t="s">
        <v>44</v>
      </c>
      <c r="D23" s="85"/>
      <c r="E23" s="108"/>
      <c r="F23" s="108"/>
      <c r="G23" s="425"/>
      <c r="H23" s="428">
        <f>(F23*0.068)+F23</f>
        <v>0</v>
      </c>
      <c r="I23" s="428"/>
      <c r="J23" s="428">
        <f>(H23*0.068)+H23</f>
        <v>0</v>
      </c>
      <c r="K23" s="428">
        <f>(J23*0.068)+J23</f>
        <v>0</v>
      </c>
    </row>
    <row r="24" spans="1:11" s="285" customFormat="1" hidden="1" x14ac:dyDescent="0.25">
      <c r="A24" s="118">
        <v>20</v>
      </c>
      <c r="B24" s="151">
        <v>5130</v>
      </c>
      <c r="C24" s="94" t="s">
        <v>45</v>
      </c>
      <c r="D24" s="85"/>
      <c r="E24" s="108"/>
      <c r="F24" s="108"/>
      <c r="G24" s="425"/>
      <c r="H24" s="428">
        <f>(F24*0.068)+F24</f>
        <v>0</v>
      </c>
      <c r="I24" s="428"/>
      <c r="J24" s="428">
        <f>(H24*0.068)+H24</f>
        <v>0</v>
      </c>
      <c r="K24" s="428">
        <f>(J24*0.068)+J24</f>
        <v>0</v>
      </c>
    </row>
    <row r="25" spans="1:11" s="285" customFormat="1" hidden="1" x14ac:dyDescent="0.25">
      <c r="A25" s="344"/>
      <c r="B25" s="151"/>
      <c r="C25" s="94"/>
      <c r="D25" s="429">
        <f t="shared" ref="D25:K25" si="5">SUM(D20:D24)</f>
        <v>0</v>
      </c>
      <c r="E25" s="89">
        <f t="shared" si="5"/>
        <v>0</v>
      </c>
      <c r="F25" s="89">
        <f t="shared" si="5"/>
        <v>0</v>
      </c>
      <c r="G25" s="429">
        <f t="shared" si="5"/>
        <v>0</v>
      </c>
      <c r="H25" s="89"/>
      <c r="I25" s="429"/>
      <c r="J25" s="89"/>
      <c r="K25" s="89">
        <f t="shared" si="5"/>
        <v>0</v>
      </c>
    </row>
    <row r="26" spans="1:11" s="285" customFormat="1" hidden="1" x14ac:dyDescent="0.25">
      <c r="A26" s="344"/>
      <c r="B26" s="151"/>
      <c r="C26" s="93" t="s">
        <v>46</v>
      </c>
      <c r="D26" s="85"/>
      <c r="E26" s="86"/>
      <c r="F26" s="86"/>
      <c r="G26" s="86"/>
      <c r="H26" s="86"/>
      <c r="I26" s="86"/>
      <c r="J26" s="86"/>
      <c r="K26" s="85"/>
    </row>
    <row r="27" spans="1:11" s="285" customFormat="1" hidden="1" x14ac:dyDescent="0.25">
      <c r="A27" s="344"/>
      <c r="B27" s="151"/>
      <c r="C27" s="93" t="s">
        <v>47</v>
      </c>
      <c r="D27" s="85"/>
      <c r="E27" s="86"/>
      <c r="F27" s="86"/>
      <c r="G27" s="86"/>
      <c r="H27" s="86"/>
      <c r="I27" s="86"/>
      <c r="J27" s="86"/>
      <c r="K27" s="85"/>
    </row>
    <row r="28" spans="1:11" s="285" customFormat="1" hidden="1" x14ac:dyDescent="0.25">
      <c r="A28" s="118">
        <v>20</v>
      </c>
      <c r="B28" s="151">
        <v>5150</v>
      </c>
      <c r="C28" s="94" t="s">
        <v>48</v>
      </c>
      <c r="D28" s="85"/>
      <c r="E28" s="85"/>
      <c r="F28" s="85">
        <f>0/8*12</f>
        <v>0</v>
      </c>
      <c r="G28" s="428"/>
      <c r="H28" s="85"/>
      <c r="I28" s="428"/>
      <c r="J28" s="85"/>
      <c r="K28" s="85">
        <f>E28*(1+[1]INPUT!C$8)</f>
        <v>0</v>
      </c>
    </row>
    <row r="29" spans="1:11" s="285" customFormat="1" hidden="1" x14ac:dyDescent="0.25">
      <c r="A29" s="344"/>
      <c r="B29" s="151"/>
      <c r="C29" s="94"/>
      <c r="D29" s="89">
        <v>0</v>
      </c>
      <c r="E29" s="89">
        <f t="shared" ref="E29:K29" si="6">E28</f>
        <v>0</v>
      </c>
      <c r="F29" s="89">
        <f t="shared" si="6"/>
        <v>0</v>
      </c>
      <c r="G29" s="429"/>
      <c r="H29" s="89"/>
      <c r="I29" s="429"/>
      <c r="J29" s="89"/>
      <c r="K29" s="89">
        <f t="shared" si="6"/>
        <v>0</v>
      </c>
    </row>
    <row r="30" spans="1:11" s="285" customFormat="1" hidden="1" x14ac:dyDescent="0.25">
      <c r="A30" s="344"/>
      <c r="B30" s="151"/>
      <c r="C30" s="93" t="s">
        <v>49</v>
      </c>
      <c r="D30" s="85"/>
      <c r="E30" s="86"/>
      <c r="F30" s="86"/>
      <c r="G30" s="86"/>
      <c r="H30" s="86"/>
      <c r="I30" s="86"/>
      <c r="J30" s="86"/>
      <c r="K30" s="85"/>
    </row>
    <row r="31" spans="1:11" s="285" customFormat="1" hidden="1" x14ac:dyDescent="0.25">
      <c r="A31" s="118">
        <v>20</v>
      </c>
      <c r="B31" s="151">
        <v>5170</v>
      </c>
      <c r="C31" s="94" t="s">
        <v>341</v>
      </c>
      <c r="D31" s="425"/>
      <c r="E31" s="108"/>
      <c r="F31" s="425"/>
      <c r="G31" s="428"/>
      <c r="H31" s="85"/>
      <c r="I31" s="428"/>
      <c r="J31" s="85"/>
      <c r="K31" s="85"/>
    </row>
    <row r="32" spans="1:11" s="285" customFormat="1" hidden="1" x14ac:dyDescent="0.25">
      <c r="A32" s="344"/>
      <c r="B32" s="151"/>
      <c r="C32" s="94"/>
      <c r="D32" s="89">
        <v>0</v>
      </c>
      <c r="E32" s="429">
        <v>0</v>
      </c>
      <c r="F32" s="429">
        <v>0</v>
      </c>
      <c r="G32" s="429">
        <v>0</v>
      </c>
      <c r="H32" s="429">
        <v>0</v>
      </c>
      <c r="I32" s="429"/>
      <c r="J32" s="429">
        <v>0</v>
      </c>
      <c r="K32" s="429">
        <v>0</v>
      </c>
    </row>
    <row r="33" spans="1:11" s="285" customFormat="1" hidden="1" x14ac:dyDescent="0.25">
      <c r="A33" s="344"/>
      <c r="B33" s="151"/>
      <c r="C33" s="93" t="s">
        <v>50</v>
      </c>
      <c r="D33" s="85"/>
      <c r="E33" s="86"/>
      <c r="F33" s="86"/>
      <c r="G33" s="86"/>
      <c r="H33" s="86"/>
      <c r="I33" s="86"/>
      <c r="J33" s="86"/>
      <c r="K33" s="85"/>
    </row>
    <row r="34" spans="1:11" s="285" customFormat="1" hidden="1" x14ac:dyDescent="0.25">
      <c r="A34" s="118">
        <v>20</v>
      </c>
      <c r="B34" s="151">
        <v>5180</v>
      </c>
      <c r="C34" s="94" t="s">
        <v>51</v>
      </c>
      <c r="D34" s="85"/>
      <c r="E34" s="108"/>
      <c r="F34" s="85">
        <f>0/8*12</f>
        <v>0</v>
      </c>
      <c r="G34" s="428"/>
      <c r="H34" s="85"/>
      <c r="I34" s="428"/>
      <c r="J34" s="85"/>
      <c r="K34" s="108"/>
    </row>
    <row r="35" spans="1:11" s="285" customFormat="1" hidden="1" x14ac:dyDescent="0.25">
      <c r="A35" s="344"/>
      <c r="B35" s="151"/>
      <c r="C35" s="94"/>
      <c r="D35" s="89">
        <v>0</v>
      </c>
      <c r="E35" s="89">
        <f t="shared" ref="E35:K35" si="7">SUM(E34)</f>
        <v>0</v>
      </c>
      <c r="F35" s="89">
        <f t="shared" si="7"/>
        <v>0</v>
      </c>
      <c r="G35" s="429"/>
      <c r="H35" s="89"/>
      <c r="I35" s="429"/>
      <c r="J35" s="89"/>
      <c r="K35" s="89">
        <f t="shared" si="7"/>
        <v>0</v>
      </c>
    </row>
    <row r="36" spans="1:11" s="285" customFormat="1" hidden="1" x14ac:dyDescent="0.25">
      <c r="A36" s="344"/>
      <c r="B36" s="151"/>
      <c r="C36" s="93" t="s">
        <v>52</v>
      </c>
      <c r="D36" s="85"/>
      <c r="E36" s="86"/>
      <c r="F36" s="86"/>
      <c r="G36" s="86"/>
      <c r="H36" s="86"/>
      <c r="I36" s="86"/>
      <c r="J36" s="86"/>
      <c r="K36" s="85"/>
    </row>
    <row r="37" spans="1:11" s="285" customFormat="1" hidden="1" x14ac:dyDescent="0.25">
      <c r="A37" s="118">
        <v>20</v>
      </c>
      <c r="B37" s="151">
        <v>5190</v>
      </c>
      <c r="C37" s="94" t="s">
        <v>53</v>
      </c>
      <c r="D37" s="85"/>
      <c r="E37" s="108"/>
      <c r="F37" s="85">
        <f>0/8*12</f>
        <v>0</v>
      </c>
      <c r="G37" s="428"/>
      <c r="H37" s="85"/>
      <c r="I37" s="428"/>
      <c r="J37" s="85"/>
      <c r="K37" s="85"/>
    </row>
    <row r="38" spans="1:11" s="285" customFormat="1" hidden="1" x14ac:dyDescent="0.25">
      <c r="A38" s="344"/>
      <c r="B38" s="151"/>
      <c r="C38" s="94"/>
      <c r="D38" s="89">
        <v>0</v>
      </c>
      <c r="E38" s="89">
        <f t="shared" ref="E38:K38" si="8">E37</f>
        <v>0</v>
      </c>
      <c r="F38" s="89">
        <f t="shared" si="8"/>
        <v>0</v>
      </c>
      <c r="G38" s="429"/>
      <c r="H38" s="89"/>
      <c r="I38" s="429"/>
      <c r="J38" s="89"/>
      <c r="K38" s="89">
        <f t="shared" si="8"/>
        <v>0</v>
      </c>
    </row>
    <row r="39" spans="1:11" s="285" customFormat="1" x14ac:dyDescent="0.25">
      <c r="A39" s="344"/>
      <c r="B39" s="151"/>
      <c r="C39" s="93" t="s">
        <v>54</v>
      </c>
      <c r="D39" s="85"/>
      <c r="E39" s="86"/>
      <c r="F39" s="86"/>
      <c r="G39" s="86"/>
      <c r="H39" s="86"/>
      <c r="I39" s="86"/>
      <c r="J39" s="86"/>
      <c r="K39" s="85"/>
    </row>
    <row r="40" spans="1:11" s="285" customFormat="1" hidden="1" x14ac:dyDescent="0.25">
      <c r="A40" s="118">
        <v>20</v>
      </c>
      <c r="B40" s="151">
        <v>5200</v>
      </c>
      <c r="C40" s="94" t="s">
        <v>55</v>
      </c>
      <c r="D40" s="85"/>
      <c r="E40" s="108"/>
      <c r="F40" s="85">
        <f t="shared" ref="F40:F58" si="9">0/8*12</f>
        <v>0</v>
      </c>
      <c r="G40" s="428"/>
      <c r="H40" s="85"/>
      <c r="I40" s="428"/>
      <c r="J40" s="85"/>
      <c r="K40" s="85">
        <f>F40*(1+[1]INPUT!C$10)</f>
        <v>0</v>
      </c>
    </row>
    <row r="41" spans="1:11" s="285" customFormat="1" hidden="1" x14ac:dyDescent="0.25">
      <c r="A41" s="118">
        <v>20</v>
      </c>
      <c r="B41" s="151">
        <v>5205</v>
      </c>
      <c r="C41" s="94" t="s">
        <v>56</v>
      </c>
      <c r="D41" s="85"/>
      <c r="E41" s="108"/>
      <c r="F41" s="85">
        <f t="shared" si="9"/>
        <v>0</v>
      </c>
      <c r="G41" s="428"/>
      <c r="H41" s="85"/>
      <c r="I41" s="428"/>
      <c r="J41" s="85"/>
      <c r="K41" s="85">
        <f>F41*(1+[1]INPUT!C$10)</f>
        <v>0</v>
      </c>
    </row>
    <row r="42" spans="1:11" s="285" customFormat="1" hidden="1" x14ac:dyDescent="0.25">
      <c r="A42" s="118">
        <v>20</v>
      </c>
      <c r="B42" s="151">
        <v>5210</v>
      </c>
      <c r="C42" s="94" t="s">
        <v>57</v>
      </c>
      <c r="D42" s="85"/>
      <c r="E42" s="108"/>
      <c r="F42" s="85">
        <f t="shared" si="9"/>
        <v>0</v>
      </c>
      <c r="G42" s="428"/>
      <c r="H42" s="85"/>
      <c r="I42" s="428"/>
      <c r="J42" s="85"/>
      <c r="K42" s="85">
        <f>F42*(1+[1]INPUT!C$10)</f>
        <v>0</v>
      </c>
    </row>
    <row r="43" spans="1:11" s="285" customFormat="1" hidden="1" x14ac:dyDescent="0.25">
      <c r="A43" s="118">
        <v>20</v>
      </c>
      <c r="B43" s="151">
        <v>5215</v>
      </c>
      <c r="C43" s="94" t="s">
        <v>95</v>
      </c>
      <c r="D43" s="85"/>
      <c r="E43" s="108"/>
      <c r="F43" s="85">
        <f t="shared" si="9"/>
        <v>0</v>
      </c>
      <c r="G43" s="428"/>
      <c r="H43" s="85"/>
      <c r="I43" s="428"/>
      <c r="J43" s="85"/>
      <c r="K43" s="85">
        <f>F43*(1+[1]INPUT!C$10)</f>
        <v>0</v>
      </c>
    </row>
    <row r="44" spans="1:11" s="285" customFormat="1" hidden="1" x14ac:dyDescent="0.25">
      <c r="A44" s="118">
        <v>20</v>
      </c>
      <c r="B44" s="151">
        <v>5220</v>
      </c>
      <c r="C44" s="94" t="s">
        <v>58</v>
      </c>
      <c r="D44" s="85"/>
      <c r="E44" s="108"/>
      <c r="F44" s="85">
        <f t="shared" si="9"/>
        <v>0</v>
      </c>
      <c r="G44" s="428"/>
      <c r="H44" s="85"/>
      <c r="I44" s="428"/>
      <c r="J44" s="85"/>
      <c r="K44" s="85">
        <f>F44*(1+[1]INPUT!C$10)</f>
        <v>0</v>
      </c>
    </row>
    <row r="45" spans="1:11" s="285" customFormat="1" hidden="1" x14ac:dyDescent="0.25">
      <c r="A45" s="118">
        <v>20</v>
      </c>
      <c r="B45" s="151">
        <v>5225</v>
      </c>
      <c r="C45" s="94" t="s">
        <v>92</v>
      </c>
      <c r="D45" s="85"/>
      <c r="E45" s="108"/>
      <c r="F45" s="85">
        <f t="shared" si="9"/>
        <v>0</v>
      </c>
      <c r="G45" s="428"/>
      <c r="H45" s="85"/>
      <c r="I45" s="428"/>
      <c r="J45" s="85"/>
      <c r="K45" s="85">
        <f>F45*(1+[1]INPUT!C$10)</f>
        <v>0</v>
      </c>
    </row>
    <row r="46" spans="1:11" s="285" customFormat="1" hidden="1" x14ac:dyDescent="0.25">
      <c r="A46" s="118">
        <v>20</v>
      </c>
      <c r="B46" s="151">
        <v>5230</v>
      </c>
      <c r="C46" s="94" t="s">
        <v>86</v>
      </c>
      <c r="D46" s="85"/>
      <c r="E46" s="108"/>
      <c r="F46" s="85">
        <f t="shared" si="9"/>
        <v>0</v>
      </c>
      <c r="G46" s="428"/>
      <c r="H46" s="85"/>
      <c r="I46" s="428"/>
      <c r="J46" s="85"/>
      <c r="K46" s="85">
        <f>F46*(1+[1]INPUT!C$10)</f>
        <v>0</v>
      </c>
    </row>
    <row r="47" spans="1:11" s="285" customFormat="1" hidden="1" x14ac:dyDescent="0.25">
      <c r="A47" s="118">
        <v>20</v>
      </c>
      <c r="B47" s="151">
        <v>5235</v>
      </c>
      <c r="C47" s="94" t="s">
        <v>124</v>
      </c>
      <c r="D47" s="85"/>
      <c r="E47" s="108"/>
      <c r="F47" s="85">
        <f t="shared" si="9"/>
        <v>0</v>
      </c>
      <c r="G47" s="428"/>
      <c r="H47" s="85"/>
      <c r="I47" s="428"/>
      <c r="J47" s="85"/>
      <c r="K47" s="85">
        <f>F47*(1+[1]INPUT!C$10)</f>
        <v>0</v>
      </c>
    </row>
    <row r="48" spans="1:11" s="285" customFormat="1" hidden="1" x14ac:dyDescent="0.25">
      <c r="A48" s="118">
        <v>20</v>
      </c>
      <c r="B48" s="151">
        <v>5240</v>
      </c>
      <c r="C48" s="94" t="s">
        <v>59</v>
      </c>
      <c r="D48" s="85"/>
      <c r="E48" s="108"/>
      <c r="F48" s="85">
        <f t="shared" si="9"/>
        <v>0</v>
      </c>
      <c r="G48" s="428"/>
      <c r="H48" s="85"/>
      <c r="I48" s="428"/>
      <c r="J48" s="85"/>
      <c r="K48" s="85">
        <f>F48*(1+[1]INPUT!C$10)</f>
        <v>0</v>
      </c>
    </row>
    <row r="49" spans="1:11" s="285" customFormat="1" hidden="1" x14ac:dyDescent="0.25">
      <c r="A49" s="118">
        <v>20</v>
      </c>
      <c r="B49" s="151">
        <v>5245</v>
      </c>
      <c r="C49" s="94" t="s">
        <v>91</v>
      </c>
      <c r="D49" s="85"/>
      <c r="E49" s="108"/>
      <c r="F49" s="85">
        <f t="shared" si="9"/>
        <v>0</v>
      </c>
      <c r="G49" s="428"/>
      <c r="H49" s="85"/>
      <c r="I49" s="428"/>
      <c r="J49" s="85"/>
      <c r="K49" s="85">
        <f>F49*(1+[1]INPUT!C$10)</f>
        <v>0</v>
      </c>
    </row>
    <row r="50" spans="1:11" s="285" customFormat="1" x14ac:dyDescent="0.25">
      <c r="A50" s="118">
        <v>20</v>
      </c>
      <c r="B50" s="151">
        <v>5250</v>
      </c>
      <c r="C50" s="94" t="s">
        <v>88</v>
      </c>
      <c r="D50" s="85">
        <v>163800</v>
      </c>
      <c r="E50" s="108">
        <v>192000</v>
      </c>
      <c r="F50" s="425">
        <v>192000</v>
      </c>
      <c r="G50" s="428">
        <v>22000</v>
      </c>
      <c r="H50" s="108">
        <v>192000</v>
      </c>
      <c r="I50" s="425">
        <v>100000</v>
      </c>
      <c r="J50" s="425">
        <f>+I50*1.055</f>
        <v>105500</v>
      </c>
      <c r="K50" s="425">
        <f>+J50*1.053</f>
        <v>111091.5</v>
      </c>
    </row>
    <row r="51" spans="1:11" s="285" customFormat="1" hidden="1" x14ac:dyDescent="0.25">
      <c r="A51" s="118">
        <v>20</v>
      </c>
      <c r="B51" s="151">
        <v>5255</v>
      </c>
      <c r="C51" s="94" t="s">
        <v>125</v>
      </c>
      <c r="D51" s="85"/>
      <c r="E51" s="108"/>
      <c r="F51" s="85">
        <f t="shared" si="9"/>
        <v>0</v>
      </c>
      <c r="G51" s="428">
        <v>0</v>
      </c>
      <c r="H51" s="85"/>
      <c r="I51" s="428"/>
      <c r="J51" s="428"/>
      <c r="K51" s="428"/>
    </row>
    <row r="52" spans="1:11" s="285" customFormat="1" hidden="1" x14ac:dyDescent="0.25">
      <c r="A52" s="118">
        <v>20</v>
      </c>
      <c r="B52" s="151">
        <v>5260</v>
      </c>
      <c r="C52" s="94" t="s">
        <v>90</v>
      </c>
      <c r="D52" s="85"/>
      <c r="E52" s="108"/>
      <c r="F52" s="85">
        <f t="shared" si="9"/>
        <v>0</v>
      </c>
      <c r="G52" s="428">
        <v>0</v>
      </c>
      <c r="H52" s="85"/>
      <c r="I52" s="428"/>
      <c r="J52" s="428"/>
      <c r="K52" s="428"/>
    </row>
    <row r="53" spans="1:11" s="285" customFormat="1" hidden="1" x14ac:dyDescent="0.25">
      <c r="A53" s="118">
        <v>20</v>
      </c>
      <c r="B53" s="151">
        <v>5265</v>
      </c>
      <c r="C53" s="94" t="s">
        <v>87</v>
      </c>
      <c r="D53" s="85"/>
      <c r="E53" s="108"/>
      <c r="F53" s="85">
        <f t="shared" si="9"/>
        <v>0</v>
      </c>
      <c r="G53" s="428">
        <v>0</v>
      </c>
      <c r="H53" s="85"/>
      <c r="I53" s="428"/>
      <c r="J53" s="428"/>
      <c r="K53" s="428"/>
    </row>
    <row r="54" spans="1:11" s="285" customFormat="1" hidden="1" x14ac:dyDescent="0.25">
      <c r="A54" s="118">
        <v>20</v>
      </c>
      <c r="B54" s="151">
        <v>5270</v>
      </c>
      <c r="C54" s="94" t="s">
        <v>89</v>
      </c>
      <c r="D54" s="85"/>
      <c r="E54" s="108"/>
      <c r="F54" s="85">
        <f t="shared" si="9"/>
        <v>0</v>
      </c>
      <c r="G54" s="428">
        <v>0</v>
      </c>
      <c r="H54" s="85"/>
      <c r="I54" s="428"/>
      <c r="J54" s="428"/>
      <c r="K54" s="428"/>
    </row>
    <row r="55" spans="1:11" s="285" customFormat="1" hidden="1" x14ac:dyDescent="0.25">
      <c r="A55" s="118">
        <v>20</v>
      </c>
      <c r="B55" s="151">
        <v>5275</v>
      </c>
      <c r="C55" s="94" t="s">
        <v>93</v>
      </c>
      <c r="D55" s="85"/>
      <c r="E55" s="108"/>
      <c r="F55" s="85">
        <f t="shared" si="9"/>
        <v>0</v>
      </c>
      <c r="G55" s="428">
        <v>0</v>
      </c>
      <c r="H55" s="85"/>
      <c r="I55" s="428"/>
      <c r="J55" s="428"/>
      <c r="K55" s="428"/>
    </row>
    <row r="56" spans="1:11" s="285" customFormat="1" hidden="1" x14ac:dyDescent="0.25">
      <c r="A56" s="118">
        <v>20</v>
      </c>
      <c r="B56" s="151">
        <v>5280</v>
      </c>
      <c r="C56" s="94" t="s">
        <v>94</v>
      </c>
      <c r="D56" s="85"/>
      <c r="E56" s="108"/>
      <c r="F56" s="85">
        <f t="shared" si="9"/>
        <v>0</v>
      </c>
      <c r="G56" s="428">
        <v>0</v>
      </c>
      <c r="H56" s="85"/>
      <c r="I56" s="428"/>
      <c r="J56" s="428"/>
      <c r="K56" s="428"/>
    </row>
    <row r="57" spans="1:11" s="285" customFormat="1" hidden="1" x14ac:dyDescent="0.25">
      <c r="A57" s="118">
        <v>20</v>
      </c>
      <c r="B57" s="151">
        <v>5285</v>
      </c>
      <c r="C57" s="94" t="s">
        <v>60</v>
      </c>
      <c r="D57" s="85"/>
      <c r="E57" s="85"/>
      <c r="F57" s="85">
        <f t="shared" si="9"/>
        <v>0</v>
      </c>
      <c r="G57" s="428">
        <v>0</v>
      </c>
      <c r="H57" s="85"/>
      <c r="I57" s="428"/>
      <c r="J57" s="428"/>
      <c r="K57" s="428"/>
    </row>
    <row r="58" spans="1:11" s="285" customFormat="1" hidden="1" x14ac:dyDescent="0.25">
      <c r="A58" s="118">
        <v>20</v>
      </c>
      <c r="B58" s="151">
        <v>5290</v>
      </c>
      <c r="C58" s="94" t="s">
        <v>186</v>
      </c>
      <c r="D58" s="85"/>
      <c r="E58" s="108"/>
      <c r="F58" s="85">
        <f t="shared" si="9"/>
        <v>0</v>
      </c>
      <c r="G58" s="428">
        <v>0</v>
      </c>
      <c r="H58" s="85"/>
      <c r="I58" s="428"/>
      <c r="J58" s="428"/>
      <c r="K58" s="428"/>
    </row>
    <row r="59" spans="1:11" s="285" customFormat="1" x14ac:dyDescent="0.25">
      <c r="A59" s="344"/>
      <c r="B59" s="151"/>
      <c r="C59" s="94"/>
      <c r="D59" s="439">
        <f t="shared" ref="D59:K59" si="10">SUM(D40:D58)</f>
        <v>163800</v>
      </c>
      <c r="E59" s="110">
        <f t="shared" si="10"/>
        <v>192000</v>
      </c>
      <c r="F59" s="110">
        <f t="shared" si="10"/>
        <v>192000</v>
      </c>
      <c r="G59" s="439">
        <f t="shared" si="10"/>
        <v>22000</v>
      </c>
      <c r="H59" s="110">
        <f t="shared" si="10"/>
        <v>192000</v>
      </c>
      <c r="I59" s="439">
        <f t="shared" si="10"/>
        <v>100000</v>
      </c>
      <c r="J59" s="439">
        <f t="shared" si="10"/>
        <v>105500</v>
      </c>
      <c r="K59" s="439">
        <f t="shared" si="10"/>
        <v>111091.5</v>
      </c>
    </row>
    <row r="60" spans="1:11" s="285" customFormat="1" x14ac:dyDescent="0.25">
      <c r="A60" s="344"/>
      <c r="B60" s="151"/>
      <c r="C60" s="93" t="s">
        <v>198</v>
      </c>
      <c r="D60" s="85"/>
      <c r="E60" s="112"/>
      <c r="F60" s="112"/>
      <c r="G60" s="112"/>
      <c r="H60" s="112"/>
      <c r="I60" s="112"/>
      <c r="J60" s="112"/>
      <c r="K60" s="108"/>
    </row>
    <row r="61" spans="1:11" s="285" customFormat="1" x14ac:dyDescent="0.25">
      <c r="A61" s="118">
        <v>20</v>
      </c>
      <c r="B61" s="151">
        <v>5400</v>
      </c>
      <c r="C61" s="94" t="s">
        <v>334</v>
      </c>
      <c r="D61" s="85"/>
      <c r="E61" s="86"/>
      <c r="F61" s="85"/>
      <c r="G61" s="86"/>
      <c r="H61" s="86"/>
      <c r="I61" s="86"/>
      <c r="J61" s="86"/>
      <c r="K61" s="85"/>
    </row>
    <row r="62" spans="1:11" s="285" customFormat="1" x14ac:dyDescent="0.25">
      <c r="A62" s="118">
        <v>20</v>
      </c>
      <c r="B62" s="151">
        <v>5405</v>
      </c>
      <c r="C62" s="94" t="s">
        <v>335</v>
      </c>
      <c r="D62" s="85">
        <v>80800</v>
      </c>
      <c r="E62" s="108">
        <v>21210</v>
      </c>
      <c r="F62" s="425">
        <v>21210</v>
      </c>
      <c r="G62" s="425">
        <v>21210</v>
      </c>
      <c r="H62" s="108">
        <v>21210</v>
      </c>
      <c r="I62" s="425"/>
      <c r="J62" s="108"/>
      <c r="K62" s="108"/>
    </row>
    <row r="63" spans="1:11" s="285" customFormat="1" x14ac:dyDescent="0.25">
      <c r="A63" s="344"/>
      <c r="B63" s="151"/>
      <c r="C63" s="94"/>
      <c r="D63" s="429">
        <f t="shared" ref="D63:K63" si="11">SUM(D61:D62)</f>
        <v>80800</v>
      </c>
      <c r="E63" s="89">
        <f t="shared" si="11"/>
        <v>21210</v>
      </c>
      <c r="F63" s="89">
        <f t="shared" si="11"/>
        <v>21210</v>
      </c>
      <c r="G63" s="429">
        <f t="shared" si="11"/>
        <v>21210</v>
      </c>
      <c r="H63" s="89">
        <f t="shared" si="11"/>
        <v>21210</v>
      </c>
      <c r="I63" s="429">
        <f t="shared" si="11"/>
        <v>0</v>
      </c>
      <c r="J63" s="429">
        <f t="shared" si="11"/>
        <v>0</v>
      </c>
      <c r="K63" s="429">
        <f t="shared" si="11"/>
        <v>0</v>
      </c>
    </row>
    <row r="64" spans="1:11" s="285" customFormat="1" hidden="1" x14ac:dyDescent="0.25">
      <c r="A64" s="344"/>
      <c r="B64" s="151"/>
      <c r="C64" s="93" t="s">
        <v>61</v>
      </c>
      <c r="D64" s="85"/>
      <c r="E64" s="86"/>
      <c r="F64" s="86"/>
      <c r="G64" s="86"/>
      <c r="H64" s="86"/>
      <c r="I64" s="86"/>
      <c r="J64" s="86"/>
      <c r="K64" s="85"/>
    </row>
    <row r="65" spans="1:11" s="285" customFormat="1" hidden="1" x14ac:dyDescent="0.25">
      <c r="A65" s="118">
        <v>20</v>
      </c>
      <c r="B65" s="151">
        <v>5450</v>
      </c>
      <c r="C65" s="94" t="s">
        <v>351</v>
      </c>
      <c r="D65" s="85"/>
      <c r="E65" s="108"/>
      <c r="F65" s="85">
        <f>0/8*12</f>
        <v>0</v>
      </c>
      <c r="G65" s="428">
        <v>0</v>
      </c>
      <c r="H65" s="85"/>
      <c r="I65" s="428"/>
      <c r="J65" s="85"/>
      <c r="K65" s="108"/>
    </row>
    <row r="66" spans="1:11" s="285" customFormat="1" hidden="1" x14ac:dyDescent="0.25">
      <c r="A66" s="344"/>
      <c r="B66" s="151"/>
      <c r="C66" s="94"/>
      <c r="D66" s="89"/>
      <c r="E66" s="89">
        <f>E65</f>
        <v>0</v>
      </c>
      <c r="F66" s="89">
        <f>F65</f>
        <v>0</v>
      </c>
      <c r="G66" s="429">
        <v>0</v>
      </c>
      <c r="H66" s="89"/>
      <c r="I66" s="429"/>
      <c r="J66" s="89"/>
      <c r="K66" s="89"/>
    </row>
    <row r="67" spans="1:11" s="285" customFormat="1" hidden="1" x14ac:dyDescent="0.25">
      <c r="A67" s="344"/>
      <c r="B67" s="151"/>
      <c r="C67" s="93" t="s">
        <v>96</v>
      </c>
      <c r="D67" s="85"/>
      <c r="E67" s="86"/>
      <c r="F67" s="86"/>
      <c r="G67" s="86"/>
      <c r="H67" s="86"/>
      <c r="I67" s="86"/>
      <c r="J67" s="86"/>
      <c r="K67" s="85"/>
    </row>
    <row r="68" spans="1:11" s="285" customFormat="1" hidden="1" x14ac:dyDescent="0.25">
      <c r="A68" s="118">
        <v>20</v>
      </c>
      <c r="B68" s="151">
        <v>5470</v>
      </c>
      <c r="C68" s="94" t="s">
        <v>97</v>
      </c>
      <c r="D68" s="85"/>
      <c r="E68" s="86"/>
      <c r="F68" s="85">
        <f>0/8*12</f>
        <v>0</v>
      </c>
      <c r="G68" s="428">
        <v>0</v>
      </c>
      <c r="H68" s="85"/>
      <c r="I68" s="428"/>
      <c r="J68" s="85"/>
      <c r="K68" s="85"/>
    </row>
    <row r="69" spans="1:11" s="285" customFormat="1" hidden="1" x14ac:dyDescent="0.25">
      <c r="A69" s="118">
        <v>20</v>
      </c>
      <c r="B69" s="151">
        <v>5475</v>
      </c>
      <c r="C69" s="94" t="s">
        <v>134</v>
      </c>
      <c r="D69" s="85"/>
      <c r="E69" s="86"/>
      <c r="F69" s="85">
        <f>0/8*12</f>
        <v>0</v>
      </c>
      <c r="G69" s="428">
        <v>0</v>
      </c>
      <c r="H69" s="85"/>
      <c r="I69" s="428"/>
      <c r="J69" s="85"/>
      <c r="K69" s="85"/>
    </row>
    <row r="70" spans="1:11" s="285" customFormat="1" hidden="1" x14ac:dyDescent="0.25">
      <c r="A70" s="344"/>
      <c r="B70" s="151"/>
      <c r="C70" s="94"/>
      <c r="D70" s="89"/>
      <c r="E70" s="110">
        <f>SUM(E68:E69)</f>
        <v>0</v>
      </c>
      <c r="F70" s="110">
        <f>SUM(F68:F69)</f>
        <v>0</v>
      </c>
      <c r="G70" s="439">
        <v>0</v>
      </c>
      <c r="H70" s="110"/>
      <c r="I70" s="439"/>
      <c r="J70" s="110"/>
      <c r="K70" s="89"/>
    </row>
    <row r="71" spans="1:11" s="285" customFormat="1" x14ac:dyDescent="0.25">
      <c r="A71" s="344"/>
      <c r="B71" s="151"/>
      <c r="C71" s="93" t="s">
        <v>62</v>
      </c>
      <c r="D71" s="88"/>
      <c r="E71" s="113"/>
      <c r="F71" s="113"/>
      <c r="G71" s="113"/>
      <c r="H71" s="113"/>
      <c r="I71" s="113"/>
      <c r="J71" s="113"/>
      <c r="K71" s="88"/>
    </row>
    <row r="72" spans="1:11" s="285" customFormat="1" hidden="1" x14ac:dyDescent="0.25">
      <c r="A72" s="118">
        <v>20</v>
      </c>
      <c r="B72" s="151">
        <v>5505</v>
      </c>
      <c r="C72" s="94" t="s">
        <v>259</v>
      </c>
      <c r="D72" s="85"/>
      <c r="E72" s="85"/>
      <c r="F72" s="85">
        <f t="shared" ref="F72:F77" si="12">0/8*12</f>
        <v>0</v>
      </c>
      <c r="G72" s="428">
        <v>0</v>
      </c>
      <c r="H72" s="85"/>
      <c r="I72" s="428"/>
      <c r="J72" s="85"/>
      <c r="K72" s="85"/>
    </row>
    <row r="73" spans="1:11" s="285" customFormat="1" hidden="1" x14ac:dyDescent="0.25">
      <c r="A73" s="118">
        <v>20</v>
      </c>
      <c r="B73" s="151">
        <v>5510</v>
      </c>
      <c r="C73" s="94" t="s">
        <v>63</v>
      </c>
      <c r="D73" s="85"/>
      <c r="E73" s="85"/>
      <c r="F73" s="85">
        <f t="shared" si="12"/>
        <v>0</v>
      </c>
      <c r="G73" s="428">
        <v>0</v>
      </c>
      <c r="H73" s="85"/>
      <c r="I73" s="428"/>
      <c r="J73" s="85"/>
      <c r="K73" s="85"/>
    </row>
    <row r="74" spans="1:11" s="285" customFormat="1" hidden="1" x14ac:dyDescent="0.25">
      <c r="A74" s="118">
        <v>20</v>
      </c>
      <c r="B74" s="151">
        <v>5520</v>
      </c>
      <c r="C74" s="94" t="s">
        <v>260</v>
      </c>
      <c r="D74" s="85"/>
      <c r="E74" s="85"/>
      <c r="F74" s="85">
        <f t="shared" si="12"/>
        <v>0</v>
      </c>
      <c r="G74" s="428">
        <v>0</v>
      </c>
      <c r="H74" s="85"/>
      <c r="I74" s="428"/>
      <c r="J74" s="85"/>
      <c r="K74" s="85"/>
    </row>
    <row r="75" spans="1:11" s="285" customFormat="1" hidden="1" x14ac:dyDescent="0.25">
      <c r="A75" s="118">
        <v>20</v>
      </c>
      <c r="B75" s="151">
        <v>5525</v>
      </c>
      <c r="C75" s="94" t="s">
        <v>261</v>
      </c>
      <c r="D75" s="85"/>
      <c r="E75" s="85">
        <v>0</v>
      </c>
      <c r="F75" s="85">
        <f t="shared" si="12"/>
        <v>0</v>
      </c>
      <c r="G75" s="428">
        <v>0</v>
      </c>
      <c r="H75" s="85"/>
      <c r="I75" s="428"/>
      <c r="J75" s="85"/>
      <c r="K75" s="85"/>
    </row>
    <row r="76" spans="1:11" s="285" customFormat="1" hidden="1" x14ac:dyDescent="0.25">
      <c r="A76" s="118">
        <v>20</v>
      </c>
      <c r="B76" s="151">
        <v>5530</v>
      </c>
      <c r="C76" s="94" t="s">
        <v>262</v>
      </c>
      <c r="D76" s="85"/>
      <c r="E76" s="85"/>
      <c r="F76" s="85">
        <f t="shared" si="12"/>
        <v>0</v>
      </c>
      <c r="G76" s="428">
        <v>0</v>
      </c>
      <c r="H76" s="85"/>
      <c r="I76" s="428"/>
      <c r="J76" s="85"/>
      <c r="K76" s="85"/>
    </row>
    <row r="77" spans="1:11" s="285" customFormat="1" hidden="1" x14ac:dyDescent="0.25">
      <c r="A77" s="118">
        <v>20</v>
      </c>
      <c r="B77" s="151">
        <v>5535</v>
      </c>
      <c r="C77" s="94" t="s">
        <v>263</v>
      </c>
      <c r="D77" s="85"/>
      <c r="E77" s="85"/>
      <c r="F77" s="85">
        <f t="shared" si="12"/>
        <v>0</v>
      </c>
      <c r="G77" s="428">
        <v>0</v>
      </c>
      <c r="H77" s="85"/>
      <c r="I77" s="428"/>
      <c r="J77" s="85"/>
      <c r="K77" s="85"/>
    </row>
    <row r="78" spans="1:11" s="285" customFormat="1" x14ac:dyDescent="0.25">
      <c r="A78" s="118">
        <v>20</v>
      </c>
      <c r="B78" s="151">
        <v>5540</v>
      </c>
      <c r="C78" s="94" t="s">
        <v>264</v>
      </c>
      <c r="D78" s="85"/>
      <c r="E78" s="85">
        <v>10000</v>
      </c>
      <c r="F78" s="85">
        <v>10000</v>
      </c>
      <c r="G78" s="428">
        <v>10000</v>
      </c>
      <c r="H78" s="85"/>
      <c r="I78" s="428"/>
      <c r="J78" s="85"/>
      <c r="K78" s="85"/>
    </row>
    <row r="79" spans="1:11" s="285" customFormat="1" ht="13.5" hidden="1" customHeight="1" x14ac:dyDescent="0.25">
      <c r="A79" s="118">
        <v>20</v>
      </c>
      <c r="B79" s="151">
        <v>5545</v>
      </c>
      <c r="C79" s="94" t="s">
        <v>265</v>
      </c>
      <c r="D79" s="85"/>
      <c r="E79" s="85">
        <v>0</v>
      </c>
      <c r="F79" s="85">
        <f t="shared" ref="F79:F142" si="13">E79-D79</f>
        <v>0</v>
      </c>
      <c r="G79" s="428">
        <v>0</v>
      </c>
      <c r="H79" s="85"/>
      <c r="I79" s="428"/>
      <c r="J79" s="85"/>
      <c r="K79" s="85"/>
    </row>
    <row r="80" spans="1:11" s="285" customFormat="1" hidden="1" x14ac:dyDescent="0.25">
      <c r="A80" s="118">
        <v>20</v>
      </c>
      <c r="B80" s="151">
        <v>5550</v>
      </c>
      <c r="C80" s="94" t="s">
        <v>267</v>
      </c>
      <c r="D80" s="85"/>
      <c r="E80" s="85">
        <v>0</v>
      </c>
      <c r="F80" s="85">
        <f t="shared" si="13"/>
        <v>0</v>
      </c>
      <c r="G80" s="428">
        <v>0</v>
      </c>
      <c r="H80" s="85"/>
      <c r="I80" s="428"/>
      <c r="J80" s="85"/>
      <c r="K80" s="85"/>
    </row>
    <row r="81" spans="1:11" s="285" customFormat="1" hidden="1" x14ac:dyDescent="0.25">
      <c r="A81" s="118">
        <v>20</v>
      </c>
      <c r="B81" s="151">
        <v>5555</v>
      </c>
      <c r="C81" s="94" t="s">
        <v>268</v>
      </c>
      <c r="D81" s="85"/>
      <c r="E81" s="85">
        <v>0</v>
      </c>
      <c r="F81" s="85">
        <f t="shared" si="13"/>
        <v>0</v>
      </c>
      <c r="G81" s="428">
        <v>0</v>
      </c>
      <c r="H81" s="85"/>
      <c r="I81" s="428"/>
      <c r="J81" s="85"/>
      <c r="K81" s="85"/>
    </row>
    <row r="82" spans="1:11" s="285" customFormat="1" hidden="1" x14ac:dyDescent="0.25">
      <c r="A82" s="118">
        <v>20</v>
      </c>
      <c r="B82" s="151">
        <v>5560</v>
      </c>
      <c r="C82" s="94" t="s">
        <v>269</v>
      </c>
      <c r="D82" s="85"/>
      <c r="E82" s="85">
        <v>0</v>
      </c>
      <c r="F82" s="85">
        <f t="shared" si="13"/>
        <v>0</v>
      </c>
      <c r="G82" s="428">
        <v>0</v>
      </c>
      <c r="H82" s="85"/>
      <c r="I82" s="428"/>
      <c r="J82" s="85"/>
      <c r="K82" s="85"/>
    </row>
    <row r="83" spans="1:11" s="285" customFormat="1" hidden="1" x14ac:dyDescent="0.25">
      <c r="A83" s="118">
        <v>20</v>
      </c>
      <c r="B83" s="151">
        <v>5565</v>
      </c>
      <c r="C83" s="94" t="s">
        <v>246</v>
      </c>
      <c r="D83" s="85"/>
      <c r="E83" s="85">
        <v>0</v>
      </c>
      <c r="F83" s="85">
        <f t="shared" si="13"/>
        <v>0</v>
      </c>
      <c r="G83" s="428">
        <v>0</v>
      </c>
      <c r="H83" s="85"/>
      <c r="I83" s="428"/>
      <c r="J83" s="85"/>
      <c r="K83" s="85"/>
    </row>
    <row r="84" spans="1:11" s="285" customFormat="1" hidden="1" x14ac:dyDescent="0.25">
      <c r="A84" s="118">
        <v>20</v>
      </c>
      <c r="B84" s="151">
        <v>5570</v>
      </c>
      <c r="C84" s="94" t="s">
        <v>270</v>
      </c>
      <c r="D84" s="85"/>
      <c r="E84" s="85">
        <v>0</v>
      </c>
      <c r="F84" s="85">
        <f t="shared" si="13"/>
        <v>0</v>
      </c>
      <c r="G84" s="428">
        <v>0</v>
      </c>
      <c r="H84" s="85"/>
      <c r="I84" s="428"/>
      <c r="J84" s="85"/>
      <c r="K84" s="85"/>
    </row>
    <row r="85" spans="1:11" s="285" customFormat="1" hidden="1" x14ac:dyDescent="0.25">
      <c r="A85" s="118">
        <v>20</v>
      </c>
      <c r="B85" s="151">
        <v>5575</v>
      </c>
      <c r="C85" s="94" t="s">
        <v>271</v>
      </c>
      <c r="D85" s="85"/>
      <c r="E85" s="85">
        <v>0</v>
      </c>
      <c r="F85" s="85">
        <f t="shared" si="13"/>
        <v>0</v>
      </c>
      <c r="G85" s="428">
        <v>0</v>
      </c>
      <c r="H85" s="85"/>
      <c r="I85" s="428"/>
      <c r="J85" s="85"/>
      <c r="K85" s="85"/>
    </row>
    <row r="86" spans="1:11" s="285" customFormat="1" hidden="1" x14ac:dyDescent="0.25">
      <c r="A86" s="118">
        <v>20</v>
      </c>
      <c r="B86" s="151">
        <v>5580</v>
      </c>
      <c r="C86" s="94" t="s">
        <v>272</v>
      </c>
      <c r="D86" s="85"/>
      <c r="E86" s="85">
        <v>0</v>
      </c>
      <c r="F86" s="85">
        <f t="shared" si="13"/>
        <v>0</v>
      </c>
      <c r="G86" s="428">
        <v>0</v>
      </c>
      <c r="H86" s="85"/>
      <c r="I86" s="428"/>
      <c r="J86" s="85"/>
      <c r="K86" s="85"/>
    </row>
    <row r="87" spans="1:11" s="285" customFormat="1" hidden="1" x14ac:dyDescent="0.25">
      <c r="A87" s="118">
        <v>20</v>
      </c>
      <c r="B87" s="151">
        <v>5585</v>
      </c>
      <c r="C87" s="94" t="s">
        <v>273</v>
      </c>
      <c r="D87" s="85"/>
      <c r="E87" s="85">
        <v>0</v>
      </c>
      <c r="F87" s="85">
        <f t="shared" si="13"/>
        <v>0</v>
      </c>
      <c r="G87" s="428">
        <v>0</v>
      </c>
      <c r="H87" s="85"/>
      <c r="I87" s="428"/>
      <c r="J87" s="85"/>
      <c r="K87" s="85"/>
    </row>
    <row r="88" spans="1:11" s="285" customFormat="1" hidden="1" x14ac:dyDescent="0.25">
      <c r="A88" s="118">
        <v>20</v>
      </c>
      <c r="B88" s="151">
        <v>5590</v>
      </c>
      <c r="C88" s="94" t="s">
        <v>274</v>
      </c>
      <c r="D88" s="85"/>
      <c r="E88" s="85">
        <v>0</v>
      </c>
      <c r="F88" s="85">
        <f t="shared" si="13"/>
        <v>0</v>
      </c>
      <c r="G88" s="428">
        <v>0</v>
      </c>
      <c r="H88" s="85"/>
      <c r="I88" s="428"/>
      <c r="J88" s="85"/>
      <c r="K88" s="85"/>
    </row>
    <row r="89" spans="1:11" s="285" customFormat="1" hidden="1" x14ac:dyDescent="0.25">
      <c r="A89" s="118">
        <v>20</v>
      </c>
      <c r="B89" s="151">
        <v>5595</v>
      </c>
      <c r="C89" s="94" t="s">
        <v>275</v>
      </c>
      <c r="D89" s="85"/>
      <c r="E89" s="85">
        <v>0</v>
      </c>
      <c r="F89" s="85">
        <f t="shared" si="13"/>
        <v>0</v>
      </c>
      <c r="G89" s="428">
        <v>0</v>
      </c>
      <c r="H89" s="85"/>
      <c r="I89" s="428"/>
      <c r="J89" s="85"/>
      <c r="K89" s="85"/>
    </row>
    <row r="90" spans="1:11" s="285" customFormat="1" hidden="1" x14ac:dyDescent="0.25">
      <c r="A90" s="118">
        <v>20</v>
      </c>
      <c r="B90" s="151">
        <v>5600</v>
      </c>
      <c r="C90" s="159" t="s">
        <v>276</v>
      </c>
      <c r="D90" s="85"/>
      <c r="E90" s="85">
        <v>0</v>
      </c>
      <c r="F90" s="85">
        <f t="shared" si="13"/>
        <v>0</v>
      </c>
      <c r="G90" s="428">
        <v>0</v>
      </c>
      <c r="H90" s="85"/>
      <c r="I90" s="428"/>
      <c r="J90" s="85"/>
      <c r="K90" s="85"/>
    </row>
    <row r="91" spans="1:11" s="285" customFormat="1" hidden="1" x14ac:dyDescent="0.25">
      <c r="A91" s="118">
        <v>20</v>
      </c>
      <c r="B91" s="151">
        <v>5605</v>
      </c>
      <c r="C91" s="159" t="s">
        <v>277</v>
      </c>
      <c r="D91" s="85"/>
      <c r="E91" s="85">
        <v>0</v>
      </c>
      <c r="F91" s="85">
        <f t="shared" si="13"/>
        <v>0</v>
      </c>
      <c r="G91" s="428">
        <v>0</v>
      </c>
      <c r="H91" s="85"/>
      <c r="I91" s="428"/>
      <c r="J91" s="85"/>
      <c r="K91" s="85"/>
    </row>
    <row r="92" spans="1:11" s="285" customFormat="1" hidden="1" x14ac:dyDescent="0.25">
      <c r="A92" s="118">
        <v>20</v>
      </c>
      <c r="B92" s="151">
        <v>5610</v>
      </c>
      <c r="C92" s="159" t="s">
        <v>278</v>
      </c>
      <c r="D92" s="85"/>
      <c r="E92" s="85">
        <v>0</v>
      </c>
      <c r="F92" s="85">
        <f t="shared" si="13"/>
        <v>0</v>
      </c>
      <c r="G92" s="428">
        <v>0</v>
      </c>
      <c r="H92" s="85"/>
      <c r="I92" s="428"/>
      <c r="J92" s="85"/>
      <c r="K92" s="85"/>
    </row>
    <row r="93" spans="1:11" s="285" customFormat="1" hidden="1" x14ac:dyDescent="0.25">
      <c r="A93" s="118">
        <v>20</v>
      </c>
      <c r="B93" s="151">
        <v>5615</v>
      </c>
      <c r="C93" s="159" t="s">
        <v>279</v>
      </c>
      <c r="D93" s="85"/>
      <c r="E93" s="85">
        <v>0</v>
      </c>
      <c r="F93" s="85">
        <f t="shared" si="13"/>
        <v>0</v>
      </c>
      <c r="G93" s="428">
        <v>0</v>
      </c>
      <c r="H93" s="85"/>
      <c r="I93" s="428"/>
      <c r="J93" s="85"/>
      <c r="K93" s="85"/>
    </row>
    <row r="94" spans="1:11" s="285" customFormat="1" hidden="1" x14ac:dyDescent="0.25">
      <c r="A94" s="118">
        <v>20</v>
      </c>
      <c r="B94" s="151">
        <v>5620</v>
      </c>
      <c r="C94" s="159" t="s">
        <v>280</v>
      </c>
      <c r="D94" s="85"/>
      <c r="E94" s="85">
        <v>0</v>
      </c>
      <c r="F94" s="85">
        <f t="shared" si="13"/>
        <v>0</v>
      </c>
      <c r="G94" s="428">
        <v>0</v>
      </c>
      <c r="H94" s="85"/>
      <c r="I94" s="428"/>
      <c r="J94" s="85"/>
      <c r="K94" s="85"/>
    </row>
    <row r="95" spans="1:11" s="285" customFormat="1" hidden="1" x14ac:dyDescent="0.25">
      <c r="A95" s="118">
        <v>20</v>
      </c>
      <c r="B95" s="151">
        <v>5625</v>
      </c>
      <c r="C95" s="159" t="s">
        <v>281</v>
      </c>
      <c r="D95" s="85"/>
      <c r="E95" s="85">
        <v>0</v>
      </c>
      <c r="F95" s="85">
        <f t="shared" si="13"/>
        <v>0</v>
      </c>
      <c r="G95" s="428">
        <v>0</v>
      </c>
      <c r="H95" s="85"/>
      <c r="I95" s="428"/>
      <c r="J95" s="85"/>
      <c r="K95" s="85"/>
    </row>
    <row r="96" spans="1:11" s="285" customFormat="1" hidden="1" x14ac:dyDescent="0.25">
      <c r="A96" s="118">
        <v>20</v>
      </c>
      <c r="B96" s="151">
        <v>5630</v>
      </c>
      <c r="C96" s="159" t="s">
        <v>282</v>
      </c>
      <c r="D96" s="85"/>
      <c r="E96" s="85">
        <v>0</v>
      </c>
      <c r="F96" s="85">
        <f t="shared" si="13"/>
        <v>0</v>
      </c>
      <c r="G96" s="428">
        <v>0</v>
      </c>
      <c r="H96" s="85"/>
      <c r="I96" s="428"/>
      <c r="J96" s="85"/>
      <c r="K96" s="85"/>
    </row>
    <row r="97" spans="1:11" s="285" customFormat="1" hidden="1" x14ac:dyDescent="0.25">
      <c r="A97" s="118">
        <v>20</v>
      </c>
      <c r="B97" s="151">
        <v>5635</v>
      </c>
      <c r="C97" s="159" t="s">
        <v>283</v>
      </c>
      <c r="D97" s="85"/>
      <c r="E97" s="85">
        <v>0</v>
      </c>
      <c r="F97" s="85">
        <f t="shared" si="13"/>
        <v>0</v>
      </c>
      <c r="G97" s="428">
        <v>0</v>
      </c>
      <c r="H97" s="85"/>
      <c r="I97" s="428"/>
      <c r="J97" s="85"/>
      <c r="K97" s="85"/>
    </row>
    <row r="98" spans="1:11" s="285" customFormat="1" hidden="1" x14ac:dyDescent="0.25">
      <c r="A98" s="118">
        <v>20</v>
      </c>
      <c r="B98" s="151">
        <v>5640</v>
      </c>
      <c r="C98" s="159" t="s">
        <v>284</v>
      </c>
      <c r="D98" s="85"/>
      <c r="E98" s="85">
        <v>0</v>
      </c>
      <c r="F98" s="85">
        <f t="shared" si="13"/>
        <v>0</v>
      </c>
      <c r="G98" s="428">
        <v>0</v>
      </c>
      <c r="H98" s="85"/>
      <c r="I98" s="428"/>
      <c r="J98" s="85"/>
      <c r="K98" s="85"/>
    </row>
    <row r="99" spans="1:11" s="285" customFormat="1" hidden="1" x14ac:dyDescent="0.25">
      <c r="A99" s="118">
        <v>20</v>
      </c>
      <c r="B99" s="151">
        <v>5645</v>
      </c>
      <c r="C99" s="159" t="s">
        <v>285</v>
      </c>
      <c r="D99" s="85"/>
      <c r="E99" s="85">
        <v>0</v>
      </c>
      <c r="F99" s="85">
        <f t="shared" si="13"/>
        <v>0</v>
      </c>
      <c r="G99" s="428">
        <v>0</v>
      </c>
      <c r="H99" s="85"/>
      <c r="I99" s="428"/>
      <c r="J99" s="85"/>
      <c r="K99" s="85"/>
    </row>
    <row r="100" spans="1:11" s="285" customFormat="1" hidden="1" x14ac:dyDescent="0.25">
      <c r="A100" s="118">
        <v>20</v>
      </c>
      <c r="B100" s="151">
        <v>5650</v>
      </c>
      <c r="C100" s="159" t="s">
        <v>286</v>
      </c>
      <c r="D100" s="85"/>
      <c r="E100" s="85">
        <v>0</v>
      </c>
      <c r="F100" s="85">
        <f t="shared" si="13"/>
        <v>0</v>
      </c>
      <c r="G100" s="428">
        <v>0</v>
      </c>
      <c r="H100" s="85"/>
      <c r="I100" s="428"/>
      <c r="J100" s="85"/>
      <c r="K100" s="85"/>
    </row>
    <row r="101" spans="1:11" s="285" customFormat="1" hidden="1" x14ac:dyDescent="0.25">
      <c r="A101" s="118">
        <v>20</v>
      </c>
      <c r="B101" s="151">
        <v>5655</v>
      </c>
      <c r="C101" s="159" t="s">
        <v>287</v>
      </c>
      <c r="D101" s="85"/>
      <c r="E101" s="85">
        <v>0</v>
      </c>
      <c r="F101" s="85">
        <f t="shared" si="13"/>
        <v>0</v>
      </c>
      <c r="G101" s="428">
        <v>0</v>
      </c>
      <c r="H101" s="85"/>
      <c r="I101" s="428"/>
      <c r="J101" s="85"/>
      <c r="K101" s="85"/>
    </row>
    <row r="102" spans="1:11" s="285" customFormat="1" hidden="1" x14ac:dyDescent="0.25">
      <c r="A102" s="118">
        <v>20</v>
      </c>
      <c r="B102" s="151">
        <v>5660</v>
      </c>
      <c r="C102" s="159" t="s">
        <v>288</v>
      </c>
      <c r="D102" s="85"/>
      <c r="E102" s="85">
        <v>0</v>
      </c>
      <c r="F102" s="85">
        <f t="shared" si="13"/>
        <v>0</v>
      </c>
      <c r="G102" s="428">
        <v>0</v>
      </c>
      <c r="H102" s="85"/>
      <c r="I102" s="428"/>
      <c r="J102" s="85"/>
      <c r="K102" s="85"/>
    </row>
    <row r="103" spans="1:11" s="285" customFormat="1" hidden="1" x14ac:dyDescent="0.25">
      <c r="A103" s="118">
        <v>20</v>
      </c>
      <c r="B103" s="151">
        <v>5665</v>
      </c>
      <c r="C103" s="94" t="s">
        <v>289</v>
      </c>
      <c r="D103" s="85"/>
      <c r="E103" s="85">
        <v>0</v>
      </c>
      <c r="F103" s="85">
        <f t="shared" si="13"/>
        <v>0</v>
      </c>
      <c r="G103" s="428">
        <v>0</v>
      </c>
      <c r="H103" s="85"/>
      <c r="I103" s="428"/>
      <c r="J103" s="85"/>
      <c r="K103" s="85"/>
    </row>
    <row r="104" spans="1:11" s="285" customFormat="1" hidden="1" x14ac:dyDescent="0.25">
      <c r="A104" s="118">
        <v>20</v>
      </c>
      <c r="B104" s="151">
        <v>5670</v>
      </c>
      <c r="C104" s="94" t="s">
        <v>290</v>
      </c>
      <c r="D104" s="85"/>
      <c r="E104" s="85">
        <v>0</v>
      </c>
      <c r="F104" s="85">
        <f t="shared" si="13"/>
        <v>0</v>
      </c>
      <c r="G104" s="428">
        <v>0</v>
      </c>
      <c r="H104" s="85"/>
      <c r="I104" s="428"/>
      <c r="J104" s="85"/>
      <c r="K104" s="85"/>
    </row>
    <row r="105" spans="1:11" s="285" customFormat="1" hidden="1" x14ac:dyDescent="0.25">
      <c r="A105" s="118">
        <v>20</v>
      </c>
      <c r="B105" s="151">
        <v>5675</v>
      </c>
      <c r="C105" s="94" t="s">
        <v>291</v>
      </c>
      <c r="D105" s="85"/>
      <c r="E105" s="85">
        <v>0</v>
      </c>
      <c r="F105" s="85">
        <f t="shared" si="13"/>
        <v>0</v>
      </c>
      <c r="G105" s="428">
        <v>0</v>
      </c>
      <c r="H105" s="85"/>
      <c r="I105" s="428"/>
      <c r="J105" s="85"/>
      <c r="K105" s="85"/>
    </row>
    <row r="106" spans="1:11" s="285" customFormat="1" hidden="1" x14ac:dyDescent="0.25">
      <c r="A106" s="118">
        <v>20</v>
      </c>
      <c r="B106" s="151">
        <v>5680</v>
      </c>
      <c r="C106" s="94" t="s">
        <v>292</v>
      </c>
      <c r="D106" s="85"/>
      <c r="E106" s="85">
        <v>0</v>
      </c>
      <c r="F106" s="85">
        <f t="shared" si="13"/>
        <v>0</v>
      </c>
      <c r="G106" s="428">
        <v>0</v>
      </c>
      <c r="H106" s="85"/>
      <c r="I106" s="428"/>
      <c r="J106" s="85"/>
      <c r="K106" s="85"/>
    </row>
    <row r="107" spans="1:11" s="285" customFormat="1" hidden="1" x14ac:dyDescent="0.25">
      <c r="A107" s="118">
        <v>20</v>
      </c>
      <c r="B107" s="151">
        <v>5685</v>
      </c>
      <c r="C107" s="94" t="s">
        <v>293</v>
      </c>
      <c r="D107" s="85"/>
      <c r="E107" s="85">
        <v>0</v>
      </c>
      <c r="F107" s="85">
        <f t="shared" si="13"/>
        <v>0</v>
      </c>
      <c r="G107" s="428">
        <v>0</v>
      </c>
      <c r="H107" s="85"/>
      <c r="I107" s="428"/>
      <c r="J107" s="85"/>
      <c r="K107" s="85"/>
    </row>
    <row r="108" spans="1:11" s="285" customFormat="1" hidden="1" x14ac:dyDescent="0.25">
      <c r="A108" s="118">
        <v>20</v>
      </c>
      <c r="B108" s="151">
        <v>5690</v>
      </c>
      <c r="C108" s="94" t="s">
        <v>247</v>
      </c>
      <c r="D108" s="85"/>
      <c r="E108" s="85">
        <v>0</v>
      </c>
      <c r="F108" s="85">
        <f t="shared" si="13"/>
        <v>0</v>
      </c>
      <c r="G108" s="428">
        <v>0</v>
      </c>
      <c r="H108" s="85"/>
      <c r="I108" s="428"/>
      <c r="J108" s="85"/>
      <c r="K108" s="85"/>
    </row>
    <row r="109" spans="1:11" s="285" customFormat="1" hidden="1" x14ac:dyDescent="0.25">
      <c r="A109" s="118">
        <v>20</v>
      </c>
      <c r="B109" s="151">
        <v>5695</v>
      </c>
      <c r="C109" s="94" t="s">
        <v>294</v>
      </c>
      <c r="D109" s="85"/>
      <c r="E109" s="85">
        <v>0</v>
      </c>
      <c r="F109" s="85">
        <f t="shared" si="13"/>
        <v>0</v>
      </c>
      <c r="G109" s="428">
        <v>0</v>
      </c>
      <c r="H109" s="85"/>
      <c r="I109" s="428"/>
      <c r="J109" s="85"/>
      <c r="K109" s="85"/>
    </row>
    <row r="110" spans="1:11" s="285" customFormat="1" hidden="1" x14ac:dyDescent="0.25">
      <c r="A110" s="118">
        <v>20</v>
      </c>
      <c r="B110" s="151">
        <v>5700</v>
      </c>
      <c r="C110" s="94" t="s">
        <v>295</v>
      </c>
      <c r="D110" s="85"/>
      <c r="E110" s="85">
        <v>0</v>
      </c>
      <c r="F110" s="85">
        <f t="shared" si="13"/>
        <v>0</v>
      </c>
      <c r="G110" s="428">
        <v>0</v>
      </c>
      <c r="H110" s="85"/>
      <c r="I110" s="428"/>
      <c r="J110" s="85"/>
      <c r="K110" s="85"/>
    </row>
    <row r="111" spans="1:11" s="285" customFormat="1" hidden="1" x14ac:dyDescent="0.25">
      <c r="A111" s="118">
        <v>20</v>
      </c>
      <c r="B111" s="151">
        <v>5710</v>
      </c>
      <c r="C111" s="94" t="s">
        <v>297</v>
      </c>
      <c r="D111" s="85"/>
      <c r="E111" s="85">
        <v>0</v>
      </c>
      <c r="F111" s="85">
        <f t="shared" si="13"/>
        <v>0</v>
      </c>
      <c r="G111" s="428">
        <v>0</v>
      </c>
      <c r="H111" s="85"/>
      <c r="I111" s="428"/>
      <c r="J111" s="85"/>
      <c r="K111" s="85"/>
    </row>
    <row r="112" spans="1:11" s="285" customFormat="1" hidden="1" x14ac:dyDescent="0.25">
      <c r="A112" s="118">
        <v>20</v>
      </c>
      <c r="B112" s="151">
        <v>5715</v>
      </c>
      <c r="C112" s="94" t="s">
        <v>298</v>
      </c>
      <c r="D112" s="85"/>
      <c r="E112" s="85">
        <v>0</v>
      </c>
      <c r="F112" s="85">
        <f t="shared" si="13"/>
        <v>0</v>
      </c>
      <c r="G112" s="428">
        <v>0</v>
      </c>
      <c r="H112" s="85"/>
      <c r="I112" s="428"/>
      <c r="J112" s="85"/>
      <c r="K112" s="85"/>
    </row>
    <row r="113" spans="1:11" s="285" customFormat="1" hidden="1" x14ac:dyDescent="0.25">
      <c r="A113" s="118">
        <v>20</v>
      </c>
      <c r="B113" s="151">
        <v>5720</v>
      </c>
      <c r="C113" s="94" t="s">
        <v>299</v>
      </c>
      <c r="D113" s="85"/>
      <c r="E113" s="85">
        <v>0</v>
      </c>
      <c r="F113" s="85">
        <f t="shared" si="13"/>
        <v>0</v>
      </c>
      <c r="G113" s="428">
        <v>0</v>
      </c>
      <c r="H113" s="85"/>
      <c r="I113" s="428"/>
      <c r="J113" s="85"/>
      <c r="K113" s="85"/>
    </row>
    <row r="114" spans="1:11" s="285" customFormat="1" hidden="1" x14ac:dyDescent="0.25">
      <c r="A114" s="118">
        <v>20</v>
      </c>
      <c r="B114" s="151">
        <v>5730</v>
      </c>
      <c r="C114" s="94" t="s">
        <v>300</v>
      </c>
      <c r="D114" s="85"/>
      <c r="E114" s="85">
        <v>0</v>
      </c>
      <c r="F114" s="85">
        <f t="shared" si="13"/>
        <v>0</v>
      </c>
      <c r="G114" s="428">
        <v>0</v>
      </c>
      <c r="H114" s="85"/>
      <c r="I114" s="428"/>
      <c r="J114" s="85"/>
      <c r="K114" s="85"/>
    </row>
    <row r="115" spans="1:11" s="285" customFormat="1" hidden="1" x14ac:dyDescent="0.25">
      <c r="A115" s="118">
        <v>20</v>
      </c>
      <c r="B115" s="151">
        <v>5735</v>
      </c>
      <c r="C115" s="94" t="s">
        <v>301</v>
      </c>
      <c r="D115" s="85"/>
      <c r="E115" s="85">
        <v>0</v>
      </c>
      <c r="F115" s="85">
        <f t="shared" si="13"/>
        <v>0</v>
      </c>
      <c r="G115" s="428">
        <v>0</v>
      </c>
      <c r="H115" s="85"/>
      <c r="I115" s="428"/>
      <c r="J115" s="85"/>
      <c r="K115" s="85"/>
    </row>
    <row r="116" spans="1:11" s="285" customFormat="1" hidden="1" x14ac:dyDescent="0.25">
      <c r="A116" s="118">
        <v>20</v>
      </c>
      <c r="B116" s="151">
        <v>5740</v>
      </c>
      <c r="C116" s="94" t="s">
        <v>302</v>
      </c>
      <c r="D116" s="85"/>
      <c r="E116" s="85">
        <v>0</v>
      </c>
      <c r="F116" s="85">
        <f t="shared" si="13"/>
        <v>0</v>
      </c>
      <c r="G116" s="428">
        <v>0</v>
      </c>
      <c r="H116" s="85"/>
      <c r="I116" s="428"/>
      <c r="J116" s="85"/>
      <c r="K116" s="85"/>
    </row>
    <row r="117" spans="1:11" s="285" customFormat="1" hidden="1" x14ac:dyDescent="0.25">
      <c r="A117" s="118">
        <v>20</v>
      </c>
      <c r="B117" s="151">
        <v>5745</v>
      </c>
      <c r="C117" s="94" t="s">
        <v>303</v>
      </c>
      <c r="D117" s="85"/>
      <c r="E117" s="85">
        <v>0</v>
      </c>
      <c r="F117" s="85">
        <f t="shared" si="13"/>
        <v>0</v>
      </c>
      <c r="G117" s="428">
        <v>0</v>
      </c>
      <c r="H117" s="85"/>
      <c r="I117" s="428"/>
      <c r="J117" s="85"/>
      <c r="K117" s="85"/>
    </row>
    <row r="118" spans="1:11" s="285" customFormat="1" hidden="1" x14ac:dyDescent="0.25">
      <c r="A118" s="118">
        <v>20</v>
      </c>
      <c r="B118" s="151">
        <v>5750</v>
      </c>
      <c r="C118" s="94" t="s">
        <v>304</v>
      </c>
      <c r="D118" s="85"/>
      <c r="E118" s="85">
        <v>0</v>
      </c>
      <c r="F118" s="85">
        <f t="shared" si="13"/>
        <v>0</v>
      </c>
      <c r="G118" s="428">
        <v>0</v>
      </c>
      <c r="H118" s="85"/>
      <c r="I118" s="428"/>
      <c r="J118" s="85"/>
      <c r="K118" s="85"/>
    </row>
    <row r="119" spans="1:11" s="285" customFormat="1" hidden="1" x14ac:dyDescent="0.25">
      <c r="A119" s="118">
        <v>20</v>
      </c>
      <c r="B119" s="151">
        <v>5755</v>
      </c>
      <c r="C119" s="94" t="s">
        <v>305</v>
      </c>
      <c r="D119" s="85"/>
      <c r="E119" s="85">
        <v>0</v>
      </c>
      <c r="F119" s="85">
        <f t="shared" si="13"/>
        <v>0</v>
      </c>
      <c r="G119" s="428">
        <v>0</v>
      </c>
      <c r="H119" s="85"/>
      <c r="I119" s="428"/>
      <c r="J119" s="85"/>
      <c r="K119" s="85"/>
    </row>
    <row r="120" spans="1:11" s="285" customFormat="1" ht="12" hidden="1" customHeight="1" x14ac:dyDescent="0.25">
      <c r="A120" s="118">
        <v>20</v>
      </c>
      <c r="B120" s="151">
        <v>5760</v>
      </c>
      <c r="C120" s="94" t="s">
        <v>306</v>
      </c>
      <c r="D120" s="85"/>
      <c r="E120" s="85">
        <v>0</v>
      </c>
      <c r="F120" s="85">
        <f t="shared" si="13"/>
        <v>0</v>
      </c>
      <c r="G120" s="428">
        <v>0</v>
      </c>
      <c r="H120" s="85"/>
      <c r="I120" s="428"/>
      <c r="J120" s="85"/>
      <c r="K120" s="85"/>
    </row>
    <row r="121" spans="1:11" s="285" customFormat="1" hidden="1" x14ac:dyDescent="0.25">
      <c r="A121" s="118">
        <v>20</v>
      </c>
      <c r="B121" s="151">
        <v>5765</v>
      </c>
      <c r="C121" s="94" t="s">
        <v>307</v>
      </c>
      <c r="D121" s="85"/>
      <c r="E121" s="85">
        <v>0</v>
      </c>
      <c r="F121" s="85">
        <f t="shared" si="13"/>
        <v>0</v>
      </c>
      <c r="G121" s="428">
        <v>0</v>
      </c>
      <c r="H121" s="85"/>
      <c r="I121" s="428"/>
      <c r="J121" s="85"/>
      <c r="K121" s="85"/>
    </row>
    <row r="122" spans="1:11" s="285" customFormat="1" hidden="1" x14ac:dyDescent="0.25">
      <c r="A122" s="118">
        <v>20</v>
      </c>
      <c r="B122" s="151">
        <v>5770</v>
      </c>
      <c r="C122" s="94" t="s">
        <v>308</v>
      </c>
      <c r="D122" s="85"/>
      <c r="E122" s="85">
        <v>0</v>
      </c>
      <c r="F122" s="85">
        <f t="shared" si="13"/>
        <v>0</v>
      </c>
      <c r="G122" s="428">
        <v>0</v>
      </c>
      <c r="H122" s="85"/>
      <c r="I122" s="428"/>
      <c r="J122" s="85"/>
      <c r="K122" s="85"/>
    </row>
    <row r="123" spans="1:11" s="285" customFormat="1" hidden="1" x14ac:dyDescent="0.25">
      <c r="A123" s="118">
        <v>20</v>
      </c>
      <c r="B123" s="151">
        <v>5775</v>
      </c>
      <c r="C123" s="94" t="s">
        <v>309</v>
      </c>
      <c r="D123" s="85"/>
      <c r="E123" s="85">
        <v>0</v>
      </c>
      <c r="F123" s="85">
        <f t="shared" si="13"/>
        <v>0</v>
      </c>
      <c r="G123" s="428">
        <v>0</v>
      </c>
      <c r="H123" s="85"/>
      <c r="I123" s="428"/>
      <c r="J123" s="85"/>
      <c r="K123" s="85"/>
    </row>
    <row r="124" spans="1:11" s="285" customFormat="1" hidden="1" x14ac:dyDescent="0.25">
      <c r="A124" s="118">
        <v>20</v>
      </c>
      <c r="B124" s="151">
        <v>5780</v>
      </c>
      <c r="C124" s="94" t="s">
        <v>310</v>
      </c>
      <c r="D124" s="85"/>
      <c r="E124" s="85">
        <v>0</v>
      </c>
      <c r="F124" s="85">
        <f t="shared" si="13"/>
        <v>0</v>
      </c>
      <c r="G124" s="428">
        <v>0</v>
      </c>
      <c r="H124" s="85"/>
      <c r="I124" s="428"/>
      <c r="J124" s="85"/>
      <c r="K124" s="85"/>
    </row>
    <row r="125" spans="1:11" s="285" customFormat="1" hidden="1" x14ac:dyDescent="0.25">
      <c r="A125" s="118">
        <v>20</v>
      </c>
      <c r="B125" s="151">
        <v>5785</v>
      </c>
      <c r="C125" s="94" t="s">
        <v>311</v>
      </c>
      <c r="D125" s="85"/>
      <c r="E125" s="85">
        <v>0</v>
      </c>
      <c r="F125" s="85">
        <f t="shared" si="13"/>
        <v>0</v>
      </c>
      <c r="G125" s="428">
        <v>0</v>
      </c>
      <c r="H125" s="85"/>
      <c r="I125" s="428"/>
      <c r="J125" s="85"/>
      <c r="K125" s="85"/>
    </row>
    <row r="126" spans="1:11" s="285" customFormat="1" hidden="1" x14ac:dyDescent="0.25">
      <c r="A126" s="118">
        <v>20</v>
      </c>
      <c r="B126" s="151">
        <v>5790</v>
      </c>
      <c r="C126" s="94" t="s">
        <v>312</v>
      </c>
      <c r="D126" s="85"/>
      <c r="E126" s="85">
        <v>0</v>
      </c>
      <c r="F126" s="85">
        <f t="shared" si="13"/>
        <v>0</v>
      </c>
      <c r="G126" s="428">
        <v>0</v>
      </c>
      <c r="H126" s="85"/>
      <c r="I126" s="428"/>
      <c r="J126" s="85"/>
      <c r="K126" s="85"/>
    </row>
    <row r="127" spans="1:11" s="285" customFormat="1" hidden="1" x14ac:dyDescent="0.25">
      <c r="A127" s="118">
        <v>20</v>
      </c>
      <c r="B127" s="151">
        <v>5795</v>
      </c>
      <c r="C127" s="94" t="s">
        <v>313</v>
      </c>
      <c r="D127" s="85"/>
      <c r="E127" s="85">
        <v>0</v>
      </c>
      <c r="F127" s="85">
        <f t="shared" si="13"/>
        <v>0</v>
      </c>
      <c r="G127" s="428">
        <v>0</v>
      </c>
      <c r="H127" s="85"/>
      <c r="I127" s="428"/>
      <c r="J127" s="85"/>
      <c r="K127" s="85"/>
    </row>
    <row r="128" spans="1:11" s="285" customFormat="1" hidden="1" x14ac:dyDescent="0.25">
      <c r="A128" s="118">
        <v>20</v>
      </c>
      <c r="B128" s="151">
        <v>5800</v>
      </c>
      <c r="C128" s="94" t="s">
        <v>314</v>
      </c>
      <c r="D128" s="85"/>
      <c r="E128" s="85">
        <v>0</v>
      </c>
      <c r="F128" s="85">
        <f t="shared" si="13"/>
        <v>0</v>
      </c>
      <c r="G128" s="428">
        <v>0</v>
      </c>
      <c r="H128" s="85"/>
      <c r="I128" s="428"/>
      <c r="J128" s="85"/>
      <c r="K128" s="85"/>
    </row>
    <row r="129" spans="1:11" s="285" customFormat="1" hidden="1" x14ac:dyDescent="0.25">
      <c r="A129" s="118">
        <v>20</v>
      </c>
      <c r="B129" s="151">
        <v>5805</v>
      </c>
      <c r="C129" s="94" t="s">
        <v>315</v>
      </c>
      <c r="D129" s="85"/>
      <c r="E129" s="85">
        <v>0</v>
      </c>
      <c r="F129" s="85">
        <f t="shared" si="13"/>
        <v>0</v>
      </c>
      <c r="G129" s="428">
        <v>0</v>
      </c>
      <c r="H129" s="85"/>
      <c r="I129" s="428"/>
      <c r="J129" s="85"/>
      <c r="K129" s="85"/>
    </row>
    <row r="130" spans="1:11" s="285" customFormat="1" hidden="1" x14ac:dyDescent="0.25">
      <c r="A130" s="118">
        <v>20</v>
      </c>
      <c r="B130" s="151">
        <v>5810</v>
      </c>
      <c r="C130" s="94" t="s">
        <v>316</v>
      </c>
      <c r="D130" s="85"/>
      <c r="E130" s="85">
        <v>0</v>
      </c>
      <c r="F130" s="85">
        <f t="shared" si="13"/>
        <v>0</v>
      </c>
      <c r="G130" s="428">
        <v>0</v>
      </c>
      <c r="H130" s="85"/>
      <c r="I130" s="428"/>
      <c r="J130" s="85"/>
      <c r="K130" s="85"/>
    </row>
    <row r="131" spans="1:11" s="285" customFormat="1" hidden="1" x14ac:dyDescent="0.25">
      <c r="A131" s="118">
        <v>20</v>
      </c>
      <c r="B131" s="151">
        <v>5815</v>
      </c>
      <c r="C131" s="94" t="s">
        <v>99</v>
      </c>
      <c r="D131" s="85"/>
      <c r="E131" s="85">
        <v>0</v>
      </c>
      <c r="F131" s="85">
        <f t="shared" si="13"/>
        <v>0</v>
      </c>
      <c r="G131" s="428">
        <v>0</v>
      </c>
      <c r="H131" s="85"/>
      <c r="I131" s="428"/>
      <c r="J131" s="85"/>
      <c r="K131" s="85"/>
    </row>
    <row r="132" spans="1:11" s="285" customFormat="1" hidden="1" x14ac:dyDescent="0.25">
      <c r="A132" s="118">
        <v>20</v>
      </c>
      <c r="B132" s="151">
        <v>5820</v>
      </c>
      <c r="C132" s="94" t="s">
        <v>114</v>
      </c>
      <c r="D132" s="85"/>
      <c r="E132" s="85">
        <v>0</v>
      </c>
      <c r="F132" s="85">
        <f t="shared" si="13"/>
        <v>0</v>
      </c>
      <c r="G132" s="428">
        <v>0</v>
      </c>
      <c r="H132" s="85"/>
      <c r="I132" s="428"/>
      <c r="J132" s="85"/>
      <c r="K132" s="85"/>
    </row>
    <row r="133" spans="1:11" s="285" customFormat="1" hidden="1" x14ac:dyDescent="0.25">
      <c r="A133" s="118">
        <v>20</v>
      </c>
      <c r="B133" s="151">
        <v>5825</v>
      </c>
      <c r="C133" s="94" t="s">
        <v>317</v>
      </c>
      <c r="D133" s="85"/>
      <c r="E133" s="85">
        <v>0</v>
      </c>
      <c r="F133" s="85">
        <f t="shared" si="13"/>
        <v>0</v>
      </c>
      <c r="G133" s="428">
        <v>0</v>
      </c>
      <c r="H133" s="85"/>
      <c r="I133" s="428"/>
      <c r="J133" s="85"/>
      <c r="K133" s="85"/>
    </row>
    <row r="134" spans="1:11" s="285" customFormat="1" hidden="1" x14ac:dyDescent="0.25">
      <c r="A134" s="118">
        <v>20</v>
      </c>
      <c r="B134" s="151">
        <v>5830</v>
      </c>
      <c r="C134" s="94" t="s">
        <v>318</v>
      </c>
      <c r="D134" s="85"/>
      <c r="E134" s="85">
        <v>0</v>
      </c>
      <c r="F134" s="85">
        <f t="shared" si="13"/>
        <v>0</v>
      </c>
      <c r="G134" s="428">
        <v>0</v>
      </c>
      <c r="H134" s="85"/>
      <c r="I134" s="428"/>
      <c r="J134" s="85"/>
      <c r="K134" s="85"/>
    </row>
    <row r="135" spans="1:11" s="285" customFormat="1" hidden="1" x14ac:dyDescent="0.25">
      <c r="A135" s="118">
        <v>20</v>
      </c>
      <c r="B135" s="151">
        <v>5835</v>
      </c>
      <c r="C135" s="94" t="s">
        <v>319</v>
      </c>
      <c r="D135" s="85"/>
      <c r="E135" s="85">
        <v>0</v>
      </c>
      <c r="F135" s="85">
        <f t="shared" si="13"/>
        <v>0</v>
      </c>
      <c r="G135" s="428">
        <v>0</v>
      </c>
      <c r="H135" s="85"/>
      <c r="I135" s="428"/>
      <c r="J135" s="85"/>
      <c r="K135" s="85"/>
    </row>
    <row r="136" spans="1:11" s="285" customFormat="1" hidden="1" x14ac:dyDescent="0.25">
      <c r="A136" s="118">
        <v>20</v>
      </c>
      <c r="B136" s="151">
        <v>5840</v>
      </c>
      <c r="C136" s="94" t="s">
        <v>332</v>
      </c>
      <c r="D136" s="94"/>
      <c r="E136" s="85">
        <v>0</v>
      </c>
      <c r="F136" s="85">
        <f t="shared" si="13"/>
        <v>0</v>
      </c>
      <c r="G136" s="428">
        <v>0</v>
      </c>
      <c r="H136" s="85"/>
      <c r="I136" s="428"/>
      <c r="J136" s="85"/>
      <c r="K136" s="85"/>
    </row>
    <row r="137" spans="1:11" s="285" customFormat="1" hidden="1" x14ac:dyDescent="0.25">
      <c r="A137" s="118">
        <v>20</v>
      </c>
      <c r="B137" s="151">
        <v>5845</v>
      </c>
      <c r="C137" s="94" t="s">
        <v>320</v>
      </c>
      <c r="D137" s="85"/>
      <c r="E137" s="85">
        <v>0</v>
      </c>
      <c r="F137" s="85">
        <f t="shared" si="13"/>
        <v>0</v>
      </c>
      <c r="G137" s="428">
        <v>0</v>
      </c>
      <c r="H137" s="85"/>
      <c r="I137" s="428"/>
      <c r="J137" s="85"/>
      <c r="K137" s="85"/>
    </row>
    <row r="138" spans="1:11" s="285" customFormat="1" hidden="1" x14ac:dyDescent="0.25">
      <c r="A138" s="118">
        <v>20</v>
      </c>
      <c r="B138" s="151">
        <v>5855</v>
      </c>
      <c r="C138" s="94" t="s">
        <v>321</v>
      </c>
      <c r="D138" s="85"/>
      <c r="E138" s="85">
        <v>0</v>
      </c>
      <c r="F138" s="85">
        <f t="shared" si="13"/>
        <v>0</v>
      </c>
      <c r="G138" s="428">
        <v>0</v>
      </c>
      <c r="H138" s="85"/>
      <c r="I138" s="428"/>
      <c r="J138" s="85"/>
      <c r="K138" s="85"/>
    </row>
    <row r="139" spans="1:11" s="285" customFormat="1" hidden="1" x14ac:dyDescent="0.25">
      <c r="A139" s="118">
        <v>20</v>
      </c>
      <c r="B139" s="151">
        <v>5860</v>
      </c>
      <c r="C139" s="94" t="s">
        <v>322</v>
      </c>
      <c r="D139" s="85"/>
      <c r="E139" s="85">
        <v>0</v>
      </c>
      <c r="F139" s="85">
        <f t="shared" si="13"/>
        <v>0</v>
      </c>
      <c r="G139" s="428">
        <v>0</v>
      </c>
      <c r="H139" s="85"/>
      <c r="I139" s="428"/>
      <c r="J139" s="85"/>
      <c r="K139" s="85"/>
    </row>
    <row r="140" spans="1:11" s="285" customFormat="1" hidden="1" x14ac:dyDescent="0.25">
      <c r="A140" s="118">
        <v>20</v>
      </c>
      <c r="B140" s="151">
        <v>5865</v>
      </c>
      <c r="C140" s="94" t="s">
        <v>323</v>
      </c>
      <c r="D140" s="85"/>
      <c r="E140" s="85">
        <v>0</v>
      </c>
      <c r="F140" s="85">
        <f t="shared" si="13"/>
        <v>0</v>
      </c>
      <c r="G140" s="428">
        <v>0</v>
      </c>
      <c r="H140" s="85"/>
      <c r="I140" s="428"/>
      <c r="J140" s="85"/>
      <c r="K140" s="85"/>
    </row>
    <row r="141" spans="1:11" s="285" customFormat="1" hidden="1" x14ac:dyDescent="0.25">
      <c r="A141" s="118">
        <v>20</v>
      </c>
      <c r="B141" s="151">
        <v>5870</v>
      </c>
      <c r="C141" s="94" t="s">
        <v>324</v>
      </c>
      <c r="D141" s="85"/>
      <c r="E141" s="85">
        <v>0</v>
      </c>
      <c r="F141" s="85">
        <f t="shared" si="13"/>
        <v>0</v>
      </c>
      <c r="G141" s="428">
        <v>0</v>
      </c>
      <c r="H141" s="85"/>
      <c r="I141" s="428"/>
      <c r="J141" s="85"/>
      <c r="K141" s="85"/>
    </row>
    <row r="142" spans="1:11" s="285" customFormat="1" hidden="1" x14ac:dyDescent="0.25">
      <c r="A142" s="118">
        <v>20</v>
      </c>
      <c r="B142" s="151">
        <v>5875</v>
      </c>
      <c r="C142" s="94" t="s">
        <v>325</v>
      </c>
      <c r="D142" s="85"/>
      <c r="E142" s="85">
        <v>0</v>
      </c>
      <c r="F142" s="85">
        <f t="shared" si="13"/>
        <v>0</v>
      </c>
      <c r="G142" s="428">
        <v>0</v>
      </c>
      <c r="H142" s="85"/>
      <c r="I142" s="428"/>
      <c r="J142" s="85"/>
      <c r="K142" s="85"/>
    </row>
    <row r="143" spans="1:11" s="285" customFormat="1" hidden="1" x14ac:dyDescent="0.25">
      <c r="A143" s="118">
        <v>20</v>
      </c>
      <c r="B143" s="151">
        <v>5880</v>
      </c>
      <c r="C143" s="94" t="s">
        <v>326</v>
      </c>
      <c r="D143" s="85"/>
      <c r="E143" s="85">
        <v>0</v>
      </c>
      <c r="F143" s="85">
        <f>E143-D143</f>
        <v>0</v>
      </c>
      <c r="G143" s="428">
        <v>0</v>
      </c>
      <c r="H143" s="85"/>
      <c r="I143" s="428"/>
      <c r="J143" s="85"/>
      <c r="K143" s="85"/>
    </row>
    <row r="144" spans="1:11" s="285" customFormat="1" x14ac:dyDescent="0.25">
      <c r="A144" s="118">
        <v>20</v>
      </c>
      <c r="B144" s="151">
        <v>5885</v>
      </c>
      <c r="C144" s="94" t="s">
        <v>331</v>
      </c>
      <c r="D144" s="85">
        <v>10305</v>
      </c>
      <c r="E144" s="85">
        <v>0</v>
      </c>
      <c r="F144" s="428">
        <v>0</v>
      </c>
      <c r="G144" s="428">
        <v>0</v>
      </c>
      <c r="H144" s="85"/>
      <c r="I144" s="428"/>
      <c r="J144" s="85"/>
      <c r="K144" s="85"/>
    </row>
    <row r="145" spans="1:11" s="285" customFormat="1" hidden="1" x14ac:dyDescent="0.25">
      <c r="A145" s="118">
        <v>20</v>
      </c>
      <c r="B145" s="151">
        <v>5890</v>
      </c>
      <c r="C145" s="94" t="s">
        <v>327</v>
      </c>
      <c r="D145" s="85"/>
      <c r="E145" s="428">
        <v>0</v>
      </c>
      <c r="F145" s="85">
        <f>0/8*12</f>
        <v>0</v>
      </c>
      <c r="G145" s="428">
        <v>0</v>
      </c>
      <c r="H145" s="85"/>
      <c r="I145" s="428"/>
      <c r="J145" s="85"/>
      <c r="K145" s="85"/>
    </row>
    <row r="146" spans="1:11" s="285" customFormat="1" hidden="1" x14ac:dyDescent="0.25">
      <c r="A146" s="118">
        <v>20</v>
      </c>
      <c r="B146" s="151">
        <v>5895</v>
      </c>
      <c r="C146" s="94" t="s">
        <v>328</v>
      </c>
      <c r="D146" s="85"/>
      <c r="E146" s="428">
        <v>0</v>
      </c>
      <c r="F146" s="85">
        <f>0/8*12</f>
        <v>0</v>
      </c>
      <c r="G146" s="428">
        <v>0</v>
      </c>
      <c r="H146" s="85"/>
      <c r="I146" s="428"/>
      <c r="J146" s="85"/>
      <c r="K146" s="85"/>
    </row>
    <row r="147" spans="1:11" s="285" customFormat="1" hidden="1" x14ac:dyDescent="0.25">
      <c r="A147" s="118">
        <v>20</v>
      </c>
      <c r="B147" s="151">
        <v>5910</v>
      </c>
      <c r="C147" s="94" t="s">
        <v>330</v>
      </c>
      <c r="D147" s="85"/>
      <c r="E147" s="428">
        <v>0</v>
      </c>
      <c r="F147" s="85">
        <f>0/8*12</f>
        <v>0</v>
      </c>
      <c r="G147" s="428">
        <v>0</v>
      </c>
      <c r="H147" s="85"/>
      <c r="I147" s="428"/>
      <c r="J147" s="85"/>
      <c r="K147" s="85"/>
    </row>
    <row r="148" spans="1:11" s="285" customFormat="1" x14ac:dyDescent="0.25">
      <c r="A148" s="344"/>
      <c r="B148" s="151"/>
      <c r="C148" s="94"/>
      <c r="D148" s="429">
        <f t="shared" ref="D148:K148" si="14">SUM(D72:D147)</f>
        <v>10305</v>
      </c>
      <c r="E148" s="89">
        <f>SUM(E72:E147)</f>
        <v>10000</v>
      </c>
      <c r="F148" s="429">
        <f>SUM(F72:F147)</f>
        <v>10000</v>
      </c>
      <c r="G148" s="429">
        <f>SUM(G72:G147)</f>
        <v>10000</v>
      </c>
      <c r="H148" s="89">
        <f t="shared" si="14"/>
        <v>0</v>
      </c>
      <c r="I148" s="429">
        <f t="shared" si="14"/>
        <v>0</v>
      </c>
      <c r="J148" s="429">
        <f t="shared" si="14"/>
        <v>0</v>
      </c>
      <c r="K148" s="429">
        <f t="shared" si="14"/>
        <v>0</v>
      </c>
    </row>
    <row r="149" spans="1:11" s="285" customFormat="1" hidden="1" x14ac:dyDescent="0.25">
      <c r="A149" s="344"/>
      <c r="B149" s="151"/>
      <c r="C149" s="93" t="s">
        <v>187</v>
      </c>
      <c r="D149" s="85"/>
      <c r="E149" s="108"/>
      <c r="F149" s="108"/>
      <c r="G149" s="425"/>
      <c r="H149" s="108"/>
      <c r="I149" s="425"/>
      <c r="J149" s="108"/>
      <c r="K149" s="108"/>
    </row>
    <row r="150" spans="1:11" s="285" customFormat="1" hidden="1" x14ac:dyDescent="0.25">
      <c r="A150" s="118">
        <v>20</v>
      </c>
      <c r="B150" s="151">
        <v>6005</v>
      </c>
      <c r="C150" s="94" t="s">
        <v>188</v>
      </c>
      <c r="D150" s="85"/>
      <c r="E150" s="108"/>
      <c r="F150" s="85"/>
      <c r="G150" s="428"/>
      <c r="H150" s="85"/>
      <c r="I150" s="428"/>
      <c r="J150" s="85"/>
      <c r="K150" s="108"/>
    </row>
    <row r="151" spans="1:11" s="285" customFormat="1" hidden="1" x14ac:dyDescent="0.25">
      <c r="A151" s="344"/>
      <c r="B151" s="151"/>
      <c r="C151" s="94"/>
      <c r="D151" s="89"/>
      <c r="E151" s="89">
        <f>SUM(E150)</f>
        <v>0</v>
      </c>
      <c r="F151" s="89">
        <f>SUM(F150)</f>
        <v>0</v>
      </c>
      <c r="G151" s="429"/>
      <c r="H151" s="89"/>
      <c r="I151" s="429"/>
      <c r="J151" s="89"/>
      <c r="K151" s="89"/>
    </row>
    <row r="152" spans="1:11" s="285" customFormat="1" x14ac:dyDescent="0.25">
      <c r="A152" s="344"/>
      <c r="B152" s="151"/>
      <c r="C152" s="93" t="s">
        <v>64</v>
      </c>
      <c r="D152" s="88"/>
      <c r="E152" s="113"/>
      <c r="F152" s="113"/>
      <c r="G152" s="113"/>
      <c r="H152" s="113"/>
      <c r="I152" s="113"/>
      <c r="J152" s="113"/>
      <c r="K152" s="88"/>
    </row>
    <row r="153" spans="1:11" s="285" customFormat="1" hidden="1" x14ac:dyDescent="0.25">
      <c r="A153" s="118">
        <v>20</v>
      </c>
      <c r="B153" s="151">
        <v>6105</v>
      </c>
      <c r="C153" s="94" t="s">
        <v>336</v>
      </c>
      <c r="D153" s="85"/>
      <c r="E153" s="108"/>
      <c r="F153" s="85">
        <f>0/8*12</f>
        <v>0</v>
      </c>
      <c r="G153" s="428"/>
      <c r="H153" s="85"/>
      <c r="I153" s="428"/>
      <c r="J153" s="85"/>
      <c r="K153" s="108"/>
    </row>
    <row r="154" spans="1:11" s="285" customFormat="1" x14ac:dyDescent="0.25">
      <c r="A154" s="118">
        <v>20</v>
      </c>
      <c r="B154" s="151">
        <v>6110</v>
      </c>
      <c r="C154" s="94" t="s">
        <v>337</v>
      </c>
      <c r="D154" s="85"/>
      <c r="E154" s="108">
        <v>1334622</v>
      </c>
      <c r="F154" s="85">
        <f>E154-D154</f>
        <v>1334622</v>
      </c>
      <c r="G154" s="428">
        <v>1334622</v>
      </c>
      <c r="H154" s="85">
        <v>4360679</v>
      </c>
      <c r="I154" s="428"/>
      <c r="J154" s="85"/>
      <c r="K154" s="85"/>
    </row>
    <row r="155" spans="1:11" s="285" customFormat="1" hidden="1" x14ac:dyDescent="0.25">
      <c r="A155" s="118">
        <v>20</v>
      </c>
      <c r="B155" s="151">
        <v>6115</v>
      </c>
      <c r="C155" s="94" t="s">
        <v>60</v>
      </c>
      <c r="D155" s="85"/>
      <c r="E155" s="108"/>
      <c r="F155" s="85">
        <f>0/8*12</f>
        <v>0</v>
      </c>
      <c r="G155" s="428">
        <v>0</v>
      </c>
      <c r="H155" s="85"/>
      <c r="I155" s="428"/>
      <c r="J155" s="85"/>
      <c r="K155" s="108"/>
    </row>
    <row r="156" spans="1:11" s="285" customFormat="1" x14ac:dyDescent="0.25">
      <c r="A156" s="344"/>
      <c r="B156" s="151"/>
      <c r="C156" s="94"/>
      <c r="D156" s="429">
        <f t="shared" ref="D156:K156" si="15">SUM(D153:D155)</f>
        <v>0</v>
      </c>
      <c r="E156" s="89">
        <f t="shared" si="15"/>
        <v>1334622</v>
      </c>
      <c r="F156" s="89">
        <f t="shared" si="15"/>
        <v>1334622</v>
      </c>
      <c r="G156" s="429">
        <f t="shared" si="15"/>
        <v>1334622</v>
      </c>
      <c r="H156" s="89">
        <f t="shared" si="15"/>
        <v>4360679</v>
      </c>
      <c r="I156" s="429">
        <f t="shared" si="15"/>
        <v>0</v>
      </c>
      <c r="J156" s="429">
        <f t="shared" si="15"/>
        <v>0</v>
      </c>
      <c r="K156" s="429">
        <f t="shared" si="15"/>
        <v>0</v>
      </c>
    </row>
    <row r="157" spans="1:11" s="285" customFormat="1" hidden="1" x14ac:dyDescent="0.25">
      <c r="A157" s="344"/>
      <c r="B157" s="151"/>
      <c r="C157" s="93" t="s">
        <v>65</v>
      </c>
      <c r="D157" s="88"/>
      <c r="E157" s="113"/>
      <c r="F157" s="113"/>
      <c r="G157" s="113"/>
      <c r="H157" s="113"/>
      <c r="I157" s="113"/>
      <c r="J157" s="113"/>
      <c r="K157" s="113"/>
    </row>
    <row r="158" spans="1:11" s="285" customFormat="1" hidden="1" x14ac:dyDescent="0.25">
      <c r="A158" s="118">
        <v>20</v>
      </c>
      <c r="B158" s="151">
        <v>6205</v>
      </c>
      <c r="C158" s="94" t="s">
        <v>338</v>
      </c>
      <c r="D158" s="85"/>
      <c r="E158" s="108"/>
      <c r="F158" s="85">
        <f>0/8*12</f>
        <v>0</v>
      </c>
      <c r="G158" s="428">
        <v>0</v>
      </c>
      <c r="H158" s="85"/>
      <c r="I158" s="428"/>
      <c r="J158" s="428"/>
      <c r="K158" s="428"/>
    </row>
    <row r="159" spans="1:11" s="285" customFormat="1" hidden="1" x14ac:dyDescent="0.25">
      <c r="A159" s="118">
        <v>20</v>
      </c>
      <c r="B159" s="151">
        <v>6210</v>
      </c>
      <c r="C159" s="94" t="s">
        <v>339</v>
      </c>
      <c r="D159" s="85"/>
      <c r="E159" s="85"/>
      <c r="F159" s="85">
        <f>0/8*12</f>
        <v>0</v>
      </c>
      <c r="G159" s="428">
        <v>0</v>
      </c>
      <c r="H159" s="85"/>
      <c r="I159" s="428"/>
      <c r="J159" s="428"/>
      <c r="K159" s="428"/>
    </row>
    <row r="160" spans="1:11" s="285" customFormat="1" hidden="1" x14ac:dyDescent="0.25">
      <c r="A160" s="344"/>
      <c r="B160" s="346"/>
      <c r="C160" s="347"/>
      <c r="D160" s="116"/>
      <c r="E160" s="116">
        <f>SUM(E158:E159)</f>
        <v>0</v>
      </c>
      <c r="F160" s="116">
        <f>SUM(F158:F159)</f>
        <v>0</v>
      </c>
      <c r="G160" s="441">
        <v>0</v>
      </c>
      <c r="H160" s="116"/>
      <c r="I160" s="441"/>
      <c r="J160" s="441"/>
      <c r="K160" s="441"/>
    </row>
    <row r="161" spans="1:11" s="285" customFormat="1" x14ac:dyDescent="0.25">
      <c r="A161" s="344"/>
      <c r="B161" s="346"/>
      <c r="C161" s="93" t="s">
        <v>189</v>
      </c>
      <c r="D161" s="441">
        <f t="shared" ref="D161:K161" si="16">D160+D156+D151+D148+D70+D66+D63+D59+D38+D35+D32+D29+D25+D18</f>
        <v>254905</v>
      </c>
      <c r="E161" s="116">
        <f t="shared" si="16"/>
        <v>1557832</v>
      </c>
      <c r="F161" s="116">
        <f t="shared" si="16"/>
        <v>1557832</v>
      </c>
      <c r="G161" s="441">
        <f t="shared" si="16"/>
        <v>1387832</v>
      </c>
      <c r="H161" s="116">
        <f t="shared" si="16"/>
        <v>4573889</v>
      </c>
      <c r="I161" s="441">
        <f t="shared" si="16"/>
        <v>100000</v>
      </c>
      <c r="J161" s="441">
        <f t="shared" si="16"/>
        <v>105500</v>
      </c>
      <c r="K161" s="441">
        <f t="shared" si="16"/>
        <v>111091.5</v>
      </c>
    </row>
    <row r="162" spans="1:11" s="285" customFormat="1" hidden="1" x14ac:dyDescent="0.25">
      <c r="A162" s="344"/>
      <c r="B162" s="151"/>
      <c r="C162" s="93" t="s">
        <v>258</v>
      </c>
      <c r="D162" s="117"/>
      <c r="E162" s="117"/>
      <c r="F162" s="117"/>
      <c r="G162" s="442"/>
      <c r="H162" s="117"/>
      <c r="I162" s="442"/>
      <c r="J162" s="442"/>
      <c r="K162" s="442"/>
    </row>
    <row r="163" spans="1:11" s="285" customFormat="1" hidden="1" x14ac:dyDescent="0.25">
      <c r="A163" s="118">
        <v>20</v>
      </c>
      <c r="B163" s="151">
        <v>6305</v>
      </c>
      <c r="C163" s="94" t="s">
        <v>190</v>
      </c>
      <c r="D163" s="85">
        <v>0</v>
      </c>
      <c r="E163" s="85"/>
      <c r="F163" s="85">
        <f>0/8*12</f>
        <v>0</v>
      </c>
      <c r="G163" s="428">
        <v>0</v>
      </c>
      <c r="H163" s="85"/>
      <c r="I163" s="428"/>
      <c r="J163" s="428"/>
      <c r="K163" s="428"/>
    </row>
    <row r="164" spans="1:11" s="285" customFormat="1" ht="14.25" hidden="1" customHeight="1" x14ac:dyDescent="0.25">
      <c r="A164" s="344"/>
      <c r="B164" s="151"/>
      <c r="C164" s="94"/>
      <c r="D164" s="116">
        <v>0</v>
      </c>
      <c r="E164" s="116">
        <f>E163</f>
        <v>0</v>
      </c>
      <c r="F164" s="116">
        <f>F163</f>
        <v>0</v>
      </c>
      <c r="G164" s="441">
        <v>0</v>
      </c>
      <c r="H164" s="116"/>
      <c r="I164" s="441"/>
      <c r="J164" s="441"/>
      <c r="K164" s="441"/>
    </row>
    <row r="165" spans="1:11" s="285" customFormat="1" x14ac:dyDescent="0.25">
      <c r="A165" s="348"/>
      <c r="B165" s="152"/>
      <c r="C165" s="119" t="s">
        <v>191</v>
      </c>
      <c r="D165" s="448">
        <f t="shared" ref="D165:K165" si="17">SUM(D161+D164)</f>
        <v>254905</v>
      </c>
      <c r="E165" s="160">
        <f t="shared" si="17"/>
        <v>1557832</v>
      </c>
      <c r="F165" s="160">
        <f t="shared" si="17"/>
        <v>1557832</v>
      </c>
      <c r="G165" s="448">
        <f t="shared" si="17"/>
        <v>1387832</v>
      </c>
      <c r="H165" s="160">
        <f t="shared" si="17"/>
        <v>4573889</v>
      </c>
      <c r="I165" s="448">
        <f t="shared" si="17"/>
        <v>100000</v>
      </c>
      <c r="J165" s="448">
        <f t="shared" si="17"/>
        <v>105500</v>
      </c>
      <c r="K165" s="448">
        <f t="shared" si="17"/>
        <v>111091.5</v>
      </c>
    </row>
    <row r="166" spans="1:11" s="285" customFormat="1" x14ac:dyDescent="0.25">
      <c r="A166" s="344"/>
      <c r="B166" s="130"/>
      <c r="C166" s="115"/>
      <c r="D166" s="111"/>
      <c r="E166" s="120"/>
      <c r="F166" s="120"/>
      <c r="G166" s="120"/>
      <c r="H166" s="120"/>
      <c r="I166" s="120"/>
      <c r="J166" s="120"/>
      <c r="K166" s="380"/>
    </row>
    <row r="167" spans="1:11" s="285" customFormat="1" x14ac:dyDescent="0.25">
      <c r="A167" s="344"/>
      <c r="B167" s="130"/>
      <c r="C167" s="115"/>
      <c r="D167" s="111"/>
      <c r="E167" s="111"/>
      <c r="F167" s="111"/>
      <c r="G167" s="111"/>
      <c r="H167" s="111"/>
      <c r="I167" s="111"/>
      <c r="J167" s="111"/>
      <c r="K167" s="381"/>
    </row>
    <row r="168" spans="1:11" s="285" customFormat="1" x14ac:dyDescent="0.25">
      <c r="A168" s="419" t="s">
        <v>544</v>
      </c>
      <c r="B168" s="546"/>
      <c r="C168" s="546"/>
      <c r="D168" s="546"/>
      <c r="E168" s="546"/>
      <c r="F168" s="546"/>
      <c r="G168" s="546"/>
      <c r="H168" s="546"/>
      <c r="I168" s="546"/>
      <c r="J168" s="546"/>
      <c r="K168" s="547"/>
    </row>
    <row r="169" spans="1:11" s="285" customFormat="1" x14ac:dyDescent="0.25">
      <c r="A169" s="944" t="s">
        <v>21</v>
      </c>
      <c r="B169" s="945"/>
      <c r="C169" s="150" t="s">
        <v>22</v>
      </c>
      <c r="D169" s="103" t="s">
        <v>878</v>
      </c>
      <c r="E169" s="104" t="s">
        <v>24</v>
      </c>
      <c r="F169" s="103" t="s">
        <v>535</v>
      </c>
      <c r="G169" s="103" t="s">
        <v>413</v>
      </c>
      <c r="H169" s="104" t="s">
        <v>24</v>
      </c>
      <c r="I169" s="583" t="s">
        <v>24</v>
      </c>
      <c r="J169" s="583" t="s">
        <v>24</v>
      </c>
      <c r="K169" s="583" t="s">
        <v>24</v>
      </c>
    </row>
    <row r="170" spans="1:11" s="285" customFormat="1" x14ac:dyDescent="0.25">
      <c r="A170" s="946"/>
      <c r="B170" s="947"/>
      <c r="C170" s="106"/>
      <c r="D170" s="333" t="s">
        <v>257</v>
      </c>
      <c r="E170" s="107" t="s">
        <v>382</v>
      </c>
      <c r="F170" s="107" t="s">
        <v>382</v>
      </c>
      <c r="G170" s="107" t="s">
        <v>382</v>
      </c>
      <c r="H170" s="107" t="s">
        <v>407</v>
      </c>
      <c r="I170" s="586" t="s">
        <v>414</v>
      </c>
      <c r="J170" s="586" t="s">
        <v>530</v>
      </c>
      <c r="K170" s="586" t="s">
        <v>886</v>
      </c>
    </row>
    <row r="171" spans="1:11" s="285" customFormat="1" hidden="1" x14ac:dyDescent="0.25">
      <c r="A171" s="350"/>
      <c r="B171" s="153"/>
      <c r="C171" s="93" t="s">
        <v>98</v>
      </c>
      <c r="D171" s="122"/>
      <c r="E171" s="98"/>
      <c r="F171" s="98"/>
      <c r="G171" s="435"/>
      <c r="H171" s="98"/>
      <c r="I171" s="435"/>
      <c r="J171" s="98"/>
      <c r="K171" s="122"/>
    </row>
    <row r="172" spans="1:11" s="285" customFormat="1" hidden="1" x14ac:dyDescent="0.25">
      <c r="A172" s="118">
        <v>20</v>
      </c>
      <c r="B172" s="151">
        <v>1237</v>
      </c>
      <c r="C172" s="94" t="s">
        <v>99</v>
      </c>
      <c r="D172" s="122"/>
      <c r="E172" s="108"/>
      <c r="F172" s="98">
        <f>E172/8*12</f>
        <v>0</v>
      </c>
      <c r="G172" s="435"/>
      <c r="H172" s="98"/>
      <c r="I172" s="435"/>
      <c r="J172" s="98"/>
      <c r="K172" s="108"/>
    </row>
    <row r="173" spans="1:11" s="285" customFormat="1" hidden="1" x14ac:dyDescent="0.25">
      <c r="A173" s="118">
        <v>20</v>
      </c>
      <c r="B173" s="151">
        <v>5725</v>
      </c>
      <c r="C173" s="94" t="s">
        <v>400</v>
      </c>
      <c r="D173" s="85"/>
      <c r="E173" s="85">
        <v>0</v>
      </c>
      <c r="F173" s="85">
        <f>(0/8*12)*-1</f>
        <v>0</v>
      </c>
      <c r="G173" s="428"/>
      <c r="H173" s="85"/>
      <c r="I173" s="428"/>
      <c r="J173" s="85"/>
      <c r="K173" s="85"/>
    </row>
    <row r="174" spans="1:11" s="285" customFormat="1" hidden="1" x14ac:dyDescent="0.25">
      <c r="A174" s="344"/>
      <c r="B174" s="151"/>
      <c r="C174" s="94"/>
      <c r="D174" s="436">
        <f>SUM(D172)</f>
        <v>0</v>
      </c>
      <c r="E174" s="99">
        <f>SUM(E172)</f>
        <v>0</v>
      </c>
      <c r="F174" s="99">
        <f>SUM(F172)</f>
        <v>0</v>
      </c>
      <c r="G174" s="436">
        <f>SUM(G172)</f>
        <v>0</v>
      </c>
      <c r="H174" s="99"/>
      <c r="I174" s="436"/>
      <c r="J174" s="99"/>
      <c r="K174" s="99"/>
    </row>
    <row r="175" spans="1:11" s="285" customFormat="1" x14ac:dyDescent="0.25">
      <c r="A175" s="344"/>
      <c r="B175" s="151"/>
      <c r="C175" s="93" t="s">
        <v>100</v>
      </c>
      <c r="D175" s="122"/>
      <c r="E175" s="98"/>
      <c r="F175" s="98"/>
      <c r="G175" s="435"/>
      <c r="H175" s="98"/>
      <c r="I175" s="435"/>
      <c r="J175" s="98"/>
      <c r="K175" s="122"/>
    </row>
    <row r="176" spans="1:11" s="285" customFormat="1" x14ac:dyDescent="0.25">
      <c r="A176" s="118">
        <v>20</v>
      </c>
      <c r="B176" s="151">
        <v>1147</v>
      </c>
      <c r="C176" s="94" t="s">
        <v>102</v>
      </c>
      <c r="D176" s="122">
        <v>2016</v>
      </c>
      <c r="E176" s="98">
        <v>2215.5</v>
      </c>
      <c r="F176" s="98">
        <v>2215.5</v>
      </c>
      <c r="G176" s="435">
        <v>2215.5</v>
      </c>
      <c r="H176" s="98">
        <f t="shared" ref="H176:H202" si="18">(F176*0.1)+F176</f>
        <v>2437.0500000000002</v>
      </c>
      <c r="I176" s="435">
        <v>1437</v>
      </c>
      <c r="J176" s="98">
        <v>1680</v>
      </c>
      <c r="K176" s="98">
        <v>2437</v>
      </c>
    </row>
    <row r="177" spans="1:11" s="285" customFormat="1" hidden="1" x14ac:dyDescent="0.25">
      <c r="A177" s="118">
        <v>20</v>
      </c>
      <c r="B177" s="151">
        <v>1202</v>
      </c>
      <c r="C177" s="94" t="s">
        <v>343</v>
      </c>
      <c r="D177" s="122"/>
      <c r="E177" s="98"/>
      <c r="F177" s="98"/>
      <c r="G177" s="435"/>
      <c r="H177" s="98">
        <f t="shared" si="18"/>
        <v>0</v>
      </c>
      <c r="I177" s="435"/>
      <c r="J177" s="98"/>
      <c r="K177" s="98"/>
    </row>
    <row r="178" spans="1:11" s="285" customFormat="1" hidden="1" x14ac:dyDescent="0.25">
      <c r="A178" s="118">
        <v>20</v>
      </c>
      <c r="B178" s="151">
        <v>1207</v>
      </c>
      <c r="C178" s="94" t="s">
        <v>104</v>
      </c>
      <c r="D178" s="122"/>
      <c r="E178" s="98"/>
      <c r="F178" s="98"/>
      <c r="G178" s="435"/>
      <c r="H178" s="98">
        <f t="shared" si="18"/>
        <v>0</v>
      </c>
      <c r="I178" s="435"/>
      <c r="J178" s="98"/>
      <c r="K178" s="98"/>
    </row>
    <row r="179" spans="1:11" s="285" customFormat="1" x14ac:dyDescent="0.25">
      <c r="A179" s="118">
        <v>20</v>
      </c>
      <c r="B179" s="151">
        <v>1153</v>
      </c>
      <c r="C179" s="94" t="s">
        <v>115</v>
      </c>
      <c r="D179" s="122">
        <v>58636</v>
      </c>
      <c r="E179" s="98">
        <v>61860.979999999996</v>
      </c>
      <c r="F179" s="98">
        <v>61860.979999999996</v>
      </c>
      <c r="G179" s="435">
        <v>61860.979999999996</v>
      </c>
      <c r="H179" s="98">
        <f t="shared" si="18"/>
        <v>68047.077999999994</v>
      </c>
      <c r="I179" s="435">
        <f>49849*1.5*1.058</f>
        <v>79110.362999999998</v>
      </c>
      <c r="J179" s="98">
        <f>+I179*1.055</f>
        <v>83461.432964999985</v>
      </c>
      <c r="K179" s="98">
        <f>+J179*1.053</f>
        <v>87884.888912144976</v>
      </c>
    </row>
    <row r="180" spans="1:11" s="285" customFormat="1" hidden="1" x14ac:dyDescent="0.25">
      <c r="A180" s="118">
        <v>20</v>
      </c>
      <c r="B180" s="151">
        <v>1143</v>
      </c>
      <c r="C180" s="94" t="s">
        <v>109</v>
      </c>
      <c r="D180" s="122"/>
      <c r="E180" s="98"/>
      <c r="F180" s="98"/>
      <c r="G180" s="435"/>
      <c r="H180" s="98">
        <f t="shared" si="18"/>
        <v>0</v>
      </c>
      <c r="I180" s="435"/>
      <c r="J180" s="98"/>
      <c r="K180" s="98"/>
    </row>
    <row r="181" spans="1:11" s="285" customFormat="1" hidden="1" x14ac:dyDescent="0.25">
      <c r="A181" s="118">
        <v>20</v>
      </c>
      <c r="B181" s="151">
        <v>5500</v>
      </c>
      <c r="C181" s="94" t="s">
        <v>266</v>
      </c>
      <c r="D181" s="85"/>
      <c r="E181" s="85"/>
      <c r="F181" s="85"/>
      <c r="G181" s="86"/>
      <c r="H181" s="98">
        <f t="shared" si="18"/>
        <v>0</v>
      </c>
      <c r="I181" s="435"/>
      <c r="J181" s="98"/>
      <c r="K181" s="98"/>
    </row>
    <row r="182" spans="1:11" s="285" customFormat="1" hidden="1" x14ac:dyDescent="0.25">
      <c r="A182" s="118">
        <v>20</v>
      </c>
      <c r="B182" s="151">
        <v>5705</v>
      </c>
      <c r="C182" s="94" t="s">
        <v>296</v>
      </c>
      <c r="D182" s="85"/>
      <c r="E182" s="85"/>
      <c r="F182" s="85"/>
      <c r="G182" s="86"/>
      <c r="H182" s="98">
        <f t="shared" si="18"/>
        <v>0</v>
      </c>
      <c r="I182" s="435"/>
      <c r="J182" s="98"/>
      <c r="K182" s="98"/>
    </row>
    <row r="183" spans="1:11" s="285" customFormat="1" hidden="1" x14ac:dyDescent="0.25">
      <c r="A183" s="118">
        <v>20</v>
      </c>
      <c r="B183" s="151">
        <v>1140</v>
      </c>
      <c r="C183" s="94" t="s">
        <v>113</v>
      </c>
      <c r="D183" s="122"/>
      <c r="E183" s="98"/>
      <c r="F183" s="98"/>
      <c r="G183" s="435"/>
      <c r="H183" s="98">
        <f t="shared" si="18"/>
        <v>0</v>
      </c>
      <c r="I183" s="435"/>
      <c r="J183" s="98"/>
      <c r="K183" s="98"/>
    </row>
    <row r="184" spans="1:11" s="285" customFormat="1" hidden="1" x14ac:dyDescent="0.25">
      <c r="A184" s="118">
        <v>20</v>
      </c>
      <c r="B184" s="151">
        <v>1145</v>
      </c>
      <c r="C184" s="94" t="s">
        <v>132</v>
      </c>
      <c r="D184" s="122"/>
      <c r="E184" s="98"/>
      <c r="F184" s="98"/>
      <c r="G184" s="435"/>
      <c r="H184" s="98">
        <f t="shared" si="18"/>
        <v>0</v>
      </c>
      <c r="I184" s="435"/>
      <c r="J184" s="98"/>
      <c r="K184" s="98"/>
    </row>
    <row r="185" spans="1:11" s="285" customFormat="1" hidden="1" x14ac:dyDescent="0.25">
      <c r="A185" s="118">
        <v>20</v>
      </c>
      <c r="B185" s="151">
        <v>1150</v>
      </c>
      <c r="C185" s="94" t="s">
        <v>120</v>
      </c>
      <c r="D185" s="122"/>
      <c r="E185" s="98"/>
      <c r="F185" s="98"/>
      <c r="G185" s="435"/>
      <c r="H185" s="98">
        <f t="shared" si="18"/>
        <v>0</v>
      </c>
      <c r="I185" s="435"/>
      <c r="J185" s="98"/>
      <c r="K185" s="98"/>
    </row>
    <row r="186" spans="1:11" s="285" customFormat="1" hidden="1" x14ac:dyDescent="0.25">
      <c r="A186" s="118">
        <v>20</v>
      </c>
      <c r="B186" s="151">
        <v>1155</v>
      </c>
      <c r="C186" s="94" t="s">
        <v>116</v>
      </c>
      <c r="D186" s="122"/>
      <c r="E186" s="98"/>
      <c r="F186" s="98"/>
      <c r="G186" s="435"/>
      <c r="H186" s="98">
        <f t="shared" si="18"/>
        <v>0</v>
      </c>
      <c r="I186" s="435"/>
      <c r="J186" s="98"/>
      <c r="K186" s="98"/>
    </row>
    <row r="187" spans="1:11" s="285" customFormat="1" hidden="1" x14ac:dyDescent="0.25">
      <c r="A187" s="118">
        <v>20</v>
      </c>
      <c r="B187" s="151">
        <v>1160</v>
      </c>
      <c r="C187" s="94" t="s">
        <v>101</v>
      </c>
      <c r="D187" s="122"/>
      <c r="E187" s="98"/>
      <c r="F187" s="98"/>
      <c r="G187" s="435"/>
      <c r="H187" s="98">
        <f t="shared" si="18"/>
        <v>0</v>
      </c>
      <c r="I187" s="435"/>
      <c r="J187" s="98"/>
      <c r="K187" s="98"/>
    </row>
    <row r="188" spans="1:11" s="285" customFormat="1" hidden="1" x14ac:dyDescent="0.25">
      <c r="A188" s="118">
        <v>20</v>
      </c>
      <c r="B188" s="151">
        <v>1165</v>
      </c>
      <c r="C188" s="94" t="s">
        <v>114</v>
      </c>
      <c r="D188" s="122"/>
      <c r="E188" s="98"/>
      <c r="F188" s="98"/>
      <c r="G188" s="435"/>
      <c r="H188" s="98">
        <f t="shared" si="18"/>
        <v>0</v>
      </c>
      <c r="I188" s="435"/>
      <c r="J188" s="98"/>
      <c r="K188" s="98"/>
    </row>
    <row r="189" spans="1:11" s="285" customFormat="1" hidden="1" x14ac:dyDescent="0.25">
      <c r="A189" s="118"/>
      <c r="B189" s="151"/>
      <c r="C189" s="94" t="s">
        <v>401</v>
      </c>
      <c r="D189" s="122"/>
      <c r="E189" s="98"/>
      <c r="F189" s="98"/>
      <c r="G189" s="435"/>
      <c r="H189" s="98">
        <f t="shared" si="18"/>
        <v>0</v>
      </c>
      <c r="I189" s="435"/>
      <c r="J189" s="98"/>
      <c r="K189" s="98"/>
    </row>
    <row r="190" spans="1:11" s="285" customFormat="1" hidden="1" x14ac:dyDescent="0.25">
      <c r="A190" s="118">
        <v>20</v>
      </c>
      <c r="B190" s="151">
        <v>1180</v>
      </c>
      <c r="C190" s="94" t="s">
        <v>402</v>
      </c>
      <c r="D190" s="122"/>
      <c r="E190" s="98"/>
      <c r="F190" s="98"/>
      <c r="G190" s="435"/>
      <c r="H190" s="98">
        <f t="shared" si="18"/>
        <v>0</v>
      </c>
      <c r="I190" s="435"/>
      <c r="J190" s="98"/>
      <c r="K190" s="98"/>
    </row>
    <row r="191" spans="1:11" s="285" customFormat="1" hidden="1" x14ac:dyDescent="0.25">
      <c r="A191" s="118">
        <v>20</v>
      </c>
      <c r="B191" s="151">
        <v>1185</v>
      </c>
      <c r="C191" s="94" t="s">
        <v>403</v>
      </c>
      <c r="D191" s="122"/>
      <c r="E191" s="98"/>
      <c r="F191" s="98"/>
      <c r="G191" s="435"/>
      <c r="H191" s="98">
        <f t="shared" si="18"/>
        <v>0</v>
      </c>
      <c r="I191" s="435"/>
      <c r="J191" s="98"/>
      <c r="K191" s="98"/>
    </row>
    <row r="192" spans="1:11" s="285" customFormat="1" hidden="1" x14ac:dyDescent="0.25">
      <c r="A192" s="118">
        <v>20</v>
      </c>
      <c r="B192" s="151">
        <v>1190</v>
      </c>
      <c r="C192" s="94" t="s">
        <v>404</v>
      </c>
      <c r="D192" s="122"/>
      <c r="E192" s="98"/>
      <c r="F192" s="98"/>
      <c r="G192" s="435"/>
      <c r="H192" s="98">
        <f t="shared" si="18"/>
        <v>0</v>
      </c>
      <c r="I192" s="435"/>
      <c r="J192" s="98"/>
      <c r="K192" s="98"/>
    </row>
    <row r="193" spans="1:11" s="285" customFormat="1" hidden="1" x14ac:dyDescent="0.25">
      <c r="A193" s="118"/>
      <c r="B193" s="151"/>
      <c r="C193" s="94" t="s">
        <v>405</v>
      </c>
      <c r="D193" s="122"/>
      <c r="E193" s="98"/>
      <c r="F193" s="98"/>
      <c r="G193" s="435"/>
      <c r="H193" s="98">
        <f t="shared" si="18"/>
        <v>0</v>
      </c>
      <c r="I193" s="435"/>
      <c r="J193" s="98"/>
      <c r="K193" s="98"/>
    </row>
    <row r="194" spans="1:11" s="285" customFormat="1" hidden="1" x14ac:dyDescent="0.25">
      <c r="A194" s="118">
        <v>20</v>
      </c>
      <c r="B194" s="151">
        <v>1195</v>
      </c>
      <c r="C194" s="94" t="s">
        <v>199</v>
      </c>
      <c r="D194" s="122"/>
      <c r="E194" s="98"/>
      <c r="F194" s="98"/>
      <c r="G194" s="435"/>
      <c r="H194" s="98">
        <f t="shared" si="18"/>
        <v>0</v>
      </c>
      <c r="I194" s="435"/>
      <c r="J194" s="98"/>
      <c r="K194" s="98"/>
    </row>
    <row r="195" spans="1:11" s="285" customFormat="1" hidden="1" x14ac:dyDescent="0.25">
      <c r="A195" s="118">
        <v>20</v>
      </c>
      <c r="B195" s="151">
        <v>1200</v>
      </c>
      <c r="C195" s="94" t="s">
        <v>117</v>
      </c>
      <c r="D195" s="122"/>
      <c r="E195" s="98"/>
      <c r="F195" s="98"/>
      <c r="G195" s="435"/>
      <c r="H195" s="98">
        <f t="shared" si="18"/>
        <v>0</v>
      </c>
      <c r="I195" s="435"/>
      <c r="J195" s="98"/>
      <c r="K195" s="98"/>
    </row>
    <row r="196" spans="1:11" s="285" customFormat="1" hidden="1" x14ac:dyDescent="0.25">
      <c r="A196" s="118">
        <v>20</v>
      </c>
      <c r="B196" s="151">
        <v>1205</v>
      </c>
      <c r="C196" s="115" t="s">
        <v>105</v>
      </c>
      <c r="D196" s="122"/>
      <c r="E196" s="98"/>
      <c r="F196" s="98"/>
      <c r="G196" s="435"/>
      <c r="H196" s="98">
        <f t="shared" si="18"/>
        <v>0</v>
      </c>
      <c r="I196" s="435"/>
      <c r="J196" s="98"/>
      <c r="K196" s="98"/>
    </row>
    <row r="197" spans="1:11" s="285" customFormat="1" hidden="1" x14ac:dyDescent="0.25">
      <c r="A197" s="118">
        <v>20</v>
      </c>
      <c r="B197" s="151">
        <v>1210</v>
      </c>
      <c r="C197" s="94" t="s">
        <v>118</v>
      </c>
      <c r="D197" s="122"/>
      <c r="E197" s="98"/>
      <c r="F197" s="98"/>
      <c r="G197" s="435"/>
      <c r="H197" s="98">
        <f t="shared" si="18"/>
        <v>0</v>
      </c>
      <c r="I197" s="435"/>
      <c r="J197" s="98"/>
      <c r="K197" s="98"/>
    </row>
    <row r="198" spans="1:11" s="285" customFormat="1" hidden="1" x14ac:dyDescent="0.25">
      <c r="A198" s="118">
        <v>20</v>
      </c>
      <c r="B198" s="151">
        <v>1215</v>
      </c>
      <c r="C198" s="94" t="s">
        <v>133</v>
      </c>
      <c r="D198" s="122"/>
      <c r="E198" s="98"/>
      <c r="F198" s="98"/>
      <c r="G198" s="435"/>
      <c r="H198" s="98">
        <f t="shared" si="18"/>
        <v>0</v>
      </c>
      <c r="I198" s="435"/>
      <c r="J198" s="98"/>
      <c r="K198" s="98"/>
    </row>
    <row r="199" spans="1:11" s="285" customFormat="1" hidden="1" x14ac:dyDescent="0.25">
      <c r="A199" s="118">
        <v>20</v>
      </c>
      <c r="B199" s="151">
        <v>5905</v>
      </c>
      <c r="C199" s="94" t="s">
        <v>329</v>
      </c>
      <c r="D199" s="85"/>
      <c r="E199" s="85"/>
      <c r="F199" s="85"/>
      <c r="G199" s="86"/>
      <c r="H199" s="98">
        <f t="shared" si="18"/>
        <v>0</v>
      </c>
      <c r="I199" s="435"/>
      <c r="J199" s="98"/>
      <c r="K199" s="98"/>
    </row>
    <row r="200" spans="1:11" s="285" customFormat="1" hidden="1" x14ac:dyDescent="0.25">
      <c r="A200" s="118">
        <v>20</v>
      </c>
      <c r="B200" s="151">
        <v>5900</v>
      </c>
      <c r="C200" s="94" t="s">
        <v>333</v>
      </c>
      <c r="D200" s="85"/>
      <c r="E200" s="85"/>
      <c r="F200" s="85"/>
      <c r="G200" s="86"/>
      <c r="H200" s="98">
        <f t="shared" si="18"/>
        <v>0</v>
      </c>
      <c r="I200" s="435"/>
      <c r="J200" s="98"/>
      <c r="K200" s="98"/>
    </row>
    <row r="201" spans="1:11" s="285" customFormat="1" hidden="1" x14ac:dyDescent="0.25">
      <c r="A201" s="118">
        <v>20</v>
      </c>
      <c r="B201" s="151">
        <v>1220</v>
      </c>
      <c r="C201" s="94" t="s">
        <v>340</v>
      </c>
      <c r="D201" s="122"/>
      <c r="E201" s="98"/>
      <c r="F201" s="98"/>
      <c r="G201" s="435"/>
      <c r="H201" s="98">
        <f t="shared" si="18"/>
        <v>0</v>
      </c>
      <c r="I201" s="435"/>
      <c r="J201" s="98"/>
      <c r="K201" s="98"/>
    </row>
    <row r="202" spans="1:11" s="285" customFormat="1" x14ac:dyDescent="0.25">
      <c r="A202" s="118">
        <v>20</v>
      </c>
      <c r="B202" s="151">
        <v>1225</v>
      </c>
      <c r="C202" s="94" t="s">
        <v>370</v>
      </c>
      <c r="D202" s="122">
        <v>22650</v>
      </c>
      <c r="E202" s="98">
        <v>23895.75</v>
      </c>
      <c r="F202" s="98">
        <v>23895.75</v>
      </c>
      <c r="G202" s="435">
        <v>23895.75</v>
      </c>
      <c r="H202" s="98">
        <f t="shared" si="18"/>
        <v>26285.325000000001</v>
      </c>
      <c r="I202" s="435">
        <v>5000</v>
      </c>
      <c r="J202" s="98">
        <v>6000</v>
      </c>
      <c r="K202" s="98">
        <v>7000</v>
      </c>
    </row>
    <row r="203" spans="1:11" s="285" customFormat="1" hidden="1" x14ac:dyDescent="0.25">
      <c r="A203" s="118">
        <v>20</v>
      </c>
      <c r="B203" s="151">
        <v>1230</v>
      </c>
      <c r="C203" s="94" t="s">
        <v>119</v>
      </c>
      <c r="D203" s="122"/>
      <c r="E203" s="98"/>
      <c r="F203" s="98">
        <f>E203/8*12</f>
        <v>0</v>
      </c>
      <c r="G203" s="435">
        <v>0</v>
      </c>
      <c r="H203" s="98"/>
      <c r="I203" s="435"/>
      <c r="J203" s="98"/>
      <c r="K203" s="122"/>
    </row>
    <row r="204" spans="1:11" s="285" customFormat="1" hidden="1" x14ac:dyDescent="0.25">
      <c r="A204" s="118">
        <v>20</v>
      </c>
      <c r="B204" s="151">
        <v>1235</v>
      </c>
      <c r="C204" s="94" t="s">
        <v>347</v>
      </c>
      <c r="D204" s="122"/>
      <c r="E204" s="98"/>
      <c r="F204" s="98">
        <f>E204/8*12</f>
        <v>0</v>
      </c>
      <c r="G204" s="435">
        <v>0</v>
      </c>
      <c r="H204" s="98"/>
      <c r="I204" s="435"/>
      <c r="J204" s="98"/>
      <c r="K204" s="122"/>
    </row>
    <row r="205" spans="1:11" s="285" customFormat="1" hidden="1" x14ac:dyDescent="0.25">
      <c r="A205" s="118"/>
      <c r="B205" s="151"/>
      <c r="C205" s="94" t="s">
        <v>510</v>
      </c>
      <c r="D205" s="225"/>
      <c r="E205" s="85"/>
      <c r="F205" s="85"/>
      <c r="G205" s="428"/>
      <c r="H205" s="85"/>
      <c r="I205" s="428"/>
      <c r="J205" s="85"/>
      <c r="K205" s="85"/>
    </row>
    <row r="206" spans="1:11" s="285" customFormat="1" x14ac:dyDescent="0.25">
      <c r="A206" s="344"/>
      <c r="B206" s="151"/>
      <c r="C206" s="94"/>
      <c r="D206" s="437">
        <f>SUM(D176:D204)</f>
        <v>83302</v>
      </c>
      <c r="E206" s="100">
        <f>SUM(E176:E204)</f>
        <v>87972.23</v>
      </c>
      <c r="F206" s="100">
        <f>SUM(F176:F204)</f>
        <v>87972.23</v>
      </c>
      <c r="G206" s="437">
        <v>87972.23</v>
      </c>
      <c r="H206" s="100">
        <f>SUM(H176:H204)</f>
        <v>96769.452999999994</v>
      </c>
      <c r="I206" s="437"/>
      <c r="J206" s="100"/>
      <c r="K206" s="99"/>
    </row>
    <row r="207" spans="1:11" s="285" customFormat="1" x14ac:dyDescent="0.25">
      <c r="A207" s="344"/>
      <c r="B207" s="151"/>
      <c r="C207" s="93" t="s">
        <v>66</v>
      </c>
      <c r="D207" s="122"/>
      <c r="E207" s="98"/>
      <c r="F207" s="98"/>
      <c r="G207" s="435"/>
      <c r="H207" s="98"/>
      <c r="I207" s="435"/>
      <c r="J207" s="98"/>
      <c r="K207" s="122"/>
    </row>
    <row r="208" spans="1:11" s="285" customFormat="1" hidden="1" x14ac:dyDescent="0.25">
      <c r="A208" s="118">
        <v>20</v>
      </c>
      <c r="B208" s="151">
        <v>1305</v>
      </c>
      <c r="C208" s="94" t="s">
        <v>342</v>
      </c>
      <c r="D208" s="122"/>
      <c r="E208" s="98"/>
      <c r="F208" s="98">
        <f>E208/8*12</f>
        <v>0</v>
      </c>
      <c r="G208" s="435">
        <v>0</v>
      </c>
      <c r="H208" s="98"/>
      <c r="I208" s="435"/>
      <c r="J208" s="98"/>
      <c r="K208" s="122"/>
    </row>
    <row r="209" spans="1:11" s="285" customFormat="1" hidden="1" x14ac:dyDescent="0.25">
      <c r="A209" s="118">
        <v>20</v>
      </c>
      <c r="B209" s="151">
        <v>1310</v>
      </c>
      <c r="C209" s="94" t="s">
        <v>344</v>
      </c>
      <c r="D209" s="122"/>
      <c r="E209" s="98"/>
      <c r="F209" s="98">
        <f>E209/8*12</f>
        <v>0</v>
      </c>
      <c r="G209" s="435">
        <v>0</v>
      </c>
      <c r="H209" s="98"/>
      <c r="I209" s="435"/>
      <c r="J209" s="98"/>
      <c r="K209" s="122"/>
    </row>
    <row r="210" spans="1:11" s="285" customFormat="1" hidden="1" x14ac:dyDescent="0.25">
      <c r="A210" s="118">
        <v>20</v>
      </c>
      <c r="B210" s="151">
        <v>1320</v>
      </c>
      <c r="C210" s="94" t="s">
        <v>345</v>
      </c>
      <c r="D210" s="122"/>
      <c r="E210" s="98"/>
      <c r="F210" s="98">
        <f>E210/8*12</f>
        <v>0</v>
      </c>
      <c r="G210" s="435">
        <v>0</v>
      </c>
      <c r="H210" s="98"/>
      <c r="I210" s="435"/>
      <c r="J210" s="98"/>
      <c r="K210" s="122"/>
    </row>
    <row r="211" spans="1:11" s="285" customFormat="1" x14ac:dyDescent="0.25">
      <c r="A211" s="118">
        <v>20</v>
      </c>
      <c r="B211" s="151">
        <v>1315</v>
      </c>
      <c r="C211" s="94" t="s">
        <v>346</v>
      </c>
      <c r="D211" s="122">
        <v>4650</v>
      </c>
      <c r="E211" s="108">
        <v>4905.75</v>
      </c>
      <c r="F211" s="108">
        <v>4905.75</v>
      </c>
      <c r="G211" s="425">
        <v>4906.75</v>
      </c>
      <c r="H211" s="108">
        <v>4905.75</v>
      </c>
      <c r="I211" s="425">
        <v>3500</v>
      </c>
      <c r="J211" s="108">
        <v>3700</v>
      </c>
      <c r="K211" s="108">
        <v>3900</v>
      </c>
    </row>
    <row r="212" spans="1:11" s="285" customFormat="1" x14ac:dyDescent="0.25">
      <c r="A212" s="344"/>
      <c r="B212" s="151"/>
      <c r="C212" s="94"/>
      <c r="D212" s="99">
        <v>4650</v>
      </c>
      <c r="E212" s="99">
        <f>SUM(E208:E211)</f>
        <v>4905.75</v>
      </c>
      <c r="F212" s="99">
        <f>SUM(F208:F211)</f>
        <v>4905.75</v>
      </c>
      <c r="G212" s="436">
        <v>4906.75</v>
      </c>
      <c r="H212" s="99">
        <f>SUM(H208:H211)</f>
        <v>4905.75</v>
      </c>
      <c r="I212" s="436">
        <f>SUM(I208:I211)</f>
        <v>3500</v>
      </c>
      <c r="J212" s="436">
        <f>SUM(J208:J211)</f>
        <v>3700</v>
      </c>
      <c r="K212" s="436">
        <f>SUM(K208:K211)</f>
        <v>3900</v>
      </c>
    </row>
    <row r="213" spans="1:11" s="285" customFormat="1" hidden="1" x14ac:dyDescent="0.25">
      <c r="A213" s="344"/>
      <c r="B213" s="151"/>
      <c r="C213" s="93" t="s">
        <v>67</v>
      </c>
      <c r="D213" s="122"/>
      <c r="E213" s="98"/>
      <c r="F213" s="98"/>
      <c r="G213" s="435"/>
      <c r="H213" s="98"/>
      <c r="I213" s="435"/>
      <c r="J213" s="435"/>
      <c r="K213" s="435"/>
    </row>
    <row r="214" spans="1:11" s="285" customFormat="1" hidden="1" x14ac:dyDescent="0.25">
      <c r="A214" s="118">
        <v>20</v>
      </c>
      <c r="B214" s="151">
        <v>1400</v>
      </c>
      <c r="C214" s="94" t="s">
        <v>68</v>
      </c>
      <c r="D214" s="122">
        <v>0</v>
      </c>
      <c r="E214" s="108"/>
      <c r="F214" s="98">
        <f>E214/8*12</f>
        <v>0</v>
      </c>
      <c r="G214" s="435">
        <v>0</v>
      </c>
      <c r="H214" s="98">
        <f>F214/8*12</f>
        <v>0</v>
      </c>
      <c r="I214" s="435">
        <f t="shared" ref="I214:K215" si="19">G214/8*12</f>
        <v>0</v>
      </c>
      <c r="J214" s="435">
        <f t="shared" si="19"/>
        <v>0</v>
      </c>
      <c r="K214" s="435">
        <f t="shared" si="19"/>
        <v>0</v>
      </c>
    </row>
    <row r="215" spans="1:11" s="285" customFormat="1" hidden="1" x14ac:dyDescent="0.25">
      <c r="A215" s="118">
        <v>20</v>
      </c>
      <c r="B215" s="151">
        <v>1405</v>
      </c>
      <c r="C215" s="94" t="s">
        <v>69</v>
      </c>
      <c r="D215" s="122">
        <v>0</v>
      </c>
      <c r="E215" s="108"/>
      <c r="F215" s="98">
        <f>E215/8*12</f>
        <v>0</v>
      </c>
      <c r="G215" s="435">
        <v>0</v>
      </c>
      <c r="H215" s="98">
        <f>F215/8*12</f>
        <v>0</v>
      </c>
      <c r="I215" s="435">
        <f t="shared" si="19"/>
        <v>0</v>
      </c>
      <c r="J215" s="435">
        <f t="shared" si="19"/>
        <v>0</v>
      </c>
      <c r="K215" s="435">
        <f t="shared" si="19"/>
        <v>0</v>
      </c>
    </row>
    <row r="216" spans="1:11" s="285" customFormat="1" hidden="1" x14ac:dyDescent="0.25">
      <c r="A216" s="344"/>
      <c r="B216" s="151"/>
      <c r="C216" s="94"/>
      <c r="D216" s="436">
        <f t="shared" ref="D216:K216" si="20">SUM(D214:D215)</f>
        <v>0</v>
      </c>
      <c r="E216" s="99">
        <f t="shared" si="20"/>
        <v>0</v>
      </c>
      <c r="F216" s="99">
        <f t="shared" si="20"/>
        <v>0</v>
      </c>
      <c r="G216" s="436">
        <f t="shared" si="20"/>
        <v>0</v>
      </c>
      <c r="H216" s="99">
        <f t="shared" si="20"/>
        <v>0</v>
      </c>
      <c r="I216" s="436">
        <f t="shared" si="20"/>
        <v>0</v>
      </c>
      <c r="J216" s="436">
        <f t="shared" si="20"/>
        <v>0</v>
      </c>
      <c r="K216" s="436">
        <f t="shared" si="20"/>
        <v>0</v>
      </c>
    </row>
    <row r="217" spans="1:11" s="285" customFormat="1" hidden="1" x14ac:dyDescent="0.25">
      <c r="A217" s="344"/>
      <c r="B217" s="151"/>
      <c r="C217" s="93" t="s">
        <v>70</v>
      </c>
      <c r="D217" s="122"/>
      <c r="E217" s="98"/>
      <c r="F217" s="98"/>
      <c r="G217" s="435"/>
      <c r="H217" s="98"/>
      <c r="I217" s="435"/>
      <c r="J217" s="435"/>
      <c r="K217" s="435"/>
    </row>
    <row r="218" spans="1:11" s="285" customFormat="1" hidden="1" x14ac:dyDescent="0.25">
      <c r="A218" s="118">
        <v>20</v>
      </c>
      <c r="B218" s="151">
        <v>1500</v>
      </c>
      <c r="C218" s="94" t="s">
        <v>106</v>
      </c>
      <c r="D218" s="122">
        <v>0</v>
      </c>
      <c r="E218" s="108"/>
      <c r="F218" s="98">
        <f>E218/8*12</f>
        <v>0</v>
      </c>
      <c r="G218" s="435">
        <v>0</v>
      </c>
      <c r="H218" s="98">
        <f>F218/8*12</f>
        <v>0</v>
      </c>
      <c r="I218" s="435">
        <f t="shared" ref="I218:K220" si="21">G218/8*12</f>
        <v>0</v>
      </c>
      <c r="J218" s="435">
        <f t="shared" si="21"/>
        <v>0</v>
      </c>
      <c r="K218" s="435">
        <f t="shared" si="21"/>
        <v>0</v>
      </c>
    </row>
    <row r="219" spans="1:11" s="285" customFormat="1" hidden="1" x14ac:dyDescent="0.25">
      <c r="A219" s="118">
        <v>20</v>
      </c>
      <c r="B219" s="151">
        <v>1505</v>
      </c>
      <c r="C219" s="94" t="s">
        <v>71</v>
      </c>
      <c r="D219" s="122">
        <v>0</v>
      </c>
      <c r="E219" s="108"/>
      <c r="F219" s="98">
        <f>E219/8*12</f>
        <v>0</v>
      </c>
      <c r="G219" s="435">
        <v>0</v>
      </c>
      <c r="H219" s="98">
        <f>F219/8*12</f>
        <v>0</v>
      </c>
      <c r="I219" s="435">
        <f t="shared" si="21"/>
        <v>0</v>
      </c>
      <c r="J219" s="435">
        <f t="shared" si="21"/>
        <v>0</v>
      </c>
      <c r="K219" s="435">
        <f t="shared" si="21"/>
        <v>0</v>
      </c>
    </row>
    <row r="220" spans="1:11" s="285" customFormat="1" hidden="1" x14ac:dyDescent="0.25">
      <c r="A220" s="118">
        <v>20</v>
      </c>
      <c r="B220" s="151">
        <v>1510</v>
      </c>
      <c r="C220" s="94" t="s">
        <v>72</v>
      </c>
      <c r="D220" s="122">
        <v>0</v>
      </c>
      <c r="E220" s="108"/>
      <c r="F220" s="98">
        <f>E220/8*12</f>
        <v>0</v>
      </c>
      <c r="G220" s="435">
        <v>0</v>
      </c>
      <c r="H220" s="98">
        <f>F220/8*12</f>
        <v>0</v>
      </c>
      <c r="I220" s="435">
        <f t="shared" si="21"/>
        <v>0</v>
      </c>
      <c r="J220" s="435">
        <f t="shared" si="21"/>
        <v>0</v>
      </c>
      <c r="K220" s="435">
        <f t="shared" si="21"/>
        <v>0</v>
      </c>
    </row>
    <row r="221" spans="1:11" s="285" customFormat="1" hidden="1" x14ac:dyDescent="0.25">
      <c r="A221" s="344"/>
      <c r="B221" s="151"/>
      <c r="C221" s="94"/>
      <c r="D221" s="436">
        <f>SUM(D218:D220)</f>
        <v>0</v>
      </c>
      <c r="E221" s="99">
        <f>SUM(E218:E220)</f>
        <v>0</v>
      </c>
      <c r="F221" s="99">
        <f>SUM(F218:F220)</f>
        <v>0</v>
      </c>
      <c r="G221" s="436">
        <v>0</v>
      </c>
      <c r="H221" s="99">
        <f>SUM(H218:H220)</f>
        <v>0</v>
      </c>
      <c r="I221" s="436">
        <f>SUM(I218:I220)</f>
        <v>0</v>
      </c>
      <c r="J221" s="436">
        <f>SUM(J218:J220)</f>
        <v>0</v>
      </c>
      <c r="K221" s="436">
        <f>SUM(K218:K220)</f>
        <v>0</v>
      </c>
    </row>
    <row r="222" spans="1:11" s="285" customFormat="1" hidden="1" x14ac:dyDescent="0.25">
      <c r="A222" s="344"/>
      <c r="B222" s="151"/>
      <c r="C222" s="93" t="s">
        <v>73</v>
      </c>
      <c r="D222" s="122"/>
      <c r="E222" s="98"/>
      <c r="F222" s="98"/>
      <c r="G222" s="435"/>
      <c r="H222" s="98"/>
      <c r="I222" s="435"/>
      <c r="J222" s="435"/>
      <c r="K222" s="435"/>
    </row>
    <row r="223" spans="1:11" s="285" customFormat="1" hidden="1" x14ac:dyDescent="0.25">
      <c r="A223" s="118">
        <v>20</v>
      </c>
      <c r="B223" s="151">
        <v>1550</v>
      </c>
      <c r="C223" s="94" t="s">
        <v>349</v>
      </c>
      <c r="D223" s="122">
        <v>0</v>
      </c>
      <c r="E223" s="98"/>
      <c r="F223" s="98">
        <f>E223/8*12</f>
        <v>0</v>
      </c>
      <c r="G223" s="435">
        <v>0</v>
      </c>
      <c r="H223" s="98">
        <f>F223/8*12</f>
        <v>0</v>
      </c>
      <c r="I223" s="435">
        <f t="shared" ref="I223:K224" si="22">G223/8*12</f>
        <v>0</v>
      </c>
      <c r="J223" s="435">
        <f t="shared" si="22"/>
        <v>0</v>
      </c>
      <c r="K223" s="435">
        <f t="shared" si="22"/>
        <v>0</v>
      </c>
    </row>
    <row r="224" spans="1:11" s="285" customFormat="1" hidden="1" x14ac:dyDescent="0.25">
      <c r="A224" s="118">
        <v>20</v>
      </c>
      <c r="B224" s="151">
        <v>1555</v>
      </c>
      <c r="C224" s="94" t="s">
        <v>348</v>
      </c>
      <c r="D224" s="122">
        <v>0</v>
      </c>
      <c r="E224" s="98"/>
      <c r="F224" s="98">
        <f>E224/8*12</f>
        <v>0</v>
      </c>
      <c r="G224" s="435">
        <v>0</v>
      </c>
      <c r="H224" s="98">
        <f>F224/8*12</f>
        <v>0</v>
      </c>
      <c r="I224" s="435">
        <f t="shared" si="22"/>
        <v>0</v>
      </c>
      <c r="J224" s="435">
        <f t="shared" si="22"/>
        <v>0</v>
      </c>
      <c r="K224" s="435">
        <f t="shared" si="22"/>
        <v>0</v>
      </c>
    </row>
    <row r="225" spans="1:11" s="285" customFormat="1" hidden="1" x14ac:dyDescent="0.25">
      <c r="A225" s="344"/>
      <c r="B225" s="151"/>
      <c r="C225" s="94"/>
      <c r="D225" s="100">
        <v>0</v>
      </c>
      <c r="E225" s="100">
        <f>SUM(E223:E224)</f>
        <v>0</v>
      </c>
      <c r="F225" s="100">
        <f>SUM(F223:F224)</f>
        <v>0</v>
      </c>
      <c r="G225" s="437">
        <v>0</v>
      </c>
      <c r="H225" s="100">
        <f>SUM(H223:H224)</f>
        <v>0</v>
      </c>
      <c r="I225" s="437">
        <f>SUM(I223:I224)</f>
        <v>0</v>
      </c>
      <c r="J225" s="437">
        <f>SUM(J223:J224)</f>
        <v>0</v>
      </c>
      <c r="K225" s="437">
        <f>SUM(K223:K224)</f>
        <v>0</v>
      </c>
    </row>
    <row r="226" spans="1:11" s="285" customFormat="1" ht="13.5" hidden="1" customHeight="1" x14ac:dyDescent="0.25">
      <c r="A226" s="344"/>
      <c r="B226" s="151"/>
      <c r="C226" s="93" t="s">
        <v>74</v>
      </c>
      <c r="D226" s="122"/>
      <c r="E226" s="98"/>
      <c r="F226" s="98"/>
      <c r="G226" s="435"/>
      <c r="H226" s="98"/>
      <c r="I226" s="435"/>
      <c r="J226" s="435"/>
      <c r="K226" s="435"/>
    </row>
    <row r="227" spans="1:11" s="285" customFormat="1" hidden="1" x14ac:dyDescent="0.25">
      <c r="A227" s="118">
        <v>20</v>
      </c>
      <c r="B227" s="151">
        <v>1605</v>
      </c>
      <c r="C227" s="94" t="s">
        <v>75</v>
      </c>
      <c r="D227" s="122">
        <v>0</v>
      </c>
      <c r="E227" s="98"/>
      <c r="F227" s="98">
        <f t="shared" ref="F227:F239" si="23">E227/8*12</f>
        <v>0</v>
      </c>
      <c r="G227" s="435">
        <v>0</v>
      </c>
      <c r="H227" s="98">
        <f t="shared" ref="H227:H239" si="24">F227/8*12</f>
        <v>0</v>
      </c>
      <c r="I227" s="435">
        <f t="shared" ref="I227:I239" si="25">G227/8*12</f>
        <v>0</v>
      </c>
      <c r="J227" s="435">
        <f t="shared" ref="J227:J239" si="26">H227/8*12</f>
        <v>0</v>
      </c>
      <c r="K227" s="435">
        <f t="shared" ref="K227:K239" si="27">I227/8*12</f>
        <v>0</v>
      </c>
    </row>
    <row r="228" spans="1:11" s="285" customFormat="1" hidden="1" x14ac:dyDescent="0.25">
      <c r="A228" s="118">
        <v>20</v>
      </c>
      <c r="B228" s="151">
        <v>1610</v>
      </c>
      <c r="C228" s="94" t="s">
        <v>131</v>
      </c>
      <c r="D228" s="122">
        <v>0</v>
      </c>
      <c r="E228" s="108"/>
      <c r="F228" s="98">
        <f t="shared" si="23"/>
        <v>0</v>
      </c>
      <c r="G228" s="435">
        <v>0</v>
      </c>
      <c r="H228" s="98">
        <f t="shared" si="24"/>
        <v>0</v>
      </c>
      <c r="I228" s="435">
        <f t="shared" si="25"/>
        <v>0</v>
      </c>
      <c r="J228" s="435">
        <f t="shared" si="26"/>
        <v>0</v>
      </c>
      <c r="K228" s="435">
        <f t="shared" si="27"/>
        <v>0</v>
      </c>
    </row>
    <row r="229" spans="1:11" s="285" customFormat="1" hidden="1" x14ac:dyDescent="0.25">
      <c r="A229" s="118">
        <v>20</v>
      </c>
      <c r="B229" s="151">
        <v>1615</v>
      </c>
      <c r="C229" s="94" t="s">
        <v>182</v>
      </c>
      <c r="D229" s="122">
        <v>0</v>
      </c>
      <c r="E229" s="108"/>
      <c r="F229" s="98">
        <f t="shared" si="23"/>
        <v>0</v>
      </c>
      <c r="G229" s="435">
        <v>0</v>
      </c>
      <c r="H229" s="98">
        <f t="shared" si="24"/>
        <v>0</v>
      </c>
      <c r="I229" s="435">
        <f t="shared" si="25"/>
        <v>0</v>
      </c>
      <c r="J229" s="435">
        <f t="shared" si="26"/>
        <v>0</v>
      </c>
      <c r="K229" s="435">
        <f t="shared" si="27"/>
        <v>0</v>
      </c>
    </row>
    <row r="230" spans="1:11" s="285" customFormat="1" hidden="1" x14ac:dyDescent="0.25">
      <c r="A230" s="118">
        <v>20</v>
      </c>
      <c r="B230" s="151">
        <v>1620</v>
      </c>
      <c r="C230" s="94" t="s">
        <v>255</v>
      </c>
      <c r="D230" s="122">
        <v>0</v>
      </c>
      <c r="E230" s="108"/>
      <c r="F230" s="98">
        <f t="shared" si="23"/>
        <v>0</v>
      </c>
      <c r="G230" s="435">
        <v>0</v>
      </c>
      <c r="H230" s="98">
        <f t="shared" si="24"/>
        <v>0</v>
      </c>
      <c r="I230" s="435">
        <f t="shared" si="25"/>
        <v>0</v>
      </c>
      <c r="J230" s="435">
        <f t="shared" si="26"/>
        <v>0</v>
      </c>
      <c r="K230" s="435">
        <f t="shared" si="27"/>
        <v>0</v>
      </c>
    </row>
    <row r="231" spans="1:11" s="285" customFormat="1" hidden="1" x14ac:dyDescent="0.25">
      <c r="A231" s="118">
        <v>20</v>
      </c>
      <c r="B231" s="151">
        <v>1625</v>
      </c>
      <c r="C231" s="94" t="s">
        <v>108</v>
      </c>
      <c r="D231" s="122">
        <v>0</v>
      </c>
      <c r="E231" s="108"/>
      <c r="F231" s="98">
        <f t="shared" si="23"/>
        <v>0</v>
      </c>
      <c r="G231" s="435">
        <v>0</v>
      </c>
      <c r="H231" s="98">
        <f t="shared" si="24"/>
        <v>0</v>
      </c>
      <c r="I231" s="435">
        <f t="shared" si="25"/>
        <v>0</v>
      </c>
      <c r="J231" s="435">
        <f t="shared" si="26"/>
        <v>0</v>
      </c>
      <c r="K231" s="435">
        <f t="shared" si="27"/>
        <v>0</v>
      </c>
    </row>
    <row r="232" spans="1:11" s="285" customFormat="1" hidden="1" x14ac:dyDescent="0.25">
      <c r="A232" s="118">
        <v>20</v>
      </c>
      <c r="B232" s="151">
        <v>1630</v>
      </c>
      <c r="C232" s="94" t="s">
        <v>76</v>
      </c>
      <c r="D232" s="122">
        <v>0</v>
      </c>
      <c r="E232" s="108"/>
      <c r="F232" s="98">
        <f t="shared" si="23"/>
        <v>0</v>
      </c>
      <c r="G232" s="435">
        <v>0</v>
      </c>
      <c r="H232" s="98">
        <f t="shared" si="24"/>
        <v>0</v>
      </c>
      <c r="I232" s="435">
        <f t="shared" si="25"/>
        <v>0</v>
      </c>
      <c r="J232" s="435">
        <f t="shared" si="26"/>
        <v>0</v>
      </c>
      <c r="K232" s="435">
        <f t="shared" si="27"/>
        <v>0</v>
      </c>
    </row>
    <row r="233" spans="1:11" s="285" customFormat="1" hidden="1" x14ac:dyDescent="0.25">
      <c r="A233" s="118">
        <v>20</v>
      </c>
      <c r="B233" s="151">
        <v>1635</v>
      </c>
      <c r="C233" s="94" t="s">
        <v>180</v>
      </c>
      <c r="D233" s="122">
        <v>0</v>
      </c>
      <c r="E233" s="108"/>
      <c r="F233" s="98">
        <f t="shared" si="23"/>
        <v>0</v>
      </c>
      <c r="G233" s="435">
        <v>0</v>
      </c>
      <c r="H233" s="98">
        <f t="shared" si="24"/>
        <v>0</v>
      </c>
      <c r="I233" s="435">
        <f t="shared" si="25"/>
        <v>0</v>
      </c>
      <c r="J233" s="435">
        <f t="shared" si="26"/>
        <v>0</v>
      </c>
      <c r="K233" s="435">
        <f t="shared" si="27"/>
        <v>0</v>
      </c>
    </row>
    <row r="234" spans="1:11" s="285" customFormat="1" hidden="1" x14ac:dyDescent="0.25">
      <c r="A234" s="118">
        <v>20</v>
      </c>
      <c r="B234" s="151">
        <v>1640</v>
      </c>
      <c r="C234" s="94" t="s">
        <v>184</v>
      </c>
      <c r="D234" s="122">
        <v>0</v>
      </c>
      <c r="E234" s="108"/>
      <c r="F234" s="98">
        <f t="shared" si="23"/>
        <v>0</v>
      </c>
      <c r="G234" s="435">
        <v>0</v>
      </c>
      <c r="H234" s="98">
        <f t="shared" si="24"/>
        <v>0</v>
      </c>
      <c r="I234" s="435">
        <f t="shared" si="25"/>
        <v>0</v>
      </c>
      <c r="J234" s="435">
        <f t="shared" si="26"/>
        <v>0</v>
      </c>
      <c r="K234" s="435">
        <f t="shared" si="27"/>
        <v>0</v>
      </c>
    </row>
    <row r="235" spans="1:11" s="285" customFormat="1" hidden="1" x14ac:dyDescent="0.25">
      <c r="A235" s="118">
        <v>20</v>
      </c>
      <c r="B235" s="151">
        <v>1645</v>
      </c>
      <c r="C235" s="94" t="s">
        <v>77</v>
      </c>
      <c r="D235" s="122">
        <v>0</v>
      </c>
      <c r="E235" s="108"/>
      <c r="F235" s="98">
        <f t="shared" si="23"/>
        <v>0</v>
      </c>
      <c r="G235" s="435">
        <v>0</v>
      </c>
      <c r="H235" s="98">
        <f t="shared" si="24"/>
        <v>0</v>
      </c>
      <c r="I235" s="435">
        <f t="shared" si="25"/>
        <v>0</v>
      </c>
      <c r="J235" s="435">
        <f t="shared" si="26"/>
        <v>0</v>
      </c>
      <c r="K235" s="435">
        <f t="shared" si="27"/>
        <v>0</v>
      </c>
    </row>
    <row r="236" spans="1:11" s="285" customFormat="1" hidden="1" x14ac:dyDescent="0.25">
      <c r="A236" s="118">
        <v>20</v>
      </c>
      <c r="B236" s="151">
        <v>1650</v>
      </c>
      <c r="C236" s="94" t="s">
        <v>78</v>
      </c>
      <c r="D236" s="122">
        <v>0</v>
      </c>
      <c r="E236" s="108"/>
      <c r="F236" s="98">
        <f t="shared" si="23"/>
        <v>0</v>
      </c>
      <c r="G236" s="435">
        <v>0</v>
      </c>
      <c r="H236" s="98">
        <f t="shared" si="24"/>
        <v>0</v>
      </c>
      <c r="I236" s="435">
        <f t="shared" si="25"/>
        <v>0</v>
      </c>
      <c r="J236" s="435">
        <f t="shared" si="26"/>
        <v>0</v>
      </c>
      <c r="K236" s="435">
        <f t="shared" si="27"/>
        <v>0</v>
      </c>
    </row>
    <row r="237" spans="1:11" s="285" customFormat="1" hidden="1" x14ac:dyDescent="0.25">
      <c r="A237" s="118">
        <v>20</v>
      </c>
      <c r="B237" s="151"/>
      <c r="C237" s="94" t="s">
        <v>200</v>
      </c>
      <c r="D237" s="122">
        <v>0</v>
      </c>
      <c r="E237" s="108"/>
      <c r="F237" s="98">
        <f t="shared" si="23"/>
        <v>0</v>
      </c>
      <c r="G237" s="435">
        <v>0</v>
      </c>
      <c r="H237" s="98">
        <f t="shared" si="24"/>
        <v>0</v>
      </c>
      <c r="I237" s="435">
        <f t="shared" si="25"/>
        <v>0</v>
      </c>
      <c r="J237" s="435">
        <f t="shared" si="26"/>
        <v>0</v>
      </c>
      <c r="K237" s="435">
        <f t="shared" si="27"/>
        <v>0</v>
      </c>
    </row>
    <row r="238" spans="1:11" s="285" customFormat="1" hidden="1" x14ac:dyDescent="0.25">
      <c r="A238" s="118">
        <v>20</v>
      </c>
      <c r="B238" s="151">
        <v>1660</v>
      </c>
      <c r="C238" s="94" t="s">
        <v>185</v>
      </c>
      <c r="D238" s="122">
        <v>0</v>
      </c>
      <c r="E238" s="108"/>
      <c r="F238" s="98">
        <f t="shared" si="23"/>
        <v>0</v>
      </c>
      <c r="G238" s="435">
        <v>0</v>
      </c>
      <c r="H238" s="98">
        <f t="shared" si="24"/>
        <v>0</v>
      </c>
      <c r="I238" s="435">
        <f t="shared" si="25"/>
        <v>0</v>
      </c>
      <c r="J238" s="435">
        <f t="shared" si="26"/>
        <v>0</v>
      </c>
      <c r="K238" s="435">
        <f t="shared" si="27"/>
        <v>0</v>
      </c>
    </row>
    <row r="239" spans="1:11" s="285" customFormat="1" hidden="1" x14ac:dyDescent="0.25">
      <c r="A239" s="118">
        <v>20</v>
      </c>
      <c r="B239" s="151">
        <v>1665</v>
      </c>
      <c r="C239" s="94" t="s">
        <v>181</v>
      </c>
      <c r="D239" s="122">
        <v>0</v>
      </c>
      <c r="E239" s="108"/>
      <c r="F239" s="98">
        <f t="shared" si="23"/>
        <v>0</v>
      </c>
      <c r="G239" s="435">
        <v>0</v>
      </c>
      <c r="H239" s="98">
        <f t="shared" si="24"/>
        <v>0</v>
      </c>
      <c r="I239" s="435">
        <f t="shared" si="25"/>
        <v>0</v>
      </c>
      <c r="J239" s="435">
        <f t="shared" si="26"/>
        <v>0</v>
      </c>
      <c r="K239" s="435">
        <f t="shared" si="27"/>
        <v>0</v>
      </c>
    </row>
    <row r="240" spans="1:11" s="285" customFormat="1" hidden="1" x14ac:dyDescent="0.25">
      <c r="A240" s="344"/>
      <c r="B240" s="151"/>
      <c r="C240" s="94"/>
      <c r="D240" s="436">
        <f>SUM(D227:D239)</f>
        <v>0</v>
      </c>
      <c r="E240" s="99">
        <f>SUM(E227:E239)</f>
        <v>0</v>
      </c>
      <c r="F240" s="99">
        <f>SUM(F227:F239)</f>
        <v>0</v>
      </c>
      <c r="G240" s="436">
        <v>0</v>
      </c>
      <c r="H240" s="99">
        <f>SUM(H227:H239)</f>
        <v>0</v>
      </c>
      <c r="I240" s="436">
        <f>SUM(I227:I239)</f>
        <v>0</v>
      </c>
      <c r="J240" s="436">
        <f>SUM(J227:J239)</f>
        <v>0</v>
      </c>
      <c r="K240" s="436">
        <f>SUM(K227:K239)</f>
        <v>0</v>
      </c>
    </row>
    <row r="241" spans="1:14" s="285" customFormat="1" hidden="1" x14ac:dyDescent="0.25">
      <c r="A241" s="344"/>
      <c r="B241" s="151"/>
      <c r="C241" s="93" t="s">
        <v>79</v>
      </c>
      <c r="D241" s="122"/>
      <c r="E241" s="98"/>
      <c r="F241" s="98"/>
      <c r="G241" s="435"/>
      <c r="H241" s="98"/>
      <c r="I241" s="435"/>
      <c r="J241" s="435"/>
      <c r="K241" s="435"/>
    </row>
    <row r="242" spans="1:14" s="285" customFormat="1" hidden="1" x14ac:dyDescent="0.25">
      <c r="A242" s="118">
        <v>20</v>
      </c>
      <c r="B242" s="151">
        <v>1705</v>
      </c>
      <c r="C242" s="94" t="s">
        <v>123</v>
      </c>
      <c r="D242" s="122">
        <v>0</v>
      </c>
      <c r="E242" s="98"/>
      <c r="F242" s="98">
        <f t="shared" ref="F242:F247" si="28">E242/8*12</f>
        <v>0</v>
      </c>
      <c r="G242" s="435">
        <v>0</v>
      </c>
      <c r="H242" s="98">
        <f t="shared" ref="H242:H247" si="29">F242/8*12</f>
        <v>0</v>
      </c>
      <c r="I242" s="435">
        <f t="shared" ref="I242:I247" si="30">G242/8*12</f>
        <v>0</v>
      </c>
      <c r="J242" s="435">
        <f t="shared" ref="J242:J247" si="31">H242/8*12</f>
        <v>0</v>
      </c>
      <c r="K242" s="435">
        <f t="shared" ref="K242:K247" si="32">I242/8*12</f>
        <v>0</v>
      </c>
    </row>
    <row r="243" spans="1:14" s="285" customFormat="1" hidden="1" x14ac:dyDescent="0.25">
      <c r="A243" s="118">
        <v>20</v>
      </c>
      <c r="B243" s="151">
        <v>1710</v>
      </c>
      <c r="C243" s="94" t="s">
        <v>242</v>
      </c>
      <c r="D243" s="122">
        <v>0</v>
      </c>
      <c r="E243" s="98"/>
      <c r="F243" s="98">
        <f t="shared" si="28"/>
        <v>0</v>
      </c>
      <c r="G243" s="435">
        <v>0</v>
      </c>
      <c r="H243" s="98">
        <f t="shared" si="29"/>
        <v>0</v>
      </c>
      <c r="I243" s="435">
        <f t="shared" si="30"/>
        <v>0</v>
      </c>
      <c r="J243" s="435">
        <f t="shared" si="31"/>
        <v>0</v>
      </c>
      <c r="K243" s="435">
        <f t="shared" si="32"/>
        <v>0</v>
      </c>
    </row>
    <row r="244" spans="1:14" s="285" customFormat="1" hidden="1" x14ac:dyDescent="0.25">
      <c r="A244" s="118">
        <v>20</v>
      </c>
      <c r="B244" s="151">
        <v>1715</v>
      </c>
      <c r="C244" s="94" t="s">
        <v>183</v>
      </c>
      <c r="D244" s="122">
        <v>0</v>
      </c>
      <c r="E244" s="98"/>
      <c r="F244" s="98">
        <f t="shared" si="28"/>
        <v>0</v>
      </c>
      <c r="G244" s="435">
        <v>0</v>
      </c>
      <c r="H244" s="98">
        <f t="shared" si="29"/>
        <v>0</v>
      </c>
      <c r="I244" s="435">
        <f t="shared" si="30"/>
        <v>0</v>
      </c>
      <c r="J244" s="435">
        <f t="shared" si="31"/>
        <v>0</v>
      </c>
      <c r="K244" s="435">
        <f t="shared" si="32"/>
        <v>0</v>
      </c>
    </row>
    <row r="245" spans="1:14" s="285" customFormat="1" hidden="1" x14ac:dyDescent="0.25">
      <c r="A245" s="118">
        <v>20</v>
      </c>
      <c r="B245" s="151">
        <v>1720</v>
      </c>
      <c r="C245" s="94" t="s">
        <v>103</v>
      </c>
      <c r="D245" s="122">
        <v>0</v>
      </c>
      <c r="E245" s="98"/>
      <c r="F245" s="98">
        <f t="shared" si="28"/>
        <v>0</v>
      </c>
      <c r="G245" s="435">
        <v>0</v>
      </c>
      <c r="H245" s="98">
        <f t="shared" si="29"/>
        <v>0</v>
      </c>
      <c r="I245" s="435">
        <f t="shared" si="30"/>
        <v>0</v>
      </c>
      <c r="J245" s="435">
        <f t="shared" si="31"/>
        <v>0</v>
      </c>
      <c r="K245" s="435">
        <f t="shared" si="32"/>
        <v>0</v>
      </c>
    </row>
    <row r="246" spans="1:14" s="285" customFormat="1" hidden="1" x14ac:dyDescent="0.25">
      <c r="A246" s="118">
        <v>20</v>
      </c>
      <c r="B246" s="151">
        <v>1725</v>
      </c>
      <c r="C246" s="94" t="s">
        <v>107</v>
      </c>
      <c r="D246" s="122">
        <v>0</v>
      </c>
      <c r="E246" s="98"/>
      <c r="F246" s="98">
        <f t="shared" si="28"/>
        <v>0</v>
      </c>
      <c r="G246" s="435">
        <v>0</v>
      </c>
      <c r="H246" s="98">
        <f t="shared" si="29"/>
        <v>0</v>
      </c>
      <c r="I246" s="435">
        <f t="shared" si="30"/>
        <v>0</v>
      </c>
      <c r="J246" s="435">
        <f t="shared" si="31"/>
        <v>0</v>
      </c>
      <c r="K246" s="435">
        <f t="shared" si="32"/>
        <v>0</v>
      </c>
    </row>
    <row r="247" spans="1:14" s="285" customFormat="1" hidden="1" x14ac:dyDescent="0.25">
      <c r="A247" s="118">
        <v>20</v>
      </c>
      <c r="B247" s="151">
        <v>1730</v>
      </c>
      <c r="C247" s="94" t="s">
        <v>256</v>
      </c>
      <c r="D247" s="122">
        <v>0</v>
      </c>
      <c r="E247" s="98"/>
      <c r="F247" s="98">
        <f t="shared" si="28"/>
        <v>0</v>
      </c>
      <c r="G247" s="435">
        <v>0</v>
      </c>
      <c r="H247" s="98">
        <f t="shared" si="29"/>
        <v>0</v>
      </c>
      <c r="I247" s="435">
        <f t="shared" si="30"/>
        <v>0</v>
      </c>
      <c r="J247" s="435">
        <f t="shared" si="31"/>
        <v>0</v>
      </c>
      <c r="K247" s="435">
        <f t="shared" si="32"/>
        <v>0</v>
      </c>
    </row>
    <row r="248" spans="1:14" s="285" customFormat="1" hidden="1" x14ac:dyDescent="0.25">
      <c r="A248" s="344"/>
      <c r="B248" s="151"/>
      <c r="C248" s="94"/>
      <c r="D248" s="436">
        <f t="shared" ref="D248:K248" si="33">SUM(D242:D247)</f>
        <v>0</v>
      </c>
      <c r="E248" s="99">
        <f t="shared" si="33"/>
        <v>0</v>
      </c>
      <c r="F248" s="99">
        <f t="shared" si="33"/>
        <v>0</v>
      </c>
      <c r="G248" s="436">
        <f t="shared" si="33"/>
        <v>0</v>
      </c>
      <c r="H248" s="99">
        <f t="shared" si="33"/>
        <v>0</v>
      </c>
      <c r="I248" s="436">
        <f t="shared" si="33"/>
        <v>0</v>
      </c>
      <c r="J248" s="436">
        <f t="shared" si="33"/>
        <v>0</v>
      </c>
      <c r="K248" s="436">
        <f t="shared" si="33"/>
        <v>0</v>
      </c>
    </row>
    <row r="249" spans="1:14" s="285" customFormat="1" hidden="1" x14ac:dyDescent="0.25">
      <c r="A249" s="344"/>
      <c r="B249" s="151"/>
      <c r="C249" s="93" t="s">
        <v>80</v>
      </c>
      <c r="D249" s="122"/>
      <c r="E249" s="98"/>
      <c r="F249" s="98"/>
      <c r="G249" s="435"/>
      <c r="H249" s="98"/>
      <c r="I249" s="435"/>
      <c r="J249" s="435"/>
      <c r="K249" s="435"/>
    </row>
    <row r="250" spans="1:14" s="285" customFormat="1" hidden="1" x14ac:dyDescent="0.25">
      <c r="A250" s="118">
        <v>20</v>
      </c>
      <c r="B250" s="151">
        <v>1805</v>
      </c>
      <c r="C250" s="94" t="s">
        <v>81</v>
      </c>
      <c r="D250" s="122">
        <v>0</v>
      </c>
      <c r="E250" s="108"/>
      <c r="F250" s="98">
        <f>E250/8*12</f>
        <v>0</v>
      </c>
      <c r="G250" s="435">
        <v>0</v>
      </c>
      <c r="H250" s="98">
        <f>F250/8*12</f>
        <v>0</v>
      </c>
      <c r="I250" s="435">
        <f>G250/8*12</f>
        <v>0</v>
      </c>
      <c r="J250" s="435">
        <f>H250/8*12</f>
        <v>0</v>
      </c>
      <c r="K250" s="435">
        <f>I250/8*12</f>
        <v>0</v>
      </c>
    </row>
    <row r="251" spans="1:14" s="285" customFormat="1" hidden="1" x14ac:dyDescent="0.25">
      <c r="A251" s="344"/>
      <c r="B251" s="151"/>
      <c r="C251" s="94"/>
      <c r="D251" s="99">
        <v>0</v>
      </c>
      <c r="E251" s="99">
        <f>E250</f>
        <v>0</v>
      </c>
      <c r="F251" s="99">
        <f>F250</f>
        <v>0</v>
      </c>
      <c r="G251" s="436">
        <v>0</v>
      </c>
      <c r="H251" s="99">
        <f>H250</f>
        <v>0</v>
      </c>
      <c r="I251" s="436">
        <f>I250</f>
        <v>0</v>
      </c>
      <c r="J251" s="436">
        <f>J250</f>
        <v>0</v>
      </c>
      <c r="K251" s="436">
        <f>K250</f>
        <v>0</v>
      </c>
    </row>
    <row r="252" spans="1:14" s="285" customFormat="1" x14ac:dyDescent="0.25">
      <c r="A252" s="344"/>
      <c r="B252" s="346"/>
      <c r="C252" s="93" t="s">
        <v>192</v>
      </c>
      <c r="D252" s="442">
        <f t="shared" ref="D252:K252" si="34">SUM(D171:D251)/2</f>
        <v>87952</v>
      </c>
      <c r="E252" s="117">
        <f t="shared" si="34"/>
        <v>92877.98</v>
      </c>
      <c r="F252" s="117">
        <f t="shared" si="34"/>
        <v>92877.98</v>
      </c>
      <c r="G252" s="442">
        <f t="shared" si="34"/>
        <v>92878.98</v>
      </c>
      <c r="H252" s="117">
        <f t="shared" si="34"/>
        <v>101675.20299999999</v>
      </c>
      <c r="I252" s="442">
        <f t="shared" si="34"/>
        <v>46273.681499999999</v>
      </c>
      <c r="J252" s="442">
        <f t="shared" si="34"/>
        <v>49270.716482499993</v>
      </c>
      <c r="K252" s="442">
        <f t="shared" si="34"/>
        <v>52560.944456072488</v>
      </c>
      <c r="L252" s="356"/>
      <c r="M252" s="356"/>
      <c r="N252" s="356"/>
    </row>
    <row r="253" spans="1:14" s="285" customFormat="1" hidden="1" x14ac:dyDescent="0.25">
      <c r="A253" s="344"/>
      <c r="B253" s="151"/>
      <c r="C253" s="94"/>
      <c r="D253" s="117"/>
      <c r="E253" s="117"/>
      <c r="F253" s="117"/>
      <c r="G253" s="442"/>
      <c r="H253" s="117"/>
      <c r="I253" s="442"/>
      <c r="J253" s="442"/>
      <c r="K253" s="442"/>
    </row>
    <row r="254" spans="1:14" s="285" customFormat="1" hidden="1" x14ac:dyDescent="0.25">
      <c r="A254" s="344"/>
      <c r="B254" s="151"/>
      <c r="C254" s="145" t="s">
        <v>193</v>
      </c>
      <c r="D254" s="124"/>
      <c r="E254" s="146"/>
      <c r="F254" s="124"/>
      <c r="G254" s="445"/>
      <c r="H254" s="124"/>
      <c r="I254" s="445"/>
      <c r="J254" s="445"/>
      <c r="K254" s="445"/>
    </row>
    <row r="255" spans="1:14" s="285" customFormat="1" hidden="1" x14ac:dyDescent="0.25">
      <c r="A255" s="118">
        <v>20</v>
      </c>
      <c r="B255" s="151">
        <v>1905</v>
      </c>
      <c r="C255" s="118" t="s">
        <v>194</v>
      </c>
      <c r="D255" s="127">
        <v>0</v>
      </c>
      <c r="E255" s="147"/>
      <c r="F255" s="98">
        <f>E255/8*12</f>
        <v>0</v>
      </c>
      <c r="G255" s="435">
        <v>0</v>
      </c>
      <c r="H255" s="98">
        <f>F255/8*12</f>
        <v>0</v>
      </c>
      <c r="I255" s="435">
        <f>G255/8*12</f>
        <v>0</v>
      </c>
      <c r="J255" s="435">
        <f>H255/8*12</f>
        <v>0</v>
      </c>
      <c r="K255" s="435">
        <f>I255/8*12</f>
        <v>0</v>
      </c>
    </row>
    <row r="256" spans="1:14" s="285" customFormat="1" hidden="1" x14ac:dyDescent="0.25">
      <c r="A256" s="344"/>
      <c r="B256" s="151"/>
      <c r="C256" s="94"/>
      <c r="D256" s="117">
        <v>0</v>
      </c>
      <c r="E256" s="117">
        <f>SUM(E255)</f>
        <v>0</v>
      </c>
      <c r="F256" s="117">
        <f>SUM(F255)</f>
        <v>0</v>
      </c>
      <c r="G256" s="442">
        <v>0</v>
      </c>
      <c r="H256" s="117">
        <f>SUM(H255)</f>
        <v>0</v>
      </c>
      <c r="I256" s="442">
        <f>SUM(I255)</f>
        <v>0</v>
      </c>
      <c r="J256" s="442">
        <f>SUM(J255)</f>
        <v>0</v>
      </c>
      <c r="K256" s="442">
        <f>SUM(K255)</f>
        <v>0</v>
      </c>
    </row>
    <row r="257" spans="1:11" s="285" customFormat="1" x14ac:dyDescent="0.25">
      <c r="A257" s="344"/>
      <c r="B257" s="151"/>
      <c r="C257" s="93" t="s">
        <v>189</v>
      </c>
      <c r="D257" s="442">
        <f t="shared" ref="D257:K257" si="35">D252+D256</f>
        <v>87952</v>
      </c>
      <c r="E257" s="117">
        <f t="shared" si="35"/>
        <v>92877.98</v>
      </c>
      <c r="F257" s="117">
        <f t="shared" si="35"/>
        <v>92877.98</v>
      </c>
      <c r="G257" s="442">
        <f t="shared" si="35"/>
        <v>92878.98</v>
      </c>
      <c r="H257" s="117">
        <f t="shared" si="35"/>
        <v>101675.20299999999</v>
      </c>
      <c r="I257" s="442">
        <f t="shared" si="35"/>
        <v>46273.681499999999</v>
      </c>
      <c r="J257" s="442">
        <f t="shared" si="35"/>
        <v>49270.716482499993</v>
      </c>
      <c r="K257" s="442">
        <f t="shared" si="35"/>
        <v>52560.944456072488</v>
      </c>
    </row>
    <row r="258" spans="1:11" s="285" customFormat="1" hidden="1" x14ac:dyDescent="0.25">
      <c r="A258" s="344"/>
      <c r="B258" s="151"/>
      <c r="C258" s="145" t="s">
        <v>195</v>
      </c>
      <c r="D258" s="124"/>
      <c r="E258" s="148"/>
      <c r="F258" s="125"/>
      <c r="G258" s="446"/>
      <c r="H258" s="125"/>
      <c r="I258" s="446"/>
      <c r="J258" s="446"/>
      <c r="K258" s="446"/>
    </row>
    <row r="259" spans="1:11" s="285" customFormat="1" hidden="1" x14ac:dyDescent="0.25">
      <c r="A259" s="118">
        <v>20</v>
      </c>
      <c r="B259" s="151">
        <v>1950</v>
      </c>
      <c r="C259" s="118" t="s">
        <v>196</v>
      </c>
      <c r="D259" s="127">
        <v>0</v>
      </c>
      <c r="E259" s="147"/>
      <c r="F259" s="98">
        <f>E259/8*12</f>
        <v>0</v>
      </c>
      <c r="G259" s="435">
        <v>0</v>
      </c>
      <c r="H259" s="98">
        <f>F259/8*12</f>
        <v>0</v>
      </c>
      <c r="I259" s="435">
        <f>G259/8*12</f>
        <v>0</v>
      </c>
      <c r="J259" s="435">
        <f>H259/8*12</f>
        <v>0</v>
      </c>
      <c r="K259" s="435">
        <f>I259/8*12</f>
        <v>0</v>
      </c>
    </row>
    <row r="260" spans="1:11" s="285" customFormat="1" hidden="1" x14ac:dyDescent="0.25">
      <c r="A260" s="344"/>
      <c r="B260" s="346"/>
      <c r="C260" s="94"/>
      <c r="D260" s="124">
        <v>0</v>
      </c>
      <c r="E260" s="124">
        <f>E259</f>
        <v>0</v>
      </c>
      <c r="F260" s="124">
        <f>F259</f>
        <v>0</v>
      </c>
      <c r="G260" s="445">
        <v>0</v>
      </c>
      <c r="H260" s="124">
        <f>H259</f>
        <v>0</v>
      </c>
      <c r="I260" s="445">
        <f>I259</f>
        <v>0</v>
      </c>
      <c r="J260" s="445">
        <f>J259</f>
        <v>0</v>
      </c>
      <c r="K260" s="445">
        <f>K259</f>
        <v>0</v>
      </c>
    </row>
    <row r="261" spans="1:11" s="285" customFormat="1" x14ac:dyDescent="0.25">
      <c r="A261" s="348"/>
      <c r="B261" s="351"/>
      <c r="C261" s="93" t="s">
        <v>197</v>
      </c>
      <c r="D261" s="448">
        <f t="shared" ref="D261:K261" si="36">D257+D260</f>
        <v>87952</v>
      </c>
      <c r="E261" s="160">
        <f t="shared" si="36"/>
        <v>92877.98</v>
      </c>
      <c r="F261" s="160">
        <f t="shared" si="36"/>
        <v>92877.98</v>
      </c>
      <c r="G261" s="448">
        <f t="shared" si="36"/>
        <v>92878.98</v>
      </c>
      <c r="H261" s="160">
        <f t="shared" si="36"/>
        <v>101675.20299999999</v>
      </c>
      <c r="I261" s="448">
        <f t="shared" si="36"/>
        <v>46273.681499999999</v>
      </c>
      <c r="J261" s="448">
        <f t="shared" si="36"/>
        <v>49270.716482499993</v>
      </c>
      <c r="K261" s="448">
        <f t="shared" si="36"/>
        <v>52560.944456072488</v>
      </c>
    </row>
    <row r="262" spans="1:11" s="285" customFormat="1" x14ac:dyDescent="0.25">
      <c r="A262" s="349"/>
      <c r="B262" s="154"/>
      <c r="C262" s="126" t="s">
        <v>82</v>
      </c>
      <c r="D262" s="449">
        <f t="shared" ref="D262:K262" si="37">D261-D165</f>
        <v>-166953</v>
      </c>
      <c r="E262" s="161">
        <f t="shared" si="37"/>
        <v>-1464954.02</v>
      </c>
      <c r="F262" s="161">
        <f t="shared" si="37"/>
        <v>-1464954.02</v>
      </c>
      <c r="G262" s="449">
        <f t="shared" si="37"/>
        <v>-1294953.02</v>
      </c>
      <c r="H262" s="161">
        <f t="shared" si="37"/>
        <v>-4472213.7970000003</v>
      </c>
      <c r="I262" s="449">
        <f t="shared" si="37"/>
        <v>-53726.318500000001</v>
      </c>
      <c r="J262" s="449">
        <f t="shared" si="37"/>
        <v>-56229.283517500007</v>
      </c>
      <c r="K262" s="449">
        <f t="shared" si="37"/>
        <v>-58530.555543927512</v>
      </c>
    </row>
    <row r="263" spans="1:11" s="285" customFormat="1" x14ac:dyDescent="0.25">
      <c r="A263" s="348"/>
      <c r="B263" s="404"/>
      <c r="C263" s="405"/>
      <c r="D263" s="405"/>
      <c r="E263" s="405"/>
      <c r="F263" s="405"/>
      <c r="G263" s="405"/>
      <c r="H263" s="405"/>
      <c r="I263" s="405"/>
      <c r="J263" s="405"/>
      <c r="K263" s="406"/>
    </row>
    <row r="264" spans="1:11" s="285" customFormat="1" x14ac:dyDescent="0.25">
      <c r="A264" s="408"/>
      <c r="B264" s="407"/>
      <c r="C264" s="408"/>
      <c r="D264" s="408"/>
      <c r="E264" s="408"/>
      <c r="F264" s="408"/>
      <c r="G264" s="408"/>
      <c r="H264" s="408"/>
      <c r="I264" s="408"/>
      <c r="J264" s="408"/>
      <c r="K264" s="408"/>
    </row>
    <row r="265" spans="1:11" s="285" customFormat="1" x14ac:dyDescent="0.25">
      <c r="A265" s="284"/>
      <c r="B265" s="409"/>
      <c r="C265" s="284"/>
      <c r="D265" s="284"/>
      <c r="E265" s="284"/>
      <c r="F265" s="284"/>
      <c r="G265" s="443"/>
      <c r="H265" s="284"/>
      <c r="I265" s="443"/>
      <c r="J265" s="284"/>
      <c r="K265" s="284"/>
    </row>
    <row r="266" spans="1:11" x14ac:dyDescent="0.25">
      <c r="A266" s="101"/>
      <c r="B266" s="410"/>
      <c r="C266" s="101"/>
      <c r="D266" s="101"/>
      <c r="E266" s="111"/>
      <c r="F266" s="111"/>
      <c r="G266" s="111"/>
      <c r="H266" s="111"/>
      <c r="I266" s="111"/>
      <c r="J266" s="111"/>
      <c r="K266" s="101"/>
    </row>
    <row r="267" spans="1:11" x14ac:dyDescent="0.25">
      <c r="A267" s="101"/>
      <c r="B267" s="410"/>
      <c r="C267" s="101"/>
      <c r="D267" s="101"/>
      <c r="E267" s="111"/>
      <c r="F267" s="111"/>
      <c r="G267" s="111"/>
      <c r="H267" s="111"/>
      <c r="I267" s="111"/>
      <c r="J267" s="111"/>
      <c r="K267" s="167"/>
    </row>
    <row r="268" spans="1:11" x14ac:dyDescent="0.25">
      <c r="A268" s="101"/>
      <c r="B268" s="410"/>
      <c r="C268" s="101"/>
      <c r="D268" s="101"/>
      <c r="E268" s="111"/>
      <c r="F268" s="111"/>
      <c r="G268" s="111"/>
      <c r="H268" s="111"/>
      <c r="I268" s="111"/>
      <c r="J268" s="111"/>
      <c r="K268" s="101"/>
    </row>
  </sheetData>
  <mergeCells count="3">
    <mergeCell ref="A4:B5"/>
    <mergeCell ref="A169:B170"/>
    <mergeCell ref="A1:K1"/>
  </mergeCells>
  <phoneticPr fontId="0" type="noConversion"/>
  <pageMargins left="0.74803149606299213" right="0.74803149606299213" top="0.98425196850393704" bottom="0.98425196850393704" header="0.51181102362204722" footer="0.51181102362204722"/>
  <pageSetup scale="56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tabColor rgb="FFFF0000"/>
    <pageSetUpPr fitToPage="1"/>
  </sheetPr>
  <dimension ref="A1:K268"/>
  <sheetViews>
    <sheetView view="pageBreakPreview" topLeftCell="A161" zoomScaleSheetLayoutView="100" workbookViewId="0">
      <selection activeCell="I252" sqref="I252:K252"/>
    </sheetView>
  </sheetViews>
  <sheetFormatPr defaultColWidth="9.109375" defaultRowHeight="13.2" x14ac:dyDescent="0.25"/>
  <cols>
    <col min="1" max="1" width="3.33203125" style="96" customWidth="1"/>
    <col min="2" max="2" width="9" style="131" customWidth="1"/>
    <col min="3" max="3" width="32.44140625" style="96" customWidth="1"/>
    <col min="4" max="4" width="11.109375" style="96" customWidth="1"/>
    <col min="5" max="5" width="10.33203125" style="96" customWidth="1"/>
    <col min="6" max="6" width="11.33203125" style="96" customWidth="1"/>
    <col min="7" max="7" width="11.33203125" style="434" customWidth="1"/>
    <col min="8" max="8" width="11.33203125" style="96" customWidth="1"/>
    <col min="9" max="9" width="11.33203125" style="434" customWidth="1"/>
    <col min="10" max="10" width="10" style="96" customWidth="1"/>
    <col min="11" max="11" width="10.44140625" style="96" customWidth="1"/>
    <col min="12" max="16384" width="9.109375" style="96"/>
  </cols>
  <sheetData>
    <row r="1" spans="1:11" ht="12.75" customHeight="1" x14ac:dyDescent="0.25">
      <c r="A1" s="937" t="s">
        <v>355</v>
      </c>
      <c r="B1" s="938"/>
      <c r="C1" s="938"/>
      <c r="D1" s="938"/>
      <c r="E1" s="938"/>
      <c r="F1" s="938"/>
      <c r="G1" s="938"/>
      <c r="H1" s="938"/>
      <c r="I1" s="938"/>
      <c r="J1" s="938"/>
      <c r="K1" s="938"/>
    </row>
    <row r="2" spans="1:11" ht="12.75" customHeight="1" x14ac:dyDescent="0.25">
      <c r="A2" s="552"/>
      <c r="B2" s="553"/>
      <c r="C2" s="553"/>
      <c r="D2" s="553"/>
      <c r="E2" s="553"/>
      <c r="F2" s="553"/>
      <c r="G2" s="553"/>
      <c r="H2" s="553"/>
      <c r="I2" s="553"/>
      <c r="J2" s="553"/>
      <c r="K2" s="553"/>
    </row>
    <row r="3" spans="1:11" s="285" customFormat="1" x14ac:dyDescent="0.25">
      <c r="A3" s="419" t="s">
        <v>129</v>
      </c>
      <c r="B3" s="546"/>
      <c r="C3" s="546"/>
      <c r="D3" s="546"/>
      <c r="E3" s="546"/>
      <c r="F3" s="546"/>
      <c r="G3" s="546"/>
      <c r="H3" s="546"/>
      <c r="I3" s="546"/>
      <c r="J3" s="546"/>
      <c r="K3" s="546"/>
    </row>
    <row r="4" spans="1:11" s="285" customFormat="1" x14ac:dyDescent="0.25">
      <c r="A4" s="944" t="s">
        <v>21</v>
      </c>
      <c r="B4" s="945"/>
      <c r="C4" s="150" t="s">
        <v>22</v>
      </c>
      <c r="D4" s="103" t="s">
        <v>23</v>
      </c>
      <c r="E4" s="104" t="s">
        <v>24</v>
      </c>
      <c r="F4" s="103" t="s">
        <v>535</v>
      </c>
      <c r="G4" s="103" t="s">
        <v>877</v>
      </c>
      <c r="H4" s="104" t="s">
        <v>24</v>
      </c>
      <c r="I4" s="583" t="s">
        <v>24</v>
      </c>
      <c r="J4" s="583" t="s">
        <v>24</v>
      </c>
      <c r="K4" s="583" t="s">
        <v>24</v>
      </c>
    </row>
    <row r="5" spans="1:11" s="285" customFormat="1" x14ac:dyDescent="0.25">
      <c r="A5" s="946"/>
      <c r="B5" s="947"/>
      <c r="C5" s="106"/>
      <c r="D5" s="333" t="s">
        <v>257</v>
      </c>
      <c r="E5" s="107" t="s">
        <v>382</v>
      </c>
      <c r="F5" s="107" t="s">
        <v>382</v>
      </c>
      <c r="G5" s="107" t="s">
        <v>382</v>
      </c>
      <c r="H5" s="107" t="s">
        <v>407</v>
      </c>
      <c r="I5" s="586" t="s">
        <v>414</v>
      </c>
      <c r="J5" s="586" t="s">
        <v>530</v>
      </c>
      <c r="K5" s="586" t="s">
        <v>886</v>
      </c>
    </row>
    <row r="6" spans="1:11" s="285" customFormat="1" hidden="1" x14ac:dyDescent="0.25">
      <c r="A6" s="344"/>
      <c r="B6" s="151"/>
      <c r="C6" s="93" t="s">
        <v>33</v>
      </c>
      <c r="D6" s="85"/>
      <c r="E6" s="85"/>
      <c r="F6" s="85"/>
      <c r="G6" s="428"/>
      <c r="H6" s="85"/>
      <c r="I6" s="428"/>
      <c r="J6" s="85"/>
      <c r="K6" s="85"/>
    </row>
    <row r="7" spans="1:11" s="285" customFormat="1" hidden="1" x14ac:dyDescent="0.25">
      <c r="A7" s="118">
        <v>22</v>
      </c>
      <c r="B7" s="155">
        <v>5005</v>
      </c>
      <c r="C7" s="94" t="s">
        <v>241</v>
      </c>
      <c r="D7" s="85"/>
      <c r="E7" s="85"/>
      <c r="F7" s="85">
        <f>0/8*12</f>
        <v>0</v>
      </c>
      <c r="G7" s="428">
        <f>0/8*12</f>
        <v>0</v>
      </c>
      <c r="H7" s="428">
        <f t="shared" ref="H7:H17" si="0">(F7*0.068)+F7</f>
        <v>0</v>
      </c>
      <c r="I7" s="428"/>
      <c r="J7" s="428">
        <f t="shared" ref="J7:J17" si="1">(H7*0.068)+H7</f>
        <v>0</v>
      </c>
      <c r="K7" s="428">
        <f t="shared" ref="K7:K17" si="2">(J7*0.068)+J7</f>
        <v>0</v>
      </c>
    </row>
    <row r="8" spans="1:11" s="285" customFormat="1" hidden="1" x14ac:dyDescent="0.25">
      <c r="A8" s="118">
        <v>22</v>
      </c>
      <c r="B8" s="151">
        <v>5010</v>
      </c>
      <c r="C8" s="94" t="s">
        <v>34</v>
      </c>
      <c r="D8" s="85"/>
      <c r="E8" s="85"/>
      <c r="F8" s="85">
        <f t="shared" ref="F8:G17" si="3">0/8*12</f>
        <v>0</v>
      </c>
      <c r="G8" s="428">
        <f t="shared" si="3"/>
        <v>0</v>
      </c>
      <c r="H8" s="428">
        <f t="shared" si="0"/>
        <v>0</v>
      </c>
      <c r="I8" s="428"/>
      <c r="J8" s="428">
        <f t="shared" si="1"/>
        <v>0</v>
      </c>
      <c r="K8" s="428">
        <f t="shared" si="2"/>
        <v>0</v>
      </c>
    </row>
    <row r="9" spans="1:11" s="285" customFormat="1" hidden="1" x14ac:dyDescent="0.25">
      <c r="A9" s="118">
        <v>22</v>
      </c>
      <c r="B9" s="151">
        <v>5015</v>
      </c>
      <c r="C9" s="94" t="s">
        <v>35</v>
      </c>
      <c r="D9" s="85"/>
      <c r="E9" s="85"/>
      <c r="F9" s="85">
        <f t="shared" si="3"/>
        <v>0</v>
      </c>
      <c r="G9" s="428">
        <f t="shared" si="3"/>
        <v>0</v>
      </c>
      <c r="H9" s="428">
        <f t="shared" si="0"/>
        <v>0</v>
      </c>
      <c r="I9" s="428"/>
      <c r="J9" s="428">
        <f t="shared" si="1"/>
        <v>0</v>
      </c>
      <c r="K9" s="428">
        <f t="shared" si="2"/>
        <v>0</v>
      </c>
    </row>
    <row r="10" spans="1:11" s="285" customFormat="1" hidden="1" x14ac:dyDescent="0.25">
      <c r="A10" s="118">
        <v>22</v>
      </c>
      <c r="B10" s="151">
        <v>5020</v>
      </c>
      <c r="C10" s="94" t="s">
        <v>350</v>
      </c>
      <c r="D10" s="85"/>
      <c r="E10" s="85"/>
      <c r="F10" s="85">
        <f t="shared" si="3"/>
        <v>0</v>
      </c>
      <c r="G10" s="428">
        <f t="shared" si="3"/>
        <v>0</v>
      </c>
      <c r="H10" s="428">
        <f t="shared" si="0"/>
        <v>0</v>
      </c>
      <c r="I10" s="428"/>
      <c r="J10" s="428">
        <f t="shared" si="1"/>
        <v>0</v>
      </c>
      <c r="K10" s="428">
        <f t="shared" si="2"/>
        <v>0</v>
      </c>
    </row>
    <row r="11" spans="1:11" s="285" customFormat="1" hidden="1" x14ac:dyDescent="0.25">
      <c r="A11" s="118">
        <v>22</v>
      </c>
      <c r="B11" s="151">
        <v>5025</v>
      </c>
      <c r="C11" s="94" t="s">
        <v>36</v>
      </c>
      <c r="D11" s="85"/>
      <c r="E11" s="85"/>
      <c r="F11" s="85">
        <f t="shared" si="3"/>
        <v>0</v>
      </c>
      <c r="G11" s="428">
        <f t="shared" si="3"/>
        <v>0</v>
      </c>
      <c r="H11" s="428">
        <f t="shared" si="0"/>
        <v>0</v>
      </c>
      <c r="I11" s="428"/>
      <c r="J11" s="428">
        <f t="shared" si="1"/>
        <v>0</v>
      </c>
      <c r="K11" s="428">
        <f t="shared" si="2"/>
        <v>0</v>
      </c>
    </row>
    <row r="12" spans="1:11" s="285" customFormat="1" hidden="1" x14ac:dyDescent="0.25">
      <c r="A12" s="118">
        <v>22</v>
      </c>
      <c r="B12" s="151">
        <v>5030</v>
      </c>
      <c r="C12" s="94" t="s">
        <v>85</v>
      </c>
      <c r="D12" s="85"/>
      <c r="E12" s="85"/>
      <c r="F12" s="85">
        <f t="shared" si="3"/>
        <v>0</v>
      </c>
      <c r="G12" s="428">
        <f t="shared" si="3"/>
        <v>0</v>
      </c>
      <c r="H12" s="428">
        <f t="shared" si="0"/>
        <v>0</v>
      </c>
      <c r="I12" s="428"/>
      <c r="J12" s="428">
        <f t="shared" si="1"/>
        <v>0</v>
      </c>
      <c r="K12" s="428">
        <f t="shared" si="2"/>
        <v>0</v>
      </c>
    </row>
    <row r="13" spans="1:11" s="285" customFormat="1" hidden="1" x14ac:dyDescent="0.25">
      <c r="A13" s="118">
        <v>22</v>
      </c>
      <c r="B13" s="151">
        <v>5035</v>
      </c>
      <c r="C13" s="94" t="s">
        <v>84</v>
      </c>
      <c r="D13" s="85"/>
      <c r="E13" s="85"/>
      <c r="F13" s="85">
        <f t="shared" si="3"/>
        <v>0</v>
      </c>
      <c r="G13" s="428">
        <f t="shared" si="3"/>
        <v>0</v>
      </c>
      <c r="H13" s="428">
        <f t="shared" si="0"/>
        <v>0</v>
      </c>
      <c r="I13" s="428"/>
      <c r="J13" s="428">
        <f t="shared" si="1"/>
        <v>0</v>
      </c>
      <c r="K13" s="428">
        <f t="shared" si="2"/>
        <v>0</v>
      </c>
    </row>
    <row r="14" spans="1:11" s="285" customFormat="1" hidden="1" x14ac:dyDescent="0.25">
      <c r="A14" s="118">
        <v>22</v>
      </c>
      <c r="B14" s="151">
        <v>5040</v>
      </c>
      <c r="C14" s="94" t="s">
        <v>37</v>
      </c>
      <c r="D14" s="85"/>
      <c r="E14" s="85"/>
      <c r="F14" s="85">
        <f t="shared" si="3"/>
        <v>0</v>
      </c>
      <c r="G14" s="428">
        <f t="shared" si="3"/>
        <v>0</v>
      </c>
      <c r="H14" s="428">
        <f t="shared" si="0"/>
        <v>0</v>
      </c>
      <c r="I14" s="428"/>
      <c r="J14" s="428">
        <f t="shared" si="1"/>
        <v>0</v>
      </c>
      <c r="K14" s="428">
        <f t="shared" si="2"/>
        <v>0</v>
      </c>
    </row>
    <row r="15" spans="1:11" s="285" customFormat="1" hidden="1" x14ac:dyDescent="0.25">
      <c r="A15" s="118">
        <v>22</v>
      </c>
      <c r="B15" s="151">
        <v>5045</v>
      </c>
      <c r="C15" s="94" t="s">
        <v>38</v>
      </c>
      <c r="D15" s="85"/>
      <c r="E15" s="85"/>
      <c r="F15" s="85">
        <f t="shared" si="3"/>
        <v>0</v>
      </c>
      <c r="G15" s="428">
        <f t="shared" si="3"/>
        <v>0</v>
      </c>
      <c r="H15" s="428">
        <f t="shared" si="0"/>
        <v>0</v>
      </c>
      <c r="I15" s="428"/>
      <c r="J15" s="428">
        <f t="shared" si="1"/>
        <v>0</v>
      </c>
      <c r="K15" s="428">
        <f t="shared" si="2"/>
        <v>0</v>
      </c>
    </row>
    <row r="16" spans="1:11" s="285" customFormat="1" hidden="1" x14ac:dyDescent="0.25">
      <c r="A16" s="118">
        <v>22</v>
      </c>
      <c r="B16" s="151">
        <v>5050</v>
      </c>
      <c r="C16" s="94" t="s">
        <v>83</v>
      </c>
      <c r="D16" s="85"/>
      <c r="E16" s="85"/>
      <c r="F16" s="85">
        <f t="shared" si="3"/>
        <v>0</v>
      </c>
      <c r="G16" s="428">
        <f t="shared" si="3"/>
        <v>0</v>
      </c>
      <c r="H16" s="428">
        <f t="shared" si="0"/>
        <v>0</v>
      </c>
      <c r="I16" s="428"/>
      <c r="J16" s="428">
        <f t="shared" si="1"/>
        <v>0</v>
      </c>
      <c r="K16" s="428">
        <f t="shared" si="2"/>
        <v>0</v>
      </c>
    </row>
    <row r="17" spans="1:11" s="285" customFormat="1" hidden="1" x14ac:dyDescent="0.25">
      <c r="A17" s="118">
        <v>22</v>
      </c>
      <c r="B17" s="151">
        <v>5055</v>
      </c>
      <c r="C17" s="94" t="s">
        <v>39</v>
      </c>
      <c r="D17" s="85"/>
      <c r="E17" s="85"/>
      <c r="F17" s="85">
        <f t="shared" si="3"/>
        <v>0</v>
      </c>
      <c r="G17" s="428">
        <f t="shared" si="3"/>
        <v>0</v>
      </c>
      <c r="H17" s="428">
        <f t="shared" si="0"/>
        <v>0</v>
      </c>
      <c r="I17" s="428"/>
      <c r="J17" s="428">
        <f t="shared" si="1"/>
        <v>0</v>
      </c>
      <c r="K17" s="428">
        <f t="shared" si="2"/>
        <v>0</v>
      </c>
    </row>
    <row r="18" spans="1:11" s="285" customFormat="1" hidden="1" x14ac:dyDescent="0.25">
      <c r="A18" s="344"/>
      <c r="B18" s="151"/>
      <c r="C18" s="94" t="s">
        <v>509</v>
      </c>
      <c r="D18" s="89">
        <v>0</v>
      </c>
      <c r="E18" s="89">
        <f>SUM(E7:E17)</f>
        <v>0</v>
      </c>
      <c r="F18" s="89">
        <f>SUM(F7:F17)</f>
        <v>0</v>
      </c>
      <c r="G18" s="429"/>
      <c r="H18" s="89"/>
      <c r="I18" s="429"/>
      <c r="J18" s="89"/>
      <c r="K18" s="89">
        <f>SUM(K7:K17)</f>
        <v>0</v>
      </c>
    </row>
    <row r="19" spans="1:11" s="285" customFormat="1" hidden="1" x14ac:dyDescent="0.25">
      <c r="A19" s="344"/>
      <c r="B19" s="151"/>
      <c r="C19" s="93" t="s">
        <v>40</v>
      </c>
      <c r="D19" s="85"/>
      <c r="E19" s="86"/>
      <c r="F19" s="86"/>
      <c r="G19" s="86"/>
      <c r="H19" s="86"/>
      <c r="I19" s="86"/>
      <c r="J19" s="86"/>
      <c r="K19" s="86"/>
    </row>
    <row r="20" spans="1:11" s="285" customFormat="1" hidden="1" x14ac:dyDescent="0.25">
      <c r="A20" s="118">
        <v>22</v>
      </c>
      <c r="B20" s="151">
        <v>5105</v>
      </c>
      <c r="C20" s="94" t="s">
        <v>41</v>
      </c>
      <c r="D20" s="85"/>
      <c r="E20" s="108"/>
      <c r="F20" s="85">
        <f t="shared" ref="F20:G24" si="4">0/8*12</f>
        <v>0</v>
      </c>
      <c r="G20" s="428">
        <f t="shared" si="4"/>
        <v>0</v>
      </c>
      <c r="H20" s="428">
        <f>(F20*0.068)+F20</f>
        <v>0</v>
      </c>
      <c r="I20" s="428"/>
      <c r="J20" s="428">
        <f>(H20*0.068)+H20</f>
        <v>0</v>
      </c>
      <c r="K20" s="428">
        <f>(J20*0.068)+J20</f>
        <v>0</v>
      </c>
    </row>
    <row r="21" spans="1:11" s="285" customFormat="1" hidden="1" x14ac:dyDescent="0.25">
      <c r="A21" s="118">
        <v>22</v>
      </c>
      <c r="B21" s="151">
        <v>5115</v>
      </c>
      <c r="C21" s="94" t="s">
        <v>42</v>
      </c>
      <c r="D21" s="85"/>
      <c r="E21" s="85"/>
      <c r="F21" s="85">
        <f t="shared" si="4"/>
        <v>0</v>
      </c>
      <c r="G21" s="428">
        <f t="shared" si="4"/>
        <v>0</v>
      </c>
      <c r="H21" s="428">
        <f>(F21*0.068)+F21</f>
        <v>0</v>
      </c>
      <c r="I21" s="428"/>
      <c r="J21" s="428">
        <f>(H21*0.068)+H21</f>
        <v>0</v>
      </c>
      <c r="K21" s="428">
        <f>(J21*0.068)+J21</f>
        <v>0</v>
      </c>
    </row>
    <row r="22" spans="1:11" s="285" customFormat="1" hidden="1" x14ac:dyDescent="0.25">
      <c r="A22" s="118">
        <v>22</v>
      </c>
      <c r="B22" s="151">
        <v>5120</v>
      </c>
      <c r="C22" s="94" t="s">
        <v>43</v>
      </c>
      <c r="D22" s="85"/>
      <c r="E22" s="108"/>
      <c r="F22" s="85">
        <f t="shared" si="4"/>
        <v>0</v>
      </c>
      <c r="G22" s="428">
        <f t="shared" si="4"/>
        <v>0</v>
      </c>
      <c r="H22" s="428">
        <f>(F22*0.068)+F22</f>
        <v>0</v>
      </c>
      <c r="I22" s="428"/>
      <c r="J22" s="428">
        <f>(H22*0.068)+H22</f>
        <v>0</v>
      </c>
      <c r="K22" s="428">
        <f>(J22*0.068)+J22</f>
        <v>0</v>
      </c>
    </row>
    <row r="23" spans="1:11" s="285" customFormat="1" hidden="1" x14ac:dyDescent="0.25">
      <c r="A23" s="118">
        <v>22</v>
      </c>
      <c r="B23" s="151">
        <v>5125</v>
      </c>
      <c r="C23" s="94" t="s">
        <v>44</v>
      </c>
      <c r="D23" s="85"/>
      <c r="E23" s="108"/>
      <c r="F23" s="85">
        <f t="shared" si="4"/>
        <v>0</v>
      </c>
      <c r="G23" s="428">
        <f t="shared" si="4"/>
        <v>0</v>
      </c>
      <c r="H23" s="428">
        <f>(F23*0.068)+F23</f>
        <v>0</v>
      </c>
      <c r="I23" s="428"/>
      <c r="J23" s="428">
        <f>(H23*0.068)+H23</f>
        <v>0</v>
      </c>
      <c r="K23" s="428">
        <f>(J23*0.068)+J23</f>
        <v>0</v>
      </c>
    </row>
    <row r="24" spans="1:11" s="285" customFormat="1" hidden="1" x14ac:dyDescent="0.25">
      <c r="A24" s="118">
        <v>22</v>
      </c>
      <c r="B24" s="151">
        <v>5130</v>
      </c>
      <c r="C24" s="94" t="s">
        <v>45</v>
      </c>
      <c r="D24" s="85"/>
      <c r="E24" s="108"/>
      <c r="F24" s="85">
        <f t="shared" si="4"/>
        <v>0</v>
      </c>
      <c r="G24" s="428">
        <f t="shared" si="4"/>
        <v>0</v>
      </c>
      <c r="H24" s="428">
        <f>(F24*0.068)+F24</f>
        <v>0</v>
      </c>
      <c r="I24" s="428"/>
      <c r="J24" s="428">
        <f>(H24*0.068)+H24</f>
        <v>0</v>
      </c>
      <c r="K24" s="428">
        <f>(J24*0.068)+J24</f>
        <v>0</v>
      </c>
    </row>
    <row r="25" spans="1:11" s="285" customFormat="1" hidden="1" x14ac:dyDescent="0.25">
      <c r="A25" s="344"/>
      <c r="B25" s="151"/>
      <c r="C25" s="94"/>
      <c r="D25" s="429">
        <f t="shared" ref="D25:K25" si="5">SUM(D20:D24)</f>
        <v>0</v>
      </c>
      <c r="E25" s="89">
        <f t="shared" si="5"/>
        <v>0</v>
      </c>
      <c r="F25" s="89">
        <f t="shared" si="5"/>
        <v>0</v>
      </c>
      <c r="G25" s="429">
        <f t="shared" si="5"/>
        <v>0</v>
      </c>
      <c r="H25" s="89"/>
      <c r="I25" s="429"/>
      <c r="J25" s="89"/>
      <c r="K25" s="89">
        <f t="shared" si="5"/>
        <v>0</v>
      </c>
    </row>
    <row r="26" spans="1:11" s="285" customFormat="1" hidden="1" x14ac:dyDescent="0.25">
      <c r="A26" s="344"/>
      <c r="B26" s="151"/>
      <c r="C26" s="93" t="s">
        <v>46</v>
      </c>
      <c r="D26" s="85"/>
      <c r="E26" s="86"/>
      <c r="F26" s="86"/>
      <c r="G26" s="86"/>
      <c r="H26" s="86"/>
      <c r="I26" s="86"/>
      <c r="J26" s="86"/>
      <c r="K26" s="86"/>
    </row>
    <row r="27" spans="1:11" s="285" customFormat="1" hidden="1" x14ac:dyDescent="0.25">
      <c r="A27" s="344"/>
      <c r="B27" s="151"/>
      <c r="C27" s="93" t="s">
        <v>47</v>
      </c>
      <c r="D27" s="85"/>
      <c r="E27" s="86"/>
      <c r="F27" s="86"/>
      <c r="G27" s="86"/>
      <c r="H27" s="86"/>
      <c r="I27" s="86"/>
      <c r="J27" s="86"/>
      <c r="K27" s="86"/>
    </row>
    <row r="28" spans="1:11" s="285" customFormat="1" hidden="1" x14ac:dyDescent="0.25">
      <c r="A28" s="118">
        <v>22</v>
      </c>
      <c r="B28" s="151">
        <v>5150</v>
      </c>
      <c r="C28" s="94" t="s">
        <v>48</v>
      </c>
      <c r="D28" s="85"/>
      <c r="E28" s="85"/>
      <c r="F28" s="85">
        <f>0/8*12</f>
        <v>0</v>
      </c>
      <c r="G28" s="428">
        <f>0/8*12</f>
        <v>0</v>
      </c>
      <c r="H28" s="85"/>
      <c r="I28" s="428"/>
      <c r="J28" s="85"/>
      <c r="K28" s="85">
        <f>E28*(1+[1]INPUT!C$8)</f>
        <v>0</v>
      </c>
    </row>
    <row r="29" spans="1:11" s="285" customFormat="1" hidden="1" x14ac:dyDescent="0.25">
      <c r="A29" s="344"/>
      <c r="B29" s="151"/>
      <c r="C29" s="94"/>
      <c r="D29" s="89">
        <v>0</v>
      </c>
      <c r="E29" s="89">
        <f t="shared" ref="E29:K29" si="6">E28</f>
        <v>0</v>
      </c>
      <c r="F29" s="89">
        <f t="shared" si="6"/>
        <v>0</v>
      </c>
      <c r="G29" s="429"/>
      <c r="H29" s="89"/>
      <c r="I29" s="429"/>
      <c r="J29" s="89"/>
      <c r="K29" s="89">
        <f t="shared" si="6"/>
        <v>0</v>
      </c>
    </row>
    <row r="30" spans="1:11" s="285" customFormat="1" x14ac:dyDescent="0.25">
      <c r="A30" s="344"/>
      <c r="B30" s="151"/>
      <c r="C30" s="93" t="s">
        <v>49</v>
      </c>
      <c r="D30" s="85"/>
      <c r="E30" s="86"/>
      <c r="F30" s="86"/>
      <c r="G30" s="86"/>
      <c r="H30" s="86"/>
      <c r="I30" s="86"/>
      <c r="J30" s="86"/>
      <c r="K30" s="86"/>
    </row>
    <row r="31" spans="1:11" s="285" customFormat="1" x14ac:dyDescent="0.25">
      <c r="A31" s="118">
        <v>22</v>
      </c>
      <c r="B31" s="151">
        <v>5170</v>
      </c>
      <c r="C31" s="94" t="s">
        <v>341</v>
      </c>
      <c r="D31" s="428">
        <v>4371462.13</v>
      </c>
      <c r="E31" s="85">
        <v>4371462.13</v>
      </c>
      <c r="F31" s="428">
        <v>4371462.13</v>
      </c>
      <c r="G31" s="428">
        <v>4371462.13</v>
      </c>
      <c r="H31" s="530">
        <v>1088608</v>
      </c>
      <c r="I31" s="530">
        <v>3989960</v>
      </c>
      <c r="J31" s="530">
        <f>+I31*1.055</f>
        <v>4209407.8</v>
      </c>
      <c r="K31" s="530">
        <f>+J31*1.053</f>
        <v>4432506.4134</v>
      </c>
    </row>
    <row r="32" spans="1:11" s="285" customFormat="1" x14ac:dyDescent="0.25">
      <c r="A32" s="344"/>
      <c r="B32" s="151"/>
      <c r="C32" s="94"/>
      <c r="D32" s="89">
        <f t="shared" ref="D32:K32" si="7">SUM(D13:D31)</f>
        <v>4371462.13</v>
      </c>
      <c r="E32" s="429">
        <f t="shared" si="7"/>
        <v>4371462.13</v>
      </c>
      <c r="F32" s="429">
        <f t="shared" si="7"/>
        <v>4371462.13</v>
      </c>
      <c r="G32" s="429">
        <f t="shared" si="7"/>
        <v>4371462.13</v>
      </c>
      <c r="H32" s="429">
        <f t="shared" si="7"/>
        <v>1088608</v>
      </c>
      <c r="I32" s="429">
        <f t="shared" si="7"/>
        <v>3989960</v>
      </c>
      <c r="J32" s="429">
        <f t="shared" si="7"/>
        <v>4209407.8</v>
      </c>
      <c r="K32" s="429">
        <f t="shared" si="7"/>
        <v>4432506.4134</v>
      </c>
    </row>
    <row r="33" spans="1:11" s="285" customFormat="1" x14ac:dyDescent="0.25">
      <c r="A33" s="344"/>
      <c r="B33" s="151"/>
      <c r="C33" s="93" t="s">
        <v>50</v>
      </c>
      <c r="D33" s="85"/>
      <c r="E33" s="86"/>
      <c r="F33" s="86"/>
      <c r="G33" s="86"/>
      <c r="H33" s="86"/>
      <c r="I33" s="86"/>
      <c r="J33" s="86"/>
      <c r="K33" s="86"/>
    </row>
    <row r="34" spans="1:11" s="285" customFormat="1" x14ac:dyDescent="0.25">
      <c r="A34" s="118">
        <v>22</v>
      </c>
      <c r="B34" s="151">
        <v>5180</v>
      </c>
      <c r="C34" s="94" t="s">
        <v>51</v>
      </c>
      <c r="D34" s="85"/>
      <c r="E34" s="108"/>
      <c r="F34" s="85">
        <f>0/8*12</f>
        <v>0</v>
      </c>
      <c r="G34" s="428">
        <v>0</v>
      </c>
      <c r="H34" s="85"/>
      <c r="I34" s="428"/>
      <c r="J34" s="85"/>
      <c r="K34" s="108"/>
    </row>
    <row r="35" spans="1:11" s="285" customFormat="1" x14ac:dyDescent="0.25">
      <c r="A35" s="344"/>
      <c r="B35" s="151"/>
      <c r="C35" s="94"/>
      <c r="D35" s="89"/>
      <c r="E35" s="89">
        <f>SUM(E34)</f>
        <v>0</v>
      </c>
      <c r="F35" s="89">
        <f>SUM(F34)</f>
        <v>0</v>
      </c>
      <c r="G35" s="429">
        <v>0</v>
      </c>
      <c r="H35" s="89"/>
      <c r="I35" s="429"/>
      <c r="J35" s="89"/>
      <c r="K35" s="89"/>
    </row>
    <row r="36" spans="1:11" s="285" customFormat="1" x14ac:dyDescent="0.25">
      <c r="A36" s="344"/>
      <c r="B36" s="151"/>
      <c r="C36" s="93" t="s">
        <v>52</v>
      </c>
      <c r="D36" s="85"/>
      <c r="E36" s="86"/>
      <c r="F36" s="86"/>
      <c r="G36" s="86"/>
      <c r="H36" s="86"/>
      <c r="I36" s="86"/>
      <c r="J36" s="86"/>
      <c r="K36" s="86"/>
    </row>
    <row r="37" spans="1:11" s="285" customFormat="1" x14ac:dyDescent="0.25">
      <c r="A37" s="118">
        <v>22</v>
      </c>
      <c r="B37" s="151">
        <v>5190</v>
      </c>
      <c r="C37" s="94" t="s">
        <v>53</v>
      </c>
      <c r="D37" s="85"/>
      <c r="E37" s="108"/>
      <c r="F37" s="85">
        <f>0/8*12</f>
        <v>0</v>
      </c>
      <c r="G37" s="428">
        <v>0</v>
      </c>
      <c r="H37" s="85"/>
      <c r="I37" s="428"/>
      <c r="J37" s="85"/>
      <c r="K37" s="85"/>
    </row>
    <row r="38" spans="1:11" s="285" customFormat="1" x14ac:dyDescent="0.25">
      <c r="A38" s="344"/>
      <c r="B38" s="151"/>
      <c r="C38" s="94"/>
      <c r="D38" s="89"/>
      <c r="E38" s="89">
        <f>E37</f>
        <v>0</v>
      </c>
      <c r="F38" s="89">
        <f>F37</f>
        <v>0</v>
      </c>
      <c r="G38" s="429">
        <v>0</v>
      </c>
      <c r="H38" s="89"/>
      <c r="I38" s="429"/>
      <c r="J38" s="89"/>
      <c r="K38" s="89"/>
    </row>
    <row r="39" spans="1:11" s="285" customFormat="1" x14ac:dyDescent="0.25">
      <c r="A39" s="344"/>
      <c r="B39" s="151"/>
      <c r="C39" s="93" t="s">
        <v>54</v>
      </c>
      <c r="D39" s="85"/>
      <c r="E39" s="86"/>
      <c r="F39" s="86"/>
      <c r="G39" s="86"/>
      <c r="H39" s="86"/>
      <c r="I39" s="86"/>
      <c r="J39" s="86"/>
      <c r="K39" s="86"/>
    </row>
    <row r="40" spans="1:11" s="285" customFormat="1" x14ac:dyDescent="0.25">
      <c r="A40" s="118">
        <v>22</v>
      </c>
      <c r="B40" s="151">
        <v>5200</v>
      </c>
      <c r="C40" s="94" t="s">
        <v>55</v>
      </c>
      <c r="D40" s="85"/>
      <c r="E40" s="108"/>
      <c r="F40" s="85">
        <f t="shared" ref="F40:F58" si="8">0/8*12</f>
        <v>0</v>
      </c>
      <c r="G40" s="428">
        <v>0</v>
      </c>
      <c r="H40" s="85"/>
      <c r="I40" s="428"/>
      <c r="J40" s="85"/>
      <c r="K40" s="85"/>
    </row>
    <row r="41" spans="1:11" s="285" customFormat="1" x14ac:dyDescent="0.25">
      <c r="A41" s="118">
        <v>22</v>
      </c>
      <c r="B41" s="151">
        <v>5205</v>
      </c>
      <c r="C41" s="94" t="s">
        <v>56</v>
      </c>
      <c r="D41" s="85"/>
      <c r="E41" s="108"/>
      <c r="F41" s="85">
        <f t="shared" si="8"/>
        <v>0</v>
      </c>
      <c r="G41" s="428">
        <v>0</v>
      </c>
      <c r="H41" s="85"/>
      <c r="I41" s="428"/>
      <c r="J41" s="85"/>
      <c r="K41" s="85"/>
    </row>
    <row r="42" spans="1:11" s="285" customFormat="1" x14ac:dyDescent="0.25">
      <c r="A42" s="118">
        <v>22</v>
      </c>
      <c r="B42" s="151">
        <v>5210</v>
      </c>
      <c r="C42" s="94" t="s">
        <v>57</v>
      </c>
      <c r="D42" s="85"/>
      <c r="E42" s="108"/>
      <c r="F42" s="85">
        <f t="shared" si="8"/>
        <v>0</v>
      </c>
      <c r="G42" s="428">
        <v>0</v>
      </c>
      <c r="H42" s="85"/>
      <c r="I42" s="428"/>
      <c r="J42" s="85"/>
      <c r="K42" s="85"/>
    </row>
    <row r="43" spans="1:11" s="285" customFormat="1" x14ac:dyDescent="0.25">
      <c r="A43" s="118">
        <v>22</v>
      </c>
      <c r="B43" s="151">
        <v>5215</v>
      </c>
      <c r="C43" s="94" t="s">
        <v>95</v>
      </c>
      <c r="D43" s="85"/>
      <c r="E43" s="108"/>
      <c r="F43" s="85">
        <f t="shared" si="8"/>
        <v>0</v>
      </c>
      <c r="G43" s="428">
        <v>0</v>
      </c>
      <c r="H43" s="85"/>
      <c r="I43" s="428"/>
      <c r="J43" s="85"/>
      <c r="K43" s="85"/>
    </row>
    <row r="44" spans="1:11" s="285" customFormat="1" x14ac:dyDescent="0.25">
      <c r="A44" s="118">
        <v>22</v>
      </c>
      <c r="B44" s="151">
        <v>5220</v>
      </c>
      <c r="C44" s="94" t="s">
        <v>58</v>
      </c>
      <c r="D44" s="85"/>
      <c r="E44" s="108"/>
      <c r="F44" s="85">
        <f t="shared" si="8"/>
        <v>0</v>
      </c>
      <c r="G44" s="428">
        <v>0</v>
      </c>
      <c r="H44" s="85"/>
      <c r="I44" s="428"/>
      <c r="J44" s="85"/>
      <c r="K44" s="85"/>
    </row>
    <row r="45" spans="1:11" s="285" customFormat="1" x14ac:dyDescent="0.25">
      <c r="A45" s="118">
        <v>22</v>
      </c>
      <c r="B45" s="151">
        <v>5225</v>
      </c>
      <c r="C45" s="94" t="s">
        <v>92</v>
      </c>
      <c r="D45" s="85"/>
      <c r="E45" s="108"/>
      <c r="F45" s="85">
        <f t="shared" si="8"/>
        <v>0</v>
      </c>
      <c r="G45" s="428">
        <v>0</v>
      </c>
      <c r="H45" s="85"/>
      <c r="I45" s="428"/>
      <c r="J45" s="85"/>
      <c r="K45" s="85"/>
    </row>
    <row r="46" spans="1:11" s="285" customFormat="1" x14ac:dyDescent="0.25">
      <c r="A46" s="118">
        <v>22</v>
      </c>
      <c r="B46" s="151">
        <v>5230</v>
      </c>
      <c r="C46" s="94" t="s">
        <v>86</v>
      </c>
      <c r="D46" s="85"/>
      <c r="E46" s="108"/>
      <c r="F46" s="85">
        <f t="shared" si="8"/>
        <v>0</v>
      </c>
      <c r="G46" s="428">
        <v>0</v>
      </c>
      <c r="H46" s="85"/>
      <c r="I46" s="428"/>
      <c r="J46" s="85"/>
      <c r="K46" s="85"/>
    </row>
    <row r="47" spans="1:11" s="285" customFormat="1" x14ac:dyDescent="0.25">
      <c r="A47" s="118">
        <v>22</v>
      </c>
      <c r="B47" s="151">
        <v>5235</v>
      </c>
      <c r="C47" s="94" t="s">
        <v>124</v>
      </c>
      <c r="D47" s="85"/>
      <c r="E47" s="108"/>
      <c r="F47" s="85">
        <f t="shared" si="8"/>
        <v>0</v>
      </c>
      <c r="G47" s="428">
        <v>0</v>
      </c>
      <c r="H47" s="85"/>
      <c r="I47" s="428"/>
      <c r="J47" s="85"/>
      <c r="K47" s="85"/>
    </row>
    <row r="48" spans="1:11" s="285" customFormat="1" x14ac:dyDescent="0.25">
      <c r="A48" s="118">
        <v>22</v>
      </c>
      <c r="B48" s="151">
        <v>5240</v>
      </c>
      <c r="C48" s="94" t="s">
        <v>59</v>
      </c>
      <c r="D48" s="85"/>
      <c r="E48" s="108"/>
      <c r="F48" s="85">
        <f t="shared" si="8"/>
        <v>0</v>
      </c>
      <c r="G48" s="428">
        <v>0</v>
      </c>
      <c r="H48" s="85"/>
      <c r="I48" s="428"/>
      <c r="J48" s="85"/>
      <c r="K48" s="85"/>
    </row>
    <row r="49" spans="1:11" s="285" customFormat="1" x14ac:dyDescent="0.25">
      <c r="A49" s="118">
        <v>22</v>
      </c>
      <c r="B49" s="151">
        <v>5245</v>
      </c>
      <c r="C49" s="94" t="s">
        <v>91</v>
      </c>
      <c r="D49" s="85"/>
      <c r="E49" s="108"/>
      <c r="F49" s="85">
        <f t="shared" si="8"/>
        <v>0</v>
      </c>
      <c r="G49" s="428">
        <v>0</v>
      </c>
      <c r="H49" s="85"/>
      <c r="I49" s="428"/>
      <c r="J49" s="85"/>
      <c r="K49" s="85"/>
    </row>
    <row r="50" spans="1:11" s="285" customFormat="1" x14ac:dyDescent="0.25">
      <c r="A50" s="118">
        <v>22</v>
      </c>
      <c r="B50" s="151">
        <v>5250</v>
      </c>
      <c r="C50" s="94" t="s">
        <v>88</v>
      </c>
      <c r="D50" s="85"/>
      <c r="E50" s="108"/>
      <c r="F50" s="85">
        <f t="shared" si="8"/>
        <v>0</v>
      </c>
      <c r="G50" s="428">
        <v>0</v>
      </c>
      <c r="H50" s="85"/>
      <c r="I50" s="602"/>
      <c r="J50" s="85"/>
      <c r="K50" s="85"/>
    </row>
    <row r="51" spans="1:11" s="285" customFormat="1" x14ac:dyDescent="0.25">
      <c r="A51" s="118">
        <v>22</v>
      </c>
      <c r="B51" s="151">
        <v>5255</v>
      </c>
      <c r="C51" s="94" t="s">
        <v>125</v>
      </c>
      <c r="D51" s="85"/>
      <c r="E51" s="108"/>
      <c r="F51" s="85">
        <f t="shared" si="8"/>
        <v>0</v>
      </c>
      <c r="G51" s="428">
        <v>0</v>
      </c>
      <c r="H51" s="85"/>
      <c r="I51" s="428"/>
      <c r="J51" s="85"/>
      <c r="K51" s="85"/>
    </row>
    <row r="52" spans="1:11" s="285" customFormat="1" x14ac:dyDescent="0.25">
      <c r="A52" s="118">
        <v>22</v>
      </c>
      <c r="B52" s="151">
        <v>5260</v>
      </c>
      <c r="C52" s="94" t="s">
        <v>90</v>
      </c>
      <c r="D52" s="85"/>
      <c r="E52" s="108"/>
      <c r="F52" s="85">
        <f t="shared" si="8"/>
        <v>0</v>
      </c>
      <c r="G52" s="428">
        <v>0</v>
      </c>
      <c r="H52" s="85"/>
      <c r="I52" s="428"/>
      <c r="J52" s="85"/>
      <c r="K52" s="85"/>
    </row>
    <row r="53" spans="1:11" s="285" customFormat="1" x14ac:dyDescent="0.25">
      <c r="A53" s="118">
        <v>22</v>
      </c>
      <c r="B53" s="151">
        <v>5265</v>
      </c>
      <c r="C53" s="94" t="s">
        <v>87</v>
      </c>
      <c r="D53" s="85"/>
      <c r="E53" s="108"/>
      <c r="F53" s="85">
        <f t="shared" si="8"/>
        <v>0</v>
      </c>
      <c r="G53" s="428">
        <v>0</v>
      </c>
      <c r="H53" s="85"/>
      <c r="I53" s="428"/>
      <c r="J53" s="85"/>
      <c r="K53" s="85"/>
    </row>
    <row r="54" spans="1:11" s="285" customFormat="1" x14ac:dyDescent="0.25">
      <c r="A54" s="118">
        <v>22</v>
      </c>
      <c r="B54" s="151">
        <v>5270</v>
      </c>
      <c r="C54" s="94" t="s">
        <v>89</v>
      </c>
      <c r="D54" s="85"/>
      <c r="E54" s="108"/>
      <c r="F54" s="85">
        <f t="shared" si="8"/>
        <v>0</v>
      </c>
      <c r="G54" s="428">
        <v>0</v>
      </c>
      <c r="H54" s="85"/>
      <c r="I54" s="428"/>
      <c r="J54" s="85"/>
      <c r="K54" s="85"/>
    </row>
    <row r="55" spans="1:11" s="285" customFormat="1" x14ac:dyDescent="0.25">
      <c r="A55" s="118">
        <v>22</v>
      </c>
      <c r="B55" s="151">
        <v>5275</v>
      </c>
      <c r="C55" s="94" t="s">
        <v>93</v>
      </c>
      <c r="D55" s="85"/>
      <c r="E55" s="108"/>
      <c r="F55" s="85">
        <f t="shared" si="8"/>
        <v>0</v>
      </c>
      <c r="G55" s="428">
        <v>0</v>
      </c>
      <c r="H55" s="85"/>
      <c r="I55" s="428"/>
      <c r="J55" s="85"/>
      <c r="K55" s="85"/>
    </row>
    <row r="56" spans="1:11" s="285" customFormat="1" x14ac:dyDescent="0.25">
      <c r="A56" s="118">
        <v>22</v>
      </c>
      <c r="B56" s="151">
        <v>5280</v>
      </c>
      <c r="C56" s="94" t="s">
        <v>94</v>
      </c>
      <c r="D56" s="85"/>
      <c r="E56" s="108"/>
      <c r="F56" s="85">
        <f t="shared" si="8"/>
        <v>0</v>
      </c>
      <c r="G56" s="428">
        <v>0</v>
      </c>
      <c r="H56" s="85"/>
      <c r="I56" s="428"/>
      <c r="J56" s="85"/>
      <c r="K56" s="85"/>
    </row>
    <row r="57" spans="1:11" s="285" customFormat="1" x14ac:dyDescent="0.25">
      <c r="A57" s="118">
        <v>22</v>
      </c>
      <c r="B57" s="151">
        <v>5285</v>
      </c>
      <c r="C57" s="94" t="s">
        <v>60</v>
      </c>
      <c r="D57" s="85"/>
      <c r="E57" s="85"/>
      <c r="F57" s="85">
        <f t="shared" si="8"/>
        <v>0</v>
      </c>
      <c r="G57" s="428">
        <v>0</v>
      </c>
      <c r="H57" s="85"/>
      <c r="I57" s="428"/>
      <c r="J57" s="85"/>
      <c r="K57" s="85"/>
    </row>
    <row r="58" spans="1:11" s="285" customFormat="1" x14ac:dyDescent="0.25">
      <c r="A58" s="118">
        <v>22</v>
      </c>
      <c r="B58" s="151">
        <v>5290</v>
      </c>
      <c r="C58" s="94" t="s">
        <v>186</v>
      </c>
      <c r="D58" s="85"/>
      <c r="E58" s="108"/>
      <c r="F58" s="85">
        <f t="shared" si="8"/>
        <v>0</v>
      </c>
      <c r="G58" s="428">
        <v>0</v>
      </c>
      <c r="H58" s="85"/>
      <c r="I58" s="428"/>
      <c r="J58" s="85"/>
      <c r="K58" s="85"/>
    </row>
    <row r="59" spans="1:11" s="285" customFormat="1" x14ac:dyDescent="0.25">
      <c r="A59" s="344"/>
      <c r="B59" s="151"/>
      <c r="C59" s="94"/>
      <c r="D59" s="439">
        <f>SUM(D40:D58)</f>
        <v>0</v>
      </c>
      <c r="E59" s="110">
        <f>SUM(E40:E58)</f>
        <v>0</v>
      </c>
      <c r="F59" s="110">
        <f>SUM(F40:F58)</f>
        <v>0</v>
      </c>
      <c r="G59" s="439">
        <f>SUM(G40:G58)</f>
        <v>0</v>
      </c>
      <c r="H59" s="110"/>
      <c r="I59" s="439"/>
      <c r="J59" s="110"/>
      <c r="K59" s="110"/>
    </row>
    <row r="60" spans="1:11" s="285" customFormat="1" x14ac:dyDescent="0.25">
      <c r="A60" s="344"/>
      <c r="B60" s="151"/>
      <c r="C60" s="93" t="s">
        <v>198</v>
      </c>
      <c r="D60" s="85"/>
      <c r="E60" s="112"/>
      <c r="F60" s="112"/>
      <c r="G60" s="112"/>
      <c r="H60" s="112"/>
      <c r="I60" s="112"/>
      <c r="J60" s="112"/>
      <c r="K60" s="112"/>
    </row>
    <row r="61" spans="1:11" s="285" customFormat="1" x14ac:dyDescent="0.25">
      <c r="A61" s="118">
        <v>22</v>
      </c>
      <c r="B61" s="151">
        <v>5400</v>
      </c>
      <c r="C61" s="94" t="s">
        <v>334</v>
      </c>
      <c r="D61" s="85"/>
      <c r="E61" s="86"/>
      <c r="F61" s="85">
        <f>0/8*12</f>
        <v>0</v>
      </c>
      <c r="G61" s="86">
        <v>0</v>
      </c>
      <c r="H61" s="86"/>
      <c r="I61" s="86"/>
      <c r="J61" s="86"/>
      <c r="K61" s="86"/>
    </row>
    <row r="62" spans="1:11" s="285" customFormat="1" x14ac:dyDescent="0.25">
      <c r="A62" s="118">
        <v>22</v>
      </c>
      <c r="B62" s="151">
        <v>5405</v>
      </c>
      <c r="C62" s="94" t="s">
        <v>335</v>
      </c>
      <c r="D62" s="85"/>
      <c r="E62" s="108"/>
      <c r="F62" s="85">
        <f>0/8*12</f>
        <v>0</v>
      </c>
      <c r="G62" s="428">
        <v>0</v>
      </c>
      <c r="H62" s="85"/>
      <c r="I62" s="428"/>
      <c r="J62" s="85"/>
      <c r="K62" s="108"/>
    </row>
    <row r="63" spans="1:11" s="285" customFormat="1" x14ac:dyDescent="0.25">
      <c r="A63" s="344"/>
      <c r="B63" s="151"/>
      <c r="C63" s="94"/>
      <c r="D63" s="429">
        <f>SUM(D61:D62)</f>
        <v>0</v>
      </c>
      <c r="E63" s="89">
        <f>SUM(E61:E62)</f>
        <v>0</v>
      </c>
      <c r="F63" s="89">
        <f>SUM(F61:F62)</f>
        <v>0</v>
      </c>
      <c r="G63" s="429">
        <f>SUM(G61:G62)</f>
        <v>0</v>
      </c>
      <c r="H63" s="89"/>
      <c r="I63" s="429"/>
      <c r="J63" s="89"/>
      <c r="K63" s="89"/>
    </row>
    <row r="64" spans="1:11" s="285" customFormat="1" x14ac:dyDescent="0.25">
      <c r="A64" s="344"/>
      <c r="B64" s="151"/>
      <c r="C64" s="93" t="s">
        <v>61</v>
      </c>
      <c r="D64" s="85"/>
      <c r="E64" s="86"/>
      <c r="F64" s="86"/>
      <c r="G64" s="86"/>
      <c r="H64" s="86"/>
      <c r="I64" s="86"/>
      <c r="J64" s="86"/>
      <c r="K64" s="86"/>
    </row>
    <row r="65" spans="1:11" s="285" customFormat="1" x14ac:dyDescent="0.25">
      <c r="A65" s="118">
        <v>22</v>
      </c>
      <c r="B65" s="151">
        <v>5450</v>
      </c>
      <c r="C65" s="94" t="s">
        <v>351</v>
      </c>
      <c r="D65" s="85"/>
      <c r="E65" s="108"/>
      <c r="F65" s="85">
        <f>0/8*12</f>
        <v>0</v>
      </c>
      <c r="G65" s="428">
        <v>0</v>
      </c>
      <c r="H65" s="85"/>
      <c r="I65" s="428"/>
      <c r="J65" s="85"/>
      <c r="K65" s="108"/>
    </row>
    <row r="66" spans="1:11" s="285" customFormat="1" x14ac:dyDescent="0.25">
      <c r="A66" s="344"/>
      <c r="B66" s="151"/>
      <c r="C66" s="94"/>
      <c r="D66" s="89"/>
      <c r="E66" s="89">
        <f>E65</f>
        <v>0</v>
      </c>
      <c r="F66" s="89">
        <f>F65</f>
        <v>0</v>
      </c>
      <c r="G66" s="429">
        <v>0</v>
      </c>
      <c r="H66" s="89"/>
      <c r="I66" s="429"/>
      <c r="J66" s="89"/>
      <c r="K66" s="89"/>
    </row>
    <row r="67" spans="1:11" s="285" customFormat="1" x14ac:dyDescent="0.25">
      <c r="A67" s="344"/>
      <c r="B67" s="151"/>
      <c r="C67" s="93" t="s">
        <v>96</v>
      </c>
      <c r="D67" s="85"/>
      <c r="E67" s="86"/>
      <c r="F67" s="86"/>
      <c r="G67" s="86"/>
      <c r="H67" s="86"/>
      <c r="I67" s="86"/>
      <c r="J67" s="86"/>
      <c r="K67" s="86"/>
    </row>
    <row r="68" spans="1:11" s="285" customFormat="1" x14ac:dyDescent="0.25">
      <c r="A68" s="118">
        <v>22</v>
      </c>
      <c r="B68" s="151">
        <v>5470</v>
      </c>
      <c r="C68" s="94" t="s">
        <v>97</v>
      </c>
      <c r="D68" s="85"/>
      <c r="E68" s="86"/>
      <c r="F68" s="85">
        <f>0/8*12</f>
        <v>0</v>
      </c>
      <c r="G68" s="428">
        <v>0</v>
      </c>
      <c r="H68" s="85"/>
      <c r="I68" s="428"/>
      <c r="J68" s="85"/>
      <c r="K68" s="85"/>
    </row>
    <row r="69" spans="1:11" s="285" customFormat="1" x14ac:dyDescent="0.25">
      <c r="A69" s="118">
        <v>22</v>
      </c>
      <c r="B69" s="151">
        <v>5475</v>
      </c>
      <c r="C69" s="94" t="s">
        <v>134</v>
      </c>
      <c r="D69" s="85"/>
      <c r="E69" s="86"/>
      <c r="F69" s="85">
        <f>0/8*12</f>
        <v>0</v>
      </c>
      <c r="G69" s="428">
        <v>0</v>
      </c>
      <c r="H69" s="85"/>
      <c r="I69" s="428"/>
      <c r="J69" s="85"/>
      <c r="K69" s="85"/>
    </row>
    <row r="70" spans="1:11" s="285" customFormat="1" x14ac:dyDescent="0.25">
      <c r="A70" s="344"/>
      <c r="B70" s="151"/>
      <c r="C70" s="94"/>
      <c r="D70" s="110"/>
      <c r="E70" s="110">
        <f>SUM(E68:E69)</f>
        <v>0</v>
      </c>
      <c r="F70" s="110">
        <f>SUM(F68:F69)</f>
        <v>0</v>
      </c>
      <c r="G70" s="439">
        <v>0</v>
      </c>
      <c r="H70" s="110"/>
      <c r="I70" s="439"/>
      <c r="J70" s="110"/>
      <c r="K70" s="110"/>
    </row>
    <row r="71" spans="1:11" s="285" customFormat="1" x14ac:dyDescent="0.25">
      <c r="A71" s="344"/>
      <c r="B71" s="151"/>
      <c r="C71" s="93" t="s">
        <v>62</v>
      </c>
      <c r="D71" s="88"/>
      <c r="E71" s="113"/>
      <c r="F71" s="113"/>
      <c r="G71" s="113"/>
      <c r="H71" s="113"/>
      <c r="I71" s="113"/>
      <c r="J71" s="113"/>
      <c r="K71" s="113"/>
    </row>
    <row r="72" spans="1:11" s="285" customFormat="1" hidden="1" x14ac:dyDescent="0.25">
      <c r="A72" s="118">
        <v>22</v>
      </c>
      <c r="B72" s="151">
        <v>5505</v>
      </c>
      <c r="C72" s="94" t="s">
        <v>259</v>
      </c>
      <c r="D72" s="85"/>
      <c r="E72" s="85"/>
      <c r="F72" s="85">
        <f t="shared" ref="F72:F182" si="9">0/8*12</f>
        <v>0</v>
      </c>
      <c r="G72" s="428">
        <v>0</v>
      </c>
      <c r="H72" s="85"/>
      <c r="I72" s="428"/>
      <c r="J72" s="85"/>
      <c r="K72" s="85"/>
    </row>
    <row r="73" spans="1:11" s="285" customFormat="1" hidden="1" x14ac:dyDescent="0.25">
      <c r="A73" s="118">
        <v>22</v>
      </c>
      <c r="B73" s="151">
        <v>5510</v>
      </c>
      <c r="C73" s="94" t="s">
        <v>63</v>
      </c>
      <c r="D73" s="85"/>
      <c r="E73" s="85"/>
      <c r="F73" s="85">
        <f t="shared" si="9"/>
        <v>0</v>
      </c>
      <c r="G73" s="428">
        <v>0</v>
      </c>
      <c r="H73" s="85"/>
      <c r="I73" s="428"/>
      <c r="J73" s="85"/>
      <c r="K73" s="85"/>
    </row>
    <row r="74" spans="1:11" s="285" customFormat="1" hidden="1" x14ac:dyDescent="0.25">
      <c r="A74" s="118">
        <v>22</v>
      </c>
      <c r="B74" s="151">
        <v>5520</v>
      </c>
      <c r="C74" s="94" t="s">
        <v>260</v>
      </c>
      <c r="D74" s="85"/>
      <c r="E74" s="85"/>
      <c r="F74" s="85">
        <f t="shared" si="9"/>
        <v>0</v>
      </c>
      <c r="G74" s="428">
        <v>0</v>
      </c>
      <c r="H74" s="85"/>
      <c r="I74" s="428"/>
      <c r="J74" s="85"/>
      <c r="K74" s="85"/>
    </row>
    <row r="75" spans="1:11" s="285" customFormat="1" hidden="1" x14ac:dyDescent="0.25">
      <c r="A75" s="118">
        <v>22</v>
      </c>
      <c r="B75" s="151">
        <v>5525</v>
      </c>
      <c r="C75" s="94" t="s">
        <v>261</v>
      </c>
      <c r="D75" s="85"/>
      <c r="E75" s="85"/>
      <c r="F75" s="85">
        <f t="shared" si="9"/>
        <v>0</v>
      </c>
      <c r="G75" s="428">
        <v>0</v>
      </c>
      <c r="H75" s="85"/>
      <c r="I75" s="428"/>
      <c r="J75" s="85"/>
      <c r="K75" s="85"/>
    </row>
    <row r="76" spans="1:11" s="285" customFormat="1" hidden="1" x14ac:dyDescent="0.25">
      <c r="A76" s="118">
        <v>22</v>
      </c>
      <c r="B76" s="151">
        <v>5530</v>
      </c>
      <c r="C76" s="94" t="s">
        <v>262</v>
      </c>
      <c r="D76" s="85"/>
      <c r="E76" s="85"/>
      <c r="F76" s="85">
        <f t="shared" si="9"/>
        <v>0</v>
      </c>
      <c r="G76" s="428">
        <v>0</v>
      </c>
      <c r="H76" s="85"/>
      <c r="I76" s="428"/>
      <c r="J76" s="85"/>
      <c r="K76" s="85"/>
    </row>
    <row r="77" spans="1:11" s="285" customFormat="1" hidden="1" x14ac:dyDescent="0.25">
      <c r="A77" s="118">
        <v>22</v>
      </c>
      <c r="B77" s="151">
        <v>5535</v>
      </c>
      <c r="C77" s="94" t="s">
        <v>263</v>
      </c>
      <c r="D77" s="85"/>
      <c r="E77" s="85"/>
      <c r="F77" s="85">
        <f t="shared" si="9"/>
        <v>0</v>
      </c>
      <c r="G77" s="428">
        <v>0</v>
      </c>
      <c r="H77" s="85"/>
      <c r="I77" s="428"/>
      <c r="J77" s="85"/>
      <c r="K77" s="85"/>
    </row>
    <row r="78" spans="1:11" s="285" customFormat="1" hidden="1" x14ac:dyDescent="0.25">
      <c r="A78" s="118">
        <v>22</v>
      </c>
      <c r="B78" s="151">
        <v>5540</v>
      </c>
      <c r="C78" s="94" t="s">
        <v>264</v>
      </c>
      <c r="D78" s="85"/>
      <c r="E78" s="85"/>
      <c r="F78" s="85">
        <f t="shared" si="9"/>
        <v>0</v>
      </c>
      <c r="G78" s="428">
        <v>0</v>
      </c>
      <c r="H78" s="85"/>
      <c r="I78" s="428"/>
      <c r="J78" s="85"/>
      <c r="K78" s="85"/>
    </row>
    <row r="79" spans="1:11" s="285" customFormat="1" ht="13.5" hidden="1" customHeight="1" x14ac:dyDescent="0.25">
      <c r="A79" s="118">
        <v>22</v>
      </c>
      <c r="B79" s="151">
        <v>5545</v>
      </c>
      <c r="C79" s="94" t="s">
        <v>265</v>
      </c>
      <c r="D79" s="85"/>
      <c r="E79" s="85"/>
      <c r="F79" s="85">
        <f t="shared" si="9"/>
        <v>0</v>
      </c>
      <c r="G79" s="428">
        <v>0</v>
      </c>
      <c r="H79" s="85"/>
      <c r="I79" s="428"/>
      <c r="J79" s="85"/>
      <c r="K79" s="85"/>
    </row>
    <row r="80" spans="1:11" s="285" customFormat="1" hidden="1" x14ac:dyDescent="0.25">
      <c r="A80" s="118">
        <v>22</v>
      </c>
      <c r="B80" s="151">
        <v>5550</v>
      </c>
      <c r="C80" s="94" t="s">
        <v>267</v>
      </c>
      <c r="D80" s="85"/>
      <c r="E80" s="85"/>
      <c r="F80" s="85">
        <f t="shared" si="9"/>
        <v>0</v>
      </c>
      <c r="G80" s="428">
        <v>0</v>
      </c>
      <c r="H80" s="85"/>
      <c r="I80" s="428"/>
      <c r="J80" s="85"/>
      <c r="K80" s="85"/>
    </row>
    <row r="81" spans="1:11" s="285" customFormat="1" hidden="1" x14ac:dyDescent="0.25">
      <c r="A81" s="118">
        <v>22</v>
      </c>
      <c r="B81" s="151">
        <v>5555</v>
      </c>
      <c r="C81" s="94" t="s">
        <v>268</v>
      </c>
      <c r="D81" s="85"/>
      <c r="E81" s="85"/>
      <c r="F81" s="85">
        <f t="shared" si="9"/>
        <v>0</v>
      </c>
      <c r="G81" s="428">
        <v>0</v>
      </c>
      <c r="H81" s="85"/>
      <c r="I81" s="428"/>
      <c r="J81" s="85"/>
      <c r="K81" s="85"/>
    </row>
    <row r="82" spans="1:11" s="285" customFormat="1" hidden="1" x14ac:dyDescent="0.25">
      <c r="A82" s="118">
        <v>22</v>
      </c>
      <c r="B82" s="151">
        <v>5560</v>
      </c>
      <c r="C82" s="94" t="s">
        <v>269</v>
      </c>
      <c r="D82" s="85"/>
      <c r="E82" s="85"/>
      <c r="F82" s="85">
        <f t="shared" si="9"/>
        <v>0</v>
      </c>
      <c r="G82" s="428">
        <v>0</v>
      </c>
      <c r="H82" s="85"/>
      <c r="I82" s="428"/>
      <c r="J82" s="85"/>
      <c r="K82" s="85"/>
    </row>
    <row r="83" spans="1:11" s="285" customFormat="1" hidden="1" x14ac:dyDescent="0.25">
      <c r="A83" s="118">
        <v>22</v>
      </c>
      <c r="B83" s="151">
        <v>5565</v>
      </c>
      <c r="C83" s="94" t="s">
        <v>246</v>
      </c>
      <c r="D83" s="85"/>
      <c r="E83" s="85"/>
      <c r="F83" s="85">
        <f t="shared" si="9"/>
        <v>0</v>
      </c>
      <c r="G83" s="428">
        <v>0</v>
      </c>
      <c r="H83" s="85"/>
      <c r="I83" s="428"/>
      <c r="J83" s="85"/>
      <c r="K83" s="85"/>
    </row>
    <row r="84" spans="1:11" s="285" customFormat="1" hidden="1" x14ac:dyDescent="0.25">
      <c r="A84" s="118">
        <v>22</v>
      </c>
      <c r="B84" s="151">
        <v>5570</v>
      </c>
      <c r="C84" s="94" t="s">
        <v>270</v>
      </c>
      <c r="D84" s="85"/>
      <c r="E84" s="85"/>
      <c r="F84" s="85">
        <f t="shared" si="9"/>
        <v>0</v>
      </c>
      <c r="G84" s="428">
        <v>0</v>
      </c>
      <c r="H84" s="85"/>
      <c r="I84" s="428"/>
      <c r="J84" s="85"/>
      <c r="K84" s="85"/>
    </row>
    <row r="85" spans="1:11" s="285" customFormat="1" hidden="1" x14ac:dyDescent="0.25">
      <c r="A85" s="118">
        <v>22</v>
      </c>
      <c r="B85" s="151">
        <v>5575</v>
      </c>
      <c r="C85" s="94" t="s">
        <v>271</v>
      </c>
      <c r="D85" s="85"/>
      <c r="E85" s="85"/>
      <c r="F85" s="85">
        <f t="shared" si="9"/>
        <v>0</v>
      </c>
      <c r="G85" s="428">
        <v>0</v>
      </c>
      <c r="H85" s="85"/>
      <c r="I85" s="428"/>
      <c r="J85" s="85"/>
      <c r="K85" s="85"/>
    </row>
    <row r="86" spans="1:11" s="285" customFormat="1" hidden="1" x14ac:dyDescent="0.25">
      <c r="A86" s="118">
        <v>22</v>
      </c>
      <c r="B86" s="151">
        <v>5580</v>
      </c>
      <c r="C86" s="94" t="s">
        <v>272</v>
      </c>
      <c r="D86" s="85"/>
      <c r="E86" s="85"/>
      <c r="F86" s="85">
        <f t="shared" si="9"/>
        <v>0</v>
      </c>
      <c r="G86" s="428">
        <v>0</v>
      </c>
      <c r="H86" s="85"/>
      <c r="I86" s="428"/>
      <c r="J86" s="85"/>
      <c r="K86" s="85"/>
    </row>
    <row r="87" spans="1:11" s="285" customFormat="1" hidden="1" x14ac:dyDescent="0.25">
      <c r="A87" s="118">
        <v>22</v>
      </c>
      <c r="B87" s="151">
        <v>5585</v>
      </c>
      <c r="C87" s="94" t="s">
        <v>273</v>
      </c>
      <c r="D87" s="86"/>
      <c r="E87" s="85"/>
      <c r="F87" s="85">
        <f t="shared" si="9"/>
        <v>0</v>
      </c>
      <c r="G87" s="428">
        <v>0</v>
      </c>
      <c r="H87" s="85"/>
      <c r="I87" s="428"/>
      <c r="J87" s="85"/>
      <c r="K87" s="85"/>
    </row>
    <row r="88" spans="1:11" s="285" customFormat="1" hidden="1" x14ac:dyDescent="0.25">
      <c r="A88" s="118">
        <v>22</v>
      </c>
      <c r="B88" s="151">
        <v>5590</v>
      </c>
      <c r="C88" s="94" t="s">
        <v>274</v>
      </c>
      <c r="D88" s="86"/>
      <c r="E88" s="85"/>
      <c r="F88" s="85">
        <f t="shared" si="9"/>
        <v>0</v>
      </c>
      <c r="G88" s="428">
        <v>0</v>
      </c>
      <c r="H88" s="85"/>
      <c r="I88" s="428"/>
      <c r="J88" s="85"/>
      <c r="K88" s="85"/>
    </row>
    <row r="89" spans="1:11" s="285" customFormat="1" hidden="1" x14ac:dyDescent="0.25">
      <c r="A89" s="118">
        <v>22</v>
      </c>
      <c r="B89" s="151">
        <v>5595</v>
      </c>
      <c r="C89" s="94" t="s">
        <v>275</v>
      </c>
      <c r="D89" s="85"/>
      <c r="E89" s="85"/>
      <c r="F89" s="85">
        <f t="shared" si="9"/>
        <v>0</v>
      </c>
      <c r="G89" s="428">
        <v>0</v>
      </c>
      <c r="H89" s="85"/>
      <c r="I89" s="428"/>
      <c r="J89" s="85"/>
      <c r="K89" s="85"/>
    </row>
    <row r="90" spans="1:11" s="285" customFormat="1" hidden="1" x14ac:dyDescent="0.25">
      <c r="A90" s="118">
        <v>22</v>
      </c>
      <c r="B90" s="151">
        <v>5600</v>
      </c>
      <c r="C90" s="159" t="s">
        <v>276</v>
      </c>
      <c r="D90" s="85"/>
      <c r="E90" s="85"/>
      <c r="F90" s="85">
        <f t="shared" si="9"/>
        <v>0</v>
      </c>
      <c r="G90" s="428">
        <v>0</v>
      </c>
      <c r="H90" s="85"/>
      <c r="I90" s="428"/>
      <c r="J90" s="85"/>
      <c r="K90" s="85"/>
    </row>
    <row r="91" spans="1:11" s="285" customFormat="1" hidden="1" x14ac:dyDescent="0.25">
      <c r="A91" s="118">
        <v>22</v>
      </c>
      <c r="B91" s="151">
        <v>5605</v>
      </c>
      <c r="C91" s="159" t="s">
        <v>277</v>
      </c>
      <c r="D91" s="85"/>
      <c r="E91" s="85"/>
      <c r="F91" s="85">
        <f t="shared" si="9"/>
        <v>0</v>
      </c>
      <c r="G91" s="428">
        <v>0</v>
      </c>
      <c r="H91" s="85"/>
      <c r="I91" s="428"/>
      <c r="J91" s="85"/>
      <c r="K91" s="85"/>
    </row>
    <row r="92" spans="1:11" s="285" customFormat="1" hidden="1" x14ac:dyDescent="0.25">
      <c r="A92" s="118">
        <v>22</v>
      </c>
      <c r="B92" s="151">
        <v>5610</v>
      </c>
      <c r="C92" s="159" t="s">
        <v>278</v>
      </c>
      <c r="D92" s="85"/>
      <c r="E92" s="85"/>
      <c r="F92" s="85">
        <f t="shared" si="9"/>
        <v>0</v>
      </c>
      <c r="G92" s="428">
        <v>0</v>
      </c>
      <c r="H92" s="85"/>
      <c r="I92" s="428"/>
      <c r="J92" s="85"/>
      <c r="K92" s="85"/>
    </row>
    <row r="93" spans="1:11" s="285" customFormat="1" hidden="1" x14ac:dyDescent="0.25">
      <c r="A93" s="118">
        <v>22</v>
      </c>
      <c r="B93" s="151">
        <v>5615</v>
      </c>
      <c r="C93" s="159" t="s">
        <v>279</v>
      </c>
      <c r="D93" s="85"/>
      <c r="E93" s="85"/>
      <c r="F93" s="85">
        <f t="shared" si="9"/>
        <v>0</v>
      </c>
      <c r="G93" s="428">
        <v>0</v>
      </c>
      <c r="H93" s="85"/>
      <c r="I93" s="428"/>
      <c r="J93" s="85"/>
      <c r="K93" s="85"/>
    </row>
    <row r="94" spans="1:11" s="285" customFormat="1" hidden="1" x14ac:dyDescent="0.25">
      <c r="A94" s="118">
        <v>22</v>
      </c>
      <c r="B94" s="151">
        <v>5620</v>
      </c>
      <c r="C94" s="159" t="s">
        <v>280</v>
      </c>
      <c r="D94" s="85"/>
      <c r="E94" s="85"/>
      <c r="F94" s="85">
        <f t="shared" si="9"/>
        <v>0</v>
      </c>
      <c r="G94" s="428">
        <v>0</v>
      </c>
      <c r="H94" s="85"/>
      <c r="I94" s="428"/>
      <c r="J94" s="85"/>
      <c r="K94" s="85"/>
    </row>
    <row r="95" spans="1:11" s="285" customFormat="1" hidden="1" x14ac:dyDescent="0.25">
      <c r="A95" s="118">
        <v>22</v>
      </c>
      <c r="B95" s="151">
        <v>5625</v>
      </c>
      <c r="C95" s="159" t="s">
        <v>281</v>
      </c>
      <c r="D95" s="85"/>
      <c r="E95" s="85"/>
      <c r="F95" s="85">
        <f t="shared" si="9"/>
        <v>0</v>
      </c>
      <c r="G95" s="428">
        <v>0</v>
      </c>
      <c r="H95" s="85"/>
      <c r="I95" s="428"/>
      <c r="J95" s="85"/>
      <c r="K95" s="85"/>
    </row>
    <row r="96" spans="1:11" s="285" customFormat="1" hidden="1" x14ac:dyDescent="0.25">
      <c r="A96" s="118">
        <v>22</v>
      </c>
      <c r="B96" s="151">
        <v>5630</v>
      </c>
      <c r="C96" s="159" t="s">
        <v>282</v>
      </c>
      <c r="D96" s="85"/>
      <c r="E96" s="85"/>
      <c r="F96" s="85">
        <f t="shared" si="9"/>
        <v>0</v>
      </c>
      <c r="G96" s="428">
        <v>0</v>
      </c>
      <c r="H96" s="85"/>
      <c r="I96" s="428"/>
      <c r="J96" s="85"/>
      <c r="K96" s="85"/>
    </row>
    <row r="97" spans="1:11" s="285" customFormat="1" hidden="1" x14ac:dyDescent="0.25">
      <c r="A97" s="118">
        <v>22</v>
      </c>
      <c r="B97" s="151">
        <v>5635</v>
      </c>
      <c r="C97" s="159" t="s">
        <v>283</v>
      </c>
      <c r="D97" s="85"/>
      <c r="E97" s="85"/>
      <c r="F97" s="85">
        <f t="shared" si="9"/>
        <v>0</v>
      </c>
      <c r="G97" s="428">
        <v>0</v>
      </c>
      <c r="H97" s="85"/>
      <c r="I97" s="428"/>
      <c r="J97" s="85"/>
      <c r="K97" s="85"/>
    </row>
    <row r="98" spans="1:11" s="285" customFormat="1" hidden="1" x14ac:dyDescent="0.25">
      <c r="A98" s="118">
        <v>22</v>
      </c>
      <c r="B98" s="151">
        <v>5640</v>
      </c>
      <c r="C98" s="159" t="s">
        <v>284</v>
      </c>
      <c r="D98" s="85"/>
      <c r="E98" s="85"/>
      <c r="F98" s="85">
        <f t="shared" si="9"/>
        <v>0</v>
      </c>
      <c r="G98" s="428">
        <v>0</v>
      </c>
      <c r="H98" s="85"/>
      <c r="I98" s="428"/>
      <c r="J98" s="85"/>
      <c r="K98" s="85"/>
    </row>
    <row r="99" spans="1:11" s="285" customFormat="1" hidden="1" x14ac:dyDescent="0.25">
      <c r="A99" s="118">
        <v>22</v>
      </c>
      <c r="B99" s="151">
        <v>5645</v>
      </c>
      <c r="C99" s="159" t="s">
        <v>285</v>
      </c>
      <c r="D99" s="85"/>
      <c r="E99" s="85"/>
      <c r="F99" s="85">
        <f t="shared" si="9"/>
        <v>0</v>
      </c>
      <c r="G99" s="428">
        <v>0</v>
      </c>
      <c r="H99" s="85"/>
      <c r="I99" s="428"/>
      <c r="J99" s="85"/>
      <c r="K99" s="85"/>
    </row>
    <row r="100" spans="1:11" s="285" customFormat="1" hidden="1" x14ac:dyDescent="0.25">
      <c r="A100" s="118">
        <v>22</v>
      </c>
      <c r="B100" s="151">
        <v>5650</v>
      </c>
      <c r="C100" s="159" t="s">
        <v>286</v>
      </c>
      <c r="D100" s="85"/>
      <c r="E100" s="85"/>
      <c r="F100" s="85">
        <f t="shared" si="9"/>
        <v>0</v>
      </c>
      <c r="G100" s="428">
        <v>0</v>
      </c>
      <c r="H100" s="85"/>
      <c r="I100" s="428"/>
      <c r="J100" s="85"/>
      <c r="K100" s="85"/>
    </row>
    <row r="101" spans="1:11" s="285" customFormat="1" hidden="1" x14ac:dyDescent="0.25">
      <c r="A101" s="118">
        <v>22</v>
      </c>
      <c r="B101" s="151">
        <v>5655</v>
      </c>
      <c r="C101" s="159" t="s">
        <v>287</v>
      </c>
      <c r="D101" s="85"/>
      <c r="E101" s="85"/>
      <c r="F101" s="85">
        <f t="shared" si="9"/>
        <v>0</v>
      </c>
      <c r="G101" s="428">
        <v>0</v>
      </c>
      <c r="H101" s="85"/>
      <c r="I101" s="428"/>
      <c r="J101" s="85"/>
      <c r="K101" s="85"/>
    </row>
    <row r="102" spans="1:11" s="285" customFormat="1" hidden="1" x14ac:dyDescent="0.25">
      <c r="A102" s="118">
        <v>22</v>
      </c>
      <c r="B102" s="151">
        <v>5660</v>
      </c>
      <c r="C102" s="159" t="s">
        <v>288</v>
      </c>
      <c r="D102" s="85"/>
      <c r="E102" s="85"/>
      <c r="F102" s="85">
        <f t="shared" si="9"/>
        <v>0</v>
      </c>
      <c r="G102" s="428">
        <v>0</v>
      </c>
      <c r="H102" s="85"/>
      <c r="I102" s="428"/>
      <c r="J102" s="85"/>
      <c r="K102" s="85"/>
    </row>
    <row r="103" spans="1:11" s="285" customFormat="1" hidden="1" x14ac:dyDescent="0.25">
      <c r="A103" s="118">
        <v>22</v>
      </c>
      <c r="B103" s="151">
        <v>5665</v>
      </c>
      <c r="C103" s="94" t="s">
        <v>289</v>
      </c>
      <c r="D103" s="85"/>
      <c r="E103" s="85"/>
      <c r="F103" s="85">
        <f t="shared" si="9"/>
        <v>0</v>
      </c>
      <c r="G103" s="428">
        <v>0</v>
      </c>
      <c r="H103" s="85"/>
      <c r="I103" s="428"/>
      <c r="J103" s="85"/>
      <c r="K103" s="85"/>
    </row>
    <row r="104" spans="1:11" s="285" customFormat="1" hidden="1" x14ac:dyDescent="0.25">
      <c r="A104" s="118">
        <v>22</v>
      </c>
      <c r="B104" s="151">
        <v>5670</v>
      </c>
      <c r="C104" s="94" t="s">
        <v>290</v>
      </c>
      <c r="D104" s="85"/>
      <c r="E104" s="85"/>
      <c r="F104" s="85">
        <f t="shared" si="9"/>
        <v>0</v>
      </c>
      <c r="G104" s="428">
        <v>0</v>
      </c>
      <c r="H104" s="85"/>
      <c r="I104" s="428"/>
      <c r="J104" s="85"/>
      <c r="K104" s="85"/>
    </row>
    <row r="105" spans="1:11" s="285" customFormat="1" hidden="1" x14ac:dyDescent="0.25">
      <c r="A105" s="118">
        <v>22</v>
      </c>
      <c r="B105" s="151">
        <v>5675</v>
      </c>
      <c r="C105" s="94" t="s">
        <v>291</v>
      </c>
      <c r="D105" s="85"/>
      <c r="E105" s="85"/>
      <c r="F105" s="85">
        <f t="shared" si="9"/>
        <v>0</v>
      </c>
      <c r="G105" s="428">
        <v>0</v>
      </c>
      <c r="H105" s="85"/>
      <c r="I105" s="428"/>
      <c r="J105" s="85"/>
      <c r="K105" s="85"/>
    </row>
    <row r="106" spans="1:11" s="285" customFormat="1" hidden="1" x14ac:dyDescent="0.25">
      <c r="A106" s="118">
        <v>22</v>
      </c>
      <c r="B106" s="151">
        <v>5680</v>
      </c>
      <c r="C106" s="94" t="s">
        <v>292</v>
      </c>
      <c r="D106" s="85"/>
      <c r="E106" s="85"/>
      <c r="F106" s="85">
        <f t="shared" si="9"/>
        <v>0</v>
      </c>
      <c r="G106" s="428">
        <v>0</v>
      </c>
      <c r="H106" s="85"/>
      <c r="I106" s="428"/>
      <c r="J106" s="85"/>
      <c r="K106" s="85"/>
    </row>
    <row r="107" spans="1:11" s="285" customFormat="1" hidden="1" x14ac:dyDescent="0.25">
      <c r="A107" s="118">
        <v>22</v>
      </c>
      <c r="B107" s="151">
        <v>5685</v>
      </c>
      <c r="C107" s="94" t="s">
        <v>293</v>
      </c>
      <c r="D107" s="85"/>
      <c r="E107" s="85"/>
      <c r="F107" s="85">
        <f t="shared" si="9"/>
        <v>0</v>
      </c>
      <c r="G107" s="428">
        <v>0</v>
      </c>
      <c r="H107" s="85"/>
      <c r="I107" s="428"/>
      <c r="J107" s="85"/>
      <c r="K107" s="85"/>
    </row>
    <row r="108" spans="1:11" s="285" customFormat="1" hidden="1" x14ac:dyDescent="0.25">
      <c r="A108" s="118">
        <v>22</v>
      </c>
      <c r="B108" s="151">
        <v>5690</v>
      </c>
      <c r="C108" s="94" t="s">
        <v>247</v>
      </c>
      <c r="D108" s="85"/>
      <c r="E108" s="85"/>
      <c r="F108" s="85">
        <f t="shared" si="9"/>
        <v>0</v>
      </c>
      <c r="G108" s="428">
        <v>0</v>
      </c>
      <c r="H108" s="85"/>
      <c r="I108" s="428"/>
      <c r="J108" s="85"/>
      <c r="K108" s="85"/>
    </row>
    <row r="109" spans="1:11" s="285" customFormat="1" hidden="1" x14ac:dyDescent="0.25">
      <c r="A109" s="118">
        <v>22</v>
      </c>
      <c r="B109" s="151">
        <v>5695</v>
      </c>
      <c r="C109" s="94" t="s">
        <v>294</v>
      </c>
      <c r="D109" s="85"/>
      <c r="E109" s="85"/>
      <c r="F109" s="85">
        <f t="shared" si="9"/>
        <v>0</v>
      </c>
      <c r="G109" s="428">
        <v>0</v>
      </c>
      <c r="H109" s="85"/>
      <c r="I109" s="428"/>
      <c r="J109" s="85"/>
      <c r="K109" s="85"/>
    </row>
    <row r="110" spans="1:11" s="285" customFormat="1" hidden="1" x14ac:dyDescent="0.25">
      <c r="A110" s="118">
        <v>22</v>
      </c>
      <c r="B110" s="151">
        <v>5700</v>
      </c>
      <c r="C110" s="94" t="s">
        <v>295</v>
      </c>
      <c r="D110" s="85"/>
      <c r="E110" s="85"/>
      <c r="F110" s="85">
        <f t="shared" si="9"/>
        <v>0</v>
      </c>
      <c r="G110" s="428">
        <v>0</v>
      </c>
      <c r="H110" s="85"/>
      <c r="I110" s="428"/>
      <c r="J110" s="85"/>
      <c r="K110" s="85"/>
    </row>
    <row r="111" spans="1:11" s="285" customFormat="1" hidden="1" x14ac:dyDescent="0.25">
      <c r="A111" s="118">
        <v>22</v>
      </c>
      <c r="B111" s="151">
        <v>5710</v>
      </c>
      <c r="C111" s="94" t="s">
        <v>297</v>
      </c>
      <c r="D111" s="85"/>
      <c r="E111" s="85"/>
      <c r="F111" s="85">
        <f t="shared" si="9"/>
        <v>0</v>
      </c>
      <c r="G111" s="428">
        <v>0</v>
      </c>
      <c r="H111" s="85"/>
      <c r="I111" s="428"/>
      <c r="J111" s="85"/>
      <c r="K111" s="85"/>
    </row>
    <row r="112" spans="1:11" s="285" customFormat="1" hidden="1" x14ac:dyDescent="0.25">
      <c r="A112" s="118">
        <v>22</v>
      </c>
      <c r="B112" s="151">
        <v>5715</v>
      </c>
      <c r="C112" s="94" t="s">
        <v>298</v>
      </c>
      <c r="D112" s="85"/>
      <c r="E112" s="85"/>
      <c r="F112" s="85">
        <f t="shared" si="9"/>
        <v>0</v>
      </c>
      <c r="G112" s="428">
        <v>0</v>
      </c>
      <c r="H112" s="85"/>
      <c r="I112" s="428"/>
      <c r="J112" s="85"/>
      <c r="K112" s="85"/>
    </row>
    <row r="113" spans="1:11" s="285" customFormat="1" hidden="1" x14ac:dyDescent="0.25">
      <c r="A113" s="118">
        <v>22</v>
      </c>
      <c r="B113" s="151">
        <v>5720</v>
      </c>
      <c r="C113" s="94" t="s">
        <v>299</v>
      </c>
      <c r="D113" s="85"/>
      <c r="E113" s="85"/>
      <c r="F113" s="85">
        <f t="shared" si="9"/>
        <v>0</v>
      </c>
      <c r="G113" s="428">
        <v>0</v>
      </c>
      <c r="H113" s="85"/>
      <c r="I113" s="428"/>
      <c r="J113" s="85"/>
      <c r="K113" s="85"/>
    </row>
    <row r="114" spans="1:11" s="285" customFormat="1" hidden="1" x14ac:dyDescent="0.25">
      <c r="A114" s="118">
        <v>22</v>
      </c>
      <c r="B114" s="151">
        <v>5730</v>
      </c>
      <c r="C114" s="94" t="s">
        <v>300</v>
      </c>
      <c r="D114" s="85"/>
      <c r="E114" s="85"/>
      <c r="F114" s="85">
        <f t="shared" si="9"/>
        <v>0</v>
      </c>
      <c r="G114" s="428">
        <v>0</v>
      </c>
      <c r="H114" s="85"/>
      <c r="I114" s="428"/>
      <c r="J114" s="85"/>
      <c r="K114" s="85"/>
    </row>
    <row r="115" spans="1:11" s="285" customFormat="1" hidden="1" x14ac:dyDescent="0.25">
      <c r="A115" s="118">
        <v>22</v>
      </c>
      <c r="B115" s="151">
        <v>5735</v>
      </c>
      <c r="C115" s="94" t="s">
        <v>301</v>
      </c>
      <c r="D115" s="85"/>
      <c r="E115" s="85"/>
      <c r="F115" s="85">
        <f t="shared" si="9"/>
        <v>0</v>
      </c>
      <c r="G115" s="428">
        <v>0</v>
      </c>
      <c r="H115" s="85"/>
      <c r="I115" s="428"/>
      <c r="J115" s="85"/>
      <c r="K115" s="85"/>
    </row>
    <row r="116" spans="1:11" s="285" customFormat="1" hidden="1" x14ac:dyDescent="0.25">
      <c r="A116" s="118">
        <v>22</v>
      </c>
      <c r="B116" s="151">
        <v>5740</v>
      </c>
      <c r="C116" s="94" t="s">
        <v>302</v>
      </c>
      <c r="D116" s="85"/>
      <c r="E116" s="85"/>
      <c r="F116" s="85">
        <f t="shared" si="9"/>
        <v>0</v>
      </c>
      <c r="G116" s="428">
        <v>0</v>
      </c>
      <c r="H116" s="85"/>
      <c r="I116" s="428"/>
      <c r="J116" s="85"/>
      <c r="K116" s="85"/>
    </row>
    <row r="117" spans="1:11" s="285" customFormat="1" hidden="1" x14ac:dyDescent="0.25">
      <c r="A117" s="118">
        <v>22</v>
      </c>
      <c r="B117" s="151">
        <v>5745</v>
      </c>
      <c r="C117" s="94" t="s">
        <v>303</v>
      </c>
      <c r="D117" s="85"/>
      <c r="E117" s="85"/>
      <c r="F117" s="85">
        <f t="shared" si="9"/>
        <v>0</v>
      </c>
      <c r="G117" s="428">
        <v>0</v>
      </c>
      <c r="H117" s="85"/>
      <c r="I117" s="428"/>
      <c r="J117" s="85"/>
      <c r="K117" s="85"/>
    </row>
    <row r="118" spans="1:11" s="285" customFormat="1" hidden="1" x14ac:dyDescent="0.25">
      <c r="A118" s="118">
        <v>22</v>
      </c>
      <c r="B118" s="151">
        <v>5750</v>
      </c>
      <c r="C118" s="94" t="s">
        <v>304</v>
      </c>
      <c r="D118" s="85"/>
      <c r="E118" s="85"/>
      <c r="F118" s="85">
        <f t="shared" si="9"/>
        <v>0</v>
      </c>
      <c r="G118" s="428">
        <v>0</v>
      </c>
      <c r="H118" s="85"/>
      <c r="I118" s="428"/>
      <c r="J118" s="85"/>
      <c r="K118" s="85"/>
    </row>
    <row r="119" spans="1:11" s="285" customFormat="1" hidden="1" x14ac:dyDescent="0.25">
      <c r="A119" s="118">
        <v>22</v>
      </c>
      <c r="B119" s="151">
        <v>5755</v>
      </c>
      <c r="C119" s="94" t="s">
        <v>305</v>
      </c>
      <c r="D119" s="85"/>
      <c r="E119" s="85"/>
      <c r="F119" s="85">
        <f t="shared" si="9"/>
        <v>0</v>
      </c>
      <c r="G119" s="428">
        <v>0</v>
      </c>
      <c r="H119" s="85"/>
      <c r="I119" s="428"/>
      <c r="J119" s="85"/>
      <c r="K119" s="85"/>
    </row>
    <row r="120" spans="1:11" s="285" customFormat="1" ht="12" hidden="1" customHeight="1" x14ac:dyDescent="0.25">
      <c r="A120" s="118">
        <v>22</v>
      </c>
      <c r="B120" s="151">
        <v>5760</v>
      </c>
      <c r="C120" s="94" t="s">
        <v>306</v>
      </c>
      <c r="D120" s="85"/>
      <c r="E120" s="85"/>
      <c r="F120" s="85">
        <f t="shared" si="9"/>
        <v>0</v>
      </c>
      <c r="G120" s="428">
        <v>0</v>
      </c>
      <c r="H120" s="85"/>
      <c r="I120" s="428"/>
      <c r="J120" s="85"/>
      <c r="K120" s="85"/>
    </row>
    <row r="121" spans="1:11" s="285" customFormat="1" hidden="1" x14ac:dyDescent="0.25">
      <c r="A121" s="118">
        <v>22</v>
      </c>
      <c r="B121" s="151">
        <v>5765</v>
      </c>
      <c r="C121" s="94" t="s">
        <v>307</v>
      </c>
      <c r="D121" s="85"/>
      <c r="E121" s="85"/>
      <c r="F121" s="85">
        <f t="shared" si="9"/>
        <v>0</v>
      </c>
      <c r="G121" s="428">
        <v>0</v>
      </c>
      <c r="H121" s="85"/>
      <c r="I121" s="428"/>
      <c r="J121" s="85"/>
      <c r="K121" s="85"/>
    </row>
    <row r="122" spans="1:11" s="285" customFormat="1" hidden="1" x14ac:dyDescent="0.25">
      <c r="A122" s="118">
        <v>22</v>
      </c>
      <c r="B122" s="151">
        <v>5770</v>
      </c>
      <c r="C122" s="94" t="s">
        <v>308</v>
      </c>
      <c r="D122" s="85"/>
      <c r="E122" s="85"/>
      <c r="F122" s="85">
        <f t="shared" si="9"/>
        <v>0</v>
      </c>
      <c r="G122" s="428">
        <v>0</v>
      </c>
      <c r="H122" s="85"/>
      <c r="I122" s="428"/>
      <c r="J122" s="85"/>
      <c r="K122" s="85"/>
    </row>
    <row r="123" spans="1:11" s="285" customFormat="1" hidden="1" x14ac:dyDescent="0.25">
      <c r="A123" s="118">
        <v>22</v>
      </c>
      <c r="B123" s="151">
        <v>5775</v>
      </c>
      <c r="C123" s="94" t="s">
        <v>309</v>
      </c>
      <c r="D123" s="85"/>
      <c r="E123" s="85"/>
      <c r="F123" s="85">
        <f t="shared" si="9"/>
        <v>0</v>
      </c>
      <c r="G123" s="428">
        <v>0</v>
      </c>
      <c r="H123" s="85"/>
      <c r="I123" s="428"/>
      <c r="J123" s="85"/>
      <c r="K123" s="85"/>
    </row>
    <row r="124" spans="1:11" s="285" customFormat="1" hidden="1" x14ac:dyDescent="0.25">
      <c r="A124" s="118">
        <v>22</v>
      </c>
      <c r="B124" s="151">
        <v>5780</v>
      </c>
      <c r="C124" s="94" t="s">
        <v>310</v>
      </c>
      <c r="D124" s="85"/>
      <c r="E124" s="85"/>
      <c r="F124" s="85">
        <f t="shared" si="9"/>
        <v>0</v>
      </c>
      <c r="G124" s="428">
        <v>0</v>
      </c>
      <c r="H124" s="85"/>
      <c r="I124" s="428"/>
      <c r="J124" s="85"/>
      <c r="K124" s="85"/>
    </row>
    <row r="125" spans="1:11" s="285" customFormat="1" hidden="1" x14ac:dyDescent="0.25">
      <c r="A125" s="118">
        <v>22</v>
      </c>
      <c r="B125" s="151">
        <v>5785</v>
      </c>
      <c r="C125" s="94" t="s">
        <v>311</v>
      </c>
      <c r="D125" s="85"/>
      <c r="E125" s="85"/>
      <c r="F125" s="85">
        <f t="shared" si="9"/>
        <v>0</v>
      </c>
      <c r="G125" s="428">
        <v>0</v>
      </c>
      <c r="H125" s="85"/>
      <c r="I125" s="428"/>
      <c r="J125" s="85"/>
      <c r="K125" s="85"/>
    </row>
    <row r="126" spans="1:11" s="285" customFormat="1" hidden="1" x14ac:dyDescent="0.25">
      <c r="A126" s="118">
        <v>22</v>
      </c>
      <c r="B126" s="151">
        <v>5790</v>
      </c>
      <c r="C126" s="94" t="s">
        <v>312</v>
      </c>
      <c r="D126" s="85"/>
      <c r="E126" s="85"/>
      <c r="F126" s="85">
        <f t="shared" si="9"/>
        <v>0</v>
      </c>
      <c r="G126" s="428">
        <v>0</v>
      </c>
      <c r="H126" s="85"/>
      <c r="I126" s="428"/>
      <c r="J126" s="85"/>
      <c r="K126" s="85"/>
    </row>
    <row r="127" spans="1:11" s="285" customFormat="1" hidden="1" x14ac:dyDescent="0.25">
      <c r="A127" s="118">
        <v>22</v>
      </c>
      <c r="B127" s="151">
        <v>5795</v>
      </c>
      <c r="C127" s="94" t="s">
        <v>313</v>
      </c>
      <c r="D127" s="85"/>
      <c r="E127" s="85"/>
      <c r="F127" s="85">
        <f t="shared" si="9"/>
        <v>0</v>
      </c>
      <c r="G127" s="428">
        <v>0</v>
      </c>
      <c r="H127" s="85"/>
      <c r="I127" s="428"/>
      <c r="J127" s="85"/>
      <c r="K127" s="85"/>
    </row>
    <row r="128" spans="1:11" s="285" customFormat="1" hidden="1" x14ac:dyDescent="0.25">
      <c r="A128" s="118">
        <v>22</v>
      </c>
      <c r="B128" s="151">
        <v>5800</v>
      </c>
      <c r="C128" s="94" t="s">
        <v>314</v>
      </c>
      <c r="D128" s="85"/>
      <c r="E128" s="85"/>
      <c r="F128" s="85">
        <f t="shared" si="9"/>
        <v>0</v>
      </c>
      <c r="G128" s="428">
        <v>0</v>
      </c>
      <c r="H128" s="85"/>
      <c r="I128" s="428"/>
      <c r="J128" s="85"/>
      <c r="K128" s="85"/>
    </row>
    <row r="129" spans="1:11" s="285" customFormat="1" hidden="1" x14ac:dyDescent="0.25">
      <c r="A129" s="118">
        <v>22</v>
      </c>
      <c r="B129" s="151">
        <v>5805</v>
      </c>
      <c r="C129" s="94" t="s">
        <v>315</v>
      </c>
      <c r="D129" s="85"/>
      <c r="E129" s="85"/>
      <c r="F129" s="85">
        <f t="shared" si="9"/>
        <v>0</v>
      </c>
      <c r="G129" s="428">
        <v>0</v>
      </c>
      <c r="H129" s="85"/>
      <c r="I129" s="428"/>
      <c r="J129" s="85"/>
      <c r="K129" s="85"/>
    </row>
    <row r="130" spans="1:11" s="285" customFormat="1" hidden="1" x14ac:dyDescent="0.25">
      <c r="A130" s="118">
        <v>22</v>
      </c>
      <c r="B130" s="151">
        <v>5810</v>
      </c>
      <c r="C130" s="94" t="s">
        <v>316</v>
      </c>
      <c r="D130" s="85"/>
      <c r="E130" s="85"/>
      <c r="F130" s="85">
        <f t="shared" si="9"/>
        <v>0</v>
      </c>
      <c r="G130" s="428">
        <v>0</v>
      </c>
      <c r="H130" s="85"/>
      <c r="I130" s="428"/>
      <c r="J130" s="85"/>
      <c r="K130" s="85"/>
    </row>
    <row r="131" spans="1:11" s="285" customFormat="1" hidden="1" x14ac:dyDescent="0.25">
      <c r="A131" s="118">
        <v>22</v>
      </c>
      <c r="B131" s="151">
        <v>5815</v>
      </c>
      <c r="C131" s="94" t="s">
        <v>99</v>
      </c>
      <c r="D131" s="85"/>
      <c r="E131" s="85"/>
      <c r="F131" s="85">
        <f t="shared" si="9"/>
        <v>0</v>
      </c>
      <c r="G131" s="428">
        <v>0</v>
      </c>
      <c r="H131" s="85"/>
      <c r="I131" s="428"/>
      <c r="J131" s="85"/>
      <c r="K131" s="85"/>
    </row>
    <row r="132" spans="1:11" s="285" customFormat="1" hidden="1" x14ac:dyDescent="0.25">
      <c r="A132" s="118">
        <v>22</v>
      </c>
      <c r="B132" s="151">
        <v>5820</v>
      </c>
      <c r="C132" s="94" t="s">
        <v>114</v>
      </c>
      <c r="D132" s="86"/>
      <c r="E132" s="85"/>
      <c r="F132" s="85">
        <f t="shared" si="9"/>
        <v>0</v>
      </c>
      <c r="G132" s="428">
        <v>0</v>
      </c>
      <c r="H132" s="85"/>
      <c r="I132" s="428"/>
      <c r="J132" s="85"/>
      <c r="K132" s="85"/>
    </row>
    <row r="133" spans="1:11" s="285" customFormat="1" hidden="1" x14ac:dyDescent="0.25">
      <c r="A133" s="118">
        <v>22</v>
      </c>
      <c r="B133" s="151">
        <v>5825</v>
      </c>
      <c r="C133" s="94" t="s">
        <v>317</v>
      </c>
      <c r="D133" s="86"/>
      <c r="E133" s="85"/>
      <c r="F133" s="85">
        <f t="shared" si="9"/>
        <v>0</v>
      </c>
      <c r="G133" s="428">
        <v>0</v>
      </c>
      <c r="H133" s="85"/>
      <c r="I133" s="428"/>
      <c r="J133" s="85"/>
      <c r="K133" s="85"/>
    </row>
    <row r="134" spans="1:11" s="285" customFormat="1" hidden="1" x14ac:dyDescent="0.25">
      <c r="A134" s="118">
        <v>22</v>
      </c>
      <c r="B134" s="151">
        <v>5830</v>
      </c>
      <c r="C134" s="94" t="s">
        <v>318</v>
      </c>
      <c r="D134" s="86"/>
      <c r="E134" s="85"/>
      <c r="F134" s="85">
        <f t="shared" si="9"/>
        <v>0</v>
      </c>
      <c r="G134" s="428">
        <v>0</v>
      </c>
      <c r="H134" s="85"/>
      <c r="I134" s="428"/>
      <c r="J134" s="85"/>
      <c r="K134" s="85"/>
    </row>
    <row r="135" spans="1:11" s="285" customFormat="1" hidden="1" x14ac:dyDescent="0.25">
      <c r="A135" s="118">
        <v>22</v>
      </c>
      <c r="B135" s="151">
        <v>5835</v>
      </c>
      <c r="C135" s="94" t="s">
        <v>319</v>
      </c>
      <c r="D135" s="86"/>
      <c r="E135" s="85"/>
      <c r="F135" s="85">
        <f t="shared" si="9"/>
        <v>0</v>
      </c>
      <c r="G135" s="428">
        <v>0</v>
      </c>
      <c r="H135" s="85"/>
      <c r="I135" s="428"/>
      <c r="J135" s="85"/>
      <c r="K135" s="85"/>
    </row>
    <row r="136" spans="1:11" s="285" customFormat="1" hidden="1" x14ac:dyDescent="0.25">
      <c r="A136" s="118">
        <v>22</v>
      </c>
      <c r="B136" s="151">
        <v>5840</v>
      </c>
      <c r="C136" s="94" t="s">
        <v>332</v>
      </c>
      <c r="D136" s="115"/>
      <c r="E136" s="85"/>
      <c r="F136" s="85">
        <f t="shared" si="9"/>
        <v>0</v>
      </c>
      <c r="G136" s="428">
        <v>0</v>
      </c>
      <c r="H136" s="85"/>
      <c r="I136" s="428"/>
      <c r="J136" s="85"/>
      <c r="K136" s="85"/>
    </row>
    <row r="137" spans="1:11" s="285" customFormat="1" hidden="1" x14ac:dyDescent="0.25">
      <c r="A137" s="118">
        <v>22</v>
      </c>
      <c r="B137" s="151">
        <v>5845</v>
      </c>
      <c r="C137" s="94" t="s">
        <v>320</v>
      </c>
      <c r="D137" s="86"/>
      <c r="E137" s="85"/>
      <c r="F137" s="85">
        <f t="shared" si="9"/>
        <v>0</v>
      </c>
      <c r="G137" s="428">
        <v>0</v>
      </c>
      <c r="H137" s="85"/>
      <c r="I137" s="428"/>
      <c r="J137" s="85"/>
      <c r="K137" s="85"/>
    </row>
    <row r="138" spans="1:11" s="285" customFormat="1" hidden="1" x14ac:dyDescent="0.25">
      <c r="A138" s="118">
        <v>22</v>
      </c>
      <c r="B138" s="151">
        <v>5855</v>
      </c>
      <c r="C138" s="94" t="s">
        <v>321</v>
      </c>
      <c r="D138" s="85"/>
      <c r="E138" s="85"/>
      <c r="F138" s="85">
        <f t="shared" si="9"/>
        <v>0</v>
      </c>
      <c r="G138" s="428">
        <v>0</v>
      </c>
      <c r="H138" s="85"/>
      <c r="I138" s="428"/>
      <c r="J138" s="85"/>
      <c r="K138" s="85"/>
    </row>
    <row r="139" spans="1:11" s="285" customFormat="1" hidden="1" x14ac:dyDescent="0.25">
      <c r="A139" s="118">
        <v>22</v>
      </c>
      <c r="B139" s="151">
        <v>5860</v>
      </c>
      <c r="C139" s="94" t="s">
        <v>322</v>
      </c>
      <c r="D139" s="85"/>
      <c r="E139" s="85"/>
      <c r="F139" s="85">
        <f t="shared" si="9"/>
        <v>0</v>
      </c>
      <c r="G139" s="428">
        <v>0</v>
      </c>
      <c r="H139" s="85"/>
      <c r="I139" s="428"/>
      <c r="J139" s="85"/>
      <c r="K139" s="85"/>
    </row>
    <row r="140" spans="1:11" s="285" customFormat="1" hidden="1" x14ac:dyDescent="0.25">
      <c r="A140" s="118">
        <v>22</v>
      </c>
      <c r="B140" s="151">
        <v>5865</v>
      </c>
      <c r="C140" s="94" t="s">
        <v>323</v>
      </c>
      <c r="D140" s="85"/>
      <c r="E140" s="85"/>
      <c r="F140" s="85">
        <f t="shared" si="9"/>
        <v>0</v>
      </c>
      <c r="G140" s="428">
        <v>0</v>
      </c>
      <c r="H140" s="85"/>
      <c r="I140" s="428"/>
      <c r="J140" s="85"/>
      <c r="K140" s="85"/>
    </row>
    <row r="141" spans="1:11" s="285" customFormat="1" hidden="1" x14ac:dyDescent="0.25">
      <c r="A141" s="118">
        <v>22</v>
      </c>
      <c r="B141" s="151">
        <v>5870</v>
      </c>
      <c r="C141" s="94" t="s">
        <v>324</v>
      </c>
      <c r="D141" s="85"/>
      <c r="E141" s="85"/>
      <c r="F141" s="85">
        <f t="shared" si="9"/>
        <v>0</v>
      </c>
      <c r="G141" s="428">
        <v>0</v>
      </c>
      <c r="H141" s="85"/>
      <c r="I141" s="428"/>
      <c r="J141" s="85"/>
      <c r="K141" s="85"/>
    </row>
    <row r="142" spans="1:11" s="285" customFormat="1" hidden="1" x14ac:dyDescent="0.25">
      <c r="A142" s="118">
        <v>22</v>
      </c>
      <c r="B142" s="151">
        <v>5875</v>
      </c>
      <c r="C142" s="94" t="s">
        <v>325</v>
      </c>
      <c r="D142" s="85"/>
      <c r="E142" s="85"/>
      <c r="F142" s="85">
        <f t="shared" si="9"/>
        <v>0</v>
      </c>
      <c r="G142" s="428">
        <v>0</v>
      </c>
      <c r="H142" s="85"/>
      <c r="I142" s="428"/>
      <c r="J142" s="85"/>
      <c r="K142" s="85"/>
    </row>
    <row r="143" spans="1:11" s="285" customFormat="1" hidden="1" x14ac:dyDescent="0.25">
      <c r="A143" s="118">
        <v>22</v>
      </c>
      <c r="B143" s="151">
        <v>5880</v>
      </c>
      <c r="C143" s="94" t="s">
        <v>326</v>
      </c>
      <c r="D143" s="85"/>
      <c r="E143" s="85"/>
      <c r="F143" s="85">
        <f t="shared" si="9"/>
        <v>0</v>
      </c>
      <c r="G143" s="428">
        <v>0</v>
      </c>
      <c r="H143" s="85"/>
      <c r="I143" s="428"/>
      <c r="J143" s="85"/>
      <c r="K143" s="85"/>
    </row>
    <row r="144" spans="1:11" s="285" customFormat="1" hidden="1" x14ac:dyDescent="0.25">
      <c r="A144" s="118">
        <v>22</v>
      </c>
      <c r="B144" s="151">
        <v>5885</v>
      </c>
      <c r="C144" s="94" t="s">
        <v>331</v>
      </c>
      <c r="D144" s="85"/>
      <c r="E144" s="85"/>
      <c r="F144" s="85">
        <f t="shared" si="9"/>
        <v>0</v>
      </c>
      <c r="G144" s="428">
        <v>0</v>
      </c>
      <c r="H144" s="85"/>
      <c r="I144" s="428"/>
      <c r="J144" s="85"/>
      <c r="K144" s="85"/>
    </row>
    <row r="145" spans="1:11" s="285" customFormat="1" hidden="1" x14ac:dyDescent="0.25">
      <c r="A145" s="118">
        <v>22</v>
      </c>
      <c r="B145" s="151">
        <v>5890</v>
      </c>
      <c r="C145" s="94" t="s">
        <v>327</v>
      </c>
      <c r="D145" s="85"/>
      <c r="E145" s="85"/>
      <c r="F145" s="85">
        <f t="shared" si="9"/>
        <v>0</v>
      </c>
      <c r="G145" s="428">
        <v>0</v>
      </c>
      <c r="H145" s="85"/>
      <c r="I145" s="428"/>
      <c r="J145" s="85"/>
      <c r="K145" s="85"/>
    </row>
    <row r="146" spans="1:11" s="285" customFormat="1" hidden="1" x14ac:dyDescent="0.25">
      <c r="A146" s="118">
        <v>22</v>
      </c>
      <c r="B146" s="151">
        <v>5895</v>
      </c>
      <c r="C146" s="94" t="s">
        <v>408</v>
      </c>
      <c r="D146" s="85"/>
      <c r="E146" s="85">
        <v>2100000</v>
      </c>
      <c r="F146" s="85">
        <v>2100000</v>
      </c>
      <c r="G146" s="428">
        <v>2100000</v>
      </c>
      <c r="H146" s="85">
        <v>300000</v>
      </c>
      <c r="I146" s="428"/>
      <c r="J146" s="85"/>
      <c r="K146" s="85"/>
    </row>
    <row r="147" spans="1:11" s="285" customFormat="1" hidden="1" x14ac:dyDescent="0.25">
      <c r="A147" s="118">
        <v>22</v>
      </c>
      <c r="B147" s="151">
        <v>5910</v>
      </c>
      <c r="C147" s="94" t="s">
        <v>330</v>
      </c>
      <c r="D147" s="85"/>
      <c r="E147" s="85"/>
      <c r="F147" s="85">
        <f>0/8*12</f>
        <v>0</v>
      </c>
      <c r="G147" s="428">
        <v>0</v>
      </c>
      <c r="H147" s="85"/>
      <c r="I147" s="428"/>
      <c r="J147" s="85"/>
      <c r="K147" s="85"/>
    </row>
    <row r="148" spans="1:11" s="285" customFormat="1" x14ac:dyDescent="0.25">
      <c r="A148" s="344"/>
      <c r="B148" s="151"/>
      <c r="C148" s="94"/>
      <c r="D148" s="429">
        <f>SUM(D72:D147)</f>
        <v>0</v>
      </c>
      <c r="E148" s="89">
        <f>SUM(E72:E147)</f>
        <v>2100000</v>
      </c>
      <c r="F148" s="89">
        <f>SUM(F72:F147)</f>
        <v>2100000</v>
      </c>
      <c r="G148" s="429">
        <f>SUM(G72:G147)</f>
        <v>2100000</v>
      </c>
      <c r="H148" s="89">
        <f>SUM(H72:H147)</f>
        <v>300000</v>
      </c>
      <c r="I148" s="429"/>
      <c r="J148" s="89"/>
      <c r="K148" s="89"/>
    </row>
    <row r="149" spans="1:11" s="285" customFormat="1" hidden="1" x14ac:dyDescent="0.25">
      <c r="A149" s="344"/>
      <c r="B149" s="151"/>
      <c r="C149" s="93" t="s">
        <v>187</v>
      </c>
      <c r="D149" s="85"/>
      <c r="E149" s="108"/>
      <c r="F149" s="108"/>
      <c r="G149" s="425"/>
      <c r="H149" s="108"/>
      <c r="I149" s="425"/>
      <c r="J149" s="108"/>
      <c r="K149" s="108"/>
    </row>
    <row r="150" spans="1:11" s="285" customFormat="1" hidden="1" x14ac:dyDescent="0.25">
      <c r="A150" s="118">
        <v>22</v>
      </c>
      <c r="B150" s="151">
        <v>6005</v>
      </c>
      <c r="C150" s="94" t="s">
        <v>188</v>
      </c>
      <c r="D150" s="85">
        <v>0</v>
      </c>
      <c r="E150" s="108"/>
      <c r="F150" s="85">
        <f>0/8*12</f>
        <v>0</v>
      </c>
      <c r="G150" s="428"/>
      <c r="H150" s="85"/>
      <c r="I150" s="428"/>
      <c r="J150" s="85"/>
      <c r="K150" s="428"/>
    </row>
    <row r="151" spans="1:11" s="285" customFormat="1" hidden="1" x14ac:dyDescent="0.25">
      <c r="A151" s="344"/>
      <c r="B151" s="151"/>
      <c r="C151" s="94"/>
      <c r="D151" s="89">
        <v>0</v>
      </c>
      <c r="E151" s="89">
        <f>SUM(E150)</f>
        <v>0</v>
      </c>
      <c r="F151" s="89">
        <f>SUM(F150)</f>
        <v>0</v>
      </c>
      <c r="G151" s="429"/>
      <c r="H151" s="89"/>
      <c r="I151" s="429"/>
      <c r="J151" s="89"/>
      <c r="K151" s="89"/>
    </row>
    <row r="152" spans="1:11" s="285" customFormat="1" hidden="1" x14ac:dyDescent="0.25">
      <c r="A152" s="344"/>
      <c r="B152" s="151"/>
      <c r="C152" s="93" t="s">
        <v>64</v>
      </c>
      <c r="D152" s="88"/>
      <c r="E152" s="113"/>
      <c r="F152" s="113"/>
      <c r="G152" s="113"/>
      <c r="H152" s="113"/>
      <c r="I152" s="113"/>
      <c r="J152" s="113"/>
      <c r="K152" s="113"/>
    </row>
    <row r="153" spans="1:11" s="285" customFormat="1" hidden="1" x14ac:dyDescent="0.25">
      <c r="A153" s="118">
        <v>22</v>
      </c>
      <c r="B153" s="151">
        <v>6105</v>
      </c>
      <c r="C153" s="94" t="s">
        <v>336</v>
      </c>
      <c r="D153" s="85">
        <v>0</v>
      </c>
      <c r="E153" s="428">
        <f t="shared" ref="E153:H155" si="10">0/8*12</f>
        <v>0</v>
      </c>
      <c r="F153" s="85">
        <f t="shared" si="10"/>
        <v>0</v>
      </c>
      <c r="G153" s="428">
        <f t="shared" si="10"/>
        <v>0</v>
      </c>
      <c r="H153" s="428">
        <f t="shared" si="10"/>
        <v>0</v>
      </c>
      <c r="I153" s="428"/>
      <c r="J153" s="85"/>
      <c r="K153" s="428"/>
    </row>
    <row r="154" spans="1:11" s="285" customFormat="1" hidden="1" x14ac:dyDescent="0.25">
      <c r="A154" s="118">
        <v>22</v>
      </c>
      <c r="B154" s="151">
        <v>6110</v>
      </c>
      <c r="C154" s="94" t="s">
        <v>337</v>
      </c>
      <c r="D154" s="85">
        <v>0</v>
      </c>
      <c r="E154" s="428">
        <f t="shared" si="10"/>
        <v>0</v>
      </c>
      <c r="F154" s="85">
        <f t="shared" si="10"/>
        <v>0</v>
      </c>
      <c r="G154" s="428">
        <f t="shared" si="10"/>
        <v>0</v>
      </c>
      <c r="H154" s="428">
        <f t="shared" si="10"/>
        <v>0</v>
      </c>
      <c r="I154" s="428"/>
      <c r="J154" s="85"/>
      <c r="K154" s="428"/>
    </row>
    <row r="155" spans="1:11" s="285" customFormat="1" hidden="1" x14ac:dyDescent="0.25">
      <c r="A155" s="118">
        <v>22</v>
      </c>
      <c r="B155" s="151">
        <v>6115</v>
      </c>
      <c r="C155" s="94" t="s">
        <v>60</v>
      </c>
      <c r="D155" s="85">
        <v>0</v>
      </c>
      <c r="E155" s="428">
        <f t="shared" si="10"/>
        <v>0</v>
      </c>
      <c r="F155" s="85">
        <f t="shared" si="10"/>
        <v>0</v>
      </c>
      <c r="G155" s="428">
        <f t="shared" si="10"/>
        <v>0</v>
      </c>
      <c r="H155" s="428">
        <f t="shared" si="10"/>
        <v>0</v>
      </c>
      <c r="I155" s="428"/>
      <c r="J155" s="85"/>
      <c r="K155" s="428"/>
    </row>
    <row r="156" spans="1:11" s="285" customFormat="1" hidden="1" x14ac:dyDescent="0.25">
      <c r="A156" s="344"/>
      <c r="B156" s="151"/>
      <c r="C156" s="94"/>
      <c r="D156" s="429">
        <f>SUM(D153:D155)</f>
        <v>0</v>
      </c>
      <c r="E156" s="89">
        <f>SUM(E153:E155)</f>
        <v>0</v>
      </c>
      <c r="F156" s="89">
        <f>SUM(F153:F155)</f>
        <v>0</v>
      </c>
      <c r="G156" s="429">
        <f>SUM(G153:G155)</f>
        <v>0</v>
      </c>
      <c r="H156" s="89"/>
      <c r="I156" s="429"/>
      <c r="J156" s="89"/>
      <c r="K156" s="89"/>
    </row>
    <row r="157" spans="1:11" s="285" customFormat="1" hidden="1" x14ac:dyDescent="0.25">
      <c r="A157" s="344"/>
      <c r="B157" s="151"/>
      <c r="C157" s="184" t="s">
        <v>65</v>
      </c>
      <c r="D157" s="88"/>
      <c r="E157" s="113"/>
      <c r="F157" s="113"/>
      <c r="G157" s="113"/>
      <c r="H157" s="113"/>
      <c r="I157" s="113"/>
      <c r="J157" s="113"/>
      <c r="K157" s="113"/>
    </row>
    <row r="158" spans="1:11" s="285" customFormat="1" hidden="1" x14ac:dyDescent="0.25">
      <c r="A158" s="118">
        <v>22</v>
      </c>
      <c r="B158" s="151">
        <v>6205</v>
      </c>
      <c r="C158" s="94" t="s">
        <v>338</v>
      </c>
      <c r="D158" s="85">
        <v>0</v>
      </c>
      <c r="E158" s="108"/>
      <c r="F158" s="85">
        <f>0/8*12</f>
        <v>0</v>
      </c>
      <c r="G158" s="428"/>
      <c r="H158" s="85"/>
      <c r="I158" s="428"/>
      <c r="J158" s="85"/>
      <c r="K158" s="85"/>
    </row>
    <row r="159" spans="1:11" s="285" customFormat="1" hidden="1" x14ac:dyDescent="0.25">
      <c r="A159" s="118">
        <v>22</v>
      </c>
      <c r="B159" s="151">
        <v>6210</v>
      </c>
      <c r="C159" s="94" t="s">
        <v>339</v>
      </c>
      <c r="D159" s="85">
        <v>0</v>
      </c>
      <c r="E159" s="85"/>
      <c r="F159" s="85">
        <f>0/8*12</f>
        <v>0</v>
      </c>
      <c r="G159" s="428"/>
      <c r="H159" s="85"/>
      <c r="I159" s="428"/>
      <c r="J159" s="85"/>
      <c r="K159" s="85"/>
    </row>
    <row r="160" spans="1:11" s="285" customFormat="1" hidden="1" x14ac:dyDescent="0.25">
      <c r="A160" s="344"/>
      <c r="B160" s="346"/>
      <c r="C160" s="347"/>
      <c r="D160" s="116">
        <v>0</v>
      </c>
      <c r="E160" s="116">
        <f>SUM(E158:E159)</f>
        <v>0</v>
      </c>
      <c r="F160" s="116">
        <f>SUM(F158:F159)</f>
        <v>0</v>
      </c>
      <c r="G160" s="441">
        <f>SUM(G158:G159)</f>
        <v>0</v>
      </c>
      <c r="H160" s="441">
        <f>SUM(H158:H159)</f>
        <v>0</v>
      </c>
      <c r="I160" s="441"/>
      <c r="J160" s="441"/>
      <c r="K160" s="441"/>
    </row>
    <row r="161" spans="1:11" s="285" customFormat="1" x14ac:dyDescent="0.25">
      <c r="A161" s="344"/>
      <c r="B161" s="346"/>
      <c r="C161" s="93" t="s">
        <v>189</v>
      </c>
      <c r="D161" s="441">
        <f t="shared" ref="D161:K161" si="11">D160+D156+D151+D148+D70+D66+D63+D59+D38+D35+D32+D29+D25+D18</f>
        <v>4371462.13</v>
      </c>
      <c r="E161" s="116">
        <f t="shared" si="11"/>
        <v>6471462.1299999999</v>
      </c>
      <c r="F161" s="116">
        <f t="shared" si="11"/>
        <v>6471462.1299999999</v>
      </c>
      <c r="G161" s="441">
        <f t="shared" si="11"/>
        <v>6471462.1299999999</v>
      </c>
      <c r="H161" s="116">
        <f t="shared" si="11"/>
        <v>1388608</v>
      </c>
      <c r="I161" s="441">
        <f t="shared" si="11"/>
        <v>3989960</v>
      </c>
      <c r="J161" s="441">
        <f t="shared" si="11"/>
        <v>4209407.8</v>
      </c>
      <c r="K161" s="441">
        <f t="shared" si="11"/>
        <v>4432506.4134</v>
      </c>
    </row>
    <row r="162" spans="1:11" s="285" customFormat="1" x14ac:dyDescent="0.25">
      <c r="A162" s="344"/>
      <c r="B162" s="151"/>
      <c r="C162" s="93" t="s">
        <v>258</v>
      </c>
      <c r="D162" s="117"/>
      <c r="E162" s="117"/>
      <c r="F162" s="117"/>
      <c r="G162" s="442"/>
      <c r="H162" s="117"/>
      <c r="I162" s="442"/>
      <c r="J162" s="117"/>
      <c r="K162" s="117"/>
    </row>
    <row r="163" spans="1:11" s="285" customFormat="1" x14ac:dyDescent="0.25">
      <c r="A163" s="118">
        <v>22</v>
      </c>
      <c r="B163" s="151">
        <v>6305</v>
      </c>
      <c r="C163" s="94" t="s">
        <v>190</v>
      </c>
      <c r="D163" s="85">
        <v>0</v>
      </c>
      <c r="E163" s="85"/>
      <c r="F163" s="85">
        <f>0/8*12</f>
        <v>0</v>
      </c>
      <c r="G163" s="428"/>
      <c r="H163" s="85"/>
      <c r="I163" s="428"/>
      <c r="J163" s="85"/>
      <c r="K163" s="85"/>
    </row>
    <row r="164" spans="1:11" s="285" customFormat="1" ht="14.25" hidden="1" customHeight="1" x14ac:dyDescent="0.25">
      <c r="A164" s="344"/>
      <c r="B164" s="151"/>
      <c r="C164" s="94"/>
      <c r="D164" s="116">
        <v>0</v>
      </c>
      <c r="E164" s="116">
        <f>E163</f>
        <v>0</v>
      </c>
      <c r="F164" s="116">
        <f>F163</f>
        <v>0</v>
      </c>
      <c r="G164" s="441"/>
      <c r="H164" s="116"/>
      <c r="I164" s="441"/>
      <c r="J164" s="116"/>
      <c r="K164" s="116"/>
    </row>
    <row r="165" spans="1:11" s="285" customFormat="1" x14ac:dyDescent="0.25">
      <c r="A165" s="348"/>
      <c r="B165" s="152"/>
      <c r="C165" s="119" t="s">
        <v>191</v>
      </c>
      <c r="D165" s="448">
        <f t="shared" ref="D165:K165" si="12">SUM(D161+D164)</f>
        <v>4371462.13</v>
      </c>
      <c r="E165" s="160">
        <f t="shared" si="12"/>
        <v>6471462.1299999999</v>
      </c>
      <c r="F165" s="160">
        <f t="shared" si="12"/>
        <v>6471462.1299999999</v>
      </c>
      <c r="G165" s="448">
        <f t="shared" si="12"/>
        <v>6471462.1299999999</v>
      </c>
      <c r="H165" s="160">
        <f t="shared" si="12"/>
        <v>1388608</v>
      </c>
      <c r="I165" s="448">
        <f t="shared" si="12"/>
        <v>3989960</v>
      </c>
      <c r="J165" s="448">
        <f t="shared" si="12"/>
        <v>4209407.8</v>
      </c>
      <c r="K165" s="448">
        <f t="shared" si="12"/>
        <v>4432506.4134</v>
      </c>
    </row>
    <row r="166" spans="1:11" s="285" customFormat="1" x14ac:dyDescent="0.25">
      <c r="A166" s="344"/>
      <c r="B166" s="130"/>
      <c r="C166" s="115"/>
      <c r="D166" s="111"/>
      <c r="E166" s="120"/>
      <c r="F166" s="120"/>
      <c r="G166" s="120"/>
      <c r="H166" s="120"/>
      <c r="I166" s="120"/>
      <c r="J166" s="120"/>
      <c r="K166" s="120"/>
    </row>
    <row r="167" spans="1:11" s="285" customFormat="1" x14ac:dyDescent="0.25">
      <c r="A167" s="344"/>
      <c r="B167" s="130"/>
      <c r="C167" s="115"/>
      <c r="D167" s="111"/>
      <c r="E167" s="111"/>
      <c r="F167" s="111"/>
      <c r="G167" s="111"/>
      <c r="H167" s="111"/>
      <c r="I167" s="111"/>
      <c r="J167" s="111"/>
      <c r="K167" s="111"/>
    </row>
    <row r="168" spans="1:11" s="285" customFormat="1" x14ac:dyDescent="0.25">
      <c r="A168" s="349"/>
      <c r="B168" s="546" t="s">
        <v>543</v>
      </c>
      <c r="C168" s="546"/>
      <c r="D168" s="547"/>
      <c r="E168" s="338"/>
      <c r="F168" s="338"/>
      <c r="G168" s="563"/>
      <c r="H168" s="421"/>
      <c r="I168" s="581"/>
      <c r="J168" s="338"/>
      <c r="K168" s="338"/>
    </row>
    <row r="169" spans="1:11" s="285" customFormat="1" x14ac:dyDescent="0.25">
      <c r="A169" s="944" t="s">
        <v>21</v>
      </c>
      <c r="B169" s="945"/>
      <c r="C169" s="150" t="s">
        <v>22</v>
      </c>
      <c r="D169" s="103" t="s">
        <v>878</v>
      </c>
      <c r="E169" s="104" t="s">
        <v>24</v>
      </c>
      <c r="F169" s="103" t="s">
        <v>535</v>
      </c>
      <c r="G169" s="103" t="s">
        <v>413</v>
      </c>
      <c r="H169" s="104" t="s">
        <v>24</v>
      </c>
      <c r="I169" s="583" t="s">
        <v>24</v>
      </c>
      <c r="J169" s="583" t="s">
        <v>24</v>
      </c>
      <c r="K169" s="583" t="s">
        <v>24</v>
      </c>
    </row>
    <row r="170" spans="1:11" s="285" customFormat="1" x14ac:dyDescent="0.25">
      <c r="A170" s="946"/>
      <c r="B170" s="947"/>
      <c r="C170" s="106"/>
      <c r="D170" s="333" t="s">
        <v>257</v>
      </c>
      <c r="E170" s="107" t="s">
        <v>382</v>
      </c>
      <c r="F170" s="107" t="s">
        <v>382</v>
      </c>
      <c r="G170" s="107" t="s">
        <v>382</v>
      </c>
      <c r="H170" s="107" t="s">
        <v>407</v>
      </c>
      <c r="I170" s="586" t="s">
        <v>414</v>
      </c>
      <c r="J170" s="586" t="s">
        <v>530</v>
      </c>
      <c r="K170" s="586" t="s">
        <v>886</v>
      </c>
    </row>
    <row r="171" spans="1:11" s="285" customFormat="1" x14ac:dyDescent="0.25">
      <c r="A171" s="350"/>
      <c r="B171" s="153"/>
      <c r="C171" s="93" t="s">
        <v>98</v>
      </c>
      <c r="D171" s="122"/>
      <c r="E171" s="98"/>
      <c r="F171" s="98"/>
      <c r="G171" s="435"/>
      <c r="H171" s="98"/>
      <c r="I171" s="435"/>
      <c r="J171" s="98"/>
      <c r="K171" s="98"/>
    </row>
    <row r="172" spans="1:11" s="285" customFormat="1" x14ac:dyDescent="0.25">
      <c r="A172" s="118">
        <v>22</v>
      </c>
      <c r="B172" s="151">
        <v>1237</v>
      </c>
      <c r="C172" s="94" t="s">
        <v>99</v>
      </c>
      <c r="D172" s="122">
        <v>14744476.380000001</v>
      </c>
      <c r="E172" s="108">
        <v>15629144.962800002</v>
      </c>
      <c r="F172" s="85">
        <v>19629144.962800004</v>
      </c>
      <c r="G172" s="428">
        <v>19629144.962800004</v>
      </c>
      <c r="H172" s="85">
        <f>(F172*0.1)+F172</f>
        <v>21592059.459080003</v>
      </c>
      <c r="I172" s="428">
        <f>13613449*1.71428571428571*1.058</f>
        <v>24690906.929142799</v>
      </c>
      <c r="J172" s="85">
        <f>+I172*1.055</f>
        <v>26048906.810245652</v>
      </c>
      <c r="K172" s="85">
        <f>+J172*1.053</f>
        <v>27429498.87118867</v>
      </c>
    </row>
    <row r="173" spans="1:11" s="285" customFormat="1" x14ac:dyDescent="0.25">
      <c r="A173" s="118">
        <v>22</v>
      </c>
      <c r="B173" s="151">
        <v>5725</v>
      </c>
      <c r="C173" s="94" t="s">
        <v>400</v>
      </c>
      <c r="D173" s="85">
        <v>-4385560.8840000005</v>
      </c>
      <c r="E173" s="85">
        <v>-4648694.5370400008</v>
      </c>
      <c r="F173" s="85">
        <v>-3348694.5370400008</v>
      </c>
      <c r="G173" s="428">
        <v>-3348694.5370400008</v>
      </c>
      <c r="H173" s="85">
        <f>(F173*0.1)+F173</f>
        <v>-3683563.9907440008</v>
      </c>
      <c r="I173" s="428">
        <v>-858900</v>
      </c>
      <c r="J173" s="428">
        <f>+I173*1.055</f>
        <v>-906139.5</v>
      </c>
      <c r="K173" s="428">
        <f>+J173*1.053</f>
        <v>-954164.89349999989</v>
      </c>
    </row>
    <row r="174" spans="1:11" s="285" customFormat="1" x14ac:dyDescent="0.25">
      <c r="A174" s="344"/>
      <c r="B174" s="151"/>
      <c r="C174" s="94"/>
      <c r="D174" s="436">
        <f t="shared" ref="D174:K174" si="13">SUM(D172:D173)</f>
        <v>10358915.495999999</v>
      </c>
      <c r="E174" s="99">
        <f t="shared" si="13"/>
        <v>10980450.425760001</v>
      </c>
      <c r="F174" s="99">
        <f t="shared" si="13"/>
        <v>16280450.425760003</v>
      </c>
      <c r="G174" s="436">
        <f t="shared" si="13"/>
        <v>16280450.425760003</v>
      </c>
      <c r="H174" s="99">
        <f t="shared" si="13"/>
        <v>17908495.468336001</v>
      </c>
      <c r="I174" s="436">
        <f t="shared" si="13"/>
        <v>23832006.929142799</v>
      </c>
      <c r="J174" s="436">
        <f t="shared" si="13"/>
        <v>25142767.310245652</v>
      </c>
      <c r="K174" s="436">
        <f t="shared" si="13"/>
        <v>26475333.97768867</v>
      </c>
    </row>
    <row r="175" spans="1:11" s="285" customFormat="1" x14ac:dyDescent="0.25">
      <c r="A175" s="344"/>
      <c r="B175" s="151"/>
      <c r="C175" s="93" t="s">
        <v>100</v>
      </c>
      <c r="D175" s="122"/>
      <c r="E175" s="98"/>
      <c r="F175" s="98"/>
      <c r="G175" s="435"/>
      <c r="H175" s="98"/>
      <c r="I175" s="435"/>
      <c r="J175" s="435"/>
      <c r="K175" s="435"/>
    </row>
    <row r="176" spans="1:11" s="285" customFormat="1" x14ac:dyDescent="0.25">
      <c r="A176" s="118">
        <v>22</v>
      </c>
      <c r="B176" s="151">
        <v>1147</v>
      </c>
      <c r="C176" s="94" t="s">
        <v>102</v>
      </c>
      <c r="D176" s="122">
        <v>0</v>
      </c>
      <c r="E176" s="98"/>
      <c r="F176" s="98">
        <f t="shared" ref="F176:F203" si="14">E176/8*12</f>
        <v>0</v>
      </c>
      <c r="G176" s="435">
        <v>0</v>
      </c>
      <c r="H176" s="98"/>
      <c r="I176" s="435"/>
      <c r="J176" s="435"/>
      <c r="K176" s="435"/>
    </row>
    <row r="177" spans="1:11" s="285" customFormat="1" x14ac:dyDescent="0.25">
      <c r="A177" s="118">
        <v>22</v>
      </c>
      <c r="B177" s="151">
        <v>1202</v>
      </c>
      <c r="C177" s="94" t="s">
        <v>343</v>
      </c>
      <c r="D177" s="122">
        <v>0</v>
      </c>
      <c r="E177" s="98"/>
      <c r="F177" s="98">
        <f t="shared" si="14"/>
        <v>0</v>
      </c>
      <c r="G177" s="435">
        <v>0</v>
      </c>
      <c r="H177" s="98"/>
      <c r="I177" s="435"/>
      <c r="J177" s="435"/>
      <c r="K177" s="435"/>
    </row>
    <row r="178" spans="1:11" s="285" customFormat="1" x14ac:dyDescent="0.25">
      <c r="A178" s="118">
        <v>22</v>
      </c>
      <c r="B178" s="151">
        <v>1207</v>
      </c>
      <c r="C178" s="94" t="s">
        <v>104</v>
      </c>
      <c r="D178" s="122">
        <v>0</v>
      </c>
      <c r="E178" s="98"/>
      <c r="F178" s="98">
        <f t="shared" si="14"/>
        <v>0</v>
      </c>
      <c r="G178" s="435">
        <v>0</v>
      </c>
      <c r="H178" s="98"/>
      <c r="I178" s="435"/>
      <c r="J178" s="435"/>
      <c r="K178" s="435"/>
    </row>
    <row r="179" spans="1:11" s="285" customFormat="1" x14ac:dyDescent="0.25">
      <c r="A179" s="118">
        <v>22</v>
      </c>
      <c r="B179" s="151">
        <v>1153</v>
      </c>
      <c r="C179" s="94" t="s">
        <v>115</v>
      </c>
      <c r="D179" s="122">
        <v>0</v>
      </c>
      <c r="E179" s="98"/>
      <c r="F179" s="98">
        <f t="shared" si="14"/>
        <v>0</v>
      </c>
      <c r="G179" s="435">
        <v>0</v>
      </c>
      <c r="H179" s="98"/>
      <c r="I179" s="435"/>
      <c r="J179" s="435"/>
      <c r="K179" s="435"/>
    </row>
    <row r="180" spans="1:11" s="285" customFormat="1" x14ac:dyDescent="0.25">
      <c r="A180" s="118">
        <v>22</v>
      </c>
      <c r="B180" s="151">
        <v>1143</v>
      </c>
      <c r="C180" s="94" t="s">
        <v>109</v>
      </c>
      <c r="D180" s="122">
        <v>0</v>
      </c>
      <c r="E180" s="98"/>
      <c r="F180" s="98">
        <f t="shared" si="14"/>
        <v>0</v>
      </c>
      <c r="G180" s="435">
        <v>0</v>
      </c>
      <c r="H180" s="98"/>
      <c r="I180" s="435"/>
      <c r="J180" s="435"/>
      <c r="K180" s="435"/>
    </row>
    <row r="181" spans="1:11" s="285" customFormat="1" x14ac:dyDescent="0.25">
      <c r="A181" s="118">
        <v>22</v>
      </c>
      <c r="B181" s="151">
        <v>5500</v>
      </c>
      <c r="C181" s="94" t="s">
        <v>266</v>
      </c>
      <c r="D181" s="85">
        <v>0</v>
      </c>
      <c r="E181" s="85">
        <v>0</v>
      </c>
      <c r="F181" s="85">
        <f>(0/8*12)*-1</f>
        <v>0</v>
      </c>
      <c r="G181" s="428">
        <v>0</v>
      </c>
      <c r="H181" s="85"/>
      <c r="I181" s="428"/>
      <c r="J181" s="428"/>
      <c r="K181" s="428"/>
    </row>
    <row r="182" spans="1:11" s="285" customFormat="1" x14ac:dyDescent="0.25">
      <c r="A182" s="118">
        <v>22</v>
      </c>
      <c r="B182" s="151">
        <v>5705</v>
      </c>
      <c r="C182" s="94" t="s">
        <v>296</v>
      </c>
      <c r="D182" s="85">
        <v>0</v>
      </c>
      <c r="E182" s="85"/>
      <c r="F182" s="85">
        <f t="shared" si="9"/>
        <v>0</v>
      </c>
      <c r="G182" s="428">
        <v>0</v>
      </c>
      <c r="H182" s="85"/>
      <c r="I182" s="428"/>
      <c r="J182" s="428"/>
      <c r="K182" s="428"/>
    </row>
    <row r="183" spans="1:11" s="285" customFormat="1" x14ac:dyDescent="0.25">
      <c r="A183" s="118">
        <v>22</v>
      </c>
      <c r="B183" s="151">
        <v>1140</v>
      </c>
      <c r="C183" s="94" t="s">
        <v>113</v>
      </c>
      <c r="D183" s="122">
        <v>0</v>
      </c>
      <c r="E183" s="98"/>
      <c r="F183" s="98">
        <f t="shared" si="14"/>
        <v>0</v>
      </c>
      <c r="G183" s="435">
        <v>0</v>
      </c>
      <c r="H183" s="98"/>
      <c r="I183" s="435"/>
      <c r="J183" s="435"/>
      <c r="K183" s="435"/>
    </row>
    <row r="184" spans="1:11" s="285" customFormat="1" x14ac:dyDescent="0.25">
      <c r="A184" s="118">
        <v>22</v>
      </c>
      <c r="B184" s="151">
        <v>1145</v>
      </c>
      <c r="C184" s="94" t="s">
        <v>132</v>
      </c>
      <c r="D184" s="122">
        <v>0</v>
      </c>
      <c r="E184" s="98"/>
      <c r="F184" s="98">
        <f t="shared" si="14"/>
        <v>0</v>
      </c>
      <c r="G184" s="435">
        <v>0</v>
      </c>
      <c r="H184" s="98"/>
      <c r="I184" s="435"/>
      <c r="J184" s="435"/>
      <c r="K184" s="435"/>
    </row>
    <row r="185" spans="1:11" s="285" customFormat="1" x14ac:dyDescent="0.25">
      <c r="A185" s="118">
        <v>22</v>
      </c>
      <c r="B185" s="151">
        <v>1150</v>
      </c>
      <c r="C185" s="94" t="s">
        <v>120</v>
      </c>
      <c r="D185" s="122">
        <v>0</v>
      </c>
      <c r="E185" s="98"/>
      <c r="F185" s="98">
        <f t="shared" si="14"/>
        <v>0</v>
      </c>
      <c r="G185" s="435">
        <v>0</v>
      </c>
      <c r="H185" s="98"/>
      <c r="I185" s="435"/>
      <c r="J185" s="435"/>
      <c r="K185" s="435"/>
    </row>
    <row r="186" spans="1:11" s="285" customFormat="1" x14ac:dyDescent="0.25">
      <c r="A186" s="118">
        <v>22</v>
      </c>
      <c r="B186" s="151">
        <v>1155</v>
      </c>
      <c r="C186" s="94" t="s">
        <v>116</v>
      </c>
      <c r="D186" s="122">
        <v>0</v>
      </c>
      <c r="E186" s="98"/>
      <c r="F186" s="98">
        <f t="shared" si="14"/>
        <v>0</v>
      </c>
      <c r="G186" s="435">
        <v>0</v>
      </c>
      <c r="H186" s="98"/>
      <c r="I186" s="435"/>
      <c r="J186" s="435"/>
      <c r="K186" s="435"/>
    </row>
    <row r="187" spans="1:11" s="285" customFormat="1" x14ac:dyDescent="0.25">
      <c r="A187" s="118">
        <v>22</v>
      </c>
      <c r="B187" s="151">
        <v>1160</v>
      </c>
      <c r="C187" s="94" t="s">
        <v>101</v>
      </c>
      <c r="D187" s="122">
        <v>0</v>
      </c>
      <c r="E187" s="98"/>
      <c r="F187" s="98">
        <f t="shared" si="14"/>
        <v>0</v>
      </c>
      <c r="G187" s="435">
        <v>0</v>
      </c>
      <c r="H187" s="98"/>
      <c r="I187" s="435"/>
      <c r="J187" s="435"/>
      <c r="K187" s="435"/>
    </row>
    <row r="188" spans="1:11" s="285" customFormat="1" x14ac:dyDescent="0.25">
      <c r="A188" s="118">
        <v>22</v>
      </c>
      <c r="B188" s="151">
        <v>1165</v>
      </c>
      <c r="C188" s="94" t="s">
        <v>114</v>
      </c>
      <c r="D188" s="122">
        <v>0</v>
      </c>
      <c r="E188" s="98"/>
      <c r="F188" s="98">
        <f t="shared" si="14"/>
        <v>0</v>
      </c>
      <c r="G188" s="435">
        <v>0</v>
      </c>
      <c r="H188" s="98"/>
      <c r="I188" s="435"/>
      <c r="J188" s="435"/>
      <c r="K188" s="435"/>
    </row>
    <row r="189" spans="1:11" s="285" customFormat="1" x14ac:dyDescent="0.25">
      <c r="A189" s="118"/>
      <c r="B189" s="151"/>
      <c r="C189" s="94" t="s">
        <v>401</v>
      </c>
      <c r="D189" s="122">
        <v>0</v>
      </c>
      <c r="E189" s="98"/>
      <c r="F189" s="98">
        <f>E189/8*12</f>
        <v>0</v>
      </c>
      <c r="G189" s="435">
        <v>0</v>
      </c>
      <c r="H189" s="98"/>
      <c r="I189" s="435"/>
      <c r="J189" s="435"/>
      <c r="K189" s="435"/>
    </row>
    <row r="190" spans="1:11" s="285" customFormat="1" x14ac:dyDescent="0.25">
      <c r="A190" s="118">
        <v>22</v>
      </c>
      <c r="B190" s="151">
        <v>1180</v>
      </c>
      <c r="C190" s="94" t="s">
        <v>402</v>
      </c>
      <c r="D190" s="122">
        <v>0</v>
      </c>
      <c r="E190" s="98"/>
      <c r="F190" s="98">
        <f t="shared" si="14"/>
        <v>0</v>
      </c>
      <c r="G190" s="435">
        <v>0</v>
      </c>
      <c r="H190" s="98"/>
      <c r="I190" s="435"/>
      <c r="J190" s="435"/>
      <c r="K190" s="435"/>
    </row>
    <row r="191" spans="1:11" s="285" customFormat="1" x14ac:dyDescent="0.25">
      <c r="A191" s="118">
        <v>22</v>
      </c>
      <c r="B191" s="151">
        <v>1185</v>
      </c>
      <c r="C191" s="94" t="s">
        <v>403</v>
      </c>
      <c r="D191" s="122">
        <v>0</v>
      </c>
      <c r="E191" s="98"/>
      <c r="F191" s="98">
        <f t="shared" si="14"/>
        <v>0</v>
      </c>
      <c r="G191" s="435">
        <v>0</v>
      </c>
      <c r="H191" s="98"/>
      <c r="I191" s="435"/>
      <c r="J191" s="435"/>
      <c r="K191" s="435"/>
    </row>
    <row r="192" spans="1:11" s="285" customFormat="1" x14ac:dyDescent="0.25">
      <c r="A192" s="118">
        <v>22</v>
      </c>
      <c r="B192" s="151">
        <v>1190</v>
      </c>
      <c r="C192" s="94" t="s">
        <v>404</v>
      </c>
      <c r="D192" s="122">
        <v>0</v>
      </c>
      <c r="E192" s="98"/>
      <c r="F192" s="98">
        <f t="shared" si="14"/>
        <v>0</v>
      </c>
      <c r="G192" s="435">
        <v>0</v>
      </c>
      <c r="H192" s="98"/>
      <c r="I192" s="435"/>
      <c r="J192" s="435"/>
      <c r="K192" s="435"/>
    </row>
    <row r="193" spans="1:11" s="285" customFormat="1" x14ac:dyDescent="0.25">
      <c r="A193" s="118"/>
      <c r="B193" s="151"/>
      <c r="C193" s="94" t="s">
        <v>405</v>
      </c>
      <c r="D193" s="122">
        <v>0</v>
      </c>
      <c r="E193" s="98"/>
      <c r="F193" s="98">
        <f>E193/8*12</f>
        <v>0</v>
      </c>
      <c r="G193" s="435">
        <v>0</v>
      </c>
      <c r="H193" s="98"/>
      <c r="I193" s="435"/>
      <c r="J193" s="435"/>
      <c r="K193" s="435"/>
    </row>
    <row r="194" spans="1:11" s="285" customFormat="1" x14ac:dyDescent="0.25">
      <c r="A194" s="118">
        <v>22</v>
      </c>
      <c r="B194" s="151">
        <v>1195</v>
      </c>
      <c r="C194" s="94" t="s">
        <v>199</v>
      </c>
      <c r="D194" s="122">
        <v>0</v>
      </c>
      <c r="E194" s="98"/>
      <c r="F194" s="98">
        <f t="shared" si="14"/>
        <v>0</v>
      </c>
      <c r="G194" s="435">
        <v>0</v>
      </c>
      <c r="H194" s="98"/>
      <c r="I194" s="435"/>
      <c r="J194" s="435"/>
      <c r="K194" s="435"/>
    </row>
    <row r="195" spans="1:11" s="285" customFormat="1" x14ac:dyDescent="0.25">
      <c r="A195" s="118">
        <v>22</v>
      </c>
      <c r="B195" s="151">
        <v>1200</v>
      </c>
      <c r="C195" s="94" t="s">
        <v>117</v>
      </c>
      <c r="D195" s="122">
        <v>0</v>
      </c>
      <c r="E195" s="98"/>
      <c r="F195" s="98">
        <f t="shared" si="14"/>
        <v>0</v>
      </c>
      <c r="G195" s="435">
        <v>0</v>
      </c>
      <c r="H195" s="98"/>
      <c r="I195" s="435"/>
      <c r="J195" s="435"/>
      <c r="K195" s="435"/>
    </row>
    <row r="196" spans="1:11" s="285" customFormat="1" x14ac:dyDescent="0.25">
      <c r="A196" s="118">
        <v>22</v>
      </c>
      <c r="B196" s="151">
        <v>1205</v>
      </c>
      <c r="C196" s="115" t="s">
        <v>105</v>
      </c>
      <c r="D196" s="122">
        <v>0</v>
      </c>
      <c r="E196" s="98"/>
      <c r="F196" s="98">
        <f t="shared" si="14"/>
        <v>0</v>
      </c>
      <c r="G196" s="435">
        <v>0</v>
      </c>
      <c r="H196" s="98"/>
      <c r="I196" s="435"/>
      <c r="J196" s="435"/>
      <c r="K196" s="435"/>
    </row>
    <row r="197" spans="1:11" s="285" customFormat="1" x14ac:dyDescent="0.25">
      <c r="A197" s="118">
        <v>22</v>
      </c>
      <c r="B197" s="151">
        <v>1210</v>
      </c>
      <c r="C197" s="94" t="s">
        <v>118</v>
      </c>
      <c r="D197" s="122">
        <v>0</v>
      </c>
      <c r="E197" s="98"/>
      <c r="F197" s="98">
        <f t="shared" si="14"/>
        <v>0</v>
      </c>
      <c r="G197" s="435">
        <v>0</v>
      </c>
      <c r="H197" s="98"/>
      <c r="I197" s="435"/>
      <c r="J197" s="435"/>
      <c r="K197" s="435"/>
    </row>
    <row r="198" spans="1:11" s="285" customFormat="1" x14ac:dyDescent="0.25">
      <c r="A198" s="118">
        <v>22</v>
      </c>
      <c r="B198" s="151">
        <v>1215</v>
      </c>
      <c r="C198" s="94" t="s">
        <v>133</v>
      </c>
      <c r="D198" s="122">
        <v>0</v>
      </c>
      <c r="E198" s="98"/>
      <c r="F198" s="98">
        <f t="shared" si="14"/>
        <v>0</v>
      </c>
      <c r="G198" s="435">
        <v>0</v>
      </c>
      <c r="H198" s="98"/>
      <c r="I198" s="435"/>
      <c r="J198" s="435"/>
      <c r="K198" s="435"/>
    </row>
    <row r="199" spans="1:11" s="285" customFormat="1" x14ac:dyDescent="0.25">
      <c r="A199" s="118">
        <v>22</v>
      </c>
      <c r="B199" s="151">
        <v>5905</v>
      </c>
      <c r="C199" s="94" t="s">
        <v>329</v>
      </c>
      <c r="D199" s="85">
        <v>0</v>
      </c>
      <c r="E199" s="85"/>
      <c r="F199" s="85">
        <f>0/8*12</f>
        <v>0</v>
      </c>
      <c r="G199" s="428">
        <v>0</v>
      </c>
      <c r="H199" s="85"/>
      <c r="I199" s="428"/>
      <c r="J199" s="428"/>
      <c r="K199" s="428"/>
    </row>
    <row r="200" spans="1:11" s="285" customFormat="1" x14ac:dyDescent="0.25">
      <c r="A200" s="118">
        <v>22</v>
      </c>
      <c r="B200" s="151">
        <v>5900</v>
      </c>
      <c r="C200" s="94" t="s">
        <v>333</v>
      </c>
      <c r="D200" s="85">
        <v>0</v>
      </c>
      <c r="E200" s="85">
        <v>0</v>
      </c>
      <c r="F200" s="85">
        <f>(0/8*12)*-1</f>
        <v>0</v>
      </c>
      <c r="G200" s="428">
        <v>0</v>
      </c>
      <c r="H200" s="85"/>
      <c r="I200" s="428"/>
      <c r="J200" s="428"/>
      <c r="K200" s="428"/>
    </row>
    <row r="201" spans="1:11" s="285" customFormat="1" x14ac:dyDescent="0.25">
      <c r="A201" s="118">
        <v>22</v>
      </c>
      <c r="B201" s="151">
        <v>1220</v>
      </c>
      <c r="C201" s="94" t="s">
        <v>340</v>
      </c>
      <c r="D201" s="122">
        <v>0</v>
      </c>
      <c r="E201" s="98"/>
      <c r="F201" s="98">
        <f t="shared" si="14"/>
        <v>0</v>
      </c>
      <c r="G201" s="435">
        <v>0</v>
      </c>
      <c r="H201" s="98"/>
      <c r="I201" s="435"/>
      <c r="J201" s="435"/>
      <c r="K201" s="435"/>
    </row>
    <row r="202" spans="1:11" s="285" customFormat="1" x14ac:dyDescent="0.25">
      <c r="A202" s="118">
        <v>22</v>
      </c>
      <c r="B202" s="151">
        <v>1225</v>
      </c>
      <c r="C202" s="94" t="s">
        <v>370</v>
      </c>
      <c r="D202" s="122">
        <v>0</v>
      </c>
      <c r="E202" s="98"/>
      <c r="F202" s="98">
        <f t="shared" si="14"/>
        <v>0</v>
      </c>
      <c r="G202" s="435">
        <v>0</v>
      </c>
      <c r="H202" s="98"/>
      <c r="I202" s="435"/>
      <c r="J202" s="435"/>
      <c r="K202" s="435"/>
    </row>
    <row r="203" spans="1:11" s="285" customFormat="1" x14ac:dyDescent="0.25">
      <c r="A203" s="118">
        <v>22</v>
      </c>
      <c r="B203" s="151">
        <v>1230</v>
      </c>
      <c r="C203" s="94" t="s">
        <v>119</v>
      </c>
      <c r="D203" s="122">
        <v>0</v>
      </c>
      <c r="E203" s="98"/>
      <c r="F203" s="98">
        <f t="shared" si="14"/>
        <v>0</v>
      </c>
      <c r="G203" s="435">
        <v>0</v>
      </c>
      <c r="H203" s="98"/>
      <c r="I203" s="435"/>
      <c r="J203" s="435"/>
      <c r="K203" s="435"/>
    </row>
    <row r="204" spans="1:11" s="285" customFormat="1" x14ac:dyDescent="0.25">
      <c r="A204" s="118">
        <v>22</v>
      </c>
      <c r="B204" s="151">
        <v>1235</v>
      </c>
      <c r="C204" s="94" t="s">
        <v>347</v>
      </c>
      <c r="D204" s="122">
        <v>0</v>
      </c>
      <c r="E204" s="98"/>
      <c r="F204" s="98">
        <v>0</v>
      </c>
      <c r="G204" s="435">
        <v>1</v>
      </c>
      <c r="H204" s="98"/>
      <c r="I204" s="435"/>
      <c r="J204" s="435"/>
      <c r="K204" s="435"/>
    </row>
    <row r="205" spans="1:11" s="285" customFormat="1" x14ac:dyDescent="0.25">
      <c r="A205" s="118"/>
      <c r="B205" s="151"/>
      <c r="C205" s="94" t="s">
        <v>510</v>
      </c>
      <c r="D205" s="225"/>
      <c r="E205" s="85"/>
      <c r="F205" s="85"/>
      <c r="G205" s="428"/>
      <c r="H205" s="85"/>
      <c r="I205" s="428"/>
      <c r="J205" s="428"/>
      <c r="K205" s="428"/>
    </row>
    <row r="206" spans="1:11" s="285" customFormat="1" x14ac:dyDescent="0.25">
      <c r="A206" s="344"/>
      <c r="B206" s="151"/>
      <c r="C206" s="94"/>
      <c r="D206" s="437">
        <f>SUM(D176:D204)</f>
        <v>0</v>
      </c>
      <c r="E206" s="100">
        <f>SUM(E176:E204)</f>
        <v>0</v>
      </c>
      <c r="F206" s="100">
        <f>SUM(F176:F204)</f>
        <v>0</v>
      </c>
      <c r="G206" s="437">
        <v>1</v>
      </c>
      <c r="H206" s="100"/>
      <c r="I206" s="437"/>
      <c r="J206" s="437"/>
      <c r="K206" s="437"/>
    </row>
    <row r="207" spans="1:11" s="285" customFormat="1" x14ac:dyDescent="0.25">
      <c r="A207" s="344"/>
      <c r="B207" s="151"/>
      <c r="C207" s="93" t="s">
        <v>66</v>
      </c>
      <c r="D207" s="122"/>
      <c r="E207" s="98"/>
      <c r="F207" s="98"/>
      <c r="G207" s="435"/>
      <c r="H207" s="98"/>
      <c r="I207" s="435"/>
      <c r="J207" s="435"/>
      <c r="K207" s="435"/>
    </row>
    <row r="208" spans="1:11" s="285" customFormat="1" x14ac:dyDescent="0.25">
      <c r="A208" s="118">
        <v>22</v>
      </c>
      <c r="B208" s="151">
        <v>1305</v>
      </c>
      <c r="C208" s="94" t="s">
        <v>342</v>
      </c>
      <c r="D208" s="122">
        <v>0</v>
      </c>
      <c r="E208" s="98"/>
      <c r="F208" s="98">
        <f>E208/8*12</f>
        <v>0</v>
      </c>
      <c r="G208" s="435">
        <v>0</v>
      </c>
      <c r="H208" s="98"/>
      <c r="I208" s="435"/>
      <c r="J208" s="435"/>
      <c r="K208" s="435"/>
    </row>
    <row r="209" spans="1:11" s="285" customFormat="1" x14ac:dyDescent="0.25">
      <c r="A209" s="118">
        <v>22</v>
      </c>
      <c r="B209" s="151">
        <v>1310</v>
      </c>
      <c r="C209" s="94" t="s">
        <v>344</v>
      </c>
      <c r="D209" s="122">
        <v>0</v>
      </c>
      <c r="E209" s="98"/>
      <c r="F209" s="98">
        <f>E209/8*12</f>
        <v>0</v>
      </c>
      <c r="G209" s="435">
        <v>0</v>
      </c>
      <c r="H209" s="98"/>
      <c r="I209" s="435"/>
      <c r="J209" s="435"/>
      <c r="K209" s="435"/>
    </row>
    <row r="210" spans="1:11" s="285" customFormat="1" x14ac:dyDescent="0.25">
      <c r="A210" s="118">
        <v>22</v>
      </c>
      <c r="B210" s="151">
        <v>1320</v>
      </c>
      <c r="C210" s="94" t="s">
        <v>345</v>
      </c>
      <c r="D210" s="122">
        <v>0</v>
      </c>
      <c r="E210" s="98"/>
      <c r="F210" s="98">
        <f>E210/8*12</f>
        <v>0</v>
      </c>
      <c r="G210" s="435">
        <v>0</v>
      </c>
      <c r="H210" s="98"/>
      <c r="I210" s="435"/>
      <c r="J210" s="435"/>
      <c r="K210" s="435"/>
    </row>
    <row r="211" spans="1:11" s="285" customFormat="1" x14ac:dyDescent="0.25">
      <c r="A211" s="118">
        <v>22</v>
      </c>
      <c r="B211" s="151">
        <v>1315</v>
      </c>
      <c r="C211" s="94" t="s">
        <v>346</v>
      </c>
      <c r="D211" s="122">
        <v>0</v>
      </c>
      <c r="E211" s="108"/>
      <c r="F211" s="98">
        <f>E211/8*12</f>
        <v>0</v>
      </c>
      <c r="G211" s="435">
        <v>0</v>
      </c>
      <c r="H211" s="98"/>
      <c r="I211" s="435"/>
      <c r="J211" s="435"/>
      <c r="K211" s="435"/>
    </row>
    <row r="212" spans="1:11" s="285" customFormat="1" x14ac:dyDescent="0.25">
      <c r="A212" s="344"/>
      <c r="B212" s="151"/>
      <c r="C212" s="94"/>
      <c r="D212" s="99">
        <v>0</v>
      </c>
      <c r="E212" s="99">
        <f>SUM(E208:E211)</f>
        <v>0</v>
      </c>
      <c r="F212" s="99">
        <f>SUM(F208:F211)</f>
        <v>0</v>
      </c>
      <c r="G212" s="436">
        <v>0</v>
      </c>
      <c r="H212" s="99"/>
      <c r="I212" s="436"/>
      <c r="J212" s="436"/>
      <c r="K212" s="436"/>
    </row>
    <row r="213" spans="1:11" s="285" customFormat="1" x14ac:dyDescent="0.25">
      <c r="A213" s="344"/>
      <c r="B213" s="151"/>
      <c r="C213" s="93" t="s">
        <v>67</v>
      </c>
      <c r="D213" s="122"/>
      <c r="E213" s="98"/>
      <c r="F213" s="98"/>
      <c r="G213" s="435"/>
      <c r="H213" s="98"/>
      <c r="I213" s="435"/>
      <c r="J213" s="435"/>
      <c r="K213" s="435"/>
    </row>
    <row r="214" spans="1:11" s="285" customFormat="1" x14ac:dyDescent="0.25">
      <c r="A214" s="118">
        <v>22</v>
      </c>
      <c r="B214" s="151">
        <v>1400</v>
      </c>
      <c r="C214" s="94" t="s">
        <v>68</v>
      </c>
      <c r="D214" s="122">
        <v>0</v>
      </c>
      <c r="E214" s="108"/>
      <c r="F214" s="98">
        <f>E214/8*12</f>
        <v>0</v>
      </c>
      <c r="G214" s="435">
        <v>0</v>
      </c>
      <c r="H214" s="98"/>
      <c r="I214" s="435"/>
      <c r="J214" s="435"/>
      <c r="K214" s="435"/>
    </row>
    <row r="215" spans="1:11" s="285" customFormat="1" x14ac:dyDescent="0.25">
      <c r="A215" s="118">
        <v>22</v>
      </c>
      <c r="B215" s="151">
        <v>1405</v>
      </c>
      <c r="C215" s="94" t="s">
        <v>69</v>
      </c>
      <c r="D215" s="122">
        <v>0</v>
      </c>
      <c r="E215" s="108"/>
      <c r="F215" s="98">
        <f>E215/8*12</f>
        <v>0</v>
      </c>
      <c r="G215" s="435">
        <v>0</v>
      </c>
      <c r="H215" s="98"/>
      <c r="I215" s="435"/>
      <c r="J215" s="435"/>
      <c r="K215" s="435"/>
    </row>
    <row r="216" spans="1:11" s="285" customFormat="1" x14ac:dyDescent="0.25">
      <c r="A216" s="344"/>
      <c r="B216" s="151"/>
      <c r="C216" s="94"/>
      <c r="D216" s="436">
        <f>SUM(D214:D215)</f>
        <v>0</v>
      </c>
      <c r="E216" s="99">
        <f>SUM(E214:E215)</f>
        <v>0</v>
      </c>
      <c r="F216" s="99">
        <f>SUM(F214:F215)</f>
        <v>0</v>
      </c>
      <c r="G216" s="436">
        <f>SUM(G214:G215)</f>
        <v>0</v>
      </c>
      <c r="H216" s="99"/>
      <c r="I216" s="436"/>
      <c r="J216" s="436"/>
      <c r="K216" s="436"/>
    </row>
    <row r="217" spans="1:11" s="285" customFormat="1" x14ac:dyDescent="0.25">
      <c r="A217" s="344"/>
      <c r="B217" s="151"/>
      <c r="C217" s="93" t="s">
        <v>70</v>
      </c>
      <c r="D217" s="122"/>
      <c r="E217" s="98"/>
      <c r="F217" s="98"/>
      <c r="G217" s="435"/>
      <c r="H217" s="98"/>
      <c r="I217" s="435"/>
      <c r="J217" s="435"/>
      <c r="K217" s="435"/>
    </row>
    <row r="218" spans="1:11" s="285" customFormat="1" x14ac:dyDescent="0.25">
      <c r="A218" s="118">
        <v>22</v>
      </c>
      <c r="B218" s="151">
        <v>1500</v>
      </c>
      <c r="C218" s="94" t="s">
        <v>106</v>
      </c>
      <c r="D218" s="122">
        <v>0</v>
      </c>
      <c r="E218" s="108"/>
      <c r="F218" s="98">
        <f>E218/8*12</f>
        <v>0</v>
      </c>
      <c r="G218" s="435">
        <v>0</v>
      </c>
      <c r="H218" s="98"/>
      <c r="I218" s="435"/>
      <c r="J218" s="435"/>
      <c r="K218" s="435"/>
    </row>
    <row r="219" spans="1:11" s="285" customFormat="1" x14ac:dyDescent="0.25">
      <c r="A219" s="118">
        <v>22</v>
      </c>
      <c r="B219" s="151">
        <v>1505</v>
      </c>
      <c r="C219" s="94" t="s">
        <v>71</v>
      </c>
      <c r="D219" s="122">
        <v>0</v>
      </c>
      <c r="E219" s="108"/>
      <c r="F219" s="98">
        <f>E219/8*12</f>
        <v>0</v>
      </c>
      <c r="G219" s="435">
        <v>0</v>
      </c>
      <c r="H219" s="98"/>
      <c r="I219" s="435"/>
      <c r="J219" s="435"/>
      <c r="K219" s="435"/>
    </row>
    <row r="220" spans="1:11" s="285" customFormat="1" x14ac:dyDescent="0.25">
      <c r="A220" s="118">
        <v>22</v>
      </c>
      <c r="B220" s="151">
        <v>1510</v>
      </c>
      <c r="C220" s="94" t="s">
        <v>72</v>
      </c>
      <c r="D220" s="122">
        <v>0</v>
      </c>
      <c r="E220" s="108"/>
      <c r="F220" s="98">
        <f>E220/8*12</f>
        <v>0</v>
      </c>
      <c r="G220" s="435">
        <v>0</v>
      </c>
      <c r="H220" s="98"/>
      <c r="I220" s="435"/>
      <c r="J220" s="435"/>
      <c r="K220" s="435"/>
    </row>
    <row r="221" spans="1:11" s="285" customFormat="1" x14ac:dyDescent="0.25">
      <c r="A221" s="344"/>
      <c r="B221" s="151"/>
      <c r="C221" s="94"/>
      <c r="D221" s="436">
        <f>SUM(D218:D220)</f>
        <v>0</v>
      </c>
      <c r="E221" s="99">
        <f>SUM(E218:E220)</f>
        <v>0</v>
      </c>
      <c r="F221" s="99">
        <f>SUM(F218:F220)</f>
        <v>0</v>
      </c>
      <c r="G221" s="436">
        <v>0</v>
      </c>
      <c r="H221" s="99"/>
      <c r="I221" s="436"/>
      <c r="J221" s="436"/>
      <c r="K221" s="436"/>
    </row>
    <row r="222" spans="1:11" s="285" customFormat="1" x14ac:dyDescent="0.25">
      <c r="A222" s="344"/>
      <c r="B222" s="151"/>
      <c r="C222" s="93" t="s">
        <v>73</v>
      </c>
      <c r="D222" s="122"/>
      <c r="E222" s="98"/>
      <c r="F222" s="98"/>
      <c r="G222" s="435"/>
      <c r="H222" s="98"/>
      <c r="I222" s="435"/>
      <c r="J222" s="435"/>
      <c r="K222" s="435"/>
    </row>
    <row r="223" spans="1:11" s="285" customFormat="1" x14ac:dyDescent="0.25">
      <c r="A223" s="118">
        <v>22</v>
      </c>
      <c r="B223" s="151">
        <v>1550</v>
      </c>
      <c r="C223" s="94" t="s">
        <v>349</v>
      </c>
      <c r="D223" s="122">
        <v>0</v>
      </c>
      <c r="E223" s="98"/>
      <c r="F223" s="98">
        <f>E223/8*12</f>
        <v>0</v>
      </c>
      <c r="G223" s="435">
        <v>0</v>
      </c>
      <c r="H223" s="98"/>
      <c r="I223" s="435"/>
      <c r="J223" s="435"/>
      <c r="K223" s="435"/>
    </row>
    <row r="224" spans="1:11" s="285" customFormat="1" x14ac:dyDescent="0.25">
      <c r="A224" s="118">
        <v>22</v>
      </c>
      <c r="B224" s="151">
        <v>1555</v>
      </c>
      <c r="C224" s="94" t="s">
        <v>348</v>
      </c>
      <c r="D224" s="122">
        <v>0</v>
      </c>
      <c r="E224" s="98"/>
      <c r="F224" s="98">
        <f>E224/8*12</f>
        <v>0</v>
      </c>
      <c r="G224" s="435">
        <v>0</v>
      </c>
      <c r="H224" s="98"/>
      <c r="I224" s="435"/>
      <c r="J224" s="435"/>
      <c r="K224" s="435"/>
    </row>
    <row r="225" spans="1:11" s="285" customFormat="1" x14ac:dyDescent="0.25">
      <c r="A225" s="344"/>
      <c r="B225" s="151"/>
      <c r="C225" s="94"/>
      <c r="D225" s="100">
        <v>0</v>
      </c>
      <c r="E225" s="100">
        <f>SUM(E223:E224)</f>
        <v>0</v>
      </c>
      <c r="F225" s="100">
        <f>SUM(F223:F224)</f>
        <v>0</v>
      </c>
      <c r="G225" s="437">
        <v>0</v>
      </c>
      <c r="H225" s="100"/>
      <c r="I225" s="437"/>
      <c r="J225" s="437"/>
      <c r="K225" s="437"/>
    </row>
    <row r="226" spans="1:11" s="285" customFormat="1" ht="13.5" customHeight="1" x14ac:dyDescent="0.25">
      <c r="A226" s="344"/>
      <c r="B226" s="151"/>
      <c r="C226" s="93" t="s">
        <v>74</v>
      </c>
      <c r="D226" s="122"/>
      <c r="E226" s="98"/>
      <c r="F226" s="98"/>
      <c r="G226" s="435"/>
      <c r="H226" s="98"/>
      <c r="I226" s="435"/>
      <c r="J226" s="435"/>
      <c r="K226" s="435"/>
    </row>
    <row r="227" spans="1:11" s="285" customFormat="1" x14ac:dyDescent="0.25">
      <c r="A227" s="118">
        <v>22</v>
      </c>
      <c r="B227" s="151">
        <v>1605</v>
      </c>
      <c r="C227" s="94" t="s">
        <v>75</v>
      </c>
      <c r="D227" s="122">
        <v>0</v>
      </c>
      <c r="E227" s="98"/>
      <c r="F227" s="98">
        <f t="shared" ref="F227:F239" si="15">E227/8*12</f>
        <v>0</v>
      </c>
      <c r="G227" s="435">
        <v>0</v>
      </c>
      <c r="H227" s="98"/>
      <c r="I227" s="435"/>
      <c r="J227" s="435"/>
      <c r="K227" s="435"/>
    </row>
    <row r="228" spans="1:11" s="285" customFormat="1" x14ac:dyDescent="0.25">
      <c r="A228" s="118">
        <v>22</v>
      </c>
      <c r="B228" s="151">
        <v>1610</v>
      </c>
      <c r="C228" s="94" t="s">
        <v>131</v>
      </c>
      <c r="D228" s="122">
        <v>0</v>
      </c>
      <c r="E228" s="108"/>
      <c r="F228" s="98">
        <f t="shared" si="15"/>
        <v>0</v>
      </c>
      <c r="G228" s="435">
        <v>0</v>
      </c>
      <c r="H228" s="98"/>
      <c r="I228" s="435"/>
      <c r="J228" s="435"/>
      <c r="K228" s="435"/>
    </row>
    <row r="229" spans="1:11" s="285" customFormat="1" x14ac:dyDescent="0.25">
      <c r="A229" s="118">
        <v>22</v>
      </c>
      <c r="B229" s="151">
        <v>1615</v>
      </c>
      <c r="C229" s="94" t="s">
        <v>182</v>
      </c>
      <c r="D229" s="122">
        <v>0</v>
      </c>
      <c r="E229" s="108"/>
      <c r="F229" s="98">
        <f t="shared" si="15"/>
        <v>0</v>
      </c>
      <c r="G229" s="435">
        <v>0</v>
      </c>
      <c r="H229" s="98"/>
      <c r="I229" s="435"/>
      <c r="J229" s="435"/>
      <c r="K229" s="435"/>
    </row>
    <row r="230" spans="1:11" s="285" customFormat="1" x14ac:dyDescent="0.25">
      <c r="A230" s="118">
        <v>22</v>
      </c>
      <c r="B230" s="151">
        <v>1620</v>
      </c>
      <c r="C230" s="94" t="s">
        <v>255</v>
      </c>
      <c r="D230" s="122">
        <v>0</v>
      </c>
      <c r="E230" s="108"/>
      <c r="F230" s="98">
        <f t="shared" si="15"/>
        <v>0</v>
      </c>
      <c r="G230" s="435">
        <v>0</v>
      </c>
      <c r="H230" s="98"/>
      <c r="I230" s="435"/>
      <c r="J230" s="435"/>
      <c r="K230" s="435"/>
    </row>
    <row r="231" spans="1:11" s="285" customFormat="1" x14ac:dyDescent="0.25">
      <c r="A231" s="118">
        <v>22</v>
      </c>
      <c r="B231" s="151">
        <v>1625</v>
      </c>
      <c r="C231" s="94" t="s">
        <v>108</v>
      </c>
      <c r="D231" s="122">
        <v>0</v>
      </c>
      <c r="E231" s="108"/>
      <c r="F231" s="98">
        <f t="shared" si="15"/>
        <v>0</v>
      </c>
      <c r="G231" s="435">
        <v>0</v>
      </c>
      <c r="H231" s="98"/>
      <c r="I231" s="435"/>
      <c r="J231" s="435"/>
      <c r="K231" s="435"/>
    </row>
    <row r="232" spans="1:11" s="285" customFormat="1" x14ac:dyDescent="0.25">
      <c r="A232" s="118">
        <v>22</v>
      </c>
      <c r="B232" s="151">
        <v>1630</v>
      </c>
      <c r="C232" s="94" t="s">
        <v>76</v>
      </c>
      <c r="D232" s="122">
        <v>0</v>
      </c>
      <c r="E232" s="108"/>
      <c r="F232" s="98">
        <f t="shared" si="15"/>
        <v>0</v>
      </c>
      <c r="G232" s="435">
        <v>0</v>
      </c>
      <c r="H232" s="98"/>
      <c r="I232" s="435"/>
      <c r="J232" s="435"/>
      <c r="K232" s="435"/>
    </row>
    <row r="233" spans="1:11" s="285" customFormat="1" x14ac:dyDescent="0.25">
      <c r="A233" s="118">
        <v>22</v>
      </c>
      <c r="B233" s="151">
        <v>1635</v>
      </c>
      <c r="C233" s="94" t="s">
        <v>180</v>
      </c>
      <c r="D233" s="122">
        <v>0</v>
      </c>
      <c r="E233" s="108"/>
      <c r="F233" s="98">
        <f t="shared" si="15"/>
        <v>0</v>
      </c>
      <c r="G233" s="435">
        <v>0</v>
      </c>
      <c r="H233" s="98"/>
      <c r="I233" s="435"/>
      <c r="J233" s="435"/>
      <c r="K233" s="435"/>
    </row>
    <row r="234" spans="1:11" s="285" customFormat="1" x14ac:dyDescent="0.25">
      <c r="A234" s="118">
        <v>22</v>
      </c>
      <c r="B234" s="151">
        <v>1640</v>
      </c>
      <c r="C234" s="94" t="s">
        <v>184</v>
      </c>
      <c r="D234" s="122">
        <v>0</v>
      </c>
      <c r="E234" s="108"/>
      <c r="F234" s="98">
        <f t="shared" si="15"/>
        <v>0</v>
      </c>
      <c r="G234" s="435">
        <v>0</v>
      </c>
      <c r="H234" s="98"/>
      <c r="I234" s="435"/>
      <c r="J234" s="435"/>
      <c r="K234" s="435"/>
    </row>
    <row r="235" spans="1:11" s="285" customFormat="1" x14ac:dyDescent="0.25">
      <c r="A235" s="118">
        <v>22</v>
      </c>
      <c r="B235" s="151">
        <v>1645</v>
      </c>
      <c r="C235" s="94" t="s">
        <v>77</v>
      </c>
      <c r="D235" s="122">
        <v>0</v>
      </c>
      <c r="E235" s="108"/>
      <c r="F235" s="98">
        <f t="shared" si="15"/>
        <v>0</v>
      </c>
      <c r="G235" s="435">
        <v>0</v>
      </c>
      <c r="H235" s="98"/>
      <c r="I235" s="435"/>
      <c r="J235" s="435"/>
      <c r="K235" s="435"/>
    </row>
    <row r="236" spans="1:11" s="285" customFormat="1" x14ac:dyDescent="0.25">
      <c r="A236" s="118">
        <v>22</v>
      </c>
      <c r="B236" s="151">
        <v>1650</v>
      </c>
      <c r="C236" s="94" t="s">
        <v>78</v>
      </c>
      <c r="D236" s="122">
        <v>0</v>
      </c>
      <c r="E236" s="108"/>
      <c r="F236" s="98">
        <f t="shared" si="15"/>
        <v>0</v>
      </c>
      <c r="G236" s="435">
        <v>0</v>
      </c>
      <c r="H236" s="98"/>
      <c r="I236" s="435"/>
      <c r="J236" s="435"/>
      <c r="K236" s="435"/>
    </row>
    <row r="237" spans="1:11" s="285" customFormat="1" x14ac:dyDescent="0.25">
      <c r="A237" s="118">
        <v>22</v>
      </c>
      <c r="B237" s="151"/>
      <c r="C237" s="94" t="s">
        <v>200</v>
      </c>
      <c r="D237" s="122">
        <v>0</v>
      </c>
      <c r="E237" s="108"/>
      <c r="F237" s="98">
        <f t="shared" si="15"/>
        <v>0</v>
      </c>
      <c r="G237" s="435">
        <v>0</v>
      </c>
      <c r="H237" s="98"/>
      <c r="I237" s="435"/>
      <c r="J237" s="435"/>
      <c r="K237" s="435"/>
    </row>
    <row r="238" spans="1:11" s="285" customFormat="1" x14ac:dyDescent="0.25">
      <c r="A238" s="118">
        <v>22</v>
      </c>
      <c r="B238" s="151">
        <v>1660</v>
      </c>
      <c r="C238" s="94" t="s">
        <v>185</v>
      </c>
      <c r="D238" s="122">
        <v>0</v>
      </c>
      <c r="E238" s="108"/>
      <c r="F238" s="98">
        <f t="shared" si="15"/>
        <v>0</v>
      </c>
      <c r="G238" s="435">
        <v>0</v>
      </c>
      <c r="H238" s="98"/>
      <c r="I238" s="435"/>
      <c r="J238" s="435"/>
      <c r="K238" s="435"/>
    </row>
    <row r="239" spans="1:11" s="285" customFormat="1" x14ac:dyDescent="0.25">
      <c r="A239" s="118">
        <v>22</v>
      </c>
      <c r="B239" s="151">
        <v>1665</v>
      </c>
      <c r="C239" s="94" t="s">
        <v>181</v>
      </c>
      <c r="D239" s="122">
        <v>0</v>
      </c>
      <c r="E239" s="108"/>
      <c r="F239" s="98">
        <f t="shared" si="15"/>
        <v>0</v>
      </c>
      <c r="G239" s="435">
        <v>0</v>
      </c>
      <c r="H239" s="98"/>
      <c r="I239" s="435"/>
      <c r="J239" s="435"/>
      <c r="K239" s="435"/>
    </row>
    <row r="240" spans="1:11" s="285" customFormat="1" x14ac:dyDescent="0.25">
      <c r="A240" s="344"/>
      <c r="B240" s="151"/>
      <c r="C240" s="94"/>
      <c r="D240" s="436">
        <f>SUM(D227:D239)</f>
        <v>0</v>
      </c>
      <c r="E240" s="99">
        <f>SUM(E227:E239)</f>
        <v>0</v>
      </c>
      <c r="F240" s="99">
        <f>SUM(F227:F239)</f>
        <v>0</v>
      </c>
      <c r="G240" s="436">
        <v>0</v>
      </c>
      <c r="H240" s="99"/>
      <c r="I240" s="436"/>
      <c r="J240" s="436"/>
      <c r="K240" s="436"/>
    </row>
    <row r="241" spans="1:11" s="285" customFormat="1" x14ac:dyDescent="0.25">
      <c r="A241" s="344"/>
      <c r="B241" s="151"/>
      <c r="C241" s="93" t="s">
        <v>79</v>
      </c>
      <c r="D241" s="122"/>
      <c r="E241" s="98"/>
      <c r="F241" s="98"/>
      <c r="G241" s="435"/>
      <c r="H241" s="98"/>
      <c r="I241" s="435"/>
      <c r="J241" s="435"/>
      <c r="K241" s="435"/>
    </row>
    <row r="242" spans="1:11" s="285" customFormat="1" x14ac:dyDescent="0.25">
      <c r="A242" s="118">
        <v>22</v>
      </c>
      <c r="B242" s="151">
        <v>1705</v>
      </c>
      <c r="C242" s="94" t="s">
        <v>123</v>
      </c>
      <c r="D242" s="122">
        <v>0</v>
      </c>
      <c r="E242" s="98"/>
      <c r="F242" s="98">
        <f t="shared" ref="F242:F247" si="16">E242/8*12</f>
        <v>0</v>
      </c>
      <c r="G242" s="435">
        <v>0</v>
      </c>
      <c r="H242" s="98"/>
      <c r="I242" s="435"/>
      <c r="J242" s="435"/>
      <c r="K242" s="435"/>
    </row>
    <row r="243" spans="1:11" s="285" customFormat="1" x14ac:dyDescent="0.25">
      <c r="A243" s="118">
        <v>22</v>
      </c>
      <c r="B243" s="151">
        <v>1710</v>
      </c>
      <c r="C243" s="94" t="s">
        <v>242</v>
      </c>
      <c r="D243" s="122">
        <v>0</v>
      </c>
      <c r="E243" s="98"/>
      <c r="F243" s="98">
        <f t="shared" si="16"/>
        <v>0</v>
      </c>
      <c r="G243" s="435">
        <v>0</v>
      </c>
      <c r="H243" s="98"/>
      <c r="I243" s="435"/>
      <c r="J243" s="435"/>
      <c r="K243" s="435"/>
    </row>
    <row r="244" spans="1:11" s="285" customFormat="1" x14ac:dyDescent="0.25">
      <c r="A244" s="118">
        <v>22</v>
      </c>
      <c r="B244" s="151">
        <v>1715</v>
      </c>
      <c r="C244" s="94" t="s">
        <v>183</v>
      </c>
      <c r="D244" s="122">
        <v>0</v>
      </c>
      <c r="E244" s="98"/>
      <c r="F244" s="98">
        <f t="shared" si="16"/>
        <v>0</v>
      </c>
      <c r="G244" s="435">
        <v>0</v>
      </c>
      <c r="H244" s="98"/>
      <c r="I244" s="435"/>
      <c r="J244" s="435"/>
      <c r="K244" s="435"/>
    </row>
    <row r="245" spans="1:11" s="285" customFormat="1" x14ac:dyDescent="0.25">
      <c r="A245" s="118">
        <v>22</v>
      </c>
      <c r="B245" s="151">
        <v>1720</v>
      </c>
      <c r="C245" s="94" t="s">
        <v>103</v>
      </c>
      <c r="D245" s="122">
        <v>0</v>
      </c>
      <c r="E245" s="98"/>
      <c r="F245" s="98">
        <f t="shared" si="16"/>
        <v>0</v>
      </c>
      <c r="G245" s="435">
        <v>0</v>
      </c>
      <c r="H245" s="98"/>
      <c r="I245" s="435"/>
      <c r="J245" s="435"/>
      <c r="K245" s="435"/>
    </row>
    <row r="246" spans="1:11" s="285" customFormat="1" x14ac:dyDescent="0.25">
      <c r="A246" s="118">
        <v>22</v>
      </c>
      <c r="B246" s="151">
        <v>1725</v>
      </c>
      <c r="C246" s="94" t="s">
        <v>107</v>
      </c>
      <c r="D246" s="122">
        <v>0</v>
      </c>
      <c r="E246" s="98"/>
      <c r="F246" s="98">
        <f t="shared" si="16"/>
        <v>0</v>
      </c>
      <c r="G246" s="435">
        <v>0</v>
      </c>
      <c r="H246" s="98"/>
      <c r="I246" s="435"/>
      <c r="J246" s="435"/>
      <c r="K246" s="435"/>
    </row>
    <row r="247" spans="1:11" s="285" customFormat="1" x14ac:dyDescent="0.25">
      <c r="A247" s="118">
        <v>22</v>
      </c>
      <c r="B247" s="151">
        <v>1730</v>
      </c>
      <c r="C247" s="94" t="s">
        <v>256</v>
      </c>
      <c r="D247" s="122">
        <v>0</v>
      </c>
      <c r="E247" s="98"/>
      <c r="F247" s="98">
        <f t="shared" si="16"/>
        <v>0</v>
      </c>
      <c r="G247" s="435">
        <v>0</v>
      </c>
      <c r="H247" s="98"/>
      <c r="I247" s="435"/>
      <c r="J247" s="435"/>
      <c r="K247" s="435"/>
    </row>
    <row r="248" spans="1:11" s="285" customFormat="1" x14ac:dyDescent="0.25">
      <c r="A248" s="344"/>
      <c r="B248" s="151"/>
      <c r="C248" s="94"/>
      <c r="D248" s="436">
        <f>SUM(D242:D247)</f>
        <v>0</v>
      </c>
      <c r="E248" s="99">
        <f>SUM(E242:E247)</f>
        <v>0</v>
      </c>
      <c r="F248" s="99">
        <f>SUM(F242:F247)</f>
        <v>0</v>
      </c>
      <c r="G248" s="436">
        <f>SUM(G242:G247)</f>
        <v>0</v>
      </c>
      <c r="H248" s="99"/>
      <c r="I248" s="436"/>
      <c r="J248" s="436"/>
      <c r="K248" s="436"/>
    </row>
    <row r="249" spans="1:11" s="285" customFormat="1" x14ac:dyDescent="0.25">
      <c r="A249" s="344"/>
      <c r="B249" s="151"/>
      <c r="C249" s="93" t="s">
        <v>80</v>
      </c>
      <c r="D249" s="122"/>
      <c r="E249" s="98"/>
      <c r="F249" s="98"/>
      <c r="G249" s="435"/>
      <c r="H249" s="98"/>
      <c r="I249" s="435"/>
      <c r="J249" s="435"/>
      <c r="K249" s="435"/>
    </row>
    <row r="250" spans="1:11" s="285" customFormat="1" x14ac:dyDescent="0.25">
      <c r="A250" s="118">
        <v>22</v>
      </c>
      <c r="B250" s="151">
        <v>1805</v>
      </c>
      <c r="C250" s="94" t="s">
        <v>81</v>
      </c>
      <c r="D250" s="122">
        <v>0</v>
      </c>
      <c r="E250" s="108"/>
      <c r="F250" s="98">
        <f>E250/8*12</f>
        <v>0</v>
      </c>
      <c r="G250" s="435">
        <v>0</v>
      </c>
      <c r="H250" s="98"/>
      <c r="I250" s="435"/>
      <c r="J250" s="435"/>
      <c r="K250" s="435"/>
    </row>
    <row r="251" spans="1:11" s="285" customFormat="1" x14ac:dyDescent="0.25">
      <c r="A251" s="344"/>
      <c r="B251" s="151"/>
      <c r="C251" s="94"/>
      <c r="D251" s="99">
        <v>0</v>
      </c>
      <c r="E251" s="99">
        <f>E250</f>
        <v>0</v>
      </c>
      <c r="F251" s="99">
        <f>F250</f>
        <v>0</v>
      </c>
      <c r="G251" s="436">
        <v>0</v>
      </c>
      <c r="H251" s="99"/>
      <c r="I251" s="436"/>
      <c r="J251" s="436"/>
      <c r="K251" s="436"/>
    </row>
    <row r="252" spans="1:11" s="285" customFormat="1" x14ac:dyDescent="0.25">
      <c r="A252" s="344"/>
      <c r="B252" s="346"/>
      <c r="C252" s="93" t="s">
        <v>192</v>
      </c>
      <c r="D252" s="442">
        <f t="shared" ref="D252:K252" si="17">SUM(D171:D251)/2</f>
        <v>10358915.495999999</v>
      </c>
      <c r="E252" s="117">
        <f t="shared" si="17"/>
        <v>10980450.425760001</v>
      </c>
      <c r="F252" s="117">
        <f t="shared" si="17"/>
        <v>16280450.425760003</v>
      </c>
      <c r="G252" s="442">
        <f t="shared" si="17"/>
        <v>16280451.425760003</v>
      </c>
      <c r="H252" s="117">
        <f t="shared" si="17"/>
        <v>17908495.468336001</v>
      </c>
      <c r="I252" s="442">
        <f t="shared" si="17"/>
        <v>23832006.929142799</v>
      </c>
      <c r="J252" s="442">
        <f t="shared" si="17"/>
        <v>25142767.310245652</v>
      </c>
      <c r="K252" s="442">
        <f t="shared" si="17"/>
        <v>26475333.97768867</v>
      </c>
    </row>
    <row r="253" spans="1:11" s="285" customFormat="1" hidden="1" x14ac:dyDescent="0.25">
      <c r="A253" s="344"/>
      <c r="B253" s="151"/>
      <c r="C253" s="94"/>
      <c r="D253" s="117"/>
      <c r="E253" s="117"/>
      <c r="F253" s="117"/>
      <c r="G253" s="442"/>
      <c r="H253" s="117"/>
      <c r="I253" s="442"/>
      <c r="J253" s="442"/>
      <c r="K253" s="442"/>
    </row>
    <row r="254" spans="1:11" s="285" customFormat="1" hidden="1" x14ac:dyDescent="0.25">
      <c r="A254" s="344"/>
      <c r="B254" s="151"/>
      <c r="C254" s="145" t="s">
        <v>193</v>
      </c>
      <c r="D254" s="124"/>
      <c r="E254" s="146"/>
      <c r="F254" s="146"/>
      <c r="G254" s="146"/>
      <c r="H254" s="146"/>
      <c r="I254" s="146"/>
      <c r="J254" s="146"/>
      <c r="K254" s="146"/>
    </row>
    <row r="255" spans="1:11" s="285" customFormat="1" hidden="1" x14ac:dyDescent="0.25">
      <c r="A255" s="118">
        <v>22</v>
      </c>
      <c r="B255" s="151">
        <v>1905</v>
      </c>
      <c r="C255" s="118" t="s">
        <v>194</v>
      </c>
      <c r="D255" s="127">
        <v>0</v>
      </c>
      <c r="E255" s="147"/>
      <c r="F255" s="147"/>
      <c r="G255" s="147"/>
      <c r="H255" s="147"/>
      <c r="I255" s="147"/>
      <c r="J255" s="147"/>
      <c r="K255" s="147"/>
    </row>
    <row r="256" spans="1:11" s="285" customFormat="1" hidden="1" x14ac:dyDescent="0.25">
      <c r="A256" s="344"/>
      <c r="B256" s="151"/>
      <c r="C256" s="94"/>
      <c r="D256" s="117">
        <v>0</v>
      </c>
      <c r="E256" s="117">
        <f>SUM(E255)</f>
        <v>0</v>
      </c>
      <c r="F256" s="117">
        <f>SUM(F255)</f>
        <v>0</v>
      </c>
      <c r="G256" s="442">
        <v>0</v>
      </c>
      <c r="H256" s="117">
        <f>SUM(H255)</f>
        <v>0</v>
      </c>
      <c r="I256" s="442">
        <f>SUM(I255)</f>
        <v>0</v>
      </c>
      <c r="J256" s="442">
        <f>SUM(J255)</f>
        <v>0</v>
      </c>
      <c r="K256" s="442">
        <f>SUM(K255)</f>
        <v>0</v>
      </c>
    </row>
    <row r="257" spans="1:11" s="285" customFormat="1" x14ac:dyDescent="0.25">
      <c r="A257" s="344"/>
      <c r="B257" s="151"/>
      <c r="C257" s="93" t="s">
        <v>189</v>
      </c>
      <c r="D257" s="442">
        <f t="shared" ref="D257:K257" si="18">D252+D256</f>
        <v>10358915.495999999</v>
      </c>
      <c r="E257" s="117">
        <f t="shared" si="18"/>
        <v>10980450.425760001</v>
      </c>
      <c r="F257" s="117">
        <f t="shared" si="18"/>
        <v>16280450.425760003</v>
      </c>
      <c r="G257" s="442">
        <f t="shared" si="18"/>
        <v>16280451.425760003</v>
      </c>
      <c r="H257" s="117">
        <f t="shared" si="18"/>
        <v>17908495.468336001</v>
      </c>
      <c r="I257" s="442">
        <f t="shared" si="18"/>
        <v>23832006.929142799</v>
      </c>
      <c r="J257" s="442">
        <f t="shared" si="18"/>
        <v>25142767.310245652</v>
      </c>
      <c r="K257" s="442">
        <f t="shared" si="18"/>
        <v>26475333.97768867</v>
      </c>
    </row>
    <row r="258" spans="1:11" s="285" customFormat="1" hidden="1" x14ac:dyDescent="0.25">
      <c r="A258" s="344"/>
      <c r="B258" s="151"/>
      <c r="C258" s="145" t="s">
        <v>195</v>
      </c>
      <c r="D258" s="124"/>
      <c r="E258" s="148"/>
      <c r="F258" s="148"/>
      <c r="G258" s="148"/>
      <c r="H258" s="148"/>
      <c r="I258" s="148"/>
      <c r="J258" s="148"/>
      <c r="K258" s="148"/>
    </row>
    <row r="259" spans="1:11" s="285" customFormat="1" hidden="1" x14ac:dyDescent="0.25">
      <c r="A259" s="118">
        <v>22</v>
      </c>
      <c r="B259" s="151">
        <v>1950</v>
      </c>
      <c r="C259" s="118" t="s">
        <v>196</v>
      </c>
      <c r="D259" s="127">
        <v>0</v>
      </c>
      <c r="E259" s="147"/>
      <c r="F259" s="147"/>
      <c r="G259" s="147"/>
      <c r="H259" s="147"/>
      <c r="I259" s="147"/>
      <c r="J259" s="147"/>
      <c r="K259" s="147"/>
    </row>
    <row r="260" spans="1:11" s="285" customFormat="1" hidden="1" x14ac:dyDescent="0.25">
      <c r="A260" s="344"/>
      <c r="B260" s="346"/>
      <c r="C260" s="94"/>
      <c r="D260" s="124">
        <v>0</v>
      </c>
      <c r="E260" s="124">
        <f>E259</f>
        <v>0</v>
      </c>
      <c r="F260" s="124">
        <f>F259</f>
        <v>0</v>
      </c>
      <c r="G260" s="445">
        <v>0</v>
      </c>
      <c r="H260" s="124">
        <f>H259</f>
        <v>0</v>
      </c>
      <c r="I260" s="445">
        <f>I259</f>
        <v>0</v>
      </c>
      <c r="J260" s="445">
        <f>J259</f>
        <v>0</v>
      </c>
      <c r="K260" s="445">
        <f>K259</f>
        <v>0</v>
      </c>
    </row>
    <row r="261" spans="1:11" s="285" customFormat="1" x14ac:dyDescent="0.25">
      <c r="A261" s="348"/>
      <c r="B261" s="351"/>
      <c r="C261" s="93" t="s">
        <v>197</v>
      </c>
      <c r="D261" s="448">
        <f t="shared" ref="D261:K261" si="19">D257+D260</f>
        <v>10358915.495999999</v>
      </c>
      <c r="E261" s="160">
        <f t="shared" si="19"/>
        <v>10980450.425760001</v>
      </c>
      <c r="F261" s="160">
        <f t="shared" si="19"/>
        <v>16280450.425760003</v>
      </c>
      <c r="G261" s="448">
        <f t="shared" si="19"/>
        <v>16280451.425760003</v>
      </c>
      <c r="H261" s="160">
        <f t="shared" si="19"/>
        <v>17908495.468336001</v>
      </c>
      <c r="I261" s="448">
        <f t="shared" si="19"/>
        <v>23832006.929142799</v>
      </c>
      <c r="J261" s="448">
        <f t="shared" si="19"/>
        <v>25142767.310245652</v>
      </c>
      <c r="K261" s="448">
        <f t="shared" si="19"/>
        <v>26475333.97768867</v>
      </c>
    </row>
    <row r="262" spans="1:11" s="285" customFormat="1" x14ac:dyDescent="0.25">
      <c r="A262" s="349"/>
      <c r="B262" s="154"/>
      <c r="C262" s="126" t="s">
        <v>82</v>
      </c>
      <c r="D262" s="449">
        <f t="shared" ref="D262:K262" si="20">D261-D165</f>
        <v>5987453.3659999995</v>
      </c>
      <c r="E262" s="161">
        <f t="shared" si="20"/>
        <v>4508988.2957600011</v>
      </c>
      <c r="F262" s="161">
        <f t="shared" si="20"/>
        <v>9808988.295760002</v>
      </c>
      <c r="G262" s="449">
        <f t="shared" si="20"/>
        <v>9808989.295760002</v>
      </c>
      <c r="H262" s="161">
        <f t="shared" si="20"/>
        <v>16519887.468336001</v>
      </c>
      <c r="I262" s="449">
        <f t="shared" si="20"/>
        <v>19842046.929142799</v>
      </c>
      <c r="J262" s="449">
        <f t="shared" si="20"/>
        <v>20933359.510245651</v>
      </c>
      <c r="K262" s="449">
        <f t="shared" si="20"/>
        <v>22042827.564288668</v>
      </c>
    </row>
    <row r="263" spans="1:11" s="285" customFormat="1" x14ac:dyDescent="0.25">
      <c r="A263" s="284"/>
      <c r="B263" s="352"/>
      <c r="G263" s="468"/>
      <c r="I263" s="468"/>
    </row>
    <row r="264" spans="1:11" s="285" customFormat="1" x14ac:dyDescent="0.25">
      <c r="A264" s="284"/>
      <c r="B264" s="352"/>
      <c r="G264" s="468"/>
      <c r="I264" s="468"/>
    </row>
    <row r="266" spans="1:11" x14ac:dyDescent="0.25">
      <c r="E266" s="128"/>
      <c r="F266" s="128"/>
      <c r="G266" s="128"/>
      <c r="H266" s="128"/>
      <c r="I266" s="128"/>
      <c r="J266" s="128"/>
    </row>
    <row r="267" spans="1:11" x14ac:dyDescent="0.25">
      <c r="E267" s="128"/>
      <c r="F267" s="128"/>
      <c r="G267" s="128"/>
      <c r="H267" s="128"/>
      <c r="I267" s="128"/>
      <c r="J267" s="128"/>
      <c r="K267" s="109"/>
    </row>
    <row r="268" spans="1:11" x14ac:dyDescent="0.25">
      <c r="E268" s="128"/>
      <c r="F268" s="128"/>
      <c r="G268" s="128"/>
      <c r="H268" s="128"/>
      <c r="I268" s="128"/>
      <c r="J268" s="128"/>
    </row>
  </sheetData>
  <mergeCells count="3">
    <mergeCell ref="A4:B5"/>
    <mergeCell ref="A169:B170"/>
    <mergeCell ref="A1:K1"/>
  </mergeCells>
  <phoneticPr fontId="0" type="noConversion"/>
  <pageMargins left="0.25" right="0.25" top="0.75" bottom="0.75" header="0.3" footer="0.3"/>
  <pageSetup paperSize="9" scale="76" fitToHeight="0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tabColor rgb="FFFF0000"/>
    <pageSetUpPr fitToPage="1"/>
  </sheetPr>
  <dimension ref="A1:K268"/>
  <sheetViews>
    <sheetView view="pageBreakPreview" topLeftCell="A122" zoomScaleSheetLayoutView="100" workbookViewId="0">
      <selection activeCell="I161" sqref="I161:K161"/>
    </sheetView>
  </sheetViews>
  <sheetFormatPr defaultColWidth="9.109375" defaultRowHeight="13.2" x14ac:dyDescent="0.25"/>
  <cols>
    <col min="1" max="1" width="3.33203125" style="96" customWidth="1"/>
    <col min="2" max="2" width="9" style="131" customWidth="1"/>
    <col min="3" max="3" width="31" style="96" customWidth="1"/>
    <col min="4" max="4" width="12" style="96" customWidth="1"/>
    <col min="5" max="5" width="11.44140625" style="96" customWidth="1"/>
    <col min="6" max="6" width="12.88671875" style="96" customWidth="1"/>
    <col min="7" max="7" width="12.88671875" style="434" customWidth="1"/>
    <col min="8" max="8" width="12.88671875" style="96" customWidth="1"/>
    <col min="9" max="9" width="12.88671875" style="434" customWidth="1"/>
    <col min="10" max="10" width="11.6640625" style="96" customWidth="1"/>
    <col min="11" max="11" width="11.5546875" style="96" customWidth="1"/>
    <col min="12" max="12" width="9.109375" style="96" customWidth="1"/>
    <col min="13" max="16384" width="9.109375" style="96"/>
  </cols>
  <sheetData>
    <row r="1" spans="1:11" ht="12.75" customHeight="1" x14ac:dyDescent="0.25">
      <c r="A1" s="937" t="s">
        <v>539</v>
      </c>
      <c r="B1" s="938"/>
      <c r="C1" s="938"/>
      <c r="D1" s="938"/>
      <c r="E1" s="938"/>
      <c r="F1" s="938"/>
      <c r="G1" s="938"/>
      <c r="H1" s="938"/>
      <c r="I1" s="938"/>
      <c r="J1" s="938"/>
      <c r="K1" s="938"/>
    </row>
    <row r="2" spans="1:11" ht="12.75" customHeight="1" x14ac:dyDescent="0.25">
      <c r="A2" s="552"/>
      <c r="B2" s="553"/>
      <c r="C2" s="553"/>
      <c r="D2" s="553"/>
      <c r="E2" s="553"/>
      <c r="F2" s="553"/>
      <c r="G2" s="553"/>
      <c r="H2" s="553"/>
      <c r="I2" s="553"/>
      <c r="J2" s="553"/>
      <c r="K2" s="553"/>
    </row>
    <row r="3" spans="1:11" s="285" customFormat="1" x14ac:dyDescent="0.25">
      <c r="A3" s="419" t="s">
        <v>542</v>
      </c>
      <c r="B3" s="546"/>
      <c r="C3" s="546"/>
      <c r="D3" s="546"/>
      <c r="E3" s="546"/>
      <c r="F3" s="546"/>
      <c r="G3" s="546"/>
      <c r="H3" s="546"/>
      <c r="I3" s="546"/>
      <c r="J3" s="546"/>
      <c r="K3" s="546"/>
    </row>
    <row r="4" spans="1:11" s="285" customFormat="1" x14ac:dyDescent="0.25">
      <c r="A4" s="944" t="s">
        <v>21</v>
      </c>
      <c r="B4" s="945"/>
      <c r="C4" s="150" t="s">
        <v>22</v>
      </c>
      <c r="D4" s="103" t="s">
        <v>23</v>
      </c>
      <c r="E4" s="104" t="s">
        <v>24</v>
      </c>
      <c r="F4" s="103" t="s">
        <v>535</v>
      </c>
      <c r="G4" s="103" t="s">
        <v>413</v>
      </c>
      <c r="H4" s="104" t="s">
        <v>24</v>
      </c>
      <c r="I4" s="583" t="s">
        <v>24</v>
      </c>
      <c r="J4" s="583" t="s">
        <v>24</v>
      </c>
      <c r="K4" s="583" t="s">
        <v>24</v>
      </c>
    </row>
    <row r="5" spans="1:11" s="285" customFormat="1" x14ac:dyDescent="0.25">
      <c r="A5" s="946"/>
      <c r="B5" s="947"/>
      <c r="C5" s="106"/>
      <c r="D5" s="333" t="s">
        <v>257</v>
      </c>
      <c r="E5" s="107" t="s">
        <v>382</v>
      </c>
      <c r="F5" s="107" t="s">
        <v>382</v>
      </c>
      <c r="G5" s="107" t="s">
        <v>382</v>
      </c>
      <c r="H5" s="107" t="s">
        <v>407</v>
      </c>
      <c r="I5" s="586" t="s">
        <v>414</v>
      </c>
      <c r="J5" s="586" t="s">
        <v>530</v>
      </c>
      <c r="K5" s="586" t="s">
        <v>886</v>
      </c>
    </row>
    <row r="6" spans="1:11" s="285" customFormat="1" x14ac:dyDescent="0.25">
      <c r="A6" s="344"/>
      <c r="B6" s="151"/>
      <c r="C6" s="93" t="s">
        <v>33</v>
      </c>
      <c r="D6" s="85"/>
      <c r="E6" s="85"/>
      <c r="F6" s="85">
        <f t="shared" ref="F6:F13" si="0">E6-D6</f>
        <v>0</v>
      </c>
      <c r="G6" s="428"/>
      <c r="H6" s="85"/>
      <c r="I6" s="428"/>
      <c r="J6" s="85"/>
      <c r="K6" s="85"/>
    </row>
    <row r="7" spans="1:11" s="285" customFormat="1" hidden="1" x14ac:dyDescent="0.25">
      <c r="A7" s="118">
        <v>24</v>
      </c>
      <c r="B7" s="155">
        <v>5005</v>
      </c>
      <c r="C7" s="94" t="s">
        <v>241</v>
      </c>
      <c r="D7" s="85"/>
      <c r="E7" s="85"/>
      <c r="F7" s="85">
        <f t="shared" si="0"/>
        <v>0</v>
      </c>
      <c r="G7" s="428"/>
      <c r="H7" s="428">
        <f t="shared" ref="H7:H17" si="1">(F7*0.068)+F7</f>
        <v>0</v>
      </c>
      <c r="I7" s="428"/>
      <c r="J7" s="428">
        <f t="shared" ref="J7:J13" si="2">(H7*0.068)+H7</f>
        <v>0</v>
      </c>
      <c r="K7" s="428">
        <f t="shared" ref="K7:K13" si="3">(J7*0.068)+J7</f>
        <v>0</v>
      </c>
    </row>
    <row r="8" spans="1:11" s="285" customFormat="1" hidden="1" x14ac:dyDescent="0.25">
      <c r="A8" s="118">
        <v>24</v>
      </c>
      <c r="B8" s="151">
        <v>5010</v>
      </c>
      <c r="C8" s="94" t="s">
        <v>34</v>
      </c>
      <c r="D8" s="85"/>
      <c r="E8" s="85"/>
      <c r="F8" s="85">
        <f t="shared" si="0"/>
        <v>0</v>
      </c>
      <c r="G8" s="428"/>
      <c r="H8" s="428">
        <f t="shared" si="1"/>
        <v>0</v>
      </c>
      <c r="I8" s="428"/>
      <c r="J8" s="428">
        <f t="shared" si="2"/>
        <v>0</v>
      </c>
      <c r="K8" s="428">
        <f t="shared" si="3"/>
        <v>0</v>
      </c>
    </row>
    <row r="9" spans="1:11" s="285" customFormat="1" hidden="1" x14ac:dyDescent="0.25">
      <c r="A9" s="118">
        <v>24</v>
      </c>
      <c r="B9" s="151">
        <v>5015</v>
      </c>
      <c r="C9" s="94" t="s">
        <v>35</v>
      </c>
      <c r="D9" s="85"/>
      <c r="E9" s="85"/>
      <c r="F9" s="85">
        <f t="shared" si="0"/>
        <v>0</v>
      </c>
      <c r="G9" s="428"/>
      <c r="H9" s="428">
        <f t="shared" si="1"/>
        <v>0</v>
      </c>
      <c r="I9" s="428"/>
      <c r="J9" s="428">
        <f t="shared" si="2"/>
        <v>0</v>
      </c>
      <c r="K9" s="428">
        <f t="shared" si="3"/>
        <v>0</v>
      </c>
    </row>
    <row r="10" spans="1:11" s="285" customFormat="1" hidden="1" x14ac:dyDescent="0.25">
      <c r="A10" s="118">
        <v>24</v>
      </c>
      <c r="B10" s="151">
        <v>5020</v>
      </c>
      <c r="C10" s="94" t="s">
        <v>350</v>
      </c>
      <c r="D10" s="85"/>
      <c r="E10" s="85"/>
      <c r="F10" s="85">
        <f t="shared" si="0"/>
        <v>0</v>
      </c>
      <c r="G10" s="428"/>
      <c r="H10" s="428">
        <f t="shared" si="1"/>
        <v>0</v>
      </c>
      <c r="I10" s="428"/>
      <c r="J10" s="428">
        <f t="shared" si="2"/>
        <v>0</v>
      </c>
      <c r="K10" s="428">
        <f t="shared" si="3"/>
        <v>0</v>
      </c>
    </row>
    <row r="11" spans="1:11" s="285" customFormat="1" hidden="1" x14ac:dyDescent="0.25">
      <c r="A11" s="118">
        <v>24</v>
      </c>
      <c r="B11" s="151">
        <v>5025</v>
      </c>
      <c r="C11" s="94" t="s">
        <v>36</v>
      </c>
      <c r="D11" s="85"/>
      <c r="E11" s="85"/>
      <c r="F11" s="85">
        <f t="shared" si="0"/>
        <v>0</v>
      </c>
      <c r="G11" s="428"/>
      <c r="H11" s="428">
        <f t="shared" si="1"/>
        <v>0</v>
      </c>
      <c r="I11" s="428"/>
      <c r="J11" s="428">
        <f t="shared" si="2"/>
        <v>0</v>
      </c>
      <c r="K11" s="428">
        <f t="shared" si="3"/>
        <v>0</v>
      </c>
    </row>
    <row r="12" spans="1:11" s="285" customFormat="1" hidden="1" x14ac:dyDescent="0.25">
      <c r="A12" s="118">
        <v>24</v>
      </c>
      <c r="B12" s="151">
        <v>5030</v>
      </c>
      <c r="C12" s="94" t="s">
        <v>85</v>
      </c>
      <c r="D12" s="85"/>
      <c r="E12" s="85"/>
      <c r="F12" s="85">
        <f t="shared" si="0"/>
        <v>0</v>
      </c>
      <c r="G12" s="428"/>
      <c r="H12" s="428">
        <f t="shared" si="1"/>
        <v>0</v>
      </c>
      <c r="I12" s="428"/>
      <c r="J12" s="428">
        <f t="shared" si="2"/>
        <v>0</v>
      </c>
      <c r="K12" s="428">
        <f t="shared" si="3"/>
        <v>0</v>
      </c>
    </row>
    <row r="13" spans="1:11" s="285" customFormat="1" hidden="1" x14ac:dyDescent="0.25">
      <c r="A13" s="118">
        <v>24</v>
      </c>
      <c r="B13" s="151">
        <v>5035</v>
      </c>
      <c r="C13" s="94" t="s">
        <v>84</v>
      </c>
      <c r="D13" s="85"/>
      <c r="E13" s="85"/>
      <c r="F13" s="85">
        <f t="shared" si="0"/>
        <v>0</v>
      </c>
      <c r="G13" s="428"/>
      <c r="H13" s="428">
        <f t="shared" si="1"/>
        <v>0</v>
      </c>
      <c r="I13" s="428"/>
      <c r="J13" s="428">
        <f t="shared" si="2"/>
        <v>0</v>
      </c>
      <c r="K13" s="428">
        <f t="shared" si="3"/>
        <v>0</v>
      </c>
    </row>
    <row r="14" spans="1:11" s="285" customFormat="1" x14ac:dyDescent="0.25">
      <c r="A14" s="118">
        <v>24</v>
      </c>
      <c r="B14" s="151">
        <v>5040</v>
      </c>
      <c r="C14" s="94" t="s">
        <v>37</v>
      </c>
      <c r="D14" s="85">
        <v>104200</v>
      </c>
      <c r="E14" s="85">
        <v>126000</v>
      </c>
      <c r="F14" s="85">
        <v>126000</v>
      </c>
      <c r="G14" s="428">
        <v>126000</v>
      </c>
      <c r="H14" s="428">
        <f t="shared" si="1"/>
        <v>134568</v>
      </c>
      <c r="I14" s="428">
        <f>+H14*1.058</f>
        <v>142372.94400000002</v>
      </c>
      <c r="J14" s="428">
        <f>+I14*1.055</f>
        <v>150203.45592000001</v>
      </c>
      <c r="K14" s="428">
        <f>+J14*1.053</f>
        <v>158164.23908376001</v>
      </c>
    </row>
    <row r="15" spans="1:11" s="285" customFormat="1" hidden="1" x14ac:dyDescent="0.25">
      <c r="A15" s="118">
        <v>24</v>
      </c>
      <c r="B15" s="151">
        <v>5045</v>
      </c>
      <c r="C15" s="94" t="s">
        <v>38</v>
      </c>
      <c r="D15" s="85">
        <v>0</v>
      </c>
      <c r="E15" s="85"/>
      <c r="F15" s="85"/>
      <c r="G15" s="428"/>
      <c r="H15" s="428">
        <f t="shared" si="1"/>
        <v>0</v>
      </c>
      <c r="I15" s="428">
        <f>+H15*1.058</f>
        <v>0</v>
      </c>
      <c r="J15" s="428">
        <f>+I15*1.055</f>
        <v>0</v>
      </c>
      <c r="K15" s="428">
        <f>+J15*1.053</f>
        <v>0</v>
      </c>
    </row>
    <row r="16" spans="1:11" s="285" customFormat="1" x14ac:dyDescent="0.25">
      <c r="A16" s="118">
        <v>24</v>
      </c>
      <c r="B16" s="151">
        <v>5050</v>
      </c>
      <c r="C16" s="94" t="s">
        <v>83</v>
      </c>
      <c r="D16" s="85">
        <v>44200</v>
      </c>
      <c r="E16" s="85">
        <v>39000</v>
      </c>
      <c r="F16" s="85">
        <v>39000</v>
      </c>
      <c r="G16" s="428">
        <v>39000</v>
      </c>
      <c r="H16" s="428">
        <f t="shared" si="1"/>
        <v>41652</v>
      </c>
      <c r="I16" s="428">
        <f>+H16*1.058</f>
        <v>44067.815999999999</v>
      </c>
      <c r="J16" s="428">
        <f>+I16*1.055</f>
        <v>46491.545879999998</v>
      </c>
      <c r="K16" s="428">
        <f>+J16*1.053</f>
        <v>48955.597811639993</v>
      </c>
    </row>
    <row r="17" spans="1:11" s="285" customFormat="1" x14ac:dyDescent="0.25">
      <c r="A17" s="118">
        <v>24</v>
      </c>
      <c r="B17" s="151">
        <v>5055</v>
      </c>
      <c r="C17" s="94" t="s">
        <v>39</v>
      </c>
      <c r="D17" s="85">
        <v>1287500</v>
      </c>
      <c r="E17" s="85">
        <v>1540000</v>
      </c>
      <c r="F17" s="85">
        <v>1540000</v>
      </c>
      <c r="G17" s="428">
        <v>1540000</v>
      </c>
      <c r="H17" s="428">
        <f t="shared" si="1"/>
        <v>1644720</v>
      </c>
      <c r="I17" s="428">
        <f>+H17*1.058</f>
        <v>1740113.76</v>
      </c>
      <c r="J17" s="428">
        <f>+I17*1.055</f>
        <v>1835820.0167999999</v>
      </c>
      <c r="K17" s="428">
        <f>+J17*1.053</f>
        <v>1933118.4776903999</v>
      </c>
    </row>
    <row r="18" spans="1:11" s="285" customFormat="1" x14ac:dyDescent="0.25">
      <c r="A18" s="344"/>
      <c r="B18" s="151"/>
      <c r="C18" s="94"/>
      <c r="D18" s="429">
        <f t="shared" ref="D18:K18" si="4">SUM(D7:D17)</f>
        <v>1435900</v>
      </c>
      <c r="E18" s="89">
        <f t="shared" si="4"/>
        <v>1705000</v>
      </c>
      <c r="F18" s="89">
        <f t="shared" si="4"/>
        <v>1705000</v>
      </c>
      <c r="G18" s="429">
        <f t="shared" si="4"/>
        <v>1705000</v>
      </c>
      <c r="H18" s="89">
        <f t="shared" si="4"/>
        <v>1820940</v>
      </c>
      <c r="I18" s="429">
        <f t="shared" si="4"/>
        <v>1926554.52</v>
      </c>
      <c r="J18" s="429">
        <f t="shared" si="4"/>
        <v>2032515.0185999998</v>
      </c>
      <c r="K18" s="429">
        <f t="shared" si="4"/>
        <v>2140238.3145857998</v>
      </c>
    </row>
    <row r="19" spans="1:11" s="285" customFormat="1" x14ac:dyDescent="0.25">
      <c r="A19" s="344"/>
      <c r="B19" s="151"/>
      <c r="C19" s="93" t="s">
        <v>40</v>
      </c>
      <c r="D19" s="85"/>
      <c r="E19" s="86"/>
      <c r="F19" s="86"/>
      <c r="G19" s="86"/>
      <c r="H19" s="86"/>
      <c r="I19" s="86"/>
      <c r="J19" s="86"/>
      <c r="K19" s="88"/>
    </row>
    <row r="20" spans="1:11" s="285" customFormat="1" x14ac:dyDescent="0.25">
      <c r="A20" s="118">
        <v>24</v>
      </c>
      <c r="B20" s="151">
        <v>5105</v>
      </c>
      <c r="C20" s="94" t="s">
        <v>41</v>
      </c>
      <c r="D20" s="85">
        <v>125200</v>
      </c>
      <c r="E20" s="85">
        <v>155000</v>
      </c>
      <c r="F20" s="85">
        <v>155000</v>
      </c>
      <c r="G20" s="428">
        <v>155000</v>
      </c>
      <c r="H20" s="428">
        <f>(F20*0.068)+F20</f>
        <v>165540</v>
      </c>
      <c r="I20" s="428">
        <f>+H20*1.058</f>
        <v>175141.32</v>
      </c>
      <c r="J20" s="428">
        <f>+I20*1.055</f>
        <v>184774.0926</v>
      </c>
      <c r="K20" s="428">
        <f>+J20*1.053</f>
        <v>194567.1195078</v>
      </c>
    </row>
    <row r="21" spans="1:11" s="285" customFormat="1" x14ac:dyDescent="0.25">
      <c r="A21" s="118">
        <v>24</v>
      </c>
      <c r="B21" s="151">
        <v>5115</v>
      </c>
      <c r="C21" s="94" t="s">
        <v>42</v>
      </c>
      <c r="D21" s="85">
        <v>109900</v>
      </c>
      <c r="E21" s="85">
        <v>224000</v>
      </c>
      <c r="F21" s="85">
        <v>224000</v>
      </c>
      <c r="G21" s="428">
        <v>224000</v>
      </c>
      <c r="H21" s="428">
        <f>(F21*0.068)+F21</f>
        <v>239232</v>
      </c>
      <c r="I21" s="428">
        <f>+H21*1.058</f>
        <v>253107.45600000001</v>
      </c>
      <c r="J21" s="428">
        <f>+I21*1.055</f>
        <v>267028.36608000001</v>
      </c>
      <c r="K21" s="428">
        <f>+J21*1.053</f>
        <v>281180.86948224</v>
      </c>
    </row>
    <row r="22" spans="1:11" s="285" customFormat="1" x14ac:dyDescent="0.25">
      <c r="A22" s="118">
        <v>24</v>
      </c>
      <c r="B22" s="151">
        <v>5120</v>
      </c>
      <c r="C22" s="94" t="s">
        <v>43</v>
      </c>
      <c r="D22" s="85">
        <v>83200</v>
      </c>
      <c r="E22" s="85">
        <v>63000</v>
      </c>
      <c r="F22" s="85">
        <v>63000</v>
      </c>
      <c r="G22" s="428">
        <v>63000</v>
      </c>
      <c r="H22" s="428">
        <f>(F22*0.068)+F22</f>
        <v>67284</v>
      </c>
      <c r="I22" s="428">
        <f>+H22*1.058</f>
        <v>71186.472000000009</v>
      </c>
      <c r="J22" s="428">
        <f>+I22*1.055</f>
        <v>75101.727960000004</v>
      </c>
      <c r="K22" s="428">
        <f>+J22*1.053</f>
        <v>79082.119541880005</v>
      </c>
    </row>
    <row r="23" spans="1:11" s="285" customFormat="1" x14ac:dyDescent="0.25">
      <c r="A23" s="118">
        <v>24</v>
      </c>
      <c r="B23" s="151">
        <v>5125</v>
      </c>
      <c r="C23" s="94" t="s">
        <v>44</v>
      </c>
      <c r="D23" s="85">
        <v>0</v>
      </c>
      <c r="E23" s="85"/>
      <c r="F23" s="85"/>
      <c r="G23" s="428"/>
      <c r="H23" s="428">
        <f>(F23*0.068)+F23</f>
        <v>0</v>
      </c>
      <c r="I23" s="428">
        <f>+H23*1.058</f>
        <v>0</v>
      </c>
      <c r="J23" s="428">
        <f>+I23*1.055</f>
        <v>0</v>
      </c>
      <c r="K23" s="428">
        <f>+J23*1.053</f>
        <v>0</v>
      </c>
    </row>
    <row r="24" spans="1:11" s="285" customFormat="1" x14ac:dyDescent="0.25">
      <c r="A24" s="118">
        <v>24</v>
      </c>
      <c r="B24" s="151">
        <v>5130</v>
      </c>
      <c r="C24" s="94" t="s">
        <v>45</v>
      </c>
      <c r="D24" s="85">
        <v>14800</v>
      </c>
      <c r="E24" s="85">
        <v>17400</v>
      </c>
      <c r="F24" s="85">
        <v>17400</v>
      </c>
      <c r="G24" s="428">
        <v>17400</v>
      </c>
      <c r="H24" s="428">
        <f>(F24*0.068)+F24</f>
        <v>18583.2</v>
      </c>
      <c r="I24" s="428">
        <f>+H24*1.058</f>
        <v>19661.025600000001</v>
      </c>
      <c r="J24" s="428">
        <f>+I24*1.055</f>
        <v>20742.382008</v>
      </c>
      <c r="K24" s="428">
        <f>+J24*1.053</f>
        <v>21841.728254424001</v>
      </c>
    </row>
    <row r="25" spans="1:11" s="285" customFormat="1" x14ac:dyDescent="0.25">
      <c r="A25" s="344"/>
      <c r="B25" s="151"/>
      <c r="C25" s="94"/>
      <c r="D25" s="429">
        <f t="shared" ref="D25:K25" si="5">SUM(D20:D24)</f>
        <v>333100</v>
      </c>
      <c r="E25" s="89">
        <f t="shared" si="5"/>
        <v>459400</v>
      </c>
      <c r="F25" s="89">
        <f t="shared" si="5"/>
        <v>459400</v>
      </c>
      <c r="G25" s="429">
        <f t="shared" si="5"/>
        <v>459400</v>
      </c>
      <c r="H25" s="89">
        <f t="shared" si="5"/>
        <v>490639.2</v>
      </c>
      <c r="I25" s="429">
        <f t="shared" si="5"/>
        <v>519096.27360000001</v>
      </c>
      <c r="J25" s="429">
        <f t="shared" si="5"/>
        <v>547646.56864800013</v>
      </c>
      <c r="K25" s="429">
        <f t="shared" si="5"/>
        <v>576671.83678634395</v>
      </c>
    </row>
    <row r="26" spans="1:11" s="285" customFormat="1" hidden="1" x14ac:dyDescent="0.25">
      <c r="A26" s="344"/>
      <c r="B26" s="151"/>
      <c r="C26" s="93" t="s">
        <v>46</v>
      </c>
      <c r="D26" s="85"/>
      <c r="E26" s="86"/>
      <c r="F26" s="86"/>
      <c r="G26" s="86"/>
      <c r="H26" s="86"/>
      <c r="I26" s="86"/>
      <c r="J26" s="86"/>
      <c r="K26" s="86"/>
    </row>
    <row r="27" spans="1:11" s="285" customFormat="1" hidden="1" x14ac:dyDescent="0.25">
      <c r="A27" s="344"/>
      <c r="B27" s="151"/>
      <c r="C27" s="93" t="s">
        <v>47</v>
      </c>
      <c r="D27" s="85"/>
      <c r="E27" s="86"/>
      <c r="F27" s="86"/>
      <c r="G27" s="86"/>
      <c r="H27" s="86"/>
      <c r="I27" s="86"/>
      <c r="J27" s="86"/>
      <c r="K27" s="86"/>
    </row>
    <row r="28" spans="1:11" s="285" customFormat="1" hidden="1" x14ac:dyDescent="0.25">
      <c r="A28" s="118">
        <v>24</v>
      </c>
      <c r="B28" s="151">
        <v>5150</v>
      </c>
      <c r="C28" s="94" t="s">
        <v>48</v>
      </c>
      <c r="D28" s="85"/>
      <c r="E28" s="85"/>
      <c r="F28" s="85">
        <f>0/8*12</f>
        <v>0</v>
      </c>
      <c r="G28" s="428">
        <v>0</v>
      </c>
      <c r="H28" s="85"/>
      <c r="I28" s="428"/>
      <c r="J28" s="85"/>
      <c r="K28" s="85"/>
    </row>
    <row r="29" spans="1:11" s="285" customFormat="1" hidden="1" x14ac:dyDescent="0.25">
      <c r="A29" s="344"/>
      <c r="B29" s="151"/>
      <c r="C29" s="94"/>
      <c r="D29" s="89"/>
      <c r="E29" s="89">
        <f>E28</f>
        <v>0</v>
      </c>
      <c r="F29" s="89">
        <f>F28</f>
        <v>0</v>
      </c>
      <c r="G29" s="429">
        <v>0</v>
      </c>
      <c r="H29" s="89"/>
      <c r="I29" s="429"/>
      <c r="J29" s="89"/>
      <c r="K29" s="89"/>
    </row>
    <row r="30" spans="1:11" s="285" customFormat="1" hidden="1" x14ac:dyDescent="0.25">
      <c r="A30" s="344"/>
      <c r="B30" s="151"/>
      <c r="C30" s="93" t="s">
        <v>49</v>
      </c>
      <c r="D30" s="85"/>
      <c r="E30" s="86"/>
      <c r="F30" s="86"/>
      <c r="G30" s="86"/>
      <c r="H30" s="86"/>
      <c r="I30" s="86"/>
      <c r="J30" s="86"/>
      <c r="K30" s="86"/>
    </row>
    <row r="31" spans="1:11" s="285" customFormat="1" hidden="1" x14ac:dyDescent="0.25">
      <c r="A31" s="118">
        <v>24</v>
      </c>
      <c r="B31" s="151">
        <v>5170</v>
      </c>
      <c r="C31" s="94" t="s">
        <v>341</v>
      </c>
      <c r="D31" s="425"/>
      <c r="E31" s="108"/>
      <c r="F31" s="425"/>
      <c r="G31" s="428">
        <v>0</v>
      </c>
      <c r="H31" s="85"/>
      <c r="I31" s="428"/>
      <c r="J31" s="85"/>
      <c r="K31" s="85"/>
    </row>
    <row r="32" spans="1:11" s="285" customFormat="1" hidden="1" x14ac:dyDescent="0.25">
      <c r="A32" s="344"/>
      <c r="B32" s="151"/>
      <c r="C32" s="94"/>
      <c r="D32" s="89"/>
      <c r="E32" s="429"/>
      <c r="F32" s="429"/>
      <c r="G32" s="429"/>
      <c r="H32" s="429"/>
      <c r="I32" s="429"/>
      <c r="J32" s="429"/>
      <c r="K32" s="429"/>
    </row>
    <row r="33" spans="1:11" s="285" customFormat="1" hidden="1" x14ac:dyDescent="0.25">
      <c r="A33" s="344"/>
      <c r="B33" s="151"/>
      <c r="C33" s="93" t="s">
        <v>50</v>
      </c>
      <c r="D33" s="85"/>
      <c r="E33" s="86"/>
      <c r="F33" s="86"/>
      <c r="G33" s="86"/>
      <c r="H33" s="86"/>
      <c r="I33" s="86"/>
      <c r="J33" s="86"/>
      <c r="K33" s="86"/>
    </row>
    <row r="34" spans="1:11" s="285" customFormat="1" hidden="1" x14ac:dyDescent="0.25">
      <c r="A34" s="118">
        <v>24</v>
      </c>
      <c r="B34" s="151">
        <v>5180</v>
      </c>
      <c r="C34" s="94" t="s">
        <v>51</v>
      </c>
      <c r="D34" s="85"/>
      <c r="E34" s="108"/>
      <c r="F34" s="85">
        <f>0/8*12</f>
        <v>0</v>
      </c>
      <c r="G34" s="428">
        <v>0</v>
      </c>
      <c r="H34" s="85"/>
      <c r="I34" s="428"/>
      <c r="J34" s="85"/>
      <c r="K34" s="108"/>
    </row>
    <row r="35" spans="1:11" s="285" customFormat="1" hidden="1" x14ac:dyDescent="0.25">
      <c r="A35" s="344"/>
      <c r="B35" s="151"/>
      <c r="C35" s="94"/>
      <c r="D35" s="89"/>
      <c r="E35" s="89">
        <f>SUM(E34)</f>
        <v>0</v>
      </c>
      <c r="F35" s="89">
        <f>SUM(F34)</f>
        <v>0</v>
      </c>
      <c r="G35" s="429">
        <v>0</v>
      </c>
      <c r="H35" s="89"/>
      <c r="I35" s="429"/>
      <c r="J35" s="89"/>
      <c r="K35" s="89"/>
    </row>
    <row r="36" spans="1:11" s="285" customFormat="1" hidden="1" x14ac:dyDescent="0.25">
      <c r="A36" s="344"/>
      <c r="B36" s="151"/>
      <c r="C36" s="93" t="s">
        <v>52</v>
      </c>
      <c r="D36" s="85"/>
      <c r="E36" s="86"/>
      <c r="F36" s="86"/>
      <c r="G36" s="86"/>
      <c r="H36" s="86"/>
      <c r="I36" s="86"/>
      <c r="J36" s="86"/>
      <c r="K36" s="86"/>
    </row>
    <row r="37" spans="1:11" s="285" customFormat="1" hidden="1" x14ac:dyDescent="0.25">
      <c r="A37" s="118">
        <v>24</v>
      </c>
      <c r="B37" s="151">
        <v>5190</v>
      </c>
      <c r="C37" s="94" t="s">
        <v>53</v>
      </c>
      <c r="D37" s="85"/>
      <c r="E37" s="108"/>
      <c r="F37" s="85">
        <f>0/8*12</f>
        <v>0</v>
      </c>
      <c r="G37" s="428">
        <v>0</v>
      </c>
      <c r="H37" s="85"/>
      <c r="I37" s="428"/>
      <c r="J37" s="85"/>
      <c r="K37" s="85"/>
    </row>
    <row r="38" spans="1:11" s="285" customFormat="1" hidden="1" x14ac:dyDescent="0.25">
      <c r="A38" s="344"/>
      <c r="B38" s="151"/>
      <c r="C38" s="94"/>
      <c r="D38" s="89"/>
      <c r="E38" s="89">
        <f>E37</f>
        <v>0</v>
      </c>
      <c r="F38" s="89">
        <f>F37</f>
        <v>0</v>
      </c>
      <c r="G38" s="429">
        <v>0</v>
      </c>
      <c r="H38" s="89"/>
      <c r="I38" s="429"/>
      <c r="J38" s="89"/>
      <c r="K38" s="89"/>
    </row>
    <row r="39" spans="1:11" s="285" customFormat="1" x14ac:dyDescent="0.25">
      <c r="A39" s="344"/>
      <c r="B39" s="151"/>
      <c r="C39" s="93" t="s">
        <v>54</v>
      </c>
      <c r="D39" s="85"/>
      <c r="E39" s="86"/>
      <c r="F39" s="86"/>
      <c r="G39" s="86"/>
      <c r="H39" s="86"/>
      <c r="I39" s="86"/>
      <c r="J39" s="86"/>
      <c r="K39" s="88"/>
    </row>
    <row r="40" spans="1:11" s="285" customFormat="1" x14ac:dyDescent="0.25">
      <c r="A40" s="118">
        <v>24</v>
      </c>
      <c r="B40" s="151">
        <v>5200</v>
      </c>
      <c r="C40" s="94" t="s">
        <v>55</v>
      </c>
      <c r="D40" s="85"/>
      <c r="E40" s="108"/>
      <c r="F40" s="85">
        <f>0/8*12</f>
        <v>0</v>
      </c>
      <c r="G40" s="428">
        <v>0</v>
      </c>
      <c r="H40" s="85"/>
      <c r="I40" s="428">
        <v>100000</v>
      </c>
      <c r="J40" s="85">
        <f>+I40*1.055</f>
        <v>105500</v>
      </c>
      <c r="K40" s="85">
        <f>+J40*1.053</f>
        <v>111091.5</v>
      </c>
    </row>
    <row r="41" spans="1:11" s="285" customFormat="1" x14ac:dyDescent="0.25">
      <c r="A41" s="118">
        <v>24</v>
      </c>
      <c r="B41" s="151">
        <v>5205</v>
      </c>
      <c r="C41" s="94" t="s">
        <v>56</v>
      </c>
      <c r="D41" s="85">
        <v>161136</v>
      </c>
      <c r="E41" s="85">
        <v>240000</v>
      </c>
      <c r="F41" s="85">
        <v>110000</v>
      </c>
      <c r="G41" s="428">
        <v>110000</v>
      </c>
      <c r="H41" s="423">
        <v>440000</v>
      </c>
      <c r="I41" s="590">
        <v>600000</v>
      </c>
      <c r="J41" s="428">
        <f t="shared" ref="J41:J57" si="6">+I41*1.055</f>
        <v>633000</v>
      </c>
      <c r="K41" s="428">
        <f t="shared" ref="K41:K57" si="7">+J41*1.053</f>
        <v>666549</v>
      </c>
    </row>
    <row r="42" spans="1:11" s="285" customFormat="1" x14ac:dyDescent="0.25">
      <c r="A42" s="118">
        <v>24</v>
      </c>
      <c r="B42" s="151">
        <v>5210</v>
      </c>
      <c r="C42" s="94" t="s">
        <v>57</v>
      </c>
      <c r="D42" s="85"/>
      <c r="E42" s="85"/>
      <c r="F42" s="85">
        <v>0</v>
      </c>
      <c r="G42" s="428">
        <v>0</v>
      </c>
      <c r="H42" s="85"/>
      <c r="I42" s="428"/>
      <c r="J42" s="428">
        <f t="shared" si="6"/>
        <v>0</v>
      </c>
      <c r="K42" s="428">
        <f t="shared" si="7"/>
        <v>0</v>
      </c>
    </row>
    <row r="43" spans="1:11" s="285" customFormat="1" x14ac:dyDescent="0.25">
      <c r="A43" s="118">
        <v>24</v>
      </c>
      <c r="B43" s="151">
        <v>5215</v>
      </c>
      <c r="C43" s="94" t="s">
        <v>95</v>
      </c>
      <c r="D43" s="85"/>
      <c r="E43" s="85"/>
      <c r="F43" s="85">
        <v>0</v>
      </c>
      <c r="G43" s="428">
        <v>0</v>
      </c>
      <c r="H43" s="85"/>
      <c r="I43" s="428"/>
      <c r="J43" s="428">
        <f t="shared" si="6"/>
        <v>0</v>
      </c>
      <c r="K43" s="428">
        <f t="shared" si="7"/>
        <v>0</v>
      </c>
    </row>
    <row r="44" spans="1:11" s="285" customFormat="1" x14ac:dyDescent="0.25">
      <c r="A44" s="118">
        <v>24</v>
      </c>
      <c r="B44" s="151">
        <v>5220</v>
      </c>
      <c r="C44" s="94" t="s">
        <v>58</v>
      </c>
      <c r="D44" s="85"/>
      <c r="E44" s="85"/>
      <c r="F44" s="85">
        <v>0</v>
      </c>
      <c r="G44" s="428">
        <v>0</v>
      </c>
      <c r="H44" s="85"/>
      <c r="I44" s="428"/>
      <c r="J44" s="428">
        <f t="shared" si="6"/>
        <v>0</v>
      </c>
      <c r="K44" s="428">
        <f t="shared" si="7"/>
        <v>0</v>
      </c>
    </row>
    <row r="45" spans="1:11" s="285" customFormat="1" x14ac:dyDescent="0.25">
      <c r="A45" s="118">
        <v>24</v>
      </c>
      <c r="B45" s="151">
        <v>5225</v>
      </c>
      <c r="C45" s="94" t="s">
        <v>92</v>
      </c>
      <c r="D45" s="85"/>
      <c r="E45" s="85"/>
      <c r="F45" s="85">
        <v>0</v>
      </c>
      <c r="G45" s="428">
        <v>0</v>
      </c>
      <c r="H45" s="85"/>
      <c r="I45" s="428"/>
      <c r="J45" s="428">
        <f t="shared" si="6"/>
        <v>0</v>
      </c>
      <c r="K45" s="428">
        <f t="shared" si="7"/>
        <v>0</v>
      </c>
    </row>
    <row r="46" spans="1:11" s="285" customFormat="1" x14ac:dyDescent="0.25">
      <c r="A46" s="118">
        <v>24</v>
      </c>
      <c r="B46" s="151">
        <v>5230</v>
      </c>
      <c r="C46" s="94" t="s">
        <v>86</v>
      </c>
      <c r="D46" s="85"/>
      <c r="E46" s="85"/>
      <c r="F46" s="85">
        <v>0</v>
      </c>
      <c r="G46" s="428">
        <v>0</v>
      </c>
      <c r="H46" s="85"/>
      <c r="I46" s="428"/>
      <c r="J46" s="428">
        <f t="shared" si="6"/>
        <v>0</v>
      </c>
      <c r="K46" s="428">
        <f t="shared" si="7"/>
        <v>0</v>
      </c>
    </row>
    <row r="47" spans="1:11" s="285" customFormat="1" x14ac:dyDescent="0.25">
      <c r="A47" s="118">
        <v>24</v>
      </c>
      <c r="B47" s="151">
        <v>5235</v>
      </c>
      <c r="C47" s="94" t="s">
        <v>124</v>
      </c>
      <c r="D47" s="85"/>
      <c r="E47" s="85"/>
      <c r="F47" s="85">
        <v>0</v>
      </c>
      <c r="G47" s="428">
        <v>0</v>
      </c>
      <c r="H47" s="85"/>
      <c r="I47" s="428"/>
      <c r="J47" s="428">
        <f t="shared" si="6"/>
        <v>0</v>
      </c>
      <c r="K47" s="428">
        <f t="shared" si="7"/>
        <v>0</v>
      </c>
    </row>
    <row r="48" spans="1:11" s="285" customFormat="1" x14ac:dyDescent="0.25">
      <c r="A48" s="118">
        <v>24</v>
      </c>
      <c r="B48" s="151">
        <v>5240</v>
      </c>
      <c r="C48" s="94" t="s">
        <v>59</v>
      </c>
      <c r="D48" s="85"/>
      <c r="E48" s="85"/>
      <c r="F48" s="85">
        <v>0</v>
      </c>
      <c r="G48" s="428">
        <v>0</v>
      </c>
      <c r="H48" s="85"/>
      <c r="I48" s="428"/>
      <c r="J48" s="428">
        <f t="shared" si="6"/>
        <v>0</v>
      </c>
      <c r="K48" s="428">
        <f t="shared" si="7"/>
        <v>0</v>
      </c>
    </row>
    <row r="49" spans="1:11" s="285" customFormat="1" x14ac:dyDescent="0.25">
      <c r="A49" s="118">
        <v>24</v>
      </c>
      <c r="B49" s="151">
        <v>5245</v>
      </c>
      <c r="C49" s="94" t="s">
        <v>91</v>
      </c>
      <c r="D49" s="85"/>
      <c r="E49" s="85"/>
      <c r="F49" s="85">
        <v>0</v>
      </c>
      <c r="G49" s="428">
        <v>0</v>
      </c>
      <c r="H49" s="85"/>
      <c r="I49" s="428"/>
      <c r="J49" s="428">
        <f t="shared" si="6"/>
        <v>0</v>
      </c>
      <c r="K49" s="428">
        <f t="shared" si="7"/>
        <v>0</v>
      </c>
    </row>
    <row r="50" spans="1:11" s="285" customFormat="1" x14ac:dyDescent="0.25">
      <c r="A50" s="118">
        <v>24</v>
      </c>
      <c r="B50" s="151">
        <v>5250</v>
      </c>
      <c r="C50" s="94" t="s">
        <v>88</v>
      </c>
      <c r="D50" s="85">
        <v>7200</v>
      </c>
      <c r="E50" s="85">
        <v>12000</v>
      </c>
      <c r="F50" s="85">
        <v>12000</v>
      </c>
      <c r="G50" s="428">
        <v>12000</v>
      </c>
      <c r="H50" s="85">
        <v>12000</v>
      </c>
      <c r="I50" s="428">
        <v>6000</v>
      </c>
      <c r="J50" s="428">
        <f t="shared" si="6"/>
        <v>6330</v>
      </c>
      <c r="K50" s="428">
        <f t="shared" si="7"/>
        <v>6665.49</v>
      </c>
    </row>
    <row r="51" spans="1:11" s="285" customFormat="1" hidden="1" x14ac:dyDescent="0.25">
      <c r="A51" s="118">
        <v>24</v>
      </c>
      <c r="B51" s="151">
        <v>5255</v>
      </c>
      <c r="C51" s="94" t="s">
        <v>125</v>
      </c>
      <c r="D51" s="85"/>
      <c r="E51" s="85"/>
      <c r="F51" s="85">
        <v>0</v>
      </c>
      <c r="G51" s="428">
        <v>0</v>
      </c>
      <c r="H51" s="85"/>
      <c r="I51" s="428"/>
      <c r="J51" s="428">
        <f t="shared" si="6"/>
        <v>0</v>
      </c>
      <c r="K51" s="428">
        <f t="shared" si="7"/>
        <v>0</v>
      </c>
    </row>
    <row r="52" spans="1:11" s="285" customFormat="1" hidden="1" x14ac:dyDescent="0.25">
      <c r="A52" s="118">
        <v>24</v>
      </c>
      <c r="B52" s="151">
        <v>5260</v>
      </c>
      <c r="C52" s="94" t="s">
        <v>90</v>
      </c>
      <c r="D52" s="85"/>
      <c r="E52" s="85"/>
      <c r="F52" s="85">
        <v>0</v>
      </c>
      <c r="G52" s="428">
        <v>0</v>
      </c>
      <c r="H52" s="85"/>
      <c r="I52" s="428"/>
      <c r="J52" s="428">
        <f t="shared" si="6"/>
        <v>0</v>
      </c>
      <c r="K52" s="428">
        <f t="shared" si="7"/>
        <v>0</v>
      </c>
    </row>
    <row r="53" spans="1:11" s="285" customFormat="1" hidden="1" x14ac:dyDescent="0.25">
      <c r="A53" s="118">
        <v>24</v>
      </c>
      <c r="B53" s="151">
        <v>5265</v>
      </c>
      <c r="C53" s="94" t="s">
        <v>87</v>
      </c>
      <c r="D53" s="85"/>
      <c r="E53" s="85"/>
      <c r="F53" s="85">
        <v>0</v>
      </c>
      <c r="G53" s="428">
        <v>0</v>
      </c>
      <c r="H53" s="85"/>
      <c r="I53" s="428"/>
      <c r="J53" s="428">
        <f t="shared" si="6"/>
        <v>0</v>
      </c>
      <c r="K53" s="428">
        <f t="shared" si="7"/>
        <v>0</v>
      </c>
    </row>
    <row r="54" spans="1:11" s="285" customFormat="1" hidden="1" x14ac:dyDescent="0.25">
      <c r="A54" s="118">
        <v>24</v>
      </c>
      <c r="B54" s="151">
        <v>5270</v>
      </c>
      <c r="C54" s="94" t="s">
        <v>89</v>
      </c>
      <c r="D54" s="85"/>
      <c r="E54" s="85"/>
      <c r="F54" s="85">
        <v>0</v>
      </c>
      <c r="G54" s="428">
        <v>0</v>
      </c>
      <c r="H54" s="85"/>
      <c r="I54" s="428"/>
      <c r="J54" s="428">
        <f t="shared" si="6"/>
        <v>0</v>
      </c>
      <c r="K54" s="428">
        <f t="shared" si="7"/>
        <v>0</v>
      </c>
    </row>
    <row r="55" spans="1:11" s="285" customFormat="1" hidden="1" x14ac:dyDescent="0.25">
      <c r="A55" s="118">
        <v>24</v>
      </c>
      <c r="B55" s="151">
        <v>5275</v>
      </c>
      <c r="C55" s="94" t="s">
        <v>93</v>
      </c>
      <c r="D55" s="85"/>
      <c r="E55" s="85"/>
      <c r="F55" s="85">
        <v>0</v>
      </c>
      <c r="G55" s="428">
        <v>0</v>
      </c>
      <c r="H55" s="85"/>
      <c r="I55" s="428"/>
      <c r="J55" s="428">
        <f t="shared" si="6"/>
        <v>0</v>
      </c>
      <c r="K55" s="428">
        <f t="shared" si="7"/>
        <v>0</v>
      </c>
    </row>
    <row r="56" spans="1:11" s="285" customFormat="1" hidden="1" x14ac:dyDescent="0.25">
      <c r="A56" s="118">
        <v>24</v>
      </c>
      <c r="B56" s="151">
        <v>5280</v>
      </c>
      <c r="C56" s="94" t="s">
        <v>94</v>
      </c>
      <c r="D56" s="85"/>
      <c r="E56" s="85"/>
      <c r="F56" s="85">
        <v>0</v>
      </c>
      <c r="G56" s="428">
        <v>0</v>
      </c>
      <c r="H56" s="85"/>
      <c r="I56" s="428"/>
      <c r="J56" s="428">
        <f t="shared" si="6"/>
        <v>0</v>
      </c>
      <c r="K56" s="428">
        <f t="shared" si="7"/>
        <v>0</v>
      </c>
    </row>
    <row r="57" spans="1:11" s="285" customFormat="1" x14ac:dyDescent="0.25">
      <c r="A57" s="118">
        <v>24</v>
      </c>
      <c r="B57" s="151">
        <v>5285</v>
      </c>
      <c r="C57" s="94" t="s">
        <v>60</v>
      </c>
      <c r="D57" s="85">
        <v>33750</v>
      </c>
      <c r="E57" s="85">
        <v>45000</v>
      </c>
      <c r="F57" s="85">
        <v>45000</v>
      </c>
      <c r="G57" s="428">
        <v>45000</v>
      </c>
      <c r="H57" s="85">
        <v>45000</v>
      </c>
      <c r="I57" s="428">
        <v>5000</v>
      </c>
      <c r="J57" s="428">
        <f t="shared" si="6"/>
        <v>5275</v>
      </c>
      <c r="K57" s="428">
        <f t="shared" si="7"/>
        <v>5554.5749999999998</v>
      </c>
    </row>
    <row r="58" spans="1:11" s="285" customFormat="1" hidden="1" x14ac:dyDescent="0.25">
      <c r="A58" s="118">
        <v>24</v>
      </c>
      <c r="B58" s="151">
        <v>5290</v>
      </c>
      <c r="C58" s="94" t="s">
        <v>186</v>
      </c>
      <c r="D58" s="85"/>
      <c r="E58" s="108"/>
      <c r="F58" s="85">
        <f>0/8*12</f>
        <v>0</v>
      </c>
      <c r="G58" s="428">
        <v>0</v>
      </c>
      <c r="H58" s="85"/>
      <c r="I58" s="428"/>
      <c r="J58" s="85"/>
      <c r="K58" s="85"/>
    </row>
    <row r="59" spans="1:11" s="285" customFormat="1" x14ac:dyDescent="0.25">
      <c r="A59" s="344"/>
      <c r="B59" s="151"/>
      <c r="C59" s="94"/>
      <c r="D59" s="439">
        <f t="shared" ref="D59:K59" si="8">SUM(D40:D58)</f>
        <v>202086</v>
      </c>
      <c r="E59" s="110">
        <f t="shared" si="8"/>
        <v>297000</v>
      </c>
      <c r="F59" s="110">
        <f t="shared" si="8"/>
        <v>167000</v>
      </c>
      <c r="G59" s="439">
        <f t="shared" si="8"/>
        <v>167000</v>
      </c>
      <c r="H59" s="110">
        <f t="shared" si="8"/>
        <v>497000</v>
      </c>
      <c r="I59" s="439">
        <f t="shared" si="8"/>
        <v>711000</v>
      </c>
      <c r="J59" s="439">
        <f t="shared" si="8"/>
        <v>750105</v>
      </c>
      <c r="K59" s="439">
        <f t="shared" si="8"/>
        <v>789860.56499999994</v>
      </c>
    </row>
    <row r="60" spans="1:11" s="285" customFormat="1" hidden="1" x14ac:dyDescent="0.25">
      <c r="A60" s="344"/>
      <c r="B60" s="151"/>
      <c r="C60" s="93" t="s">
        <v>198</v>
      </c>
      <c r="D60" s="85"/>
      <c r="E60" s="112"/>
      <c r="F60" s="112"/>
      <c r="G60" s="112"/>
      <c r="H60" s="112"/>
      <c r="I60" s="112"/>
      <c r="J60" s="112"/>
      <c r="K60" s="112"/>
    </row>
    <row r="61" spans="1:11" s="285" customFormat="1" hidden="1" x14ac:dyDescent="0.25">
      <c r="A61" s="118">
        <v>24</v>
      </c>
      <c r="B61" s="151">
        <v>5400</v>
      </c>
      <c r="C61" s="94" t="s">
        <v>334</v>
      </c>
      <c r="D61" s="85"/>
      <c r="E61" s="86"/>
      <c r="F61" s="85">
        <f>0/8*12</f>
        <v>0</v>
      </c>
      <c r="G61" s="86">
        <v>0</v>
      </c>
      <c r="H61" s="86"/>
      <c r="I61" s="86"/>
      <c r="J61" s="86"/>
      <c r="K61" s="86"/>
    </row>
    <row r="62" spans="1:11" s="285" customFormat="1" hidden="1" x14ac:dyDescent="0.25">
      <c r="A62" s="118">
        <v>24</v>
      </c>
      <c r="B62" s="151">
        <v>5405</v>
      </c>
      <c r="C62" s="94" t="s">
        <v>335</v>
      </c>
      <c r="D62" s="85"/>
      <c r="E62" s="108"/>
      <c r="F62" s="85">
        <f>0/8*12</f>
        <v>0</v>
      </c>
      <c r="G62" s="428">
        <v>0</v>
      </c>
      <c r="H62" s="85"/>
      <c r="I62" s="428"/>
      <c r="J62" s="85"/>
      <c r="K62" s="108"/>
    </row>
    <row r="63" spans="1:11" s="285" customFormat="1" hidden="1" x14ac:dyDescent="0.25">
      <c r="A63" s="344"/>
      <c r="B63" s="151"/>
      <c r="C63" s="94"/>
      <c r="D63" s="429">
        <f>SUM(D61:D62)</f>
        <v>0</v>
      </c>
      <c r="E63" s="89">
        <f>SUM(E61:E62)</f>
        <v>0</v>
      </c>
      <c r="F63" s="89">
        <f>SUM(F61:F62)</f>
        <v>0</v>
      </c>
      <c r="G63" s="429">
        <f>SUM(G61:G62)</f>
        <v>0</v>
      </c>
      <c r="H63" s="89"/>
      <c r="I63" s="429"/>
      <c r="J63" s="89"/>
      <c r="K63" s="89"/>
    </row>
    <row r="64" spans="1:11" s="285" customFormat="1" hidden="1" x14ac:dyDescent="0.25">
      <c r="A64" s="344"/>
      <c r="B64" s="151"/>
      <c r="C64" s="93" t="s">
        <v>61</v>
      </c>
      <c r="D64" s="85"/>
      <c r="E64" s="86"/>
      <c r="F64" s="86"/>
      <c r="G64" s="86"/>
      <c r="H64" s="86"/>
      <c r="I64" s="86"/>
      <c r="J64" s="86"/>
      <c r="K64" s="86"/>
    </row>
    <row r="65" spans="1:11" s="285" customFormat="1" hidden="1" x14ac:dyDescent="0.25">
      <c r="A65" s="118">
        <v>24</v>
      </c>
      <c r="B65" s="151">
        <v>5450</v>
      </c>
      <c r="C65" s="94" t="s">
        <v>351</v>
      </c>
      <c r="D65" s="85"/>
      <c r="E65" s="108"/>
      <c r="F65" s="85">
        <f>0/8*12</f>
        <v>0</v>
      </c>
      <c r="G65" s="428">
        <v>0</v>
      </c>
      <c r="H65" s="85"/>
      <c r="I65" s="428"/>
      <c r="J65" s="85"/>
      <c r="K65" s="108"/>
    </row>
    <row r="66" spans="1:11" s="285" customFormat="1" hidden="1" x14ac:dyDescent="0.25">
      <c r="A66" s="344"/>
      <c r="B66" s="151"/>
      <c r="C66" s="94"/>
      <c r="D66" s="89"/>
      <c r="E66" s="89">
        <f>E65</f>
        <v>0</v>
      </c>
      <c r="F66" s="89">
        <f>F65</f>
        <v>0</v>
      </c>
      <c r="G66" s="429">
        <v>0</v>
      </c>
      <c r="H66" s="89"/>
      <c r="I66" s="429"/>
      <c r="J66" s="89"/>
      <c r="K66" s="89"/>
    </row>
    <row r="67" spans="1:11" s="285" customFormat="1" hidden="1" x14ac:dyDescent="0.25">
      <c r="A67" s="344"/>
      <c r="B67" s="151"/>
      <c r="C67" s="93" t="s">
        <v>96</v>
      </c>
      <c r="D67" s="85"/>
      <c r="E67" s="86"/>
      <c r="F67" s="86"/>
      <c r="G67" s="86"/>
      <c r="H67" s="86"/>
      <c r="I67" s="86"/>
      <c r="J67" s="86"/>
      <c r="K67" s="86"/>
    </row>
    <row r="68" spans="1:11" s="285" customFormat="1" hidden="1" x14ac:dyDescent="0.25">
      <c r="A68" s="118">
        <v>24</v>
      </c>
      <c r="B68" s="151">
        <v>5470</v>
      </c>
      <c r="C68" s="94" t="s">
        <v>97</v>
      </c>
      <c r="D68" s="85"/>
      <c r="E68" s="86"/>
      <c r="F68" s="85">
        <f>0/8*12</f>
        <v>0</v>
      </c>
      <c r="G68" s="428">
        <v>0</v>
      </c>
      <c r="H68" s="85"/>
      <c r="I68" s="428"/>
      <c r="J68" s="85"/>
      <c r="K68" s="85"/>
    </row>
    <row r="69" spans="1:11" s="285" customFormat="1" hidden="1" x14ac:dyDescent="0.25">
      <c r="A69" s="118">
        <v>24</v>
      </c>
      <c r="B69" s="151">
        <v>5475</v>
      </c>
      <c r="C69" s="94" t="s">
        <v>134</v>
      </c>
      <c r="D69" s="85"/>
      <c r="E69" s="86"/>
      <c r="F69" s="85">
        <f>0/8*12</f>
        <v>0</v>
      </c>
      <c r="G69" s="428">
        <v>0</v>
      </c>
      <c r="H69" s="85"/>
      <c r="I69" s="428"/>
      <c r="J69" s="85"/>
      <c r="K69" s="85"/>
    </row>
    <row r="70" spans="1:11" s="285" customFormat="1" hidden="1" x14ac:dyDescent="0.25">
      <c r="A70" s="344"/>
      <c r="B70" s="151"/>
      <c r="C70" s="94"/>
      <c r="D70" s="110"/>
      <c r="E70" s="110">
        <f>SUM(E68:E69)</f>
        <v>0</v>
      </c>
      <c r="F70" s="110">
        <f>SUM(F68:F69)</f>
        <v>0</v>
      </c>
      <c r="G70" s="439">
        <v>0</v>
      </c>
      <c r="H70" s="110"/>
      <c r="I70" s="439"/>
      <c r="J70" s="110"/>
      <c r="K70" s="110"/>
    </row>
    <row r="71" spans="1:11" s="285" customFormat="1" x14ac:dyDescent="0.25">
      <c r="A71" s="344"/>
      <c r="B71" s="151"/>
      <c r="C71" s="93" t="s">
        <v>62</v>
      </c>
      <c r="D71" s="88"/>
      <c r="E71" s="113"/>
      <c r="F71" s="113"/>
      <c r="G71" s="113"/>
      <c r="H71" s="113"/>
      <c r="I71" s="113"/>
      <c r="J71" s="113"/>
      <c r="K71" s="88"/>
    </row>
    <row r="72" spans="1:11" s="285" customFormat="1" x14ac:dyDescent="0.25">
      <c r="A72" s="118">
        <v>24</v>
      </c>
      <c r="B72" s="151">
        <v>5505</v>
      </c>
      <c r="C72" s="94" t="s">
        <v>259</v>
      </c>
      <c r="D72" s="85"/>
      <c r="E72" s="85">
        <v>114720</v>
      </c>
      <c r="F72" s="85">
        <v>44720</v>
      </c>
      <c r="G72" s="428">
        <v>44720</v>
      </c>
      <c r="H72" s="85">
        <v>118800</v>
      </c>
      <c r="I72" s="428">
        <v>118800</v>
      </c>
      <c r="J72" s="85">
        <f>+I72*1.055</f>
        <v>125333.99999999999</v>
      </c>
      <c r="K72" s="85">
        <f>+J72*1.053</f>
        <v>131976.70199999999</v>
      </c>
    </row>
    <row r="73" spans="1:11" s="285" customFormat="1" hidden="1" x14ac:dyDescent="0.25">
      <c r="A73" s="118">
        <v>24</v>
      </c>
      <c r="B73" s="151">
        <v>5510</v>
      </c>
      <c r="C73" s="94" t="s">
        <v>63</v>
      </c>
      <c r="D73" s="85"/>
      <c r="E73" s="85"/>
      <c r="F73" s="85">
        <v>0</v>
      </c>
      <c r="G73" s="428">
        <v>0</v>
      </c>
      <c r="H73" s="85"/>
      <c r="I73" s="428"/>
      <c r="J73" s="428">
        <f t="shared" ref="J73:J122" si="9">+I73*1.055</f>
        <v>0</v>
      </c>
      <c r="K73" s="428">
        <f t="shared" ref="K73:K122" si="10">+J73*1.053</f>
        <v>0</v>
      </c>
    </row>
    <row r="74" spans="1:11" s="285" customFormat="1" hidden="1" x14ac:dyDescent="0.25">
      <c r="A74" s="118">
        <v>24</v>
      </c>
      <c r="B74" s="151">
        <v>5520</v>
      </c>
      <c r="C74" s="94" t="s">
        <v>260</v>
      </c>
      <c r="D74" s="85"/>
      <c r="E74" s="85"/>
      <c r="F74" s="85">
        <v>0</v>
      </c>
      <c r="G74" s="428">
        <v>0</v>
      </c>
      <c r="H74" s="85"/>
      <c r="I74" s="428"/>
      <c r="J74" s="428">
        <f t="shared" si="9"/>
        <v>0</v>
      </c>
      <c r="K74" s="428">
        <f t="shared" si="10"/>
        <v>0</v>
      </c>
    </row>
    <row r="75" spans="1:11" s="285" customFormat="1" hidden="1" x14ac:dyDescent="0.25">
      <c r="A75" s="118">
        <v>24</v>
      </c>
      <c r="B75" s="151">
        <v>5525</v>
      </c>
      <c r="C75" s="94" t="s">
        <v>261</v>
      </c>
      <c r="D75" s="85"/>
      <c r="E75" s="85"/>
      <c r="F75" s="85">
        <v>0</v>
      </c>
      <c r="G75" s="428">
        <v>0</v>
      </c>
      <c r="H75" s="85"/>
      <c r="I75" s="428"/>
      <c r="J75" s="428">
        <f t="shared" si="9"/>
        <v>0</v>
      </c>
      <c r="K75" s="428">
        <f t="shared" si="10"/>
        <v>0</v>
      </c>
    </row>
    <row r="76" spans="1:11" s="285" customFormat="1" hidden="1" x14ac:dyDescent="0.25">
      <c r="A76" s="118">
        <v>24</v>
      </c>
      <c r="B76" s="151">
        <v>5530</v>
      </c>
      <c r="C76" s="94" t="s">
        <v>262</v>
      </c>
      <c r="D76" s="85"/>
      <c r="E76" s="85"/>
      <c r="F76" s="85">
        <v>0</v>
      </c>
      <c r="G76" s="428">
        <v>0</v>
      </c>
      <c r="H76" s="85"/>
      <c r="I76" s="428"/>
      <c r="J76" s="428">
        <f t="shared" si="9"/>
        <v>0</v>
      </c>
      <c r="K76" s="428">
        <f t="shared" si="10"/>
        <v>0</v>
      </c>
    </row>
    <row r="77" spans="1:11" s="285" customFormat="1" hidden="1" x14ac:dyDescent="0.25">
      <c r="A77" s="118">
        <v>24</v>
      </c>
      <c r="B77" s="151">
        <v>5535</v>
      </c>
      <c r="C77" s="94" t="s">
        <v>263</v>
      </c>
      <c r="D77" s="85"/>
      <c r="E77" s="85"/>
      <c r="F77" s="85">
        <v>0</v>
      </c>
      <c r="G77" s="428">
        <v>0</v>
      </c>
      <c r="H77" s="85"/>
      <c r="I77" s="428"/>
      <c r="J77" s="428">
        <f t="shared" si="9"/>
        <v>0</v>
      </c>
      <c r="K77" s="428">
        <f t="shared" si="10"/>
        <v>0</v>
      </c>
    </row>
    <row r="78" spans="1:11" s="285" customFormat="1" x14ac:dyDescent="0.25">
      <c r="A78" s="118">
        <v>24</v>
      </c>
      <c r="B78" s="151">
        <v>5540</v>
      </c>
      <c r="C78" s="94" t="s">
        <v>264</v>
      </c>
      <c r="D78" s="85">
        <v>41215</v>
      </c>
      <c r="E78" s="85">
        <v>43626</v>
      </c>
      <c r="F78" s="85">
        <v>13626</v>
      </c>
      <c r="G78" s="428">
        <v>13626</v>
      </c>
      <c r="H78" s="85">
        <v>15000</v>
      </c>
      <c r="I78" s="428"/>
      <c r="J78" s="428">
        <f t="shared" si="9"/>
        <v>0</v>
      </c>
      <c r="K78" s="428">
        <f t="shared" si="10"/>
        <v>0</v>
      </c>
    </row>
    <row r="79" spans="1:11" s="285" customFormat="1" ht="13.5" customHeight="1" x14ac:dyDescent="0.25">
      <c r="A79" s="118">
        <v>24</v>
      </c>
      <c r="B79" s="151">
        <v>5545</v>
      </c>
      <c r="C79" s="94" t="s">
        <v>265</v>
      </c>
      <c r="D79" s="85">
        <v>95556</v>
      </c>
      <c r="E79" s="85">
        <v>40000</v>
      </c>
      <c r="F79" s="85">
        <v>10000</v>
      </c>
      <c r="G79" s="428">
        <v>10000</v>
      </c>
      <c r="H79" s="85">
        <v>40000</v>
      </c>
      <c r="I79" s="428">
        <v>40000</v>
      </c>
      <c r="J79" s="428">
        <f t="shared" si="9"/>
        <v>42200</v>
      </c>
      <c r="K79" s="428">
        <f t="shared" si="10"/>
        <v>44436.6</v>
      </c>
    </row>
    <row r="80" spans="1:11" s="285" customFormat="1" hidden="1" x14ac:dyDescent="0.25">
      <c r="A80" s="118">
        <v>24</v>
      </c>
      <c r="B80" s="151">
        <v>5550</v>
      </c>
      <c r="C80" s="94" t="s">
        <v>267</v>
      </c>
      <c r="D80" s="85"/>
      <c r="E80" s="85">
        <v>0</v>
      </c>
      <c r="F80" s="85">
        <v>0</v>
      </c>
      <c r="G80" s="428">
        <v>0</v>
      </c>
      <c r="H80" s="85"/>
      <c r="I80" s="428"/>
      <c r="J80" s="428">
        <f t="shared" si="9"/>
        <v>0</v>
      </c>
      <c r="K80" s="428">
        <f t="shared" si="10"/>
        <v>0</v>
      </c>
    </row>
    <row r="81" spans="1:11" s="285" customFormat="1" x14ac:dyDescent="0.25">
      <c r="A81" s="118">
        <v>24</v>
      </c>
      <c r="B81" s="151">
        <v>5555</v>
      </c>
      <c r="C81" s="94" t="s">
        <v>268</v>
      </c>
      <c r="D81" s="85">
        <v>27714</v>
      </c>
      <c r="E81" s="85">
        <v>33000</v>
      </c>
      <c r="F81" s="85">
        <v>3000</v>
      </c>
      <c r="G81" s="428">
        <v>3000</v>
      </c>
      <c r="H81" s="85"/>
      <c r="I81" s="428"/>
      <c r="J81" s="428">
        <f t="shared" si="9"/>
        <v>0</v>
      </c>
      <c r="K81" s="428">
        <f t="shared" si="10"/>
        <v>0</v>
      </c>
    </row>
    <row r="82" spans="1:11" s="285" customFormat="1" hidden="1" x14ac:dyDescent="0.25">
      <c r="A82" s="118">
        <v>24</v>
      </c>
      <c r="B82" s="151">
        <v>5560</v>
      </c>
      <c r="C82" s="94" t="s">
        <v>269</v>
      </c>
      <c r="D82" s="85"/>
      <c r="E82" s="85">
        <v>0</v>
      </c>
      <c r="F82" s="85">
        <f t="shared" ref="F82:F122" si="11">E82-D82</f>
        <v>0</v>
      </c>
      <c r="G82" s="428"/>
      <c r="H82" s="85"/>
      <c r="I82" s="428"/>
      <c r="J82" s="428">
        <f t="shared" si="9"/>
        <v>0</v>
      </c>
      <c r="K82" s="428">
        <f t="shared" si="10"/>
        <v>0</v>
      </c>
    </row>
    <row r="83" spans="1:11" s="285" customFormat="1" hidden="1" x14ac:dyDescent="0.25">
      <c r="A83" s="118">
        <v>24</v>
      </c>
      <c r="B83" s="151">
        <v>5565</v>
      </c>
      <c r="C83" s="94" t="s">
        <v>246</v>
      </c>
      <c r="D83" s="85"/>
      <c r="E83" s="85">
        <v>0</v>
      </c>
      <c r="F83" s="85">
        <f t="shared" si="11"/>
        <v>0</v>
      </c>
      <c r="G83" s="428"/>
      <c r="H83" s="85"/>
      <c r="I83" s="428"/>
      <c r="J83" s="428">
        <f t="shared" si="9"/>
        <v>0</v>
      </c>
      <c r="K83" s="428">
        <f t="shared" si="10"/>
        <v>0</v>
      </c>
    </row>
    <row r="84" spans="1:11" s="285" customFormat="1" hidden="1" x14ac:dyDescent="0.25">
      <c r="A84" s="118">
        <v>24</v>
      </c>
      <c r="B84" s="151">
        <v>5570</v>
      </c>
      <c r="C84" s="94" t="s">
        <v>270</v>
      </c>
      <c r="D84" s="85"/>
      <c r="E84" s="85">
        <v>0</v>
      </c>
      <c r="F84" s="85">
        <f t="shared" si="11"/>
        <v>0</v>
      </c>
      <c r="G84" s="428"/>
      <c r="H84" s="85"/>
      <c r="I84" s="428"/>
      <c r="J84" s="428">
        <f t="shared" si="9"/>
        <v>0</v>
      </c>
      <c r="K84" s="428">
        <f t="shared" si="10"/>
        <v>0</v>
      </c>
    </row>
    <row r="85" spans="1:11" s="285" customFormat="1" hidden="1" x14ac:dyDescent="0.25">
      <c r="A85" s="118">
        <v>24</v>
      </c>
      <c r="B85" s="151">
        <v>5575</v>
      </c>
      <c r="C85" s="94" t="s">
        <v>271</v>
      </c>
      <c r="D85" s="85"/>
      <c r="E85" s="85">
        <v>0</v>
      </c>
      <c r="F85" s="85">
        <f t="shared" si="11"/>
        <v>0</v>
      </c>
      <c r="G85" s="428"/>
      <c r="H85" s="85"/>
      <c r="I85" s="428"/>
      <c r="J85" s="428">
        <f t="shared" si="9"/>
        <v>0</v>
      </c>
      <c r="K85" s="428">
        <f t="shared" si="10"/>
        <v>0</v>
      </c>
    </row>
    <row r="86" spans="1:11" s="285" customFormat="1" hidden="1" x14ac:dyDescent="0.25">
      <c r="A86" s="118">
        <v>24</v>
      </c>
      <c r="B86" s="151">
        <v>5580</v>
      </c>
      <c r="C86" s="94" t="s">
        <v>272</v>
      </c>
      <c r="D86" s="85"/>
      <c r="E86" s="85">
        <v>0</v>
      </c>
      <c r="F86" s="85">
        <f t="shared" si="11"/>
        <v>0</v>
      </c>
      <c r="G86" s="428"/>
      <c r="H86" s="85"/>
      <c r="I86" s="428"/>
      <c r="J86" s="428">
        <f t="shared" si="9"/>
        <v>0</v>
      </c>
      <c r="K86" s="428">
        <f t="shared" si="10"/>
        <v>0</v>
      </c>
    </row>
    <row r="87" spans="1:11" s="285" customFormat="1" hidden="1" x14ac:dyDescent="0.25">
      <c r="A87" s="118">
        <v>24</v>
      </c>
      <c r="B87" s="151">
        <v>5585</v>
      </c>
      <c r="C87" s="94" t="s">
        <v>273</v>
      </c>
      <c r="D87" s="86"/>
      <c r="E87" s="85">
        <v>0</v>
      </c>
      <c r="F87" s="85">
        <f t="shared" si="11"/>
        <v>0</v>
      </c>
      <c r="G87" s="428"/>
      <c r="H87" s="85"/>
      <c r="I87" s="428"/>
      <c r="J87" s="428">
        <f t="shared" si="9"/>
        <v>0</v>
      </c>
      <c r="K87" s="428">
        <f t="shared" si="10"/>
        <v>0</v>
      </c>
    </row>
    <row r="88" spans="1:11" s="285" customFormat="1" hidden="1" x14ac:dyDescent="0.25">
      <c r="A88" s="118">
        <v>24</v>
      </c>
      <c r="B88" s="151">
        <v>5590</v>
      </c>
      <c r="C88" s="94" t="s">
        <v>274</v>
      </c>
      <c r="D88" s="86"/>
      <c r="E88" s="85">
        <v>0</v>
      </c>
      <c r="F88" s="85">
        <f t="shared" si="11"/>
        <v>0</v>
      </c>
      <c r="G88" s="428"/>
      <c r="H88" s="85"/>
      <c r="I88" s="428"/>
      <c r="J88" s="428">
        <f t="shared" si="9"/>
        <v>0</v>
      </c>
      <c r="K88" s="428">
        <f t="shared" si="10"/>
        <v>0</v>
      </c>
    </row>
    <row r="89" spans="1:11" s="285" customFormat="1" hidden="1" x14ac:dyDescent="0.25">
      <c r="A89" s="118">
        <v>24</v>
      </c>
      <c r="B89" s="151">
        <v>5595</v>
      </c>
      <c r="C89" s="94" t="s">
        <v>275</v>
      </c>
      <c r="D89" s="85"/>
      <c r="E89" s="85">
        <v>0</v>
      </c>
      <c r="F89" s="85">
        <f t="shared" si="11"/>
        <v>0</v>
      </c>
      <c r="G89" s="428"/>
      <c r="H89" s="85"/>
      <c r="I89" s="428"/>
      <c r="J89" s="428">
        <f t="shared" si="9"/>
        <v>0</v>
      </c>
      <c r="K89" s="428">
        <f t="shared" si="10"/>
        <v>0</v>
      </c>
    </row>
    <row r="90" spans="1:11" s="285" customFormat="1" hidden="1" x14ac:dyDescent="0.25">
      <c r="A90" s="118">
        <v>24</v>
      </c>
      <c r="B90" s="151">
        <v>5600</v>
      </c>
      <c r="C90" s="159" t="s">
        <v>276</v>
      </c>
      <c r="D90" s="85"/>
      <c r="E90" s="85">
        <v>0</v>
      </c>
      <c r="F90" s="85">
        <f t="shared" si="11"/>
        <v>0</v>
      </c>
      <c r="G90" s="428"/>
      <c r="H90" s="85"/>
      <c r="I90" s="428"/>
      <c r="J90" s="428">
        <f t="shared" si="9"/>
        <v>0</v>
      </c>
      <c r="K90" s="428">
        <f t="shared" si="10"/>
        <v>0</v>
      </c>
    </row>
    <row r="91" spans="1:11" s="285" customFormat="1" hidden="1" x14ac:dyDescent="0.25">
      <c r="A91" s="118">
        <v>24</v>
      </c>
      <c r="B91" s="151">
        <v>5605</v>
      </c>
      <c r="C91" s="159" t="s">
        <v>277</v>
      </c>
      <c r="D91" s="85"/>
      <c r="E91" s="85">
        <v>0</v>
      </c>
      <c r="F91" s="85">
        <f t="shared" si="11"/>
        <v>0</v>
      </c>
      <c r="G91" s="428"/>
      <c r="H91" s="85"/>
      <c r="I91" s="428"/>
      <c r="J91" s="428">
        <f t="shared" si="9"/>
        <v>0</v>
      </c>
      <c r="K91" s="428">
        <f t="shared" si="10"/>
        <v>0</v>
      </c>
    </row>
    <row r="92" spans="1:11" s="285" customFormat="1" hidden="1" x14ac:dyDescent="0.25">
      <c r="A92" s="118">
        <v>24</v>
      </c>
      <c r="B92" s="151">
        <v>5610</v>
      </c>
      <c r="C92" s="159" t="s">
        <v>278</v>
      </c>
      <c r="D92" s="85"/>
      <c r="E92" s="85">
        <v>0</v>
      </c>
      <c r="F92" s="85">
        <f t="shared" si="11"/>
        <v>0</v>
      </c>
      <c r="G92" s="428"/>
      <c r="H92" s="85"/>
      <c r="I92" s="428"/>
      <c r="J92" s="428">
        <f t="shared" si="9"/>
        <v>0</v>
      </c>
      <c r="K92" s="428">
        <f t="shared" si="10"/>
        <v>0</v>
      </c>
    </row>
    <row r="93" spans="1:11" s="285" customFormat="1" hidden="1" x14ac:dyDescent="0.25">
      <c r="A93" s="118">
        <v>24</v>
      </c>
      <c r="B93" s="151">
        <v>5615</v>
      </c>
      <c r="C93" s="159" t="s">
        <v>279</v>
      </c>
      <c r="D93" s="85"/>
      <c r="E93" s="85">
        <v>0</v>
      </c>
      <c r="F93" s="85">
        <f t="shared" si="11"/>
        <v>0</v>
      </c>
      <c r="G93" s="428"/>
      <c r="H93" s="85"/>
      <c r="I93" s="428"/>
      <c r="J93" s="428">
        <f t="shared" si="9"/>
        <v>0</v>
      </c>
      <c r="K93" s="428">
        <f t="shared" si="10"/>
        <v>0</v>
      </c>
    </row>
    <row r="94" spans="1:11" s="285" customFormat="1" hidden="1" x14ac:dyDescent="0.25">
      <c r="A94" s="118">
        <v>24</v>
      </c>
      <c r="B94" s="151">
        <v>5620</v>
      </c>
      <c r="C94" s="159" t="s">
        <v>280</v>
      </c>
      <c r="D94" s="85"/>
      <c r="E94" s="85">
        <v>0</v>
      </c>
      <c r="F94" s="85">
        <f t="shared" si="11"/>
        <v>0</v>
      </c>
      <c r="G94" s="428"/>
      <c r="H94" s="85"/>
      <c r="I94" s="428"/>
      <c r="J94" s="428">
        <f t="shared" si="9"/>
        <v>0</v>
      </c>
      <c r="K94" s="428">
        <f t="shared" si="10"/>
        <v>0</v>
      </c>
    </row>
    <row r="95" spans="1:11" s="285" customFormat="1" hidden="1" x14ac:dyDescent="0.25">
      <c r="A95" s="118">
        <v>24</v>
      </c>
      <c r="B95" s="151">
        <v>5625</v>
      </c>
      <c r="C95" s="159" t="s">
        <v>281</v>
      </c>
      <c r="D95" s="85"/>
      <c r="E95" s="85">
        <v>0</v>
      </c>
      <c r="F95" s="85">
        <f t="shared" si="11"/>
        <v>0</v>
      </c>
      <c r="G95" s="428"/>
      <c r="H95" s="85"/>
      <c r="I95" s="428"/>
      <c r="J95" s="428">
        <f t="shared" si="9"/>
        <v>0</v>
      </c>
      <c r="K95" s="428">
        <f t="shared" si="10"/>
        <v>0</v>
      </c>
    </row>
    <row r="96" spans="1:11" s="285" customFormat="1" hidden="1" x14ac:dyDescent="0.25">
      <c r="A96" s="118">
        <v>24</v>
      </c>
      <c r="B96" s="151">
        <v>5630</v>
      </c>
      <c r="C96" s="159" t="s">
        <v>282</v>
      </c>
      <c r="D96" s="85"/>
      <c r="E96" s="85">
        <v>0</v>
      </c>
      <c r="F96" s="85">
        <f t="shared" si="11"/>
        <v>0</v>
      </c>
      <c r="G96" s="428"/>
      <c r="H96" s="85"/>
      <c r="I96" s="428"/>
      <c r="J96" s="428">
        <f t="shared" si="9"/>
        <v>0</v>
      </c>
      <c r="K96" s="428">
        <f t="shared" si="10"/>
        <v>0</v>
      </c>
    </row>
    <row r="97" spans="1:11" s="285" customFormat="1" hidden="1" x14ac:dyDescent="0.25">
      <c r="A97" s="118">
        <v>24</v>
      </c>
      <c r="B97" s="151">
        <v>5635</v>
      </c>
      <c r="C97" s="159" t="s">
        <v>283</v>
      </c>
      <c r="D97" s="85"/>
      <c r="E97" s="85">
        <v>0</v>
      </c>
      <c r="F97" s="85">
        <f t="shared" si="11"/>
        <v>0</v>
      </c>
      <c r="G97" s="428"/>
      <c r="H97" s="85"/>
      <c r="I97" s="428"/>
      <c r="J97" s="428">
        <f t="shared" si="9"/>
        <v>0</v>
      </c>
      <c r="K97" s="428">
        <f t="shared" si="10"/>
        <v>0</v>
      </c>
    </row>
    <row r="98" spans="1:11" s="285" customFormat="1" hidden="1" x14ac:dyDescent="0.25">
      <c r="A98" s="118">
        <v>24</v>
      </c>
      <c r="B98" s="151">
        <v>5640</v>
      </c>
      <c r="C98" s="159" t="s">
        <v>284</v>
      </c>
      <c r="D98" s="85"/>
      <c r="E98" s="85">
        <v>0</v>
      </c>
      <c r="F98" s="85">
        <f t="shared" si="11"/>
        <v>0</v>
      </c>
      <c r="G98" s="428"/>
      <c r="H98" s="85"/>
      <c r="I98" s="428"/>
      <c r="J98" s="428">
        <f t="shared" si="9"/>
        <v>0</v>
      </c>
      <c r="K98" s="428">
        <f t="shared" si="10"/>
        <v>0</v>
      </c>
    </row>
    <row r="99" spans="1:11" s="285" customFormat="1" hidden="1" x14ac:dyDescent="0.25">
      <c r="A99" s="118">
        <v>24</v>
      </c>
      <c r="B99" s="151">
        <v>5645</v>
      </c>
      <c r="C99" s="159" t="s">
        <v>285</v>
      </c>
      <c r="D99" s="85"/>
      <c r="E99" s="85">
        <v>0</v>
      </c>
      <c r="F99" s="85">
        <f t="shared" si="11"/>
        <v>0</v>
      </c>
      <c r="G99" s="428"/>
      <c r="H99" s="85"/>
      <c r="I99" s="428"/>
      <c r="J99" s="428">
        <f t="shared" si="9"/>
        <v>0</v>
      </c>
      <c r="K99" s="428">
        <f t="shared" si="10"/>
        <v>0</v>
      </c>
    </row>
    <row r="100" spans="1:11" s="285" customFormat="1" hidden="1" x14ac:dyDescent="0.25">
      <c r="A100" s="118">
        <v>24</v>
      </c>
      <c r="B100" s="151">
        <v>5650</v>
      </c>
      <c r="C100" s="159" t="s">
        <v>286</v>
      </c>
      <c r="D100" s="85"/>
      <c r="E100" s="85">
        <v>0</v>
      </c>
      <c r="F100" s="85">
        <f t="shared" si="11"/>
        <v>0</v>
      </c>
      <c r="G100" s="428"/>
      <c r="H100" s="85"/>
      <c r="I100" s="428"/>
      <c r="J100" s="428">
        <f t="shared" si="9"/>
        <v>0</v>
      </c>
      <c r="K100" s="428">
        <f t="shared" si="10"/>
        <v>0</v>
      </c>
    </row>
    <row r="101" spans="1:11" s="285" customFormat="1" hidden="1" x14ac:dyDescent="0.25">
      <c r="A101" s="118">
        <v>24</v>
      </c>
      <c r="B101" s="151">
        <v>5655</v>
      </c>
      <c r="C101" s="159" t="s">
        <v>287</v>
      </c>
      <c r="D101" s="85"/>
      <c r="E101" s="85">
        <v>0</v>
      </c>
      <c r="F101" s="85">
        <f t="shared" si="11"/>
        <v>0</v>
      </c>
      <c r="G101" s="428"/>
      <c r="H101" s="85"/>
      <c r="I101" s="428"/>
      <c r="J101" s="428">
        <f t="shared" si="9"/>
        <v>0</v>
      </c>
      <c r="K101" s="428">
        <f t="shared" si="10"/>
        <v>0</v>
      </c>
    </row>
    <row r="102" spans="1:11" s="285" customFormat="1" hidden="1" x14ac:dyDescent="0.25">
      <c r="A102" s="371">
        <v>24</v>
      </c>
      <c r="B102" s="152">
        <v>5660</v>
      </c>
      <c r="C102" s="382" t="s">
        <v>288</v>
      </c>
      <c r="D102" s="383"/>
      <c r="E102" s="383">
        <v>0</v>
      </c>
      <c r="F102" s="383">
        <f t="shared" si="11"/>
        <v>0</v>
      </c>
      <c r="G102" s="428"/>
      <c r="H102" s="85"/>
      <c r="I102" s="428"/>
      <c r="J102" s="428">
        <f t="shared" si="9"/>
        <v>0</v>
      </c>
      <c r="K102" s="428">
        <f t="shared" si="10"/>
        <v>0</v>
      </c>
    </row>
    <row r="103" spans="1:11" s="285" customFormat="1" hidden="1" x14ac:dyDescent="0.25">
      <c r="A103" s="118">
        <v>24</v>
      </c>
      <c r="B103" s="151">
        <v>5665</v>
      </c>
      <c r="C103" s="94" t="s">
        <v>289</v>
      </c>
      <c r="D103" s="85"/>
      <c r="E103" s="85">
        <v>0</v>
      </c>
      <c r="F103" s="85">
        <f t="shared" si="11"/>
        <v>0</v>
      </c>
      <c r="G103" s="428"/>
      <c r="H103" s="85"/>
      <c r="I103" s="428"/>
      <c r="J103" s="428">
        <f t="shared" si="9"/>
        <v>0</v>
      </c>
      <c r="K103" s="428">
        <f t="shared" si="10"/>
        <v>0</v>
      </c>
    </row>
    <row r="104" spans="1:11" s="285" customFormat="1" hidden="1" x14ac:dyDescent="0.25">
      <c r="A104" s="118">
        <v>24</v>
      </c>
      <c r="B104" s="151">
        <v>5670</v>
      </c>
      <c r="C104" s="94" t="s">
        <v>290</v>
      </c>
      <c r="D104" s="85"/>
      <c r="E104" s="85">
        <v>0</v>
      </c>
      <c r="F104" s="85">
        <f t="shared" si="11"/>
        <v>0</v>
      </c>
      <c r="G104" s="428"/>
      <c r="H104" s="85"/>
      <c r="I104" s="428"/>
      <c r="J104" s="428">
        <f t="shared" si="9"/>
        <v>0</v>
      </c>
      <c r="K104" s="428">
        <f t="shared" si="10"/>
        <v>0</v>
      </c>
    </row>
    <row r="105" spans="1:11" s="285" customFormat="1" hidden="1" x14ac:dyDescent="0.25">
      <c r="A105" s="118">
        <v>24</v>
      </c>
      <c r="B105" s="151">
        <v>5675</v>
      </c>
      <c r="C105" s="94" t="s">
        <v>291</v>
      </c>
      <c r="D105" s="85"/>
      <c r="E105" s="85">
        <v>0</v>
      </c>
      <c r="F105" s="85">
        <f t="shared" si="11"/>
        <v>0</v>
      </c>
      <c r="G105" s="428"/>
      <c r="H105" s="85"/>
      <c r="I105" s="428"/>
      <c r="J105" s="428">
        <f t="shared" si="9"/>
        <v>0</v>
      </c>
      <c r="K105" s="428">
        <f t="shared" si="10"/>
        <v>0</v>
      </c>
    </row>
    <row r="106" spans="1:11" s="285" customFormat="1" hidden="1" x14ac:dyDescent="0.25">
      <c r="A106" s="118">
        <v>24</v>
      </c>
      <c r="B106" s="151">
        <v>5680</v>
      </c>
      <c r="C106" s="94" t="s">
        <v>292</v>
      </c>
      <c r="D106" s="85"/>
      <c r="E106" s="85">
        <v>0</v>
      </c>
      <c r="F106" s="85">
        <f t="shared" si="11"/>
        <v>0</v>
      </c>
      <c r="G106" s="428"/>
      <c r="H106" s="85"/>
      <c r="I106" s="428"/>
      <c r="J106" s="428">
        <f t="shared" si="9"/>
        <v>0</v>
      </c>
      <c r="K106" s="428">
        <f t="shared" si="10"/>
        <v>0</v>
      </c>
    </row>
    <row r="107" spans="1:11" s="285" customFormat="1" hidden="1" x14ac:dyDescent="0.25">
      <c r="A107" s="118">
        <v>24</v>
      </c>
      <c r="B107" s="151">
        <v>5685</v>
      </c>
      <c r="C107" s="94" t="s">
        <v>293</v>
      </c>
      <c r="D107" s="85"/>
      <c r="E107" s="85">
        <v>0</v>
      </c>
      <c r="F107" s="85">
        <f t="shared" si="11"/>
        <v>0</v>
      </c>
      <c r="G107" s="428"/>
      <c r="H107" s="85"/>
      <c r="I107" s="428"/>
      <c r="J107" s="428">
        <f t="shared" si="9"/>
        <v>0</v>
      </c>
      <c r="K107" s="428">
        <f t="shared" si="10"/>
        <v>0</v>
      </c>
    </row>
    <row r="108" spans="1:11" s="285" customFormat="1" hidden="1" x14ac:dyDescent="0.25">
      <c r="A108" s="118">
        <v>24</v>
      </c>
      <c r="B108" s="151">
        <v>5690</v>
      </c>
      <c r="C108" s="94" t="s">
        <v>247</v>
      </c>
      <c r="D108" s="85"/>
      <c r="E108" s="85">
        <v>0</v>
      </c>
      <c r="F108" s="85">
        <f t="shared" si="11"/>
        <v>0</v>
      </c>
      <c r="G108" s="428"/>
      <c r="H108" s="85"/>
      <c r="I108" s="428"/>
      <c r="J108" s="428">
        <f t="shared" si="9"/>
        <v>0</v>
      </c>
      <c r="K108" s="428">
        <f t="shared" si="10"/>
        <v>0</v>
      </c>
    </row>
    <row r="109" spans="1:11" s="285" customFormat="1" hidden="1" x14ac:dyDescent="0.25">
      <c r="A109" s="118">
        <v>24</v>
      </c>
      <c r="B109" s="151">
        <v>5695</v>
      </c>
      <c r="C109" s="94" t="s">
        <v>294</v>
      </c>
      <c r="D109" s="85"/>
      <c r="E109" s="85">
        <v>0</v>
      </c>
      <c r="F109" s="85">
        <f t="shared" si="11"/>
        <v>0</v>
      </c>
      <c r="G109" s="428"/>
      <c r="H109" s="85"/>
      <c r="I109" s="428"/>
      <c r="J109" s="428">
        <f t="shared" si="9"/>
        <v>0</v>
      </c>
      <c r="K109" s="428">
        <f t="shared" si="10"/>
        <v>0</v>
      </c>
    </row>
    <row r="110" spans="1:11" s="285" customFormat="1" x14ac:dyDescent="0.25">
      <c r="A110" s="118">
        <v>24</v>
      </c>
      <c r="B110" s="151">
        <v>5700</v>
      </c>
      <c r="C110" s="94" t="s">
        <v>295</v>
      </c>
      <c r="D110" s="85">
        <v>23090</v>
      </c>
      <c r="E110" s="85">
        <v>63000</v>
      </c>
      <c r="F110" s="85">
        <f t="shared" si="11"/>
        <v>39910</v>
      </c>
      <c r="G110" s="428">
        <v>39910</v>
      </c>
      <c r="H110" s="85">
        <v>257000</v>
      </c>
      <c r="I110" s="428">
        <v>351500</v>
      </c>
      <c r="J110" s="428">
        <f t="shared" si="9"/>
        <v>370832.5</v>
      </c>
      <c r="K110" s="428">
        <f t="shared" si="10"/>
        <v>390486.6225</v>
      </c>
    </row>
    <row r="111" spans="1:11" s="285" customFormat="1" hidden="1" x14ac:dyDescent="0.25">
      <c r="A111" s="118">
        <v>24</v>
      </c>
      <c r="B111" s="151">
        <v>5710</v>
      </c>
      <c r="C111" s="94" t="s">
        <v>297</v>
      </c>
      <c r="D111" s="85"/>
      <c r="E111" s="85">
        <v>0</v>
      </c>
      <c r="F111" s="85">
        <f t="shared" si="11"/>
        <v>0</v>
      </c>
      <c r="G111" s="428">
        <v>0</v>
      </c>
      <c r="H111" s="85"/>
      <c r="I111" s="428"/>
      <c r="J111" s="428">
        <f t="shared" si="9"/>
        <v>0</v>
      </c>
      <c r="K111" s="428">
        <f t="shared" si="10"/>
        <v>0</v>
      </c>
    </row>
    <row r="112" spans="1:11" s="285" customFormat="1" hidden="1" x14ac:dyDescent="0.25">
      <c r="A112" s="118">
        <v>24</v>
      </c>
      <c r="B112" s="151">
        <v>5715</v>
      </c>
      <c r="C112" s="94" t="s">
        <v>298</v>
      </c>
      <c r="D112" s="85"/>
      <c r="E112" s="85">
        <v>0</v>
      </c>
      <c r="F112" s="85">
        <f t="shared" si="11"/>
        <v>0</v>
      </c>
      <c r="G112" s="428">
        <v>0</v>
      </c>
      <c r="H112" s="85"/>
      <c r="I112" s="428"/>
      <c r="J112" s="428">
        <f t="shared" si="9"/>
        <v>0</v>
      </c>
      <c r="K112" s="428">
        <f t="shared" si="10"/>
        <v>0</v>
      </c>
    </row>
    <row r="113" spans="1:11" s="285" customFormat="1" hidden="1" x14ac:dyDescent="0.25">
      <c r="A113" s="118">
        <v>24</v>
      </c>
      <c r="B113" s="151">
        <v>5720</v>
      </c>
      <c r="C113" s="94" t="s">
        <v>299</v>
      </c>
      <c r="D113" s="85"/>
      <c r="E113" s="85">
        <v>0</v>
      </c>
      <c r="F113" s="85">
        <f t="shared" si="11"/>
        <v>0</v>
      </c>
      <c r="G113" s="428">
        <v>0</v>
      </c>
      <c r="H113" s="85"/>
      <c r="I113" s="428"/>
      <c r="J113" s="428">
        <f t="shared" si="9"/>
        <v>0</v>
      </c>
      <c r="K113" s="428">
        <f t="shared" si="10"/>
        <v>0</v>
      </c>
    </row>
    <row r="114" spans="1:11" s="285" customFormat="1" hidden="1" x14ac:dyDescent="0.25">
      <c r="A114" s="118">
        <v>24</v>
      </c>
      <c r="B114" s="151">
        <v>5730</v>
      </c>
      <c r="C114" s="94" t="s">
        <v>300</v>
      </c>
      <c r="D114" s="85"/>
      <c r="E114" s="85">
        <v>0</v>
      </c>
      <c r="F114" s="85">
        <f t="shared" si="11"/>
        <v>0</v>
      </c>
      <c r="G114" s="428">
        <v>0</v>
      </c>
      <c r="H114" s="85"/>
      <c r="I114" s="428"/>
      <c r="J114" s="428">
        <f t="shared" si="9"/>
        <v>0</v>
      </c>
      <c r="K114" s="428">
        <f t="shared" si="10"/>
        <v>0</v>
      </c>
    </row>
    <row r="115" spans="1:11" s="285" customFormat="1" hidden="1" x14ac:dyDescent="0.25">
      <c r="A115" s="118">
        <v>24</v>
      </c>
      <c r="B115" s="151">
        <v>5735</v>
      </c>
      <c r="C115" s="94" t="s">
        <v>301</v>
      </c>
      <c r="D115" s="85"/>
      <c r="E115" s="85">
        <v>0</v>
      </c>
      <c r="F115" s="85">
        <f t="shared" si="11"/>
        <v>0</v>
      </c>
      <c r="G115" s="428">
        <v>0</v>
      </c>
      <c r="H115" s="85"/>
      <c r="I115" s="428"/>
      <c r="J115" s="428">
        <f t="shared" si="9"/>
        <v>0</v>
      </c>
      <c r="K115" s="428">
        <f t="shared" si="10"/>
        <v>0</v>
      </c>
    </row>
    <row r="116" spans="1:11" s="285" customFormat="1" hidden="1" x14ac:dyDescent="0.25">
      <c r="A116" s="118">
        <v>24</v>
      </c>
      <c r="B116" s="151">
        <v>5740</v>
      </c>
      <c r="C116" s="94" t="s">
        <v>302</v>
      </c>
      <c r="D116" s="85"/>
      <c r="E116" s="85">
        <v>0</v>
      </c>
      <c r="F116" s="85">
        <f t="shared" si="11"/>
        <v>0</v>
      </c>
      <c r="G116" s="428">
        <v>0</v>
      </c>
      <c r="H116" s="85"/>
      <c r="I116" s="428"/>
      <c r="J116" s="428">
        <f t="shared" si="9"/>
        <v>0</v>
      </c>
      <c r="K116" s="428">
        <f t="shared" si="10"/>
        <v>0</v>
      </c>
    </row>
    <row r="117" spans="1:11" s="285" customFormat="1" hidden="1" x14ac:dyDescent="0.25">
      <c r="A117" s="118">
        <v>24</v>
      </c>
      <c r="B117" s="151">
        <v>5745</v>
      </c>
      <c r="C117" s="94" t="s">
        <v>303</v>
      </c>
      <c r="D117" s="85"/>
      <c r="E117" s="85">
        <v>0</v>
      </c>
      <c r="F117" s="85">
        <f t="shared" si="11"/>
        <v>0</v>
      </c>
      <c r="G117" s="428">
        <v>0</v>
      </c>
      <c r="H117" s="85"/>
      <c r="I117" s="428"/>
      <c r="J117" s="428">
        <f t="shared" si="9"/>
        <v>0</v>
      </c>
      <c r="K117" s="428">
        <f t="shared" si="10"/>
        <v>0</v>
      </c>
    </row>
    <row r="118" spans="1:11" s="285" customFormat="1" x14ac:dyDescent="0.25">
      <c r="A118" s="118">
        <v>24</v>
      </c>
      <c r="B118" s="151">
        <v>5750</v>
      </c>
      <c r="C118" s="94" t="s">
        <v>304</v>
      </c>
      <c r="D118" s="85">
        <v>701</v>
      </c>
      <c r="E118" s="85">
        <v>1650</v>
      </c>
      <c r="F118" s="85">
        <v>1650</v>
      </c>
      <c r="G118" s="428">
        <v>1650</v>
      </c>
      <c r="H118" s="85">
        <v>1050</v>
      </c>
      <c r="I118" s="428"/>
      <c r="J118" s="428">
        <f t="shared" si="9"/>
        <v>0</v>
      </c>
      <c r="K118" s="428">
        <f t="shared" si="10"/>
        <v>0</v>
      </c>
    </row>
    <row r="119" spans="1:11" s="285" customFormat="1" x14ac:dyDescent="0.25">
      <c r="A119" s="118">
        <v>24</v>
      </c>
      <c r="B119" s="151">
        <v>5755</v>
      </c>
      <c r="C119" s="94" t="s">
        <v>305</v>
      </c>
      <c r="D119" s="85">
        <v>9089</v>
      </c>
      <c r="E119" s="85">
        <v>16500</v>
      </c>
      <c r="F119" s="85">
        <v>16500</v>
      </c>
      <c r="G119" s="428">
        <v>16500</v>
      </c>
      <c r="H119" s="85">
        <v>12800</v>
      </c>
      <c r="I119" s="428"/>
      <c r="J119" s="428">
        <f t="shared" si="9"/>
        <v>0</v>
      </c>
      <c r="K119" s="428">
        <f t="shared" si="10"/>
        <v>0</v>
      </c>
    </row>
    <row r="120" spans="1:11" s="285" customFormat="1" ht="12" hidden="1" customHeight="1" x14ac:dyDescent="0.25">
      <c r="A120" s="118">
        <v>24</v>
      </c>
      <c r="B120" s="151">
        <v>5760</v>
      </c>
      <c r="C120" s="94" t="s">
        <v>306</v>
      </c>
      <c r="D120" s="85"/>
      <c r="E120" s="85">
        <v>0</v>
      </c>
      <c r="F120" s="85">
        <f t="shared" si="11"/>
        <v>0</v>
      </c>
      <c r="G120" s="428">
        <v>0</v>
      </c>
      <c r="H120" s="85"/>
      <c r="I120" s="428"/>
      <c r="J120" s="428">
        <f t="shared" si="9"/>
        <v>0</v>
      </c>
      <c r="K120" s="428">
        <f t="shared" si="10"/>
        <v>0</v>
      </c>
    </row>
    <row r="121" spans="1:11" s="285" customFormat="1" hidden="1" x14ac:dyDescent="0.25">
      <c r="A121" s="118">
        <v>24</v>
      </c>
      <c r="B121" s="151">
        <v>5765</v>
      </c>
      <c r="C121" s="94" t="s">
        <v>307</v>
      </c>
      <c r="D121" s="85"/>
      <c r="E121" s="85">
        <v>0</v>
      </c>
      <c r="F121" s="85">
        <f t="shared" si="11"/>
        <v>0</v>
      </c>
      <c r="G121" s="428">
        <v>0</v>
      </c>
      <c r="H121" s="85"/>
      <c r="I121" s="428"/>
      <c r="J121" s="428">
        <f t="shared" si="9"/>
        <v>0</v>
      </c>
      <c r="K121" s="428">
        <f t="shared" si="10"/>
        <v>0</v>
      </c>
    </row>
    <row r="122" spans="1:11" s="285" customFormat="1" x14ac:dyDescent="0.25">
      <c r="A122" s="118">
        <v>24</v>
      </c>
      <c r="B122" s="151">
        <v>5770</v>
      </c>
      <c r="C122" s="94" t="s">
        <v>308</v>
      </c>
      <c r="D122" s="85">
        <v>13930</v>
      </c>
      <c r="E122" s="85">
        <v>18000</v>
      </c>
      <c r="F122" s="85">
        <f t="shared" si="11"/>
        <v>4070</v>
      </c>
      <c r="G122" s="428">
        <v>4070</v>
      </c>
      <c r="H122" s="85">
        <v>18000</v>
      </c>
      <c r="I122" s="428">
        <v>18000</v>
      </c>
      <c r="J122" s="428">
        <f t="shared" si="9"/>
        <v>18990</v>
      </c>
      <c r="K122" s="428">
        <f t="shared" si="10"/>
        <v>19996.469999999998</v>
      </c>
    </row>
    <row r="123" spans="1:11" s="285" customFormat="1" hidden="1" x14ac:dyDescent="0.25">
      <c r="A123" s="118">
        <v>24</v>
      </c>
      <c r="B123" s="151">
        <v>5775</v>
      </c>
      <c r="C123" s="94" t="s">
        <v>309</v>
      </c>
      <c r="D123" s="85"/>
      <c r="E123" s="85"/>
      <c r="F123" s="85">
        <f t="shared" ref="F123:F147" si="12">0/8*12</f>
        <v>0</v>
      </c>
      <c r="G123" s="428"/>
      <c r="H123" s="85"/>
      <c r="I123" s="428"/>
      <c r="J123" s="85"/>
      <c r="K123" s="85"/>
    </row>
    <row r="124" spans="1:11" s="285" customFormat="1" hidden="1" x14ac:dyDescent="0.25">
      <c r="A124" s="118">
        <v>24</v>
      </c>
      <c r="B124" s="151">
        <v>5780</v>
      </c>
      <c r="C124" s="94" t="s">
        <v>310</v>
      </c>
      <c r="D124" s="85"/>
      <c r="E124" s="85"/>
      <c r="F124" s="85">
        <f t="shared" si="12"/>
        <v>0</v>
      </c>
      <c r="G124" s="428"/>
      <c r="H124" s="85"/>
      <c r="I124" s="428"/>
      <c r="J124" s="85"/>
      <c r="K124" s="85"/>
    </row>
    <row r="125" spans="1:11" s="285" customFormat="1" hidden="1" x14ac:dyDescent="0.25">
      <c r="A125" s="118">
        <v>24</v>
      </c>
      <c r="B125" s="151">
        <v>5785</v>
      </c>
      <c r="C125" s="94" t="s">
        <v>311</v>
      </c>
      <c r="D125" s="85"/>
      <c r="E125" s="85"/>
      <c r="F125" s="85">
        <f t="shared" si="12"/>
        <v>0</v>
      </c>
      <c r="G125" s="428"/>
      <c r="H125" s="85"/>
      <c r="I125" s="428"/>
      <c r="J125" s="85"/>
      <c r="K125" s="85"/>
    </row>
    <row r="126" spans="1:11" s="285" customFormat="1" hidden="1" x14ac:dyDescent="0.25">
      <c r="A126" s="118">
        <v>24</v>
      </c>
      <c r="B126" s="151">
        <v>5790</v>
      </c>
      <c r="C126" s="94" t="s">
        <v>312</v>
      </c>
      <c r="D126" s="85"/>
      <c r="E126" s="85"/>
      <c r="F126" s="85">
        <f t="shared" si="12"/>
        <v>0</v>
      </c>
      <c r="G126" s="428"/>
      <c r="H126" s="85"/>
      <c r="I126" s="428"/>
      <c r="J126" s="85"/>
      <c r="K126" s="85"/>
    </row>
    <row r="127" spans="1:11" s="285" customFormat="1" hidden="1" x14ac:dyDescent="0.25">
      <c r="A127" s="118">
        <v>24</v>
      </c>
      <c r="B127" s="151">
        <v>5795</v>
      </c>
      <c r="C127" s="94" t="s">
        <v>313</v>
      </c>
      <c r="D127" s="85"/>
      <c r="E127" s="85"/>
      <c r="F127" s="85">
        <f t="shared" si="12"/>
        <v>0</v>
      </c>
      <c r="G127" s="428"/>
      <c r="H127" s="85"/>
      <c r="I127" s="428"/>
      <c r="J127" s="85"/>
      <c r="K127" s="85"/>
    </row>
    <row r="128" spans="1:11" s="285" customFormat="1" hidden="1" x14ac:dyDescent="0.25">
      <c r="A128" s="118">
        <v>24</v>
      </c>
      <c r="B128" s="151">
        <v>5800</v>
      </c>
      <c r="C128" s="94" t="s">
        <v>314</v>
      </c>
      <c r="D128" s="85"/>
      <c r="E128" s="85"/>
      <c r="F128" s="85">
        <f t="shared" si="12"/>
        <v>0</v>
      </c>
      <c r="G128" s="428"/>
      <c r="H128" s="85"/>
      <c r="I128" s="428"/>
      <c r="J128" s="85"/>
      <c r="K128" s="85"/>
    </row>
    <row r="129" spans="1:11" s="285" customFormat="1" hidden="1" x14ac:dyDescent="0.25">
      <c r="A129" s="118">
        <v>24</v>
      </c>
      <c r="B129" s="151">
        <v>5805</v>
      </c>
      <c r="C129" s="94" t="s">
        <v>315</v>
      </c>
      <c r="D129" s="85"/>
      <c r="E129" s="85"/>
      <c r="F129" s="85">
        <f t="shared" si="12"/>
        <v>0</v>
      </c>
      <c r="G129" s="428"/>
      <c r="H129" s="85"/>
      <c r="I129" s="428"/>
      <c r="J129" s="85"/>
      <c r="K129" s="85"/>
    </row>
    <row r="130" spans="1:11" s="285" customFormat="1" hidden="1" x14ac:dyDescent="0.25">
      <c r="A130" s="118">
        <v>24</v>
      </c>
      <c r="B130" s="151">
        <v>5810</v>
      </c>
      <c r="C130" s="94" t="s">
        <v>316</v>
      </c>
      <c r="D130" s="85"/>
      <c r="E130" s="85"/>
      <c r="F130" s="85">
        <f t="shared" si="12"/>
        <v>0</v>
      </c>
      <c r="G130" s="428"/>
      <c r="H130" s="85"/>
      <c r="I130" s="428"/>
      <c r="J130" s="85"/>
      <c r="K130" s="85"/>
    </row>
    <row r="131" spans="1:11" s="285" customFormat="1" hidden="1" x14ac:dyDescent="0.25">
      <c r="A131" s="118">
        <v>24</v>
      </c>
      <c r="B131" s="151">
        <v>5815</v>
      </c>
      <c r="C131" s="94" t="s">
        <v>99</v>
      </c>
      <c r="D131" s="85"/>
      <c r="E131" s="85"/>
      <c r="F131" s="85">
        <f t="shared" si="12"/>
        <v>0</v>
      </c>
      <c r="G131" s="428"/>
      <c r="H131" s="85"/>
      <c r="I131" s="428"/>
      <c r="J131" s="85"/>
      <c r="K131" s="85"/>
    </row>
    <row r="132" spans="1:11" s="285" customFormat="1" hidden="1" x14ac:dyDescent="0.25">
      <c r="A132" s="118">
        <v>24</v>
      </c>
      <c r="B132" s="151">
        <v>5820</v>
      </c>
      <c r="C132" s="94" t="s">
        <v>114</v>
      </c>
      <c r="D132" s="86"/>
      <c r="E132" s="85"/>
      <c r="F132" s="85">
        <f t="shared" si="12"/>
        <v>0</v>
      </c>
      <c r="G132" s="428"/>
      <c r="H132" s="85"/>
      <c r="I132" s="428"/>
      <c r="J132" s="85"/>
      <c r="K132" s="85"/>
    </row>
    <row r="133" spans="1:11" s="285" customFormat="1" hidden="1" x14ac:dyDescent="0.25">
      <c r="A133" s="118">
        <v>24</v>
      </c>
      <c r="B133" s="151">
        <v>5825</v>
      </c>
      <c r="C133" s="94" t="s">
        <v>317</v>
      </c>
      <c r="D133" s="86"/>
      <c r="E133" s="85"/>
      <c r="F133" s="85">
        <f t="shared" si="12"/>
        <v>0</v>
      </c>
      <c r="G133" s="428"/>
      <c r="H133" s="85"/>
      <c r="I133" s="428"/>
      <c r="J133" s="85"/>
      <c r="K133" s="85"/>
    </row>
    <row r="134" spans="1:11" s="285" customFormat="1" hidden="1" x14ac:dyDescent="0.25">
      <c r="A134" s="118">
        <v>24</v>
      </c>
      <c r="B134" s="151">
        <v>5830</v>
      </c>
      <c r="C134" s="94" t="s">
        <v>318</v>
      </c>
      <c r="D134" s="86"/>
      <c r="E134" s="85"/>
      <c r="F134" s="85">
        <f t="shared" si="12"/>
        <v>0</v>
      </c>
      <c r="G134" s="428"/>
      <c r="H134" s="85"/>
      <c r="I134" s="428"/>
      <c r="J134" s="85"/>
      <c r="K134" s="85"/>
    </row>
    <row r="135" spans="1:11" s="285" customFormat="1" hidden="1" x14ac:dyDescent="0.25">
      <c r="A135" s="118">
        <v>24</v>
      </c>
      <c r="B135" s="151">
        <v>5835</v>
      </c>
      <c r="C135" s="94" t="s">
        <v>319</v>
      </c>
      <c r="D135" s="86"/>
      <c r="E135" s="85"/>
      <c r="F135" s="85">
        <f t="shared" si="12"/>
        <v>0</v>
      </c>
      <c r="G135" s="428"/>
      <c r="H135" s="85"/>
      <c r="I135" s="428"/>
      <c r="J135" s="85"/>
      <c r="K135" s="85"/>
    </row>
    <row r="136" spans="1:11" s="285" customFormat="1" hidden="1" x14ac:dyDescent="0.25">
      <c r="A136" s="118">
        <v>24</v>
      </c>
      <c r="B136" s="151">
        <v>5840</v>
      </c>
      <c r="C136" s="94" t="s">
        <v>332</v>
      </c>
      <c r="D136" s="115"/>
      <c r="E136" s="85"/>
      <c r="F136" s="85">
        <f t="shared" si="12"/>
        <v>0</v>
      </c>
      <c r="G136" s="428"/>
      <c r="H136" s="85"/>
      <c r="I136" s="428"/>
      <c r="J136" s="85"/>
      <c r="K136" s="85"/>
    </row>
    <row r="137" spans="1:11" s="285" customFormat="1" hidden="1" x14ac:dyDescent="0.25">
      <c r="A137" s="118">
        <v>24</v>
      </c>
      <c r="B137" s="151">
        <v>5845</v>
      </c>
      <c r="C137" s="94" t="s">
        <v>320</v>
      </c>
      <c r="D137" s="86"/>
      <c r="E137" s="85"/>
      <c r="F137" s="85">
        <f t="shared" si="12"/>
        <v>0</v>
      </c>
      <c r="G137" s="428"/>
      <c r="H137" s="85"/>
      <c r="I137" s="428"/>
      <c r="J137" s="85"/>
      <c r="K137" s="85"/>
    </row>
    <row r="138" spans="1:11" s="285" customFormat="1" hidden="1" x14ac:dyDescent="0.25">
      <c r="A138" s="118">
        <v>24</v>
      </c>
      <c r="B138" s="151">
        <v>5855</v>
      </c>
      <c r="C138" s="94" t="s">
        <v>321</v>
      </c>
      <c r="D138" s="85"/>
      <c r="E138" s="85"/>
      <c r="F138" s="85">
        <f t="shared" si="12"/>
        <v>0</v>
      </c>
      <c r="G138" s="428"/>
      <c r="H138" s="85"/>
      <c r="I138" s="428"/>
      <c r="J138" s="85"/>
      <c r="K138" s="85"/>
    </row>
    <row r="139" spans="1:11" s="285" customFormat="1" hidden="1" x14ac:dyDescent="0.25">
      <c r="A139" s="118">
        <v>24</v>
      </c>
      <c r="B139" s="151">
        <v>5860</v>
      </c>
      <c r="C139" s="94" t="s">
        <v>322</v>
      </c>
      <c r="D139" s="85"/>
      <c r="E139" s="85"/>
      <c r="F139" s="85">
        <f t="shared" si="12"/>
        <v>0</v>
      </c>
      <c r="G139" s="428"/>
      <c r="H139" s="85"/>
      <c r="I139" s="428"/>
      <c r="J139" s="85"/>
      <c r="K139" s="85"/>
    </row>
    <row r="140" spans="1:11" s="285" customFormat="1" hidden="1" x14ac:dyDescent="0.25">
      <c r="A140" s="118">
        <v>24</v>
      </c>
      <c r="B140" s="151">
        <v>5865</v>
      </c>
      <c r="C140" s="94" t="s">
        <v>323</v>
      </c>
      <c r="D140" s="85"/>
      <c r="E140" s="85"/>
      <c r="F140" s="85">
        <f t="shared" si="12"/>
        <v>0</v>
      </c>
      <c r="G140" s="428"/>
      <c r="H140" s="85"/>
      <c r="I140" s="428"/>
      <c r="J140" s="85"/>
      <c r="K140" s="85"/>
    </row>
    <row r="141" spans="1:11" s="285" customFormat="1" hidden="1" x14ac:dyDescent="0.25">
      <c r="A141" s="118">
        <v>24</v>
      </c>
      <c r="B141" s="151">
        <v>5870</v>
      </c>
      <c r="C141" s="94" t="s">
        <v>324</v>
      </c>
      <c r="D141" s="85"/>
      <c r="E141" s="85"/>
      <c r="F141" s="85">
        <f t="shared" si="12"/>
        <v>0</v>
      </c>
      <c r="G141" s="428"/>
      <c r="H141" s="85"/>
      <c r="I141" s="428"/>
      <c r="J141" s="85"/>
      <c r="K141" s="85"/>
    </row>
    <row r="142" spans="1:11" s="285" customFormat="1" hidden="1" x14ac:dyDescent="0.25">
      <c r="A142" s="118">
        <v>24</v>
      </c>
      <c r="B142" s="151">
        <v>5875</v>
      </c>
      <c r="C142" s="94" t="s">
        <v>325</v>
      </c>
      <c r="D142" s="85"/>
      <c r="E142" s="85"/>
      <c r="F142" s="85">
        <f t="shared" si="12"/>
        <v>0</v>
      </c>
      <c r="G142" s="428"/>
      <c r="H142" s="85"/>
      <c r="I142" s="428"/>
      <c r="J142" s="85"/>
      <c r="K142" s="85"/>
    </row>
    <row r="143" spans="1:11" s="285" customFormat="1" hidden="1" x14ac:dyDescent="0.25">
      <c r="A143" s="118">
        <v>24</v>
      </c>
      <c r="B143" s="151">
        <v>5880</v>
      </c>
      <c r="C143" s="94" t="s">
        <v>326</v>
      </c>
      <c r="D143" s="85"/>
      <c r="E143" s="85"/>
      <c r="F143" s="85">
        <f t="shared" si="12"/>
        <v>0</v>
      </c>
      <c r="G143" s="428"/>
      <c r="H143" s="85"/>
      <c r="I143" s="428"/>
      <c r="J143" s="85"/>
      <c r="K143" s="85"/>
    </row>
    <row r="144" spans="1:11" s="285" customFormat="1" hidden="1" x14ac:dyDescent="0.25">
      <c r="A144" s="118">
        <v>24</v>
      </c>
      <c r="B144" s="151">
        <v>5885</v>
      </c>
      <c r="C144" s="94" t="s">
        <v>331</v>
      </c>
      <c r="D144" s="85"/>
      <c r="E144" s="85">
        <v>0</v>
      </c>
      <c r="F144" s="85">
        <f t="shared" si="12"/>
        <v>0</v>
      </c>
      <c r="G144" s="428"/>
      <c r="H144" s="85"/>
      <c r="I144" s="428"/>
      <c r="J144" s="85"/>
      <c r="K144" s="85"/>
    </row>
    <row r="145" spans="1:11" s="285" customFormat="1" hidden="1" x14ac:dyDescent="0.25">
      <c r="A145" s="118">
        <v>24</v>
      </c>
      <c r="B145" s="151">
        <v>5890</v>
      </c>
      <c r="C145" s="94" t="s">
        <v>327</v>
      </c>
      <c r="D145" s="85"/>
      <c r="E145" s="85"/>
      <c r="F145" s="85">
        <f t="shared" si="12"/>
        <v>0</v>
      </c>
      <c r="G145" s="428"/>
      <c r="H145" s="85"/>
      <c r="I145" s="428"/>
      <c r="J145" s="85"/>
      <c r="K145" s="85"/>
    </row>
    <row r="146" spans="1:11" s="285" customFormat="1" hidden="1" x14ac:dyDescent="0.25">
      <c r="A146" s="118">
        <v>24</v>
      </c>
      <c r="B146" s="151">
        <v>5895</v>
      </c>
      <c r="C146" s="94" t="s">
        <v>328</v>
      </c>
      <c r="D146" s="85"/>
      <c r="E146" s="85"/>
      <c r="F146" s="85">
        <f t="shared" si="12"/>
        <v>0</v>
      </c>
      <c r="G146" s="428"/>
      <c r="H146" s="85"/>
      <c r="I146" s="428"/>
      <c r="J146" s="85"/>
      <c r="K146" s="85"/>
    </row>
    <row r="147" spans="1:11" s="285" customFormat="1" hidden="1" x14ac:dyDescent="0.25">
      <c r="A147" s="118">
        <v>24</v>
      </c>
      <c r="B147" s="151">
        <v>5910</v>
      </c>
      <c r="C147" s="94" t="s">
        <v>330</v>
      </c>
      <c r="D147" s="85"/>
      <c r="E147" s="85"/>
      <c r="F147" s="85">
        <f t="shared" si="12"/>
        <v>0</v>
      </c>
      <c r="G147" s="428"/>
      <c r="H147" s="85"/>
      <c r="I147" s="428"/>
      <c r="J147" s="85"/>
      <c r="K147" s="85"/>
    </row>
    <row r="148" spans="1:11" s="285" customFormat="1" x14ac:dyDescent="0.25">
      <c r="A148" s="344"/>
      <c r="B148" s="151"/>
      <c r="C148" s="94"/>
      <c r="D148" s="429">
        <f t="shared" ref="D148:K148" si="13">SUM(D72:D147)</f>
        <v>211295</v>
      </c>
      <c r="E148" s="89">
        <f t="shared" si="13"/>
        <v>330496</v>
      </c>
      <c r="F148" s="89">
        <f t="shared" si="13"/>
        <v>133476</v>
      </c>
      <c r="G148" s="429">
        <f t="shared" si="13"/>
        <v>133476</v>
      </c>
      <c r="H148" s="89">
        <f t="shared" si="13"/>
        <v>462650</v>
      </c>
      <c r="I148" s="429">
        <f t="shared" si="13"/>
        <v>528300</v>
      </c>
      <c r="J148" s="429">
        <f t="shared" si="13"/>
        <v>557356.5</v>
      </c>
      <c r="K148" s="429">
        <f t="shared" si="13"/>
        <v>586896.39449999994</v>
      </c>
    </row>
    <row r="149" spans="1:11" s="285" customFormat="1" hidden="1" x14ac:dyDescent="0.25">
      <c r="A149" s="411"/>
      <c r="B149" s="416"/>
      <c r="C149" s="416" t="s">
        <v>187</v>
      </c>
      <c r="D149" s="85"/>
      <c r="E149" s="108"/>
      <c r="F149" s="108"/>
      <c r="G149" s="425"/>
      <c r="H149" s="108"/>
      <c r="I149" s="425"/>
      <c r="J149" s="108"/>
      <c r="K149" s="108"/>
    </row>
    <row r="150" spans="1:11" s="285" customFormat="1" hidden="1" x14ac:dyDescent="0.25">
      <c r="A150" s="118">
        <v>24</v>
      </c>
      <c r="B150" s="151">
        <v>6005</v>
      </c>
      <c r="C150" s="94" t="s">
        <v>188</v>
      </c>
      <c r="D150" s="428">
        <f>0/8*12</f>
        <v>0</v>
      </c>
      <c r="E150" s="428">
        <f>0/8*12</f>
        <v>0</v>
      </c>
      <c r="F150" s="85">
        <f>0/8*12</f>
        <v>0</v>
      </c>
      <c r="G150" s="428">
        <f>0/8*12</f>
        <v>0</v>
      </c>
      <c r="H150" s="428">
        <f>0/8*12</f>
        <v>0</v>
      </c>
      <c r="I150" s="428"/>
      <c r="J150" s="428"/>
      <c r="K150" s="428"/>
    </row>
    <row r="151" spans="1:11" s="285" customFormat="1" hidden="1" x14ac:dyDescent="0.25">
      <c r="A151" s="344"/>
      <c r="B151" s="151"/>
      <c r="C151" s="94"/>
      <c r="D151" s="89"/>
      <c r="E151" s="89">
        <f>SUM(E150)</f>
        <v>0</v>
      </c>
      <c r="F151" s="89">
        <f>SUM(F150)</f>
        <v>0</v>
      </c>
      <c r="G151" s="429">
        <f>SUM(G150)</f>
        <v>0</v>
      </c>
      <c r="H151" s="429">
        <f>SUM(H150)</f>
        <v>0</v>
      </c>
      <c r="I151" s="429"/>
      <c r="J151" s="429"/>
      <c r="K151" s="429"/>
    </row>
    <row r="152" spans="1:11" s="285" customFormat="1" x14ac:dyDescent="0.25">
      <c r="A152" s="411"/>
      <c r="B152" s="417"/>
      <c r="C152" s="412" t="s">
        <v>64</v>
      </c>
      <c r="D152" s="412"/>
      <c r="E152" s="412"/>
      <c r="F152" s="412"/>
      <c r="G152" s="412"/>
      <c r="H152" s="412"/>
      <c r="I152" s="412"/>
      <c r="J152" s="412"/>
      <c r="K152" s="418"/>
    </row>
    <row r="153" spans="1:11" s="285" customFormat="1" x14ac:dyDescent="0.25">
      <c r="A153" s="374">
        <v>24</v>
      </c>
      <c r="B153" s="153">
        <v>6105</v>
      </c>
      <c r="C153" s="97" t="s">
        <v>336</v>
      </c>
      <c r="D153" s="88"/>
      <c r="E153" s="335"/>
      <c r="F153" s="88">
        <f>0/8*12</f>
        <v>0</v>
      </c>
      <c r="G153" s="88"/>
      <c r="H153" s="88"/>
      <c r="I153" s="88"/>
      <c r="J153" s="88">
        <f>+I153*1.055</f>
        <v>0</v>
      </c>
      <c r="K153" s="335">
        <f>+J153*1.053</f>
        <v>0</v>
      </c>
    </row>
    <row r="154" spans="1:11" s="285" customFormat="1" x14ac:dyDescent="0.25">
      <c r="A154" s="118">
        <v>24</v>
      </c>
      <c r="B154" s="151">
        <v>6110</v>
      </c>
      <c r="C154" s="94" t="s">
        <v>337</v>
      </c>
      <c r="D154" s="85"/>
      <c r="E154" s="108">
        <v>250000</v>
      </c>
      <c r="F154" s="108">
        <v>250000</v>
      </c>
      <c r="G154" s="425">
        <v>250001</v>
      </c>
      <c r="H154" s="85"/>
      <c r="I154" s="428">
        <v>500000</v>
      </c>
      <c r="J154" s="85">
        <f>+I154*1.055</f>
        <v>527500</v>
      </c>
      <c r="K154" s="85">
        <f>+J154*1.053</f>
        <v>555457.5</v>
      </c>
    </row>
    <row r="155" spans="1:11" s="285" customFormat="1" x14ac:dyDescent="0.25">
      <c r="A155" s="118">
        <v>24</v>
      </c>
      <c r="B155" s="151">
        <v>6115</v>
      </c>
      <c r="C155" s="94" t="s">
        <v>60</v>
      </c>
      <c r="D155" s="85"/>
      <c r="E155" s="108"/>
      <c r="F155" s="85">
        <f>0/8*12</f>
        <v>0</v>
      </c>
      <c r="G155" s="428">
        <v>0</v>
      </c>
      <c r="H155" s="428">
        <v>0</v>
      </c>
      <c r="I155" s="428">
        <v>250000</v>
      </c>
      <c r="J155" s="428">
        <f>+I155*1.055</f>
        <v>263750</v>
      </c>
      <c r="K155" s="428">
        <f>+J155*1.053</f>
        <v>277728.75</v>
      </c>
    </row>
    <row r="156" spans="1:11" s="285" customFormat="1" x14ac:dyDescent="0.25">
      <c r="A156" s="348"/>
      <c r="B156" s="152"/>
      <c r="C156" s="106"/>
      <c r="D156" s="429">
        <f>SUM(D153:D155)</f>
        <v>0</v>
      </c>
      <c r="E156" s="89">
        <f>SUM(E153:E155)</f>
        <v>250000</v>
      </c>
      <c r="F156" s="89">
        <f t="shared" ref="F156:K156" si="14">SUM(F153:F155)</f>
        <v>250000</v>
      </c>
      <c r="G156" s="429">
        <f t="shared" si="14"/>
        <v>250001</v>
      </c>
      <c r="H156" s="429">
        <f t="shared" si="14"/>
        <v>0</v>
      </c>
      <c r="I156" s="429">
        <f t="shared" si="14"/>
        <v>750000</v>
      </c>
      <c r="J156" s="429">
        <f t="shared" si="14"/>
        <v>791250</v>
      </c>
      <c r="K156" s="429">
        <f t="shared" si="14"/>
        <v>833186.25</v>
      </c>
    </row>
    <row r="157" spans="1:11" s="285" customFormat="1" x14ac:dyDescent="0.25">
      <c r="A157" s="350"/>
      <c r="B157" s="153"/>
      <c r="C157" s="413" t="s">
        <v>65</v>
      </c>
      <c r="D157" s="88"/>
      <c r="E157" s="113"/>
      <c r="F157" s="113"/>
      <c r="G157" s="113"/>
      <c r="H157" s="113"/>
      <c r="I157" s="113"/>
      <c r="J157" s="113"/>
      <c r="K157" s="88"/>
    </row>
    <row r="158" spans="1:11" s="285" customFormat="1" hidden="1" x14ac:dyDescent="0.25">
      <c r="A158" s="118">
        <v>24</v>
      </c>
      <c r="B158" s="151">
        <v>6205</v>
      </c>
      <c r="C158" s="94" t="s">
        <v>338</v>
      </c>
      <c r="D158" s="85"/>
      <c r="E158" s="108"/>
      <c r="F158" s="85">
        <f>0/8*12</f>
        <v>0</v>
      </c>
      <c r="G158" s="428">
        <v>0</v>
      </c>
      <c r="H158" s="85"/>
      <c r="I158" s="428"/>
      <c r="J158" s="85"/>
      <c r="K158" s="85"/>
    </row>
    <row r="159" spans="1:11" s="285" customFormat="1" hidden="1" x14ac:dyDescent="0.25">
      <c r="A159" s="118">
        <v>24</v>
      </c>
      <c r="B159" s="151">
        <v>6210</v>
      </c>
      <c r="C159" s="94" t="s">
        <v>339</v>
      </c>
      <c r="D159" s="85"/>
      <c r="E159" s="85"/>
      <c r="F159" s="85">
        <f>0/8*12</f>
        <v>0</v>
      </c>
      <c r="G159" s="428">
        <v>0</v>
      </c>
      <c r="H159" s="85"/>
      <c r="I159" s="428"/>
      <c r="J159" s="85"/>
      <c r="K159" s="85"/>
    </row>
    <row r="160" spans="1:11" s="285" customFormat="1" x14ac:dyDescent="0.25">
      <c r="A160" s="344"/>
      <c r="B160" s="346"/>
      <c r="C160" s="347"/>
      <c r="D160" s="116"/>
      <c r="E160" s="116">
        <f>SUM(E158:E159)</f>
        <v>0</v>
      </c>
      <c r="F160" s="116">
        <f>SUM(F158:F159)</f>
        <v>0</v>
      </c>
      <c r="G160" s="441">
        <v>0</v>
      </c>
      <c r="H160" s="116"/>
      <c r="I160" s="441"/>
      <c r="J160" s="116"/>
      <c r="K160" s="116"/>
    </row>
    <row r="161" spans="1:11" s="285" customFormat="1" x14ac:dyDescent="0.25">
      <c r="A161" s="344"/>
      <c r="B161" s="346"/>
      <c r="C161" s="93" t="s">
        <v>189</v>
      </c>
      <c r="D161" s="441">
        <f t="shared" ref="D161:K161" si="15">D160+D156+D151+D148+D70+D66+D63+D59+D38+D35+D32+D29+D25+D18</f>
        <v>2182381</v>
      </c>
      <c r="E161" s="116">
        <f t="shared" si="15"/>
        <v>3041896</v>
      </c>
      <c r="F161" s="116">
        <f t="shared" si="15"/>
        <v>2714876</v>
      </c>
      <c r="G161" s="441">
        <f t="shared" si="15"/>
        <v>2714877</v>
      </c>
      <c r="H161" s="116">
        <f t="shared" si="15"/>
        <v>3271229.2</v>
      </c>
      <c r="I161" s="441">
        <f t="shared" si="15"/>
        <v>4434950.7936000004</v>
      </c>
      <c r="J161" s="441">
        <f t="shared" si="15"/>
        <v>4678873.0872480003</v>
      </c>
      <c r="K161" s="441">
        <f t="shared" si="15"/>
        <v>4926853.3608721439</v>
      </c>
    </row>
    <row r="162" spans="1:11" s="285" customFormat="1" x14ac:dyDescent="0.25">
      <c r="A162" s="344"/>
      <c r="B162" s="151"/>
      <c r="C162" s="93" t="s">
        <v>258</v>
      </c>
      <c r="D162" s="117"/>
      <c r="E162" s="117"/>
      <c r="F162" s="117"/>
      <c r="G162" s="442"/>
      <c r="H162" s="117"/>
      <c r="I162" s="442"/>
      <c r="J162" s="117"/>
      <c r="K162" s="117"/>
    </row>
    <row r="163" spans="1:11" s="285" customFormat="1" x14ac:dyDescent="0.25">
      <c r="A163" s="118">
        <v>24</v>
      </c>
      <c r="B163" s="151">
        <v>6305</v>
      </c>
      <c r="C163" s="94" t="s">
        <v>190</v>
      </c>
      <c r="D163" s="85">
        <v>0</v>
      </c>
      <c r="E163" s="85"/>
      <c r="F163" s="85">
        <f>0/8*12</f>
        <v>0</v>
      </c>
      <c r="G163" s="428">
        <v>0</v>
      </c>
      <c r="H163" s="85"/>
      <c r="I163" s="428"/>
      <c r="J163" s="85"/>
      <c r="K163" s="85"/>
    </row>
    <row r="164" spans="1:11" s="285" customFormat="1" ht="14.25" hidden="1" customHeight="1" x14ac:dyDescent="0.25">
      <c r="A164" s="344"/>
      <c r="B164" s="151"/>
      <c r="C164" s="94"/>
      <c r="D164" s="116">
        <v>0</v>
      </c>
      <c r="E164" s="116">
        <f>E163</f>
        <v>0</v>
      </c>
      <c r="F164" s="116">
        <f>F163</f>
        <v>0</v>
      </c>
      <c r="G164" s="441">
        <v>0</v>
      </c>
      <c r="H164" s="116"/>
      <c r="I164" s="441"/>
      <c r="J164" s="116"/>
      <c r="K164" s="116"/>
    </row>
    <row r="165" spans="1:11" s="285" customFormat="1" x14ac:dyDescent="0.25">
      <c r="A165" s="348"/>
      <c r="B165" s="152"/>
      <c r="C165" s="119" t="s">
        <v>191</v>
      </c>
      <c r="D165" s="448">
        <f t="shared" ref="D165:K165" si="16">SUM(D161+D164)</f>
        <v>2182381</v>
      </c>
      <c r="E165" s="160">
        <f t="shared" si="16"/>
        <v>3041896</v>
      </c>
      <c r="F165" s="160">
        <f t="shared" si="16"/>
        <v>2714876</v>
      </c>
      <c r="G165" s="448">
        <f t="shared" si="16"/>
        <v>2714877</v>
      </c>
      <c r="H165" s="160">
        <f t="shared" si="16"/>
        <v>3271229.2</v>
      </c>
      <c r="I165" s="448">
        <f t="shared" si="16"/>
        <v>4434950.7936000004</v>
      </c>
      <c r="J165" s="448">
        <f t="shared" si="16"/>
        <v>4678873.0872480003</v>
      </c>
      <c r="K165" s="448">
        <f t="shared" si="16"/>
        <v>4926853.3608721439</v>
      </c>
    </row>
    <row r="166" spans="1:11" s="285" customFormat="1" x14ac:dyDescent="0.25">
      <c r="A166" s="344"/>
      <c r="B166" s="130"/>
      <c r="C166" s="115"/>
      <c r="D166" s="111"/>
      <c r="E166" s="120"/>
      <c r="F166" s="120"/>
      <c r="G166" s="120"/>
      <c r="H166" s="120"/>
      <c r="I166" s="120"/>
      <c r="J166" s="120"/>
      <c r="K166" s="271"/>
    </row>
    <row r="167" spans="1:11" s="285" customFormat="1" x14ac:dyDescent="0.25">
      <c r="A167" s="344"/>
      <c r="B167" s="130"/>
      <c r="C167" s="115"/>
      <c r="D167" s="111"/>
      <c r="E167" s="111"/>
      <c r="F167" s="111"/>
      <c r="G167" s="111"/>
      <c r="H167" s="111"/>
      <c r="I167" s="111"/>
      <c r="J167" s="111"/>
      <c r="K167" s="111"/>
    </row>
    <row r="168" spans="1:11" s="285" customFormat="1" x14ac:dyDescent="0.25">
      <c r="A168" s="349"/>
      <c r="B168" s="414" t="s">
        <v>543</v>
      </c>
      <c r="C168" s="414"/>
      <c r="D168" s="414"/>
      <c r="E168" s="359"/>
      <c r="F168" s="359"/>
      <c r="G168" s="563"/>
      <c r="H168" s="421"/>
      <c r="I168" s="581"/>
      <c r="J168" s="359"/>
      <c r="K168" s="360"/>
    </row>
    <row r="169" spans="1:11" s="285" customFormat="1" x14ac:dyDescent="0.25">
      <c r="A169" s="944" t="s">
        <v>21</v>
      </c>
      <c r="B169" s="945"/>
      <c r="C169" s="150" t="s">
        <v>22</v>
      </c>
      <c r="D169" s="103" t="s">
        <v>878</v>
      </c>
      <c r="E169" s="104" t="s">
        <v>24</v>
      </c>
      <c r="F169" s="103" t="s">
        <v>535</v>
      </c>
      <c r="G169" s="103" t="s">
        <v>413</v>
      </c>
      <c r="H169" s="103" t="s">
        <v>24</v>
      </c>
      <c r="I169" s="583" t="s">
        <v>24</v>
      </c>
      <c r="J169" s="583" t="s">
        <v>24</v>
      </c>
      <c r="K169" s="583" t="s">
        <v>24</v>
      </c>
    </row>
    <row r="170" spans="1:11" s="285" customFormat="1" x14ac:dyDescent="0.25">
      <c r="A170" s="946"/>
      <c r="B170" s="947"/>
      <c r="C170" s="106"/>
      <c r="D170" s="333" t="s">
        <v>257</v>
      </c>
      <c r="E170" s="107" t="s">
        <v>382</v>
      </c>
      <c r="F170" s="107" t="s">
        <v>382</v>
      </c>
      <c r="G170" s="107" t="s">
        <v>382</v>
      </c>
      <c r="H170" s="107" t="s">
        <v>407</v>
      </c>
      <c r="I170" s="586" t="s">
        <v>414</v>
      </c>
      <c r="J170" s="586" t="s">
        <v>530</v>
      </c>
      <c r="K170" s="586" t="s">
        <v>886</v>
      </c>
    </row>
    <row r="171" spans="1:11" s="285" customFormat="1" hidden="1" x14ac:dyDescent="0.25">
      <c r="A171" s="350"/>
      <c r="B171" s="153"/>
      <c r="C171" s="93" t="s">
        <v>98</v>
      </c>
      <c r="D171" s="122"/>
      <c r="E171" s="98"/>
      <c r="F171" s="98"/>
      <c r="G171" s="435"/>
      <c r="H171" s="98"/>
      <c r="I171" s="435"/>
      <c r="J171" s="98"/>
      <c r="K171" s="98"/>
    </row>
    <row r="172" spans="1:11" s="285" customFormat="1" hidden="1" x14ac:dyDescent="0.25">
      <c r="A172" s="118">
        <v>24</v>
      </c>
      <c r="B172" s="151">
        <v>1237</v>
      </c>
      <c r="C172" s="94" t="s">
        <v>99</v>
      </c>
      <c r="D172" s="122"/>
      <c r="E172" s="108"/>
      <c r="F172" s="98">
        <f>E172/8*12</f>
        <v>0</v>
      </c>
      <c r="G172" s="435"/>
      <c r="H172" s="98"/>
      <c r="I172" s="435"/>
      <c r="J172" s="98"/>
      <c r="K172" s="108"/>
    </row>
    <row r="173" spans="1:11" s="285" customFormat="1" hidden="1" x14ac:dyDescent="0.25">
      <c r="A173" s="118">
        <v>24</v>
      </c>
      <c r="B173" s="151">
        <v>5725</v>
      </c>
      <c r="C173" s="94" t="s">
        <v>400</v>
      </c>
      <c r="D173" s="85"/>
      <c r="E173" s="85">
        <v>0</v>
      </c>
      <c r="F173" s="85">
        <f>(0/8*12)*-1</f>
        <v>0</v>
      </c>
      <c r="G173" s="428"/>
      <c r="H173" s="85"/>
      <c r="I173" s="428"/>
      <c r="J173" s="85"/>
      <c r="K173" s="85"/>
    </row>
    <row r="174" spans="1:11" s="285" customFormat="1" hidden="1" x14ac:dyDescent="0.25">
      <c r="A174" s="344"/>
      <c r="B174" s="151"/>
      <c r="C174" s="94"/>
      <c r="D174" s="436">
        <f>SUM(D172)</f>
        <v>0</v>
      </c>
      <c r="E174" s="99">
        <f>SUM(E172)</f>
        <v>0</v>
      </c>
      <c r="F174" s="99">
        <f>SUM(F172)</f>
        <v>0</v>
      </c>
      <c r="G174" s="436">
        <f>SUM(G172)</f>
        <v>0</v>
      </c>
      <c r="H174" s="99"/>
      <c r="I174" s="436"/>
      <c r="J174" s="99"/>
      <c r="K174" s="99"/>
    </row>
    <row r="175" spans="1:11" s="285" customFormat="1" hidden="1" x14ac:dyDescent="0.25">
      <c r="A175" s="344"/>
      <c r="B175" s="151"/>
      <c r="C175" s="93" t="s">
        <v>100</v>
      </c>
      <c r="D175" s="122"/>
      <c r="E175" s="98"/>
      <c r="F175" s="98"/>
      <c r="G175" s="435"/>
      <c r="H175" s="98"/>
      <c r="I175" s="435"/>
      <c r="J175" s="98"/>
      <c r="K175" s="98"/>
    </row>
    <row r="176" spans="1:11" s="285" customFormat="1" hidden="1" x14ac:dyDescent="0.25">
      <c r="A176" s="118">
        <v>24</v>
      </c>
      <c r="B176" s="151">
        <v>1147</v>
      </c>
      <c r="C176" s="94" t="s">
        <v>102</v>
      </c>
      <c r="D176" s="122"/>
      <c r="E176" s="98"/>
      <c r="F176" s="98">
        <f>E176/8*12</f>
        <v>0</v>
      </c>
      <c r="G176" s="435"/>
      <c r="H176" s="98"/>
      <c r="I176" s="435"/>
      <c r="J176" s="98"/>
      <c r="K176" s="98"/>
    </row>
    <row r="177" spans="1:11" s="285" customFormat="1" hidden="1" x14ac:dyDescent="0.25">
      <c r="A177" s="118">
        <v>24</v>
      </c>
      <c r="B177" s="151">
        <v>1202</v>
      </c>
      <c r="C177" s="94" t="s">
        <v>343</v>
      </c>
      <c r="D177" s="122"/>
      <c r="E177" s="98"/>
      <c r="F177" s="98">
        <f>E177/8*12</f>
        <v>0</v>
      </c>
      <c r="G177" s="435"/>
      <c r="H177" s="98"/>
      <c r="I177" s="435"/>
      <c r="J177" s="98"/>
      <c r="K177" s="98"/>
    </row>
    <row r="178" spans="1:11" s="285" customFormat="1" hidden="1" x14ac:dyDescent="0.25">
      <c r="A178" s="118">
        <v>24</v>
      </c>
      <c r="B178" s="151">
        <v>1207</v>
      </c>
      <c r="C178" s="94" t="s">
        <v>104</v>
      </c>
      <c r="D178" s="122"/>
      <c r="E178" s="98"/>
      <c r="F178" s="98">
        <f>E178/8*12</f>
        <v>0</v>
      </c>
      <c r="G178" s="435"/>
      <c r="H178" s="98"/>
      <c r="I178" s="435"/>
      <c r="J178" s="98"/>
      <c r="K178" s="98"/>
    </row>
    <row r="179" spans="1:11" s="285" customFormat="1" hidden="1" x14ac:dyDescent="0.25">
      <c r="A179" s="118">
        <v>24</v>
      </c>
      <c r="B179" s="151">
        <v>1153</v>
      </c>
      <c r="C179" s="94" t="s">
        <v>115</v>
      </c>
      <c r="D179" s="122"/>
      <c r="E179" s="98"/>
      <c r="F179" s="98">
        <f t="shared" ref="F179:F204" si="17">E179/8*12</f>
        <v>0</v>
      </c>
      <c r="G179" s="435"/>
      <c r="H179" s="98"/>
      <c r="I179" s="435"/>
      <c r="J179" s="98"/>
      <c r="K179" s="98"/>
    </row>
    <row r="180" spans="1:11" s="285" customFormat="1" hidden="1" x14ac:dyDescent="0.25">
      <c r="A180" s="118">
        <v>24</v>
      </c>
      <c r="B180" s="151">
        <v>1143</v>
      </c>
      <c r="C180" s="94" t="s">
        <v>109</v>
      </c>
      <c r="D180" s="122"/>
      <c r="E180" s="98"/>
      <c r="F180" s="98">
        <f t="shared" si="17"/>
        <v>0</v>
      </c>
      <c r="G180" s="435"/>
      <c r="H180" s="98"/>
      <c r="I180" s="435"/>
      <c r="J180" s="98"/>
      <c r="K180" s="98"/>
    </row>
    <row r="181" spans="1:11" s="285" customFormat="1" hidden="1" x14ac:dyDescent="0.25">
      <c r="A181" s="118">
        <v>24</v>
      </c>
      <c r="B181" s="151">
        <v>5500</v>
      </c>
      <c r="C181" s="94" t="s">
        <v>266</v>
      </c>
      <c r="D181" s="85"/>
      <c r="E181" s="85">
        <v>0</v>
      </c>
      <c r="F181" s="85">
        <v>0</v>
      </c>
      <c r="G181" s="428"/>
      <c r="H181" s="85"/>
      <c r="I181" s="428"/>
      <c r="J181" s="85"/>
      <c r="K181" s="85"/>
    </row>
    <row r="182" spans="1:11" s="285" customFormat="1" hidden="1" x14ac:dyDescent="0.25">
      <c r="A182" s="118">
        <v>24</v>
      </c>
      <c r="B182" s="151">
        <v>5705</v>
      </c>
      <c r="C182" s="94" t="s">
        <v>296</v>
      </c>
      <c r="D182" s="85"/>
      <c r="E182" s="85"/>
      <c r="F182" s="85">
        <f>0/8*12</f>
        <v>0</v>
      </c>
      <c r="G182" s="428"/>
      <c r="H182" s="85"/>
      <c r="I182" s="428"/>
      <c r="J182" s="85"/>
      <c r="K182" s="85"/>
    </row>
    <row r="183" spans="1:11" s="285" customFormat="1" hidden="1" x14ac:dyDescent="0.25">
      <c r="A183" s="118">
        <v>24</v>
      </c>
      <c r="B183" s="151">
        <v>1140</v>
      </c>
      <c r="C183" s="94" t="s">
        <v>113</v>
      </c>
      <c r="D183" s="122"/>
      <c r="E183" s="98"/>
      <c r="F183" s="98">
        <f t="shared" si="17"/>
        <v>0</v>
      </c>
      <c r="G183" s="435"/>
      <c r="H183" s="98"/>
      <c r="I183" s="435"/>
      <c r="J183" s="98"/>
      <c r="K183" s="98"/>
    </row>
    <row r="184" spans="1:11" s="285" customFormat="1" hidden="1" x14ac:dyDescent="0.25">
      <c r="A184" s="118">
        <v>24</v>
      </c>
      <c r="B184" s="151">
        <v>1145</v>
      </c>
      <c r="C184" s="94" t="s">
        <v>132</v>
      </c>
      <c r="D184" s="122"/>
      <c r="E184" s="98"/>
      <c r="F184" s="98">
        <f t="shared" si="17"/>
        <v>0</v>
      </c>
      <c r="G184" s="435"/>
      <c r="H184" s="98"/>
      <c r="I184" s="435"/>
      <c r="J184" s="98"/>
      <c r="K184" s="98"/>
    </row>
    <row r="185" spans="1:11" s="285" customFormat="1" hidden="1" x14ac:dyDescent="0.25">
      <c r="A185" s="118">
        <v>24</v>
      </c>
      <c r="B185" s="151">
        <v>1150</v>
      </c>
      <c r="C185" s="94" t="s">
        <v>120</v>
      </c>
      <c r="D185" s="122"/>
      <c r="E185" s="98"/>
      <c r="F185" s="98">
        <f t="shared" si="17"/>
        <v>0</v>
      </c>
      <c r="G185" s="435"/>
      <c r="H185" s="98"/>
      <c r="I185" s="435"/>
      <c r="J185" s="98"/>
      <c r="K185" s="98"/>
    </row>
    <row r="186" spans="1:11" s="285" customFormat="1" hidden="1" x14ac:dyDescent="0.25">
      <c r="A186" s="118">
        <v>24</v>
      </c>
      <c r="B186" s="151">
        <v>1155</v>
      </c>
      <c r="C186" s="94" t="s">
        <v>116</v>
      </c>
      <c r="D186" s="122"/>
      <c r="E186" s="98"/>
      <c r="F186" s="98">
        <f t="shared" si="17"/>
        <v>0</v>
      </c>
      <c r="G186" s="435"/>
      <c r="H186" s="98"/>
      <c r="I186" s="435"/>
      <c r="J186" s="98"/>
      <c r="K186" s="98"/>
    </row>
    <row r="187" spans="1:11" s="285" customFormat="1" hidden="1" x14ac:dyDescent="0.25">
      <c r="A187" s="118">
        <v>24</v>
      </c>
      <c r="B187" s="151">
        <v>1160</v>
      </c>
      <c r="C187" s="94" t="s">
        <v>101</v>
      </c>
      <c r="D187" s="122"/>
      <c r="E187" s="98"/>
      <c r="F187" s="98">
        <f t="shared" si="17"/>
        <v>0</v>
      </c>
      <c r="G187" s="435"/>
      <c r="H187" s="98"/>
      <c r="I187" s="435"/>
      <c r="J187" s="98"/>
      <c r="K187" s="98"/>
    </row>
    <row r="188" spans="1:11" s="285" customFormat="1" hidden="1" x14ac:dyDescent="0.25">
      <c r="A188" s="118">
        <v>24</v>
      </c>
      <c r="B188" s="151">
        <v>1165</v>
      </c>
      <c r="C188" s="94" t="s">
        <v>114</v>
      </c>
      <c r="D188" s="122"/>
      <c r="E188" s="98"/>
      <c r="F188" s="98">
        <f t="shared" si="17"/>
        <v>0</v>
      </c>
      <c r="G188" s="435"/>
      <c r="H188" s="98"/>
      <c r="I188" s="435"/>
      <c r="J188" s="98"/>
      <c r="K188" s="98"/>
    </row>
    <row r="189" spans="1:11" s="285" customFormat="1" hidden="1" x14ac:dyDescent="0.25">
      <c r="A189" s="118"/>
      <c r="B189" s="151"/>
      <c r="C189" s="94" t="s">
        <v>401</v>
      </c>
      <c r="D189" s="122"/>
      <c r="E189" s="98"/>
      <c r="F189" s="98">
        <f>E189/8*12</f>
        <v>0</v>
      </c>
      <c r="G189" s="435"/>
      <c r="H189" s="98"/>
      <c r="I189" s="435"/>
      <c r="J189" s="98"/>
      <c r="K189" s="98"/>
    </row>
    <row r="190" spans="1:11" s="285" customFormat="1" hidden="1" x14ac:dyDescent="0.25">
      <c r="A190" s="118">
        <v>24</v>
      </c>
      <c r="B190" s="151">
        <v>1180</v>
      </c>
      <c r="C190" s="94" t="s">
        <v>402</v>
      </c>
      <c r="D190" s="122"/>
      <c r="E190" s="98"/>
      <c r="F190" s="98">
        <f t="shared" si="17"/>
        <v>0</v>
      </c>
      <c r="G190" s="435"/>
      <c r="H190" s="98"/>
      <c r="I190" s="435"/>
      <c r="J190" s="98"/>
      <c r="K190" s="98"/>
    </row>
    <row r="191" spans="1:11" s="285" customFormat="1" hidden="1" x14ac:dyDescent="0.25">
      <c r="A191" s="118">
        <v>24</v>
      </c>
      <c r="B191" s="151">
        <v>1185</v>
      </c>
      <c r="C191" s="94" t="s">
        <v>403</v>
      </c>
      <c r="D191" s="122"/>
      <c r="E191" s="98"/>
      <c r="F191" s="98">
        <f t="shared" si="17"/>
        <v>0</v>
      </c>
      <c r="G191" s="435"/>
      <c r="H191" s="98"/>
      <c r="I191" s="435"/>
      <c r="J191" s="98"/>
      <c r="K191" s="98"/>
    </row>
    <row r="192" spans="1:11" s="285" customFormat="1" hidden="1" x14ac:dyDescent="0.25">
      <c r="A192" s="118">
        <v>24</v>
      </c>
      <c r="B192" s="151">
        <v>1190</v>
      </c>
      <c r="C192" s="94" t="s">
        <v>404</v>
      </c>
      <c r="D192" s="122"/>
      <c r="E192" s="98"/>
      <c r="F192" s="98">
        <f t="shared" si="17"/>
        <v>0</v>
      </c>
      <c r="G192" s="435"/>
      <c r="H192" s="98"/>
      <c r="I192" s="435"/>
      <c r="J192" s="98"/>
      <c r="K192" s="98"/>
    </row>
    <row r="193" spans="1:11" s="285" customFormat="1" hidden="1" x14ac:dyDescent="0.25">
      <c r="A193" s="118"/>
      <c r="B193" s="151"/>
      <c r="C193" s="94" t="s">
        <v>405</v>
      </c>
      <c r="D193" s="122"/>
      <c r="E193" s="98"/>
      <c r="F193" s="98">
        <f>E193/8*12</f>
        <v>0</v>
      </c>
      <c r="G193" s="435"/>
      <c r="H193" s="98"/>
      <c r="I193" s="435"/>
      <c r="J193" s="98"/>
      <c r="K193" s="98"/>
    </row>
    <row r="194" spans="1:11" s="285" customFormat="1" hidden="1" x14ac:dyDescent="0.25">
      <c r="A194" s="118">
        <v>24</v>
      </c>
      <c r="B194" s="151">
        <v>1195</v>
      </c>
      <c r="C194" s="94" t="s">
        <v>199</v>
      </c>
      <c r="D194" s="122"/>
      <c r="E194" s="98"/>
      <c r="F194" s="98">
        <f t="shared" si="17"/>
        <v>0</v>
      </c>
      <c r="G194" s="435"/>
      <c r="H194" s="98"/>
      <c r="I194" s="435"/>
      <c r="J194" s="98"/>
      <c r="K194" s="98"/>
    </row>
    <row r="195" spans="1:11" s="285" customFormat="1" hidden="1" x14ac:dyDescent="0.25">
      <c r="A195" s="118">
        <v>24</v>
      </c>
      <c r="B195" s="151">
        <v>1200</v>
      </c>
      <c r="C195" s="94" t="s">
        <v>117</v>
      </c>
      <c r="D195" s="122"/>
      <c r="E195" s="98"/>
      <c r="F195" s="98">
        <f t="shared" si="17"/>
        <v>0</v>
      </c>
      <c r="G195" s="435"/>
      <c r="H195" s="98"/>
      <c r="I195" s="435"/>
      <c r="J195" s="98"/>
      <c r="K195" s="98"/>
    </row>
    <row r="196" spans="1:11" s="285" customFormat="1" hidden="1" x14ac:dyDescent="0.25">
      <c r="A196" s="118">
        <v>24</v>
      </c>
      <c r="B196" s="151">
        <v>1205</v>
      </c>
      <c r="C196" s="115" t="s">
        <v>105</v>
      </c>
      <c r="D196" s="122"/>
      <c r="E196" s="98"/>
      <c r="F196" s="98">
        <f t="shared" si="17"/>
        <v>0</v>
      </c>
      <c r="G196" s="435"/>
      <c r="H196" s="98"/>
      <c r="I196" s="435"/>
      <c r="J196" s="98"/>
      <c r="K196" s="98"/>
    </row>
    <row r="197" spans="1:11" s="285" customFormat="1" hidden="1" x14ac:dyDescent="0.25">
      <c r="A197" s="118">
        <v>24</v>
      </c>
      <c r="B197" s="151">
        <v>1210</v>
      </c>
      <c r="C197" s="94" t="s">
        <v>118</v>
      </c>
      <c r="D197" s="122"/>
      <c r="E197" s="98"/>
      <c r="F197" s="98">
        <f t="shared" si="17"/>
        <v>0</v>
      </c>
      <c r="G197" s="435"/>
      <c r="H197" s="98"/>
      <c r="I197" s="435"/>
      <c r="J197" s="98"/>
      <c r="K197" s="98"/>
    </row>
    <row r="198" spans="1:11" s="285" customFormat="1" hidden="1" x14ac:dyDescent="0.25">
      <c r="A198" s="118">
        <v>24</v>
      </c>
      <c r="B198" s="151">
        <v>1215</v>
      </c>
      <c r="C198" s="94" t="s">
        <v>133</v>
      </c>
      <c r="D198" s="122"/>
      <c r="E198" s="98"/>
      <c r="F198" s="98">
        <f t="shared" si="17"/>
        <v>0</v>
      </c>
      <c r="G198" s="435"/>
      <c r="H198" s="98"/>
      <c r="I198" s="435"/>
      <c r="J198" s="98"/>
      <c r="K198" s="98"/>
    </row>
    <row r="199" spans="1:11" s="285" customFormat="1" hidden="1" x14ac:dyDescent="0.25">
      <c r="A199" s="118">
        <v>24</v>
      </c>
      <c r="B199" s="151">
        <v>5905</v>
      </c>
      <c r="C199" s="94" t="s">
        <v>329</v>
      </c>
      <c r="D199" s="85"/>
      <c r="E199" s="85"/>
      <c r="F199" s="85">
        <f>0/8*12</f>
        <v>0</v>
      </c>
      <c r="G199" s="428"/>
      <c r="H199" s="85"/>
      <c r="I199" s="428"/>
      <c r="J199" s="85"/>
      <c r="K199" s="85"/>
    </row>
    <row r="200" spans="1:11" s="285" customFormat="1" hidden="1" x14ac:dyDescent="0.25">
      <c r="A200" s="118">
        <v>24</v>
      </c>
      <c r="B200" s="151">
        <v>5900</v>
      </c>
      <c r="C200" s="94" t="s">
        <v>333</v>
      </c>
      <c r="D200" s="85"/>
      <c r="E200" s="85">
        <v>0</v>
      </c>
      <c r="F200" s="85">
        <v>0</v>
      </c>
      <c r="G200" s="428"/>
      <c r="H200" s="85"/>
      <c r="I200" s="428"/>
      <c r="J200" s="85"/>
      <c r="K200" s="85"/>
    </row>
    <row r="201" spans="1:11" s="285" customFormat="1" hidden="1" x14ac:dyDescent="0.25">
      <c r="A201" s="118">
        <v>24</v>
      </c>
      <c r="B201" s="151">
        <v>1220</v>
      </c>
      <c r="C201" s="94" t="s">
        <v>340</v>
      </c>
      <c r="D201" s="122"/>
      <c r="E201" s="98"/>
      <c r="F201" s="98">
        <f t="shared" si="17"/>
        <v>0</v>
      </c>
      <c r="G201" s="435"/>
      <c r="H201" s="98"/>
      <c r="I201" s="435"/>
      <c r="J201" s="98"/>
      <c r="K201" s="98"/>
    </row>
    <row r="202" spans="1:11" s="285" customFormat="1" hidden="1" x14ac:dyDescent="0.25">
      <c r="A202" s="118">
        <v>24</v>
      </c>
      <c r="B202" s="151">
        <v>1225</v>
      </c>
      <c r="C202" s="94" t="s">
        <v>370</v>
      </c>
      <c r="D202" s="122"/>
      <c r="E202" s="98"/>
      <c r="F202" s="98">
        <f t="shared" si="17"/>
        <v>0</v>
      </c>
      <c r="G202" s="435"/>
      <c r="H202" s="98"/>
      <c r="I202" s="435"/>
      <c r="J202" s="98"/>
      <c r="K202" s="98"/>
    </row>
    <row r="203" spans="1:11" s="285" customFormat="1" hidden="1" x14ac:dyDescent="0.25">
      <c r="A203" s="118">
        <v>24</v>
      </c>
      <c r="B203" s="151">
        <v>1230</v>
      </c>
      <c r="C203" s="94" t="s">
        <v>119</v>
      </c>
      <c r="D203" s="122"/>
      <c r="E203" s="98"/>
      <c r="F203" s="98">
        <f t="shared" si="17"/>
        <v>0</v>
      </c>
      <c r="G203" s="435"/>
      <c r="H203" s="98"/>
      <c r="I203" s="435"/>
      <c r="J203" s="98"/>
      <c r="K203" s="98"/>
    </row>
    <row r="204" spans="1:11" s="285" customFormat="1" hidden="1" x14ac:dyDescent="0.25">
      <c r="A204" s="118">
        <v>24</v>
      </c>
      <c r="B204" s="151">
        <v>1235</v>
      </c>
      <c r="C204" s="94" t="s">
        <v>347</v>
      </c>
      <c r="D204" s="122"/>
      <c r="E204" s="98"/>
      <c r="F204" s="98">
        <f t="shared" si="17"/>
        <v>0</v>
      </c>
      <c r="G204" s="435"/>
      <c r="H204" s="98"/>
      <c r="I204" s="435"/>
      <c r="J204" s="98"/>
      <c r="K204" s="98"/>
    </row>
    <row r="205" spans="1:11" s="285" customFormat="1" hidden="1" x14ac:dyDescent="0.25">
      <c r="A205" s="118"/>
      <c r="B205" s="151"/>
      <c r="C205" s="94" t="s">
        <v>510</v>
      </c>
      <c r="D205" s="225"/>
      <c r="E205" s="85"/>
      <c r="F205" s="85"/>
      <c r="G205" s="428"/>
      <c r="H205" s="85"/>
      <c r="I205" s="428"/>
      <c r="J205" s="85"/>
      <c r="K205" s="85"/>
    </row>
    <row r="206" spans="1:11" s="285" customFormat="1" hidden="1" x14ac:dyDescent="0.25">
      <c r="A206" s="344"/>
      <c r="B206" s="151"/>
      <c r="C206" s="94"/>
      <c r="D206" s="437">
        <f>SUM(D176:D204)</f>
        <v>0</v>
      </c>
      <c r="E206" s="100">
        <f>SUM(E176:E204)</f>
        <v>0</v>
      </c>
      <c r="F206" s="100">
        <f>SUM(F176:F204)</f>
        <v>0</v>
      </c>
      <c r="G206" s="437"/>
      <c r="H206" s="100"/>
      <c r="I206" s="437"/>
      <c r="J206" s="100"/>
      <c r="K206" s="100"/>
    </row>
    <row r="207" spans="1:11" s="285" customFormat="1" x14ac:dyDescent="0.25">
      <c r="A207" s="344"/>
      <c r="B207" s="151"/>
      <c r="C207" s="93" t="s">
        <v>66</v>
      </c>
      <c r="D207" s="122"/>
      <c r="E207" s="98"/>
      <c r="F207" s="98"/>
      <c r="G207" s="435"/>
      <c r="H207" s="98"/>
      <c r="I207" s="435"/>
      <c r="J207" s="98"/>
      <c r="K207" s="334"/>
    </row>
    <row r="208" spans="1:11" s="285" customFormat="1" x14ac:dyDescent="0.25">
      <c r="A208" s="118">
        <v>24</v>
      </c>
      <c r="B208" s="151">
        <v>1305</v>
      </c>
      <c r="C208" s="94" t="s">
        <v>342</v>
      </c>
      <c r="D208" s="122">
        <v>1386</v>
      </c>
      <c r="E208" s="98">
        <v>1477</v>
      </c>
      <c r="F208" s="98">
        <v>1478</v>
      </c>
      <c r="G208" s="435">
        <v>1478</v>
      </c>
      <c r="H208" s="98">
        <v>1478</v>
      </c>
      <c r="I208" s="435">
        <f>26704*1.71428571428571*1.058</f>
        <v>48433.426285714166</v>
      </c>
      <c r="J208" s="98">
        <f>+I208*1.055</f>
        <v>51097.26473142844</v>
      </c>
      <c r="K208" s="98">
        <f>+J208*1.053</f>
        <v>53805.419762194142</v>
      </c>
    </row>
    <row r="209" spans="1:11" s="285" customFormat="1" hidden="1" x14ac:dyDescent="0.25">
      <c r="A209" s="118">
        <v>24</v>
      </c>
      <c r="B209" s="151">
        <v>1310</v>
      </c>
      <c r="C209" s="94" t="s">
        <v>344</v>
      </c>
      <c r="D209" s="122"/>
      <c r="E209" s="98"/>
      <c r="F209" s="98"/>
      <c r="G209" s="435"/>
      <c r="H209" s="98"/>
      <c r="I209" s="435"/>
      <c r="J209" s="98"/>
      <c r="K209" s="98"/>
    </row>
    <row r="210" spans="1:11" s="285" customFormat="1" hidden="1" x14ac:dyDescent="0.25">
      <c r="A210" s="118">
        <v>24</v>
      </c>
      <c r="B210" s="151">
        <v>1320</v>
      </c>
      <c r="C210" s="94" t="s">
        <v>345</v>
      </c>
      <c r="D210" s="122"/>
      <c r="E210" s="98"/>
      <c r="F210" s="98"/>
      <c r="G210" s="435"/>
      <c r="H210" s="98"/>
      <c r="I210" s="435"/>
      <c r="J210" s="98"/>
      <c r="K210" s="98"/>
    </row>
    <row r="211" spans="1:11" s="285" customFormat="1" hidden="1" x14ac:dyDescent="0.25">
      <c r="A211" s="118">
        <v>24</v>
      </c>
      <c r="B211" s="151">
        <v>1315</v>
      </c>
      <c r="C211" s="94" t="s">
        <v>346</v>
      </c>
      <c r="D211" s="122"/>
      <c r="E211" s="108"/>
      <c r="F211" s="108"/>
      <c r="G211" s="112"/>
      <c r="H211" s="112"/>
      <c r="I211" s="112"/>
      <c r="J211" s="98"/>
      <c r="K211" s="108"/>
    </row>
    <row r="212" spans="1:11" s="285" customFormat="1" x14ac:dyDescent="0.25">
      <c r="A212" s="344"/>
      <c r="B212" s="151"/>
      <c r="C212" s="94"/>
      <c r="D212" s="99">
        <v>1386</v>
      </c>
      <c r="E212" s="99">
        <f>SUM(E208:E211)</f>
        <v>1477</v>
      </c>
      <c r="F212" s="99">
        <f>SUM(F208:F211)</f>
        <v>1478</v>
      </c>
      <c r="G212" s="436">
        <v>1478</v>
      </c>
      <c r="H212" s="99">
        <f>SUM(H208:H211)</f>
        <v>1478</v>
      </c>
      <c r="I212" s="436">
        <f>SUM(I208:I211)</f>
        <v>48433.426285714166</v>
      </c>
      <c r="J212" s="436">
        <f>SUM(J208:J211)</f>
        <v>51097.26473142844</v>
      </c>
      <c r="K212" s="436">
        <f>SUM(K208:K211)</f>
        <v>53805.419762194142</v>
      </c>
    </row>
    <row r="213" spans="1:11" s="285" customFormat="1" hidden="1" x14ac:dyDescent="0.25">
      <c r="A213" s="344"/>
      <c r="B213" s="151"/>
      <c r="C213" s="93" t="s">
        <v>67</v>
      </c>
      <c r="D213" s="122"/>
      <c r="E213" s="98"/>
      <c r="F213" s="98"/>
      <c r="G213" s="435"/>
      <c r="H213" s="98"/>
      <c r="I213" s="435"/>
      <c r="J213" s="435"/>
      <c r="K213" s="435"/>
    </row>
    <row r="214" spans="1:11" s="285" customFormat="1" hidden="1" x14ac:dyDescent="0.25">
      <c r="A214" s="118">
        <v>24</v>
      </c>
      <c r="B214" s="151">
        <v>1400</v>
      </c>
      <c r="C214" s="94" t="s">
        <v>68</v>
      </c>
      <c r="D214" s="122">
        <v>0</v>
      </c>
      <c r="E214" s="108"/>
      <c r="F214" s="108"/>
      <c r="G214" s="425"/>
      <c r="H214" s="108"/>
      <c r="I214" s="425"/>
      <c r="J214" s="425"/>
      <c r="K214" s="425"/>
    </row>
    <row r="215" spans="1:11" s="285" customFormat="1" hidden="1" x14ac:dyDescent="0.25">
      <c r="A215" s="118">
        <v>24</v>
      </c>
      <c r="B215" s="151">
        <v>1405</v>
      </c>
      <c r="C215" s="94" t="s">
        <v>69</v>
      </c>
      <c r="D215" s="122">
        <v>0</v>
      </c>
      <c r="E215" s="108"/>
      <c r="F215" s="108"/>
      <c r="G215" s="425"/>
      <c r="H215" s="108"/>
      <c r="I215" s="425"/>
      <c r="J215" s="425"/>
      <c r="K215" s="425"/>
    </row>
    <row r="216" spans="1:11" s="285" customFormat="1" hidden="1" x14ac:dyDescent="0.25">
      <c r="A216" s="344"/>
      <c r="B216" s="151"/>
      <c r="C216" s="94"/>
      <c r="D216" s="436">
        <f t="shared" ref="D216:K216" si="18">SUM(D214:D215)</f>
        <v>0</v>
      </c>
      <c r="E216" s="99">
        <f t="shared" si="18"/>
        <v>0</v>
      </c>
      <c r="F216" s="99">
        <f t="shared" si="18"/>
        <v>0</v>
      </c>
      <c r="G216" s="436">
        <f t="shared" si="18"/>
        <v>0</v>
      </c>
      <c r="H216" s="99">
        <f t="shared" si="18"/>
        <v>0</v>
      </c>
      <c r="I216" s="436">
        <f t="shared" si="18"/>
        <v>0</v>
      </c>
      <c r="J216" s="436">
        <f t="shared" si="18"/>
        <v>0</v>
      </c>
      <c r="K216" s="436">
        <f t="shared" si="18"/>
        <v>0</v>
      </c>
    </row>
    <row r="217" spans="1:11" s="285" customFormat="1" hidden="1" x14ac:dyDescent="0.25">
      <c r="A217" s="344"/>
      <c r="B217" s="151"/>
      <c r="C217" s="93" t="s">
        <v>70</v>
      </c>
      <c r="D217" s="122"/>
      <c r="E217" s="98"/>
      <c r="F217" s="98"/>
      <c r="G217" s="435"/>
      <c r="H217" s="98"/>
      <c r="I217" s="435"/>
      <c r="J217" s="435"/>
      <c r="K217" s="435"/>
    </row>
    <row r="218" spans="1:11" s="285" customFormat="1" hidden="1" x14ac:dyDescent="0.25">
      <c r="A218" s="118">
        <v>24</v>
      </c>
      <c r="B218" s="151">
        <v>1500</v>
      </c>
      <c r="C218" s="94" t="s">
        <v>106</v>
      </c>
      <c r="D218" s="122">
        <v>0</v>
      </c>
      <c r="E218" s="108"/>
      <c r="F218" s="108"/>
      <c r="G218" s="425"/>
      <c r="H218" s="108"/>
      <c r="I218" s="425"/>
      <c r="J218" s="425"/>
      <c r="K218" s="425"/>
    </row>
    <row r="219" spans="1:11" s="285" customFormat="1" hidden="1" x14ac:dyDescent="0.25">
      <c r="A219" s="118">
        <v>24</v>
      </c>
      <c r="B219" s="151">
        <v>1505</v>
      </c>
      <c r="C219" s="94" t="s">
        <v>71</v>
      </c>
      <c r="D219" s="122">
        <v>0</v>
      </c>
      <c r="E219" s="108"/>
      <c r="F219" s="108"/>
      <c r="G219" s="425"/>
      <c r="H219" s="108"/>
      <c r="I219" s="425"/>
      <c r="J219" s="425"/>
      <c r="K219" s="425"/>
    </row>
    <row r="220" spans="1:11" s="285" customFormat="1" hidden="1" x14ac:dyDescent="0.25">
      <c r="A220" s="118">
        <v>24</v>
      </c>
      <c r="B220" s="151">
        <v>1510</v>
      </c>
      <c r="C220" s="94" t="s">
        <v>72</v>
      </c>
      <c r="D220" s="122">
        <v>0</v>
      </c>
      <c r="E220" s="108"/>
      <c r="F220" s="108"/>
      <c r="G220" s="425"/>
      <c r="H220" s="108"/>
      <c r="I220" s="425"/>
      <c r="J220" s="425"/>
      <c r="K220" s="425"/>
    </row>
    <row r="221" spans="1:11" s="285" customFormat="1" hidden="1" x14ac:dyDescent="0.25">
      <c r="A221" s="344"/>
      <c r="B221" s="151"/>
      <c r="C221" s="94"/>
      <c r="D221" s="436">
        <f>SUM(D218:D220)</f>
        <v>0</v>
      </c>
      <c r="E221" s="99">
        <f>SUM(E218:E220)</f>
        <v>0</v>
      </c>
      <c r="F221" s="99">
        <f>SUM(F218:F220)</f>
        <v>0</v>
      </c>
      <c r="G221" s="436">
        <v>0</v>
      </c>
      <c r="H221" s="99">
        <f>SUM(H218:H220)</f>
        <v>0</v>
      </c>
      <c r="I221" s="436">
        <f>SUM(I218:I220)</f>
        <v>0</v>
      </c>
      <c r="J221" s="436">
        <f>SUM(J218:J220)</f>
        <v>0</v>
      </c>
      <c r="K221" s="436">
        <f>SUM(K218:K220)</f>
        <v>0</v>
      </c>
    </row>
    <row r="222" spans="1:11" s="285" customFormat="1" hidden="1" x14ac:dyDescent="0.25">
      <c r="A222" s="344"/>
      <c r="B222" s="151"/>
      <c r="C222" s="93" t="s">
        <v>73</v>
      </c>
      <c r="D222" s="122"/>
      <c r="E222" s="98"/>
      <c r="F222" s="98"/>
      <c r="G222" s="435"/>
      <c r="H222" s="98"/>
      <c r="I222" s="435"/>
      <c r="J222" s="435"/>
      <c r="K222" s="435"/>
    </row>
    <row r="223" spans="1:11" s="285" customFormat="1" hidden="1" x14ac:dyDescent="0.25">
      <c r="A223" s="118">
        <v>24</v>
      </c>
      <c r="B223" s="151">
        <v>1550</v>
      </c>
      <c r="C223" s="94" t="s">
        <v>349</v>
      </c>
      <c r="D223" s="122">
        <v>0</v>
      </c>
      <c r="E223" s="98"/>
      <c r="F223" s="98"/>
      <c r="G223" s="435"/>
      <c r="H223" s="98"/>
      <c r="I223" s="435"/>
      <c r="J223" s="435"/>
      <c r="K223" s="435"/>
    </row>
    <row r="224" spans="1:11" s="285" customFormat="1" hidden="1" x14ac:dyDescent="0.25">
      <c r="A224" s="118">
        <v>24</v>
      </c>
      <c r="B224" s="151">
        <v>1555</v>
      </c>
      <c r="C224" s="94" t="s">
        <v>348</v>
      </c>
      <c r="D224" s="122">
        <v>0</v>
      </c>
      <c r="E224" s="98"/>
      <c r="F224" s="98"/>
      <c r="G224" s="435"/>
      <c r="H224" s="98"/>
      <c r="I224" s="435"/>
      <c r="J224" s="435"/>
      <c r="K224" s="435"/>
    </row>
    <row r="225" spans="1:11" s="285" customFormat="1" hidden="1" x14ac:dyDescent="0.25">
      <c r="A225" s="344"/>
      <c r="B225" s="151"/>
      <c r="C225" s="94"/>
      <c r="D225" s="100">
        <v>0</v>
      </c>
      <c r="E225" s="100">
        <f>SUM(E223:E224)</f>
        <v>0</v>
      </c>
      <c r="F225" s="100">
        <f>SUM(F223:F224)</f>
        <v>0</v>
      </c>
      <c r="G225" s="437">
        <v>0</v>
      </c>
      <c r="H225" s="100">
        <f>SUM(H223:H224)</f>
        <v>0</v>
      </c>
      <c r="I225" s="437">
        <f>SUM(I223:I224)</f>
        <v>0</v>
      </c>
      <c r="J225" s="437">
        <f>SUM(J223:J224)</f>
        <v>0</v>
      </c>
      <c r="K225" s="437">
        <f>SUM(K223:K224)</f>
        <v>0</v>
      </c>
    </row>
    <row r="226" spans="1:11" s="285" customFormat="1" ht="13.5" hidden="1" customHeight="1" x14ac:dyDescent="0.25">
      <c r="A226" s="344"/>
      <c r="B226" s="151"/>
      <c r="C226" s="93" t="s">
        <v>74</v>
      </c>
      <c r="D226" s="122"/>
      <c r="E226" s="98"/>
      <c r="F226" s="98"/>
      <c r="G226" s="435"/>
      <c r="H226" s="98"/>
      <c r="I226" s="435"/>
      <c r="J226" s="435"/>
      <c r="K226" s="435"/>
    </row>
    <row r="227" spans="1:11" s="285" customFormat="1" hidden="1" x14ac:dyDescent="0.25">
      <c r="A227" s="118">
        <v>24</v>
      </c>
      <c r="B227" s="151">
        <v>1605</v>
      </c>
      <c r="C227" s="94" t="s">
        <v>75</v>
      </c>
      <c r="D227" s="122">
        <v>0</v>
      </c>
      <c r="E227" s="98"/>
      <c r="F227" s="98"/>
      <c r="G227" s="435"/>
      <c r="H227" s="98"/>
      <c r="I227" s="435"/>
      <c r="J227" s="435"/>
      <c r="K227" s="435"/>
    </row>
    <row r="228" spans="1:11" s="285" customFormat="1" hidden="1" x14ac:dyDescent="0.25">
      <c r="A228" s="118">
        <v>24</v>
      </c>
      <c r="B228" s="151">
        <v>1610</v>
      </c>
      <c r="C228" s="94" t="s">
        <v>131</v>
      </c>
      <c r="D228" s="122">
        <v>0</v>
      </c>
      <c r="E228" s="108"/>
      <c r="F228" s="108"/>
      <c r="G228" s="425"/>
      <c r="H228" s="108"/>
      <c r="I228" s="425"/>
      <c r="J228" s="425"/>
      <c r="K228" s="425"/>
    </row>
    <row r="229" spans="1:11" s="285" customFormat="1" hidden="1" x14ac:dyDescent="0.25">
      <c r="A229" s="118">
        <v>24</v>
      </c>
      <c r="B229" s="151">
        <v>1615</v>
      </c>
      <c r="C229" s="94" t="s">
        <v>182</v>
      </c>
      <c r="D229" s="122">
        <v>0</v>
      </c>
      <c r="E229" s="108"/>
      <c r="F229" s="108"/>
      <c r="G229" s="425"/>
      <c r="H229" s="108"/>
      <c r="I229" s="425"/>
      <c r="J229" s="425"/>
      <c r="K229" s="425"/>
    </row>
    <row r="230" spans="1:11" s="285" customFormat="1" hidden="1" x14ac:dyDescent="0.25">
      <c r="A230" s="118">
        <v>24</v>
      </c>
      <c r="B230" s="151">
        <v>1620</v>
      </c>
      <c r="C230" s="94" t="s">
        <v>255</v>
      </c>
      <c r="D230" s="122">
        <v>0</v>
      </c>
      <c r="E230" s="108"/>
      <c r="F230" s="108"/>
      <c r="G230" s="425"/>
      <c r="H230" s="108"/>
      <c r="I230" s="425"/>
      <c r="J230" s="425"/>
      <c r="K230" s="425"/>
    </row>
    <row r="231" spans="1:11" s="285" customFormat="1" hidden="1" x14ac:dyDescent="0.25">
      <c r="A231" s="118">
        <v>24</v>
      </c>
      <c r="B231" s="151">
        <v>1625</v>
      </c>
      <c r="C231" s="94" t="s">
        <v>108</v>
      </c>
      <c r="D231" s="122">
        <v>0</v>
      </c>
      <c r="E231" s="108"/>
      <c r="F231" s="108"/>
      <c r="G231" s="425"/>
      <c r="H231" s="108"/>
      <c r="I231" s="425"/>
      <c r="J231" s="425"/>
      <c r="K231" s="425"/>
    </row>
    <row r="232" spans="1:11" s="285" customFormat="1" hidden="1" x14ac:dyDescent="0.25">
      <c r="A232" s="118">
        <v>24</v>
      </c>
      <c r="B232" s="151">
        <v>1630</v>
      </c>
      <c r="C232" s="94" t="s">
        <v>76</v>
      </c>
      <c r="D232" s="122">
        <v>0</v>
      </c>
      <c r="E232" s="108"/>
      <c r="F232" s="108"/>
      <c r="G232" s="425"/>
      <c r="H232" s="108"/>
      <c r="I232" s="425"/>
      <c r="J232" s="425"/>
      <c r="K232" s="425"/>
    </row>
    <row r="233" spans="1:11" s="285" customFormat="1" hidden="1" x14ac:dyDescent="0.25">
      <c r="A233" s="118">
        <v>24</v>
      </c>
      <c r="B233" s="151">
        <v>1635</v>
      </c>
      <c r="C233" s="94" t="s">
        <v>180</v>
      </c>
      <c r="D233" s="122">
        <v>0</v>
      </c>
      <c r="E233" s="108"/>
      <c r="F233" s="108"/>
      <c r="G233" s="425"/>
      <c r="H233" s="108"/>
      <c r="I233" s="425"/>
      <c r="J233" s="425"/>
      <c r="K233" s="425"/>
    </row>
    <row r="234" spans="1:11" s="285" customFormat="1" hidden="1" x14ac:dyDescent="0.25">
      <c r="A234" s="118">
        <v>24</v>
      </c>
      <c r="B234" s="151">
        <v>1640</v>
      </c>
      <c r="C234" s="94" t="s">
        <v>184</v>
      </c>
      <c r="D234" s="122">
        <v>0</v>
      </c>
      <c r="E234" s="108"/>
      <c r="F234" s="108"/>
      <c r="G234" s="425"/>
      <c r="H234" s="108"/>
      <c r="I234" s="425"/>
      <c r="J234" s="425"/>
      <c r="K234" s="425"/>
    </row>
    <row r="235" spans="1:11" s="285" customFormat="1" hidden="1" x14ac:dyDescent="0.25">
      <c r="A235" s="118">
        <v>24</v>
      </c>
      <c r="B235" s="151">
        <v>1645</v>
      </c>
      <c r="C235" s="94" t="s">
        <v>77</v>
      </c>
      <c r="D235" s="122">
        <v>0</v>
      </c>
      <c r="E235" s="108"/>
      <c r="F235" s="108"/>
      <c r="G235" s="425"/>
      <c r="H235" s="108"/>
      <c r="I235" s="425"/>
      <c r="J235" s="425"/>
      <c r="K235" s="425"/>
    </row>
    <row r="236" spans="1:11" s="285" customFormat="1" hidden="1" x14ac:dyDescent="0.25">
      <c r="A236" s="118">
        <v>24</v>
      </c>
      <c r="B236" s="151">
        <v>1650</v>
      </c>
      <c r="C236" s="94" t="s">
        <v>78</v>
      </c>
      <c r="D236" s="122">
        <v>0</v>
      </c>
      <c r="E236" s="108"/>
      <c r="F236" s="108"/>
      <c r="G236" s="425"/>
      <c r="H236" s="108"/>
      <c r="I236" s="425"/>
      <c r="J236" s="425"/>
      <c r="K236" s="425"/>
    </row>
    <row r="237" spans="1:11" s="285" customFormat="1" hidden="1" x14ac:dyDescent="0.25">
      <c r="A237" s="118">
        <v>24</v>
      </c>
      <c r="B237" s="151"/>
      <c r="C237" s="94" t="s">
        <v>200</v>
      </c>
      <c r="D237" s="122">
        <v>0</v>
      </c>
      <c r="E237" s="108"/>
      <c r="F237" s="108"/>
      <c r="G237" s="425"/>
      <c r="H237" s="108"/>
      <c r="I237" s="425"/>
      <c r="J237" s="425"/>
      <c r="K237" s="425"/>
    </row>
    <row r="238" spans="1:11" s="285" customFormat="1" hidden="1" x14ac:dyDescent="0.25">
      <c r="A238" s="118">
        <v>24</v>
      </c>
      <c r="B238" s="151">
        <v>1660</v>
      </c>
      <c r="C238" s="94" t="s">
        <v>185</v>
      </c>
      <c r="D238" s="122">
        <v>0</v>
      </c>
      <c r="E238" s="108"/>
      <c r="F238" s="108"/>
      <c r="G238" s="425"/>
      <c r="H238" s="108"/>
      <c r="I238" s="425"/>
      <c r="J238" s="425"/>
      <c r="K238" s="425"/>
    </row>
    <row r="239" spans="1:11" s="285" customFormat="1" hidden="1" x14ac:dyDescent="0.25">
      <c r="A239" s="118">
        <v>24</v>
      </c>
      <c r="B239" s="151">
        <v>1665</v>
      </c>
      <c r="C239" s="94" t="s">
        <v>181</v>
      </c>
      <c r="D239" s="122">
        <v>0</v>
      </c>
      <c r="E239" s="108"/>
      <c r="F239" s="108"/>
      <c r="G239" s="425"/>
      <c r="H239" s="108"/>
      <c r="I239" s="425"/>
      <c r="J239" s="425"/>
      <c r="K239" s="425"/>
    </row>
    <row r="240" spans="1:11" s="285" customFormat="1" hidden="1" x14ac:dyDescent="0.25">
      <c r="A240" s="344"/>
      <c r="B240" s="151"/>
      <c r="C240" s="94"/>
      <c r="D240" s="436">
        <f>SUM(D227:D239)</f>
        <v>0</v>
      </c>
      <c r="E240" s="99">
        <f>SUM(E227:E239)</f>
        <v>0</v>
      </c>
      <c r="F240" s="99">
        <f>SUM(F227:F239)</f>
        <v>0</v>
      </c>
      <c r="G240" s="436">
        <v>0</v>
      </c>
      <c r="H240" s="99">
        <f>SUM(H227:H239)</f>
        <v>0</v>
      </c>
      <c r="I240" s="436">
        <f>SUM(I227:I239)</f>
        <v>0</v>
      </c>
      <c r="J240" s="436">
        <f>SUM(J227:J239)</f>
        <v>0</v>
      </c>
      <c r="K240" s="436">
        <f>SUM(K227:K239)</f>
        <v>0</v>
      </c>
    </row>
    <row r="241" spans="1:11" s="285" customFormat="1" hidden="1" x14ac:dyDescent="0.25">
      <c r="A241" s="344"/>
      <c r="B241" s="151"/>
      <c r="C241" s="93" t="s">
        <v>79</v>
      </c>
      <c r="D241" s="122"/>
      <c r="E241" s="98"/>
      <c r="F241" s="98"/>
      <c r="G241" s="435"/>
      <c r="H241" s="98"/>
      <c r="I241" s="435"/>
      <c r="J241" s="435"/>
      <c r="K241" s="435"/>
    </row>
    <row r="242" spans="1:11" s="285" customFormat="1" hidden="1" x14ac:dyDescent="0.25">
      <c r="A242" s="118">
        <v>24</v>
      </c>
      <c r="B242" s="151">
        <v>1705</v>
      </c>
      <c r="C242" s="94" t="s">
        <v>123</v>
      </c>
      <c r="D242" s="122">
        <v>0</v>
      </c>
      <c r="E242" s="98"/>
      <c r="F242" s="98"/>
      <c r="G242" s="435"/>
      <c r="H242" s="98"/>
      <c r="I242" s="435"/>
      <c r="J242" s="435"/>
      <c r="K242" s="435"/>
    </row>
    <row r="243" spans="1:11" s="285" customFormat="1" hidden="1" x14ac:dyDescent="0.25">
      <c r="A243" s="118">
        <v>24</v>
      </c>
      <c r="B243" s="151">
        <v>1710</v>
      </c>
      <c r="C243" s="94" t="s">
        <v>242</v>
      </c>
      <c r="D243" s="122">
        <v>0</v>
      </c>
      <c r="E243" s="98"/>
      <c r="F243" s="98"/>
      <c r="G243" s="435"/>
      <c r="H243" s="98"/>
      <c r="I243" s="435"/>
      <c r="J243" s="435"/>
      <c r="K243" s="435"/>
    </row>
    <row r="244" spans="1:11" s="285" customFormat="1" hidden="1" x14ac:dyDescent="0.25">
      <c r="A244" s="118">
        <v>24</v>
      </c>
      <c r="B244" s="151">
        <v>1715</v>
      </c>
      <c r="C244" s="94" t="s">
        <v>183</v>
      </c>
      <c r="D244" s="122">
        <v>0</v>
      </c>
      <c r="E244" s="98"/>
      <c r="F244" s="98"/>
      <c r="G244" s="435"/>
      <c r="H244" s="98"/>
      <c r="I244" s="435"/>
      <c r="J244" s="435"/>
      <c r="K244" s="435"/>
    </row>
    <row r="245" spans="1:11" s="285" customFormat="1" hidden="1" x14ac:dyDescent="0.25">
      <c r="A245" s="118">
        <v>24</v>
      </c>
      <c r="B245" s="151">
        <v>1720</v>
      </c>
      <c r="C245" s="94" t="s">
        <v>103</v>
      </c>
      <c r="D245" s="122">
        <v>0</v>
      </c>
      <c r="E245" s="98"/>
      <c r="F245" s="98"/>
      <c r="G245" s="435"/>
      <c r="H245" s="98"/>
      <c r="I245" s="435"/>
      <c r="J245" s="435"/>
      <c r="K245" s="435"/>
    </row>
    <row r="246" spans="1:11" s="285" customFormat="1" hidden="1" x14ac:dyDescent="0.25">
      <c r="A246" s="118">
        <v>24</v>
      </c>
      <c r="B246" s="151">
        <v>1725</v>
      </c>
      <c r="C246" s="94" t="s">
        <v>107</v>
      </c>
      <c r="D246" s="122">
        <v>0</v>
      </c>
      <c r="E246" s="98"/>
      <c r="F246" s="98"/>
      <c r="G246" s="435"/>
      <c r="H246" s="98"/>
      <c r="I246" s="435"/>
      <c r="J246" s="435"/>
      <c r="K246" s="435"/>
    </row>
    <row r="247" spans="1:11" s="285" customFormat="1" hidden="1" x14ac:dyDescent="0.25">
      <c r="A247" s="118">
        <v>24</v>
      </c>
      <c r="B247" s="151">
        <v>1730</v>
      </c>
      <c r="C247" s="94" t="s">
        <v>256</v>
      </c>
      <c r="D247" s="122">
        <v>0</v>
      </c>
      <c r="E247" s="98"/>
      <c r="F247" s="98"/>
      <c r="G247" s="435"/>
      <c r="H247" s="98"/>
      <c r="I247" s="435"/>
      <c r="J247" s="435"/>
      <c r="K247" s="435"/>
    </row>
    <row r="248" spans="1:11" s="285" customFormat="1" hidden="1" x14ac:dyDescent="0.25">
      <c r="A248" s="344"/>
      <c r="B248" s="151"/>
      <c r="C248" s="94"/>
      <c r="D248" s="436">
        <f t="shared" ref="D248:K248" si="19">SUM(D242:D247)</f>
        <v>0</v>
      </c>
      <c r="E248" s="99">
        <f t="shared" si="19"/>
        <v>0</v>
      </c>
      <c r="F248" s="99">
        <f t="shared" si="19"/>
        <v>0</v>
      </c>
      <c r="G248" s="436">
        <f t="shared" si="19"/>
        <v>0</v>
      </c>
      <c r="H248" s="99">
        <f t="shared" si="19"/>
        <v>0</v>
      </c>
      <c r="I248" s="436">
        <f t="shared" si="19"/>
        <v>0</v>
      </c>
      <c r="J248" s="436">
        <f t="shared" si="19"/>
        <v>0</v>
      </c>
      <c r="K248" s="436">
        <f t="shared" si="19"/>
        <v>0</v>
      </c>
    </row>
    <row r="249" spans="1:11" s="285" customFormat="1" hidden="1" x14ac:dyDescent="0.25">
      <c r="A249" s="344"/>
      <c r="B249" s="151"/>
      <c r="C249" s="93" t="s">
        <v>80</v>
      </c>
      <c r="D249" s="122"/>
      <c r="E249" s="98"/>
      <c r="F249" s="98"/>
      <c r="G249" s="435"/>
      <c r="H249" s="98"/>
      <c r="I249" s="435"/>
      <c r="J249" s="435"/>
      <c r="K249" s="435"/>
    </row>
    <row r="250" spans="1:11" s="285" customFormat="1" hidden="1" x14ac:dyDescent="0.25">
      <c r="A250" s="118">
        <v>24</v>
      </c>
      <c r="B250" s="151">
        <v>1805</v>
      </c>
      <c r="C250" s="94" t="s">
        <v>81</v>
      </c>
      <c r="D250" s="122">
        <v>0</v>
      </c>
      <c r="E250" s="108"/>
      <c r="F250" s="108"/>
      <c r="G250" s="425"/>
      <c r="H250" s="108"/>
      <c r="I250" s="425"/>
      <c r="J250" s="425"/>
      <c r="K250" s="425"/>
    </row>
    <row r="251" spans="1:11" s="285" customFormat="1" hidden="1" x14ac:dyDescent="0.25">
      <c r="A251" s="344"/>
      <c r="B251" s="151"/>
      <c r="C251" s="94"/>
      <c r="D251" s="99">
        <v>0</v>
      </c>
      <c r="E251" s="99">
        <f>E250</f>
        <v>0</v>
      </c>
      <c r="F251" s="99">
        <f>F250</f>
        <v>0</v>
      </c>
      <c r="G251" s="436">
        <v>0</v>
      </c>
      <c r="H251" s="99">
        <f>H250</f>
        <v>0</v>
      </c>
      <c r="I251" s="436">
        <f>I250</f>
        <v>0</v>
      </c>
      <c r="J251" s="436">
        <f>J250</f>
        <v>0</v>
      </c>
      <c r="K251" s="436">
        <f>K250</f>
        <v>0</v>
      </c>
    </row>
    <row r="252" spans="1:11" s="285" customFormat="1" x14ac:dyDescent="0.25">
      <c r="A252" s="344"/>
      <c r="B252" s="346"/>
      <c r="C252" s="93" t="s">
        <v>192</v>
      </c>
      <c r="D252" s="442">
        <f t="shared" ref="D252:K252" si="20">SUM(D171:D251)/2</f>
        <v>1386</v>
      </c>
      <c r="E252" s="117">
        <f t="shared" si="20"/>
        <v>1477</v>
      </c>
      <c r="F252" s="117">
        <f t="shared" si="20"/>
        <v>1478</v>
      </c>
      <c r="G252" s="442">
        <f t="shared" si="20"/>
        <v>1478</v>
      </c>
      <c r="H252" s="117">
        <f t="shared" si="20"/>
        <v>1478</v>
      </c>
      <c r="I252" s="442">
        <f t="shared" si="20"/>
        <v>48433.426285714166</v>
      </c>
      <c r="J252" s="442">
        <f t="shared" si="20"/>
        <v>51097.26473142844</v>
      </c>
      <c r="K252" s="442">
        <f t="shared" si="20"/>
        <v>53805.419762194142</v>
      </c>
    </row>
    <row r="253" spans="1:11" s="285" customFormat="1" hidden="1" x14ac:dyDescent="0.25">
      <c r="A253" s="344"/>
      <c r="B253" s="151"/>
      <c r="C253" s="94"/>
      <c r="D253" s="117"/>
      <c r="E253" s="117"/>
      <c r="F253" s="117"/>
      <c r="G253" s="442"/>
      <c r="H253" s="117"/>
      <c r="I253" s="442"/>
      <c r="J253" s="442"/>
      <c r="K253" s="442"/>
    </row>
    <row r="254" spans="1:11" s="285" customFormat="1" hidden="1" x14ac:dyDescent="0.25">
      <c r="A254" s="344"/>
      <c r="B254" s="151"/>
      <c r="C254" s="145" t="s">
        <v>193</v>
      </c>
      <c r="D254" s="124"/>
      <c r="E254" s="146"/>
      <c r="F254" s="146"/>
      <c r="G254" s="146"/>
      <c r="H254" s="146"/>
      <c r="I254" s="146"/>
      <c r="J254" s="146"/>
      <c r="K254" s="146"/>
    </row>
    <row r="255" spans="1:11" s="285" customFormat="1" hidden="1" x14ac:dyDescent="0.25">
      <c r="A255" s="118">
        <v>24</v>
      </c>
      <c r="B255" s="151">
        <v>1905</v>
      </c>
      <c r="C255" s="118" t="s">
        <v>194</v>
      </c>
      <c r="D255" s="127">
        <v>0</v>
      </c>
      <c r="E255" s="147"/>
      <c r="F255" s="147"/>
      <c r="G255" s="147"/>
      <c r="H255" s="147"/>
      <c r="I255" s="147"/>
      <c r="J255" s="147"/>
      <c r="K255" s="147"/>
    </row>
    <row r="256" spans="1:11" s="285" customFormat="1" hidden="1" x14ac:dyDescent="0.25">
      <c r="A256" s="344"/>
      <c r="B256" s="151"/>
      <c r="C256" s="94"/>
      <c r="D256" s="117">
        <v>0</v>
      </c>
      <c r="E256" s="117">
        <f>SUM(E255)</f>
        <v>0</v>
      </c>
      <c r="F256" s="117">
        <f>SUM(F255)</f>
        <v>0</v>
      </c>
      <c r="G256" s="442">
        <v>0</v>
      </c>
      <c r="H256" s="117">
        <f>SUM(H255)</f>
        <v>0</v>
      </c>
      <c r="I256" s="442">
        <f>SUM(I255)</f>
        <v>0</v>
      </c>
      <c r="J256" s="442">
        <f>SUM(J255)</f>
        <v>0</v>
      </c>
      <c r="K256" s="442">
        <f>SUM(K255)</f>
        <v>0</v>
      </c>
    </row>
    <row r="257" spans="1:11" s="285" customFormat="1" x14ac:dyDescent="0.25">
      <c r="A257" s="344"/>
      <c r="B257" s="151"/>
      <c r="C257" s="93" t="s">
        <v>189</v>
      </c>
      <c r="D257" s="442">
        <f t="shared" ref="D257:K257" si="21">D252+D256</f>
        <v>1386</v>
      </c>
      <c r="E257" s="117">
        <f t="shared" si="21"/>
        <v>1477</v>
      </c>
      <c r="F257" s="117">
        <f t="shared" si="21"/>
        <v>1478</v>
      </c>
      <c r="G257" s="442">
        <f t="shared" si="21"/>
        <v>1478</v>
      </c>
      <c r="H257" s="117">
        <f t="shared" si="21"/>
        <v>1478</v>
      </c>
      <c r="I257" s="442">
        <f t="shared" si="21"/>
        <v>48433.426285714166</v>
      </c>
      <c r="J257" s="442">
        <f t="shared" si="21"/>
        <v>51097.26473142844</v>
      </c>
      <c r="K257" s="442">
        <f t="shared" si="21"/>
        <v>53805.419762194142</v>
      </c>
    </row>
    <row r="258" spans="1:11" s="285" customFormat="1" hidden="1" x14ac:dyDescent="0.25">
      <c r="A258" s="344"/>
      <c r="B258" s="151"/>
      <c r="C258" s="145" t="s">
        <v>195</v>
      </c>
      <c r="D258" s="124"/>
      <c r="E258" s="148"/>
      <c r="F258" s="148"/>
      <c r="G258" s="148"/>
      <c r="H258" s="148"/>
      <c r="I258" s="148"/>
      <c r="J258" s="148"/>
      <c r="K258" s="148"/>
    </row>
    <row r="259" spans="1:11" s="285" customFormat="1" hidden="1" x14ac:dyDescent="0.25">
      <c r="A259" s="118">
        <v>24</v>
      </c>
      <c r="B259" s="151">
        <v>1950</v>
      </c>
      <c r="C259" s="118" t="s">
        <v>196</v>
      </c>
      <c r="D259" s="127">
        <v>0</v>
      </c>
      <c r="E259" s="147"/>
      <c r="F259" s="147"/>
      <c r="G259" s="147"/>
      <c r="H259" s="147"/>
      <c r="I259" s="147"/>
      <c r="J259" s="147"/>
      <c r="K259" s="147"/>
    </row>
    <row r="260" spans="1:11" s="285" customFormat="1" hidden="1" x14ac:dyDescent="0.25">
      <c r="A260" s="344"/>
      <c r="B260" s="346"/>
      <c r="C260" s="94"/>
      <c r="D260" s="124">
        <v>0</v>
      </c>
      <c r="E260" s="124">
        <f>E259</f>
        <v>0</v>
      </c>
      <c r="F260" s="124">
        <f>F259</f>
        <v>0</v>
      </c>
      <c r="G260" s="445">
        <v>0</v>
      </c>
      <c r="H260" s="124">
        <f>H259</f>
        <v>0</v>
      </c>
      <c r="I260" s="445">
        <f>I259</f>
        <v>0</v>
      </c>
      <c r="J260" s="445">
        <f>J259</f>
        <v>0</v>
      </c>
      <c r="K260" s="445">
        <f>K259</f>
        <v>0</v>
      </c>
    </row>
    <row r="261" spans="1:11" s="285" customFormat="1" x14ac:dyDescent="0.25">
      <c r="A261" s="348"/>
      <c r="B261" s="351"/>
      <c r="C261" s="93" t="s">
        <v>197</v>
      </c>
      <c r="D261" s="448">
        <f t="shared" ref="D261:K261" si="22">D257+D260</f>
        <v>1386</v>
      </c>
      <c r="E261" s="160">
        <f t="shared" si="22"/>
        <v>1477</v>
      </c>
      <c r="F261" s="160">
        <f t="shared" si="22"/>
        <v>1478</v>
      </c>
      <c r="G261" s="448">
        <f t="shared" si="22"/>
        <v>1478</v>
      </c>
      <c r="H261" s="160">
        <f t="shared" si="22"/>
        <v>1478</v>
      </c>
      <c r="I261" s="448">
        <f t="shared" si="22"/>
        <v>48433.426285714166</v>
      </c>
      <c r="J261" s="448">
        <f t="shared" si="22"/>
        <v>51097.26473142844</v>
      </c>
      <c r="K261" s="448">
        <f t="shared" si="22"/>
        <v>53805.419762194142</v>
      </c>
    </row>
    <row r="262" spans="1:11" s="285" customFormat="1" x14ac:dyDescent="0.25">
      <c r="A262" s="349"/>
      <c r="B262" s="154"/>
      <c r="C262" s="126" t="s">
        <v>82</v>
      </c>
      <c r="D262" s="449">
        <f t="shared" ref="D262:K262" si="23">D261-D165</f>
        <v>-2180995</v>
      </c>
      <c r="E262" s="161">
        <f t="shared" si="23"/>
        <v>-3040419</v>
      </c>
      <c r="F262" s="161">
        <f t="shared" si="23"/>
        <v>-2713398</v>
      </c>
      <c r="G262" s="449">
        <f t="shared" si="23"/>
        <v>-2713399</v>
      </c>
      <c r="H262" s="161">
        <f t="shared" si="23"/>
        <v>-3269751.2</v>
      </c>
      <c r="I262" s="449">
        <f t="shared" si="23"/>
        <v>-4386517.3673142865</v>
      </c>
      <c r="J262" s="449">
        <f t="shared" si="23"/>
        <v>-4627775.8225165717</v>
      </c>
      <c r="K262" s="449">
        <f t="shared" si="23"/>
        <v>-4873047.9411099497</v>
      </c>
    </row>
    <row r="263" spans="1:11" s="285" customFormat="1" x14ac:dyDescent="0.25">
      <c r="A263" s="284"/>
      <c r="B263" s="352"/>
      <c r="G263" s="468"/>
      <c r="I263" s="468"/>
    </row>
    <row r="264" spans="1:11" s="285" customFormat="1" x14ac:dyDescent="0.25">
      <c r="A264" s="284"/>
      <c r="B264" s="352"/>
      <c r="G264" s="468"/>
      <c r="I264" s="468"/>
    </row>
    <row r="266" spans="1:11" x14ac:dyDescent="0.25">
      <c r="E266" s="128"/>
      <c r="F266" s="128"/>
      <c r="G266" s="128"/>
      <c r="H266" s="128"/>
      <c r="I266" s="128"/>
      <c r="J266" s="128"/>
    </row>
    <row r="267" spans="1:11" x14ac:dyDescent="0.25">
      <c r="E267" s="128"/>
      <c r="F267" s="128"/>
      <c r="G267" s="128"/>
      <c r="H267" s="128"/>
      <c r="I267" s="128"/>
      <c r="J267" s="128"/>
      <c r="K267" s="109"/>
    </row>
    <row r="268" spans="1:11" x14ac:dyDescent="0.25">
      <c r="E268" s="128"/>
      <c r="F268" s="128"/>
      <c r="G268" s="128"/>
      <c r="H268" s="128"/>
      <c r="I268" s="128"/>
      <c r="J268" s="128"/>
    </row>
  </sheetData>
  <mergeCells count="3">
    <mergeCell ref="A4:B5"/>
    <mergeCell ref="A169:B170"/>
    <mergeCell ref="A1:K1"/>
  </mergeCells>
  <phoneticPr fontId="0" type="noConversion"/>
  <pageMargins left="0.25" right="0.25" top="0.75" bottom="0.75" header="0.3" footer="0.3"/>
  <pageSetup scale="73" fitToHeight="0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tabColor rgb="FFFF0000"/>
    <pageSetUpPr fitToPage="1"/>
  </sheetPr>
  <dimension ref="A1:K268"/>
  <sheetViews>
    <sheetView view="pageBreakPreview" topLeftCell="A181" zoomScaleSheetLayoutView="100" workbookViewId="0">
      <selection activeCell="I243" sqref="I243:K243"/>
    </sheetView>
  </sheetViews>
  <sheetFormatPr defaultColWidth="9.109375" defaultRowHeight="13.2" x14ac:dyDescent="0.25"/>
  <cols>
    <col min="1" max="1" width="3.33203125" style="434" customWidth="1"/>
    <col min="2" max="2" width="9" style="131" customWidth="1"/>
    <col min="3" max="3" width="29.5546875" style="434" customWidth="1"/>
    <col min="4" max="4" width="11.109375" style="434" customWidth="1"/>
    <col min="5" max="5" width="11.6640625" style="434" customWidth="1"/>
    <col min="6" max="9" width="12.6640625" style="434" customWidth="1"/>
    <col min="10" max="10" width="13.109375" style="434" customWidth="1"/>
    <col min="11" max="11" width="11.5546875" style="434" customWidth="1"/>
    <col min="12" max="16384" width="9.109375" style="434"/>
  </cols>
  <sheetData>
    <row r="1" spans="1:11" ht="12.75" customHeight="1" x14ac:dyDescent="0.25">
      <c r="A1" s="954" t="s">
        <v>356</v>
      </c>
      <c r="B1" s="955"/>
      <c r="C1" s="955"/>
      <c r="D1" s="955"/>
      <c r="E1" s="955"/>
      <c r="F1" s="955"/>
      <c r="G1" s="955"/>
      <c r="H1" s="955"/>
      <c r="I1" s="955"/>
      <c r="J1" s="955"/>
      <c r="K1" s="956"/>
    </row>
    <row r="2" spans="1:11" s="357" customFormat="1" ht="12.75" customHeight="1" x14ac:dyDescent="0.25">
      <c r="A2" s="958" t="s">
        <v>415</v>
      </c>
      <c r="B2" s="959"/>
      <c r="C2" s="959"/>
      <c r="D2" s="959"/>
      <c r="E2" s="959"/>
      <c r="F2" s="959"/>
      <c r="G2" s="959"/>
      <c r="H2" s="959"/>
      <c r="I2" s="959"/>
      <c r="J2" s="959"/>
      <c r="K2" s="960"/>
    </row>
    <row r="3" spans="1:11" s="468" customFormat="1" x14ac:dyDescent="0.25">
      <c r="A3" s="567" t="s">
        <v>21</v>
      </c>
      <c r="B3" s="568"/>
      <c r="C3" s="150" t="s">
        <v>22</v>
      </c>
      <c r="D3" s="103" t="s">
        <v>23</v>
      </c>
      <c r="E3" s="104" t="s">
        <v>24</v>
      </c>
      <c r="F3" s="103" t="s">
        <v>535</v>
      </c>
      <c r="G3" s="103" t="s">
        <v>877</v>
      </c>
      <c r="H3" s="104" t="s">
        <v>24</v>
      </c>
      <c r="I3" s="583" t="s">
        <v>24</v>
      </c>
      <c r="J3" s="583" t="s">
        <v>24</v>
      </c>
      <c r="K3" s="583" t="s">
        <v>24</v>
      </c>
    </row>
    <row r="4" spans="1:11" s="468" customFormat="1" x14ac:dyDescent="0.25">
      <c r="A4" s="569"/>
      <c r="B4" s="570"/>
      <c r="C4" s="106"/>
      <c r="D4" s="333" t="s">
        <v>257</v>
      </c>
      <c r="E4" s="107" t="s">
        <v>382</v>
      </c>
      <c r="F4" s="107" t="s">
        <v>382</v>
      </c>
      <c r="G4" s="107" t="s">
        <v>382</v>
      </c>
      <c r="H4" s="107" t="s">
        <v>407</v>
      </c>
      <c r="I4" s="586" t="s">
        <v>414</v>
      </c>
      <c r="J4" s="586" t="s">
        <v>530</v>
      </c>
      <c r="K4" s="586" t="s">
        <v>886</v>
      </c>
    </row>
    <row r="5" spans="1:11" s="468" customFormat="1" x14ac:dyDescent="0.25">
      <c r="A5" s="344"/>
      <c r="B5" s="151"/>
      <c r="C5" s="93" t="s">
        <v>33</v>
      </c>
      <c r="D5" s="428"/>
      <c r="E5" s="428"/>
      <c r="F5" s="428"/>
      <c r="G5" s="428"/>
      <c r="H5" s="428"/>
      <c r="I5" s="428"/>
      <c r="J5" s="428"/>
      <c r="K5" s="428"/>
    </row>
    <row r="6" spans="1:11" s="468" customFormat="1" x14ac:dyDescent="0.25">
      <c r="A6" s="118">
        <v>26</v>
      </c>
      <c r="B6" s="155">
        <v>5005</v>
      </c>
      <c r="C6" s="94" t="s">
        <v>241</v>
      </c>
      <c r="D6" s="428"/>
      <c r="E6" s="428">
        <v>15300</v>
      </c>
      <c r="F6" s="428">
        <v>15300</v>
      </c>
      <c r="G6" s="428">
        <v>15300</v>
      </c>
      <c r="H6" s="428">
        <f t="shared" ref="H6:H15" si="0">(F6*0.068)+F6</f>
        <v>16340.4</v>
      </c>
      <c r="I6" s="428">
        <f>21340*1.71428571428571*1.058</f>
        <v>38704.662857142765</v>
      </c>
      <c r="J6" s="428">
        <f>+I6*1.055</f>
        <v>40833.419314285617</v>
      </c>
      <c r="K6" s="428">
        <f>+J6*1.055</f>
        <v>43079.257376571324</v>
      </c>
    </row>
    <row r="7" spans="1:11" s="468" customFormat="1" x14ac:dyDescent="0.25">
      <c r="A7" s="118">
        <v>26</v>
      </c>
      <c r="B7" s="151">
        <v>5010</v>
      </c>
      <c r="C7" s="94" t="s">
        <v>34</v>
      </c>
      <c r="D7" s="428">
        <v>7200</v>
      </c>
      <c r="E7" s="428"/>
      <c r="F7" s="428">
        <v>0</v>
      </c>
      <c r="G7" s="428"/>
      <c r="H7" s="428">
        <f t="shared" si="0"/>
        <v>0</v>
      </c>
      <c r="I7" s="428"/>
      <c r="J7" s="428">
        <f t="shared" ref="J7:K17" si="1">+I7*1.055</f>
        <v>0</v>
      </c>
      <c r="K7" s="428">
        <f t="shared" si="1"/>
        <v>0</v>
      </c>
    </row>
    <row r="8" spans="1:11" s="468" customFormat="1" x14ac:dyDescent="0.25">
      <c r="A8" s="118">
        <v>26</v>
      </c>
      <c r="B8" s="151">
        <v>5015</v>
      </c>
      <c r="C8" s="94" t="s">
        <v>35</v>
      </c>
      <c r="D8" s="428">
        <v>0</v>
      </c>
      <c r="E8" s="428">
        <v>7000</v>
      </c>
      <c r="F8" s="428">
        <v>7000</v>
      </c>
      <c r="G8" s="428">
        <v>7000</v>
      </c>
      <c r="H8" s="428">
        <f t="shared" si="0"/>
        <v>7476</v>
      </c>
      <c r="I8" s="428">
        <v>12528</v>
      </c>
      <c r="J8" s="428">
        <f t="shared" si="1"/>
        <v>13217.039999999999</v>
      </c>
      <c r="K8" s="428">
        <f t="shared" si="1"/>
        <v>13943.977199999998</v>
      </c>
    </row>
    <row r="9" spans="1:11" s="468" customFormat="1" x14ac:dyDescent="0.25">
      <c r="A9" s="118">
        <v>26</v>
      </c>
      <c r="B9" s="151">
        <v>5020</v>
      </c>
      <c r="C9" s="94" t="s">
        <v>350</v>
      </c>
      <c r="D9" s="428">
        <v>6290</v>
      </c>
      <c r="E9" s="428">
        <v>450000</v>
      </c>
      <c r="F9" s="428">
        <v>450000</v>
      </c>
      <c r="G9" s="428">
        <v>450000</v>
      </c>
      <c r="H9" s="428">
        <f t="shared" si="0"/>
        <v>480600</v>
      </c>
      <c r="I9" s="428">
        <f>343911*1.71428571428571*1.058</f>
        <v>623756.2937142842</v>
      </c>
      <c r="J9" s="428">
        <f t="shared" si="1"/>
        <v>658062.88986856979</v>
      </c>
      <c r="K9" s="428">
        <f t="shared" si="1"/>
        <v>694256.3488113411</v>
      </c>
    </row>
    <row r="10" spans="1:11" s="468" customFormat="1" ht="13.2" customHeight="1" x14ac:dyDescent="0.25">
      <c r="A10" s="118">
        <v>26</v>
      </c>
      <c r="B10" s="151">
        <v>5020</v>
      </c>
      <c r="C10" s="94" t="s">
        <v>36</v>
      </c>
      <c r="D10" s="428">
        <v>180000</v>
      </c>
      <c r="E10" s="428"/>
      <c r="F10" s="428">
        <v>0</v>
      </c>
      <c r="G10" s="428">
        <v>0</v>
      </c>
      <c r="H10" s="428">
        <f t="shared" si="0"/>
        <v>0</v>
      </c>
      <c r="I10" s="428"/>
      <c r="J10" s="428">
        <f t="shared" si="1"/>
        <v>0</v>
      </c>
      <c r="K10" s="428">
        <f t="shared" si="1"/>
        <v>0</v>
      </c>
    </row>
    <row r="11" spans="1:11" s="468" customFormat="1" ht="12.75" hidden="1" customHeight="1" x14ac:dyDescent="0.25">
      <c r="A11" s="118">
        <v>26</v>
      </c>
      <c r="B11" s="151">
        <v>5020</v>
      </c>
      <c r="C11" s="94" t="s">
        <v>85</v>
      </c>
      <c r="D11" s="428">
        <v>0</v>
      </c>
      <c r="E11" s="428"/>
      <c r="F11" s="428">
        <v>0</v>
      </c>
      <c r="G11" s="428">
        <v>0</v>
      </c>
      <c r="H11" s="428">
        <f t="shared" si="0"/>
        <v>0</v>
      </c>
      <c r="I11" s="428"/>
      <c r="J11" s="428">
        <f t="shared" si="1"/>
        <v>0</v>
      </c>
      <c r="K11" s="428">
        <f t="shared" si="1"/>
        <v>0</v>
      </c>
    </row>
    <row r="12" spans="1:11" s="468" customFormat="1" ht="12.75" hidden="1" customHeight="1" x14ac:dyDescent="0.25">
      <c r="A12" s="118">
        <v>26</v>
      </c>
      <c r="B12" s="151">
        <v>5020</v>
      </c>
      <c r="C12" s="94" t="s">
        <v>84</v>
      </c>
      <c r="D12" s="428">
        <v>0</v>
      </c>
      <c r="E12" s="428"/>
      <c r="F12" s="428">
        <v>0</v>
      </c>
      <c r="G12" s="428">
        <v>0</v>
      </c>
      <c r="H12" s="428">
        <f t="shared" si="0"/>
        <v>0</v>
      </c>
      <c r="I12" s="428"/>
      <c r="J12" s="428">
        <f t="shared" si="1"/>
        <v>0</v>
      </c>
      <c r="K12" s="428">
        <f t="shared" si="1"/>
        <v>0</v>
      </c>
    </row>
    <row r="13" spans="1:11" s="468" customFormat="1" hidden="1" x14ac:dyDescent="0.25">
      <c r="A13" s="118">
        <v>26</v>
      </c>
      <c r="B13" s="151">
        <v>5030</v>
      </c>
      <c r="C13" s="94" t="s">
        <v>85</v>
      </c>
      <c r="D13" s="428">
        <v>0</v>
      </c>
      <c r="E13" s="428"/>
      <c r="F13" s="428">
        <v>0</v>
      </c>
      <c r="G13" s="428">
        <v>0</v>
      </c>
      <c r="H13" s="428">
        <f t="shared" si="0"/>
        <v>0</v>
      </c>
      <c r="I13" s="428"/>
      <c r="J13" s="428">
        <f t="shared" si="1"/>
        <v>0</v>
      </c>
      <c r="K13" s="428">
        <f t="shared" si="1"/>
        <v>0</v>
      </c>
    </row>
    <row r="14" spans="1:11" s="468" customFormat="1" x14ac:dyDescent="0.25">
      <c r="A14" s="118">
        <v>26</v>
      </c>
      <c r="B14" s="151">
        <v>5040</v>
      </c>
      <c r="C14" s="94" t="s">
        <v>37</v>
      </c>
      <c r="D14" s="428">
        <v>452600</v>
      </c>
      <c r="E14" s="428">
        <v>465000</v>
      </c>
      <c r="F14" s="428">
        <v>465000</v>
      </c>
      <c r="G14" s="428">
        <v>465000</v>
      </c>
      <c r="H14" s="428">
        <f t="shared" si="0"/>
        <v>496620</v>
      </c>
      <c r="I14" s="428">
        <f>256690*1.71428571428571*1.058</f>
        <v>465562.31999999884</v>
      </c>
      <c r="J14" s="428">
        <f t="shared" si="1"/>
        <v>491168.24759999872</v>
      </c>
      <c r="K14" s="428">
        <f t="shared" si="1"/>
        <v>518182.50121799862</v>
      </c>
    </row>
    <row r="15" spans="1:11" s="468" customFormat="1" ht="12.75" hidden="1" customHeight="1" x14ac:dyDescent="0.25">
      <c r="A15" s="118">
        <v>26</v>
      </c>
      <c r="B15" s="151">
        <v>5045</v>
      </c>
      <c r="C15" s="94" t="s">
        <v>38</v>
      </c>
      <c r="D15" s="428">
        <v>0</v>
      </c>
      <c r="E15" s="428"/>
      <c r="F15" s="428">
        <v>0</v>
      </c>
      <c r="G15" s="428">
        <v>0</v>
      </c>
      <c r="H15" s="428">
        <f t="shared" si="0"/>
        <v>0</v>
      </c>
      <c r="I15" s="428"/>
      <c r="J15" s="428">
        <f t="shared" si="1"/>
        <v>0</v>
      </c>
      <c r="K15" s="428">
        <f t="shared" si="1"/>
        <v>0</v>
      </c>
    </row>
    <row r="16" spans="1:11" s="468" customFormat="1" x14ac:dyDescent="0.25">
      <c r="A16" s="118">
        <v>26</v>
      </c>
      <c r="B16" s="151">
        <v>5050</v>
      </c>
      <c r="C16" s="94" t="s">
        <v>83</v>
      </c>
      <c r="D16" s="428">
        <v>45000</v>
      </c>
      <c r="E16" s="428">
        <v>160000</v>
      </c>
      <c r="F16" s="428">
        <v>160000</v>
      </c>
      <c r="G16" s="428">
        <v>160000</v>
      </c>
      <c r="H16" s="428">
        <v>90880</v>
      </c>
      <c r="I16" s="428">
        <f>100314*1.71428571428571*1.058</f>
        <v>181940.93485714242</v>
      </c>
      <c r="J16" s="428">
        <f t="shared" si="1"/>
        <v>191947.68627428525</v>
      </c>
      <c r="K16" s="428">
        <f t="shared" si="1"/>
        <v>202504.80901937094</v>
      </c>
    </row>
    <row r="17" spans="1:11" s="468" customFormat="1" x14ac:dyDescent="0.25">
      <c r="A17" s="118">
        <v>26</v>
      </c>
      <c r="B17" s="151">
        <v>5055</v>
      </c>
      <c r="C17" s="94" t="s">
        <v>39</v>
      </c>
      <c r="D17" s="428">
        <v>5431400</v>
      </c>
      <c r="E17" s="428">
        <v>7210000</v>
      </c>
      <c r="F17" s="428">
        <v>6498373</v>
      </c>
      <c r="G17" s="428">
        <v>6498373</v>
      </c>
      <c r="H17" s="428">
        <v>5940262</v>
      </c>
      <c r="I17" s="428">
        <f>3524044*12/7*1.058</f>
        <v>6391608.9462857144</v>
      </c>
      <c r="J17" s="428">
        <f t="shared" si="1"/>
        <v>6743147.438331428</v>
      </c>
      <c r="K17" s="428">
        <f t="shared" si="1"/>
        <v>7114020.5474396562</v>
      </c>
    </row>
    <row r="18" spans="1:11" s="468" customFormat="1" x14ac:dyDescent="0.25">
      <c r="A18" s="344"/>
      <c r="B18" s="151"/>
      <c r="C18" s="94"/>
      <c r="D18" s="429">
        <f t="shared" ref="D18:K18" si="2">SUM(D6:D17)</f>
        <v>6122490</v>
      </c>
      <c r="E18" s="429">
        <f t="shared" si="2"/>
        <v>8307300</v>
      </c>
      <c r="F18" s="429">
        <f t="shared" si="2"/>
        <v>7595673</v>
      </c>
      <c r="G18" s="429">
        <f t="shared" si="2"/>
        <v>7595673</v>
      </c>
      <c r="H18" s="429">
        <f t="shared" si="2"/>
        <v>7032178.4000000004</v>
      </c>
      <c r="I18" s="429">
        <f t="shared" si="2"/>
        <v>7714101.1577142831</v>
      </c>
      <c r="J18" s="429">
        <f t="shared" si="2"/>
        <v>8138376.7213885672</v>
      </c>
      <c r="K18" s="429">
        <f t="shared" si="2"/>
        <v>8585987.4410649389</v>
      </c>
    </row>
    <row r="19" spans="1:11" s="468" customFormat="1" x14ac:dyDescent="0.25">
      <c r="A19" s="344"/>
      <c r="B19" s="151"/>
      <c r="C19" s="93" t="s">
        <v>40</v>
      </c>
      <c r="D19" s="555"/>
      <c r="E19" s="86"/>
      <c r="F19" s="86"/>
      <c r="G19" s="86"/>
      <c r="H19" s="86"/>
      <c r="I19" s="86"/>
      <c r="J19" s="86"/>
      <c r="K19" s="428"/>
    </row>
    <row r="20" spans="1:11" s="468" customFormat="1" x14ac:dyDescent="0.25">
      <c r="A20" s="118">
        <v>26</v>
      </c>
      <c r="B20" s="151">
        <v>5105</v>
      </c>
      <c r="C20" s="94" t="s">
        <v>41</v>
      </c>
      <c r="D20" s="428">
        <v>369800</v>
      </c>
      <c r="E20" s="428">
        <v>555000</v>
      </c>
      <c r="F20" s="428">
        <v>555000</v>
      </c>
      <c r="G20" s="428">
        <v>555000</v>
      </c>
      <c r="H20" s="428">
        <f>(F20*0.068)+F20</f>
        <v>592740</v>
      </c>
      <c r="I20" s="428">
        <f>545987*1.71428571428571</f>
        <v>935977.71428571187</v>
      </c>
      <c r="J20" s="428">
        <f>+I20*1.055</f>
        <v>987456.48857142602</v>
      </c>
      <c r="K20" s="428">
        <f>+J20*1.053</f>
        <v>1039791.6824657115</v>
      </c>
    </row>
    <row r="21" spans="1:11" s="468" customFormat="1" x14ac:dyDescent="0.25">
      <c r="A21" s="118">
        <v>26</v>
      </c>
      <c r="B21" s="151">
        <v>5115</v>
      </c>
      <c r="C21" s="94" t="s">
        <v>42</v>
      </c>
      <c r="D21" s="428">
        <v>294000</v>
      </c>
      <c r="E21" s="428">
        <v>690000</v>
      </c>
      <c r="F21" s="428">
        <v>690000</v>
      </c>
      <c r="G21" s="428">
        <v>690000</v>
      </c>
      <c r="H21" s="428">
        <f>(F21*0.068)+F21</f>
        <v>736920</v>
      </c>
      <c r="I21" s="428">
        <f>478024*1.71428571428571*1.1</f>
        <v>901416.68571428349</v>
      </c>
      <c r="J21" s="428">
        <f>+I21*1.055</f>
        <v>950994.60342856904</v>
      </c>
      <c r="K21" s="428">
        <f>+J21*1.053</f>
        <v>1001397.3174102831</v>
      </c>
    </row>
    <row r="22" spans="1:11" s="468" customFormat="1" x14ac:dyDescent="0.25">
      <c r="A22" s="118">
        <v>26</v>
      </c>
      <c r="B22" s="151">
        <v>5120</v>
      </c>
      <c r="C22" s="94" t="s">
        <v>43</v>
      </c>
      <c r="D22" s="428">
        <v>216900</v>
      </c>
      <c r="E22" s="428">
        <v>173000</v>
      </c>
      <c r="F22" s="428">
        <v>173000</v>
      </c>
      <c r="G22" s="428">
        <v>173000</v>
      </c>
      <c r="H22" s="428">
        <f>(F22*0.068)+F22</f>
        <v>184764</v>
      </c>
      <c r="I22" s="428"/>
      <c r="J22" s="428">
        <f>+I22*1.055</f>
        <v>0</v>
      </c>
      <c r="K22" s="428">
        <f>+J22*1.053</f>
        <v>0</v>
      </c>
    </row>
    <row r="23" spans="1:11" s="468" customFormat="1" ht="12.75" customHeight="1" x14ac:dyDescent="0.25">
      <c r="A23" s="118">
        <v>26</v>
      </c>
      <c r="B23" s="151">
        <v>5125</v>
      </c>
      <c r="C23" s="94" t="s">
        <v>44</v>
      </c>
      <c r="D23" s="428">
        <v>0</v>
      </c>
      <c r="E23" s="428"/>
      <c r="F23" s="428"/>
      <c r="G23" s="428"/>
      <c r="H23" s="428">
        <f>(F23*0.068)+F23</f>
        <v>0</v>
      </c>
      <c r="I23" s="428"/>
      <c r="J23" s="428">
        <f>+I23*1.055</f>
        <v>0</v>
      </c>
      <c r="K23" s="428">
        <f>+J23*1.053</f>
        <v>0</v>
      </c>
    </row>
    <row r="24" spans="1:11" s="468" customFormat="1" x14ac:dyDescent="0.25">
      <c r="A24" s="118">
        <v>26</v>
      </c>
      <c r="B24" s="151">
        <v>5130</v>
      </c>
      <c r="C24" s="94" t="s">
        <v>45</v>
      </c>
      <c r="D24" s="428">
        <v>35600</v>
      </c>
      <c r="E24" s="428">
        <v>66000</v>
      </c>
      <c r="F24" s="428">
        <v>66000</v>
      </c>
      <c r="G24" s="428">
        <v>66000</v>
      </c>
      <c r="H24" s="428">
        <f>(F24*0.068)+F24</f>
        <v>70488</v>
      </c>
      <c r="I24" s="428">
        <f>31296*1.71428571428571*1.058</f>
        <v>56762.002285714145</v>
      </c>
      <c r="J24" s="428">
        <f>+I24*1.055</f>
        <v>59883.91241142842</v>
      </c>
      <c r="K24" s="428">
        <f>+J24*1.053</f>
        <v>63057.759769234122</v>
      </c>
    </row>
    <row r="25" spans="1:11" s="468" customFormat="1" x14ac:dyDescent="0.25">
      <c r="A25" s="344"/>
      <c r="B25" s="151"/>
      <c r="C25" s="94"/>
      <c r="D25" s="429">
        <f t="shared" ref="D25:K25" si="3">SUM(D20:D24)</f>
        <v>916300</v>
      </c>
      <c r="E25" s="429">
        <f t="shared" si="3"/>
        <v>1484000</v>
      </c>
      <c r="F25" s="429">
        <f t="shared" si="3"/>
        <v>1484000</v>
      </c>
      <c r="G25" s="429">
        <f t="shared" si="3"/>
        <v>1484000</v>
      </c>
      <c r="H25" s="429">
        <f t="shared" si="3"/>
        <v>1584912</v>
      </c>
      <c r="I25" s="429">
        <f t="shared" si="3"/>
        <v>1894156.4022857095</v>
      </c>
      <c r="J25" s="429">
        <f t="shared" si="3"/>
        <v>1998335.0044114236</v>
      </c>
      <c r="K25" s="429">
        <f t="shared" si="3"/>
        <v>2104246.7596452287</v>
      </c>
    </row>
    <row r="26" spans="1:11" s="468" customFormat="1" x14ac:dyDescent="0.25">
      <c r="A26" s="344"/>
      <c r="B26" s="151"/>
      <c r="C26" s="93" t="s">
        <v>46</v>
      </c>
      <c r="D26" s="428"/>
      <c r="E26" s="86"/>
      <c r="F26" s="86"/>
      <c r="G26" s="86"/>
      <c r="H26" s="86"/>
      <c r="I26" s="86"/>
      <c r="J26" s="86"/>
      <c r="K26" s="428"/>
    </row>
    <row r="27" spans="1:11" s="468" customFormat="1" ht="12.75" customHeight="1" x14ac:dyDescent="0.25">
      <c r="A27" s="344"/>
      <c r="B27" s="151"/>
      <c r="C27" s="93" t="s">
        <v>47</v>
      </c>
      <c r="D27" s="428"/>
      <c r="E27" s="86"/>
      <c r="F27" s="86"/>
      <c r="G27" s="86"/>
      <c r="H27" s="86"/>
      <c r="I27" s="86"/>
      <c r="J27" s="86"/>
      <c r="K27" s="428"/>
    </row>
    <row r="28" spans="1:11" s="468" customFormat="1" ht="12.75" customHeight="1" x14ac:dyDescent="0.25">
      <c r="A28" s="118">
        <v>26</v>
      </c>
      <c r="B28" s="151">
        <v>5150</v>
      </c>
      <c r="C28" s="94" t="s">
        <v>48</v>
      </c>
      <c r="D28" s="428"/>
      <c r="E28" s="428"/>
      <c r="F28" s="428"/>
      <c r="G28" s="428"/>
      <c r="H28" s="428"/>
      <c r="I28" s="428"/>
      <c r="J28" s="428"/>
      <c r="K28" s="428">
        <f>E28*(1+[1]INPUT!C$8)</f>
        <v>0</v>
      </c>
    </row>
    <row r="29" spans="1:11" s="468" customFormat="1" ht="12.75" customHeight="1" x14ac:dyDescent="0.25">
      <c r="A29" s="344"/>
      <c r="B29" s="151"/>
      <c r="C29" s="94"/>
      <c r="D29" s="429"/>
      <c r="E29" s="429">
        <f>E28</f>
        <v>0</v>
      </c>
      <c r="F29" s="429"/>
      <c r="G29" s="429"/>
      <c r="H29" s="429"/>
      <c r="I29" s="429"/>
      <c r="J29" s="429"/>
      <c r="K29" s="429">
        <f>K28</f>
        <v>0</v>
      </c>
    </row>
    <row r="30" spans="1:11" s="468" customFormat="1" ht="12.75" customHeight="1" x14ac:dyDescent="0.25">
      <c r="A30" s="344"/>
      <c r="B30" s="151"/>
      <c r="C30" s="93" t="s">
        <v>49</v>
      </c>
      <c r="D30" s="428"/>
      <c r="E30" s="86"/>
      <c r="F30" s="86"/>
      <c r="G30" s="86"/>
      <c r="H30" s="86"/>
      <c r="I30" s="86"/>
      <c r="J30" s="86"/>
      <c r="K30" s="428"/>
    </row>
    <row r="31" spans="1:11" s="468" customFormat="1" ht="12.75" customHeight="1" x14ac:dyDescent="0.25">
      <c r="A31" s="118">
        <v>26</v>
      </c>
      <c r="B31" s="151">
        <v>5170</v>
      </c>
      <c r="C31" s="94" t="s">
        <v>341</v>
      </c>
      <c r="D31" s="425"/>
      <c r="E31" s="425"/>
      <c r="F31" s="425"/>
      <c r="G31" s="428"/>
      <c r="H31" s="428"/>
      <c r="I31" s="428">
        <f>39837453*1.058</f>
        <v>42148025.274000004</v>
      </c>
      <c r="J31" s="428">
        <f>+I31*1.055</f>
        <v>44466166.664070003</v>
      </c>
      <c r="K31" s="428">
        <f>+J31*1.053</f>
        <v>46822873.497265711</v>
      </c>
    </row>
    <row r="32" spans="1:11" s="468" customFormat="1" ht="12.75" customHeight="1" x14ac:dyDescent="0.25">
      <c r="A32" s="344"/>
      <c r="B32" s="151"/>
      <c r="C32" s="94"/>
      <c r="D32" s="429">
        <f>+D31</f>
        <v>0</v>
      </c>
      <c r="E32" s="429">
        <f t="shared" ref="E32:K32" si="4">+E31</f>
        <v>0</v>
      </c>
      <c r="F32" s="429">
        <f t="shared" si="4"/>
        <v>0</v>
      </c>
      <c r="G32" s="429">
        <f t="shared" si="4"/>
        <v>0</v>
      </c>
      <c r="H32" s="429">
        <f t="shared" si="4"/>
        <v>0</v>
      </c>
      <c r="I32" s="429">
        <f t="shared" si="4"/>
        <v>42148025.274000004</v>
      </c>
      <c r="J32" s="429">
        <f t="shared" si="4"/>
        <v>44466166.664070003</v>
      </c>
      <c r="K32" s="429">
        <f t="shared" si="4"/>
        <v>46822873.497265711</v>
      </c>
    </row>
    <row r="33" spans="1:11" s="468" customFormat="1" ht="12.75" customHeight="1" x14ac:dyDescent="0.25">
      <c r="A33" s="344"/>
      <c r="B33" s="151"/>
      <c r="C33" s="93" t="s">
        <v>50</v>
      </c>
      <c r="D33" s="428"/>
      <c r="E33" s="86"/>
      <c r="F33" s="86"/>
      <c r="G33" s="86"/>
      <c r="H33" s="86"/>
      <c r="I33" s="86"/>
      <c r="J33" s="86"/>
      <c r="K33" s="428"/>
    </row>
    <row r="34" spans="1:11" s="468" customFormat="1" ht="12.75" customHeight="1" x14ac:dyDescent="0.25">
      <c r="A34" s="118">
        <v>26</v>
      </c>
      <c r="B34" s="151">
        <v>5180</v>
      </c>
      <c r="C34" s="94" t="s">
        <v>51</v>
      </c>
      <c r="D34" s="428"/>
      <c r="E34" s="425"/>
      <c r="F34" s="428"/>
      <c r="G34" s="428"/>
      <c r="H34" s="428"/>
      <c r="I34" s="428"/>
      <c r="J34" s="428"/>
      <c r="K34" s="425"/>
    </row>
    <row r="35" spans="1:11" s="468" customFormat="1" ht="12.75" customHeight="1" x14ac:dyDescent="0.25">
      <c r="A35" s="344"/>
      <c r="B35" s="151"/>
      <c r="C35" s="94"/>
      <c r="D35" s="429"/>
      <c r="E35" s="429">
        <f>SUM(E34)</f>
        <v>0</v>
      </c>
      <c r="F35" s="429"/>
      <c r="G35" s="429"/>
      <c r="H35" s="429"/>
      <c r="I35" s="429"/>
      <c r="J35" s="429"/>
      <c r="K35" s="429">
        <f>SUM(K34)</f>
        <v>0</v>
      </c>
    </row>
    <row r="36" spans="1:11" s="468" customFormat="1" ht="12.75" customHeight="1" x14ac:dyDescent="0.25">
      <c r="A36" s="344"/>
      <c r="B36" s="151"/>
      <c r="C36" s="93" t="s">
        <v>52</v>
      </c>
      <c r="D36" s="428"/>
      <c r="E36" s="86"/>
      <c r="F36" s="86"/>
      <c r="G36" s="86"/>
      <c r="H36" s="86"/>
      <c r="I36" s="86"/>
      <c r="J36" s="86"/>
      <c r="K36" s="428"/>
    </row>
    <row r="37" spans="1:11" s="468" customFormat="1" ht="12.75" customHeight="1" x14ac:dyDescent="0.25">
      <c r="A37" s="118">
        <v>26</v>
      </c>
      <c r="B37" s="151">
        <v>5190</v>
      </c>
      <c r="C37" s="94" t="s">
        <v>53</v>
      </c>
      <c r="D37" s="428"/>
      <c r="E37" s="425"/>
      <c r="F37" s="428"/>
      <c r="G37" s="428"/>
      <c r="H37" s="428"/>
      <c r="I37" s="428">
        <v>28790069</v>
      </c>
      <c r="J37" s="428">
        <f>+I37*1.055</f>
        <v>30373522.794999998</v>
      </c>
      <c r="K37" s="428">
        <f>+J37*1.053</f>
        <v>31983319.503134996</v>
      </c>
    </row>
    <row r="38" spans="1:11" s="468" customFormat="1" ht="12.75" customHeight="1" x14ac:dyDescent="0.25">
      <c r="A38" s="344"/>
      <c r="B38" s="151"/>
      <c r="C38" s="94"/>
      <c r="D38" s="429">
        <f t="shared" ref="D38:K38" si="5">D37</f>
        <v>0</v>
      </c>
      <c r="E38" s="429">
        <f t="shared" si="5"/>
        <v>0</v>
      </c>
      <c r="F38" s="429">
        <f t="shared" si="5"/>
        <v>0</v>
      </c>
      <c r="G38" s="429">
        <f t="shared" si="5"/>
        <v>0</v>
      </c>
      <c r="H38" s="429">
        <f t="shared" si="5"/>
        <v>0</v>
      </c>
      <c r="I38" s="429">
        <f t="shared" si="5"/>
        <v>28790069</v>
      </c>
      <c r="J38" s="429">
        <f t="shared" si="5"/>
        <v>30373522.794999998</v>
      </c>
      <c r="K38" s="429">
        <f t="shared" si="5"/>
        <v>31983319.503134996</v>
      </c>
    </row>
    <row r="39" spans="1:11" s="468" customFormat="1" x14ac:dyDescent="0.25">
      <c r="A39" s="344"/>
      <c r="B39" s="151"/>
      <c r="C39" s="93" t="s">
        <v>54</v>
      </c>
      <c r="D39" s="428"/>
      <c r="E39" s="86"/>
      <c r="F39" s="86"/>
      <c r="G39" s="86"/>
      <c r="H39" s="86"/>
      <c r="I39" s="86"/>
      <c r="J39" s="86"/>
      <c r="K39" s="428"/>
    </row>
    <row r="40" spans="1:11" s="468" customFormat="1" x14ac:dyDescent="0.25">
      <c r="A40" s="118">
        <v>26</v>
      </c>
      <c r="B40" s="151">
        <v>5200</v>
      </c>
      <c r="C40" s="94" t="s">
        <v>55</v>
      </c>
      <c r="D40" s="428"/>
      <c r="E40" s="425"/>
      <c r="F40" s="428"/>
      <c r="G40" s="428"/>
      <c r="H40" s="428">
        <v>10000</v>
      </c>
      <c r="I40" s="428"/>
      <c r="J40" s="428"/>
      <c r="K40" s="428"/>
    </row>
    <row r="41" spans="1:11" s="468" customFormat="1" x14ac:dyDescent="0.25">
      <c r="A41" s="118">
        <v>26</v>
      </c>
      <c r="B41" s="151">
        <v>5205</v>
      </c>
      <c r="C41" s="94" t="s">
        <v>56</v>
      </c>
      <c r="D41" s="428"/>
      <c r="E41" s="428">
        <v>80000</v>
      </c>
      <c r="F41" s="428">
        <v>10000</v>
      </c>
      <c r="G41" s="428">
        <v>10000</v>
      </c>
      <c r="H41" s="428">
        <v>10000</v>
      </c>
      <c r="I41" s="428">
        <f t="shared" ref="I41:I58" si="6">+H41*1.058</f>
        <v>10580</v>
      </c>
      <c r="J41" s="428">
        <f t="shared" ref="J41:J58" si="7">+I41*1.055</f>
        <v>11161.9</v>
      </c>
      <c r="K41" s="428">
        <f t="shared" ref="K41:K58" si="8">+J41*1.053</f>
        <v>11753.480699999998</v>
      </c>
    </row>
    <row r="42" spans="1:11" s="468" customFormat="1" x14ac:dyDescent="0.25">
      <c r="A42" s="118">
        <v>26</v>
      </c>
      <c r="B42" s="151">
        <v>5210</v>
      </c>
      <c r="C42" s="94" t="s">
        <v>57</v>
      </c>
      <c r="D42" s="428">
        <v>69785</v>
      </c>
      <c r="E42" s="428">
        <v>80000</v>
      </c>
      <c r="F42" s="428">
        <v>20000</v>
      </c>
      <c r="G42" s="428">
        <v>20000</v>
      </c>
      <c r="H42" s="428">
        <v>20000</v>
      </c>
      <c r="I42" s="428">
        <f t="shared" si="6"/>
        <v>21160</v>
      </c>
      <c r="J42" s="428">
        <f t="shared" si="7"/>
        <v>22323.8</v>
      </c>
      <c r="K42" s="428">
        <f t="shared" si="8"/>
        <v>23506.961399999997</v>
      </c>
    </row>
    <row r="43" spans="1:11" s="468" customFormat="1" ht="15.75" customHeight="1" x14ac:dyDescent="0.25">
      <c r="A43" s="118">
        <v>26</v>
      </c>
      <c r="B43" s="151">
        <v>5215</v>
      </c>
      <c r="C43" s="94" t="s">
        <v>95</v>
      </c>
      <c r="D43" s="428"/>
      <c r="E43" s="428">
        <v>0</v>
      </c>
      <c r="F43" s="428">
        <v>0</v>
      </c>
      <c r="G43" s="428">
        <v>0</v>
      </c>
      <c r="H43" s="428"/>
      <c r="I43" s="428">
        <f t="shared" si="6"/>
        <v>0</v>
      </c>
      <c r="J43" s="428">
        <f t="shared" si="7"/>
        <v>0</v>
      </c>
      <c r="K43" s="428">
        <f t="shared" si="8"/>
        <v>0</v>
      </c>
    </row>
    <row r="44" spans="1:11" s="468" customFormat="1" ht="12.75" customHeight="1" x14ac:dyDescent="0.25">
      <c r="A44" s="118">
        <v>26</v>
      </c>
      <c r="B44" s="151">
        <v>5220</v>
      </c>
      <c r="C44" s="94" t="s">
        <v>58</v>
      </c>
      <c r="D44" s="428"/>
      <c r="E44" s="428">
        <v>0</v>
      </c>
      <c r="F44" s="428">
        <v>0</v>
      </c>
      <c r="G44" s="428">
        <v>0</v>
      </c>
      <c r="H44" s="428"/>
      <c r="I44" s="428">
        <f t="shared" si="6"/>
        <v>0</v>
      </c>
      <c r="J44" s="428">
        <f t="shared" si="7"/>
        <v>0</v>
      </c>
      <c r="K44" s="428">
        <f t="shared" si="8"/>
        <v>0</v>
      </c>
    </row>
    <row r="45" spans="1:11" s="468" customFormat="1" ht="12.75" customHeight="1" x14ac:dyDescent="0.25">
      <c r="A45" s="118">
        <v>26</v>
      </c>
      <c r="B45" s="151">
        <v>5225</v>
      </c>
      <c r="C45" s="94" t="s">
        <v>92</v>
      </c>
      <c r="D45" s="428"/>
      <c r="E45" s="428">
        <v>0</v>
      </c>
      <c r="F45" s="428">
        <v>0</v>
      </c>
      <c r="G45" s="428">
        <v>0</v>
      </c>
      <c r="H45" s="428"/>
      <c r="I45" s="428">
        <f t="shared" si="6"/>
        <v>0</v>
      </c>
      <c r="J45" s="428">
        <f t="shared" si="7"/>
        <v>0</v>
      </c>
      <c r="K45" s="428">
        <f t="shared" si="8"/>
        <v>0</v>
      </c>
    </row>
    <row r="46" spans="1:11" s="468" customFormat="1" ht="12.75" customHeight="1" x14ac:dyDescent="0.25">
      <c r="A46" s="118">
        <v>26</v>
      </c>
      <c r="B46" s="151">
        <v>5230</v>
      </c>
      <c r="C46" s="94" t="s">
        <v>86</v>
      </c>
      <c r="D46" s="428"/>
      <c r="E46" s="428">
        <v>0</v>
      </c>
      <c r="F46" s="428">
        <v>0</v>
      </c>
      <c r="G46" s="428">
        <v>0</v>
      </c>
      <c r="H46" s="428"/>
      <c r="I46" s="428">
        <f t="shared" si="6"/>
        <v>0</v>
      </c>
      <c r="J46" s="428">
        <f t="shared" si="7"/>
        <v>0</v>
      </c>
      <c r="K46" s="428">
        <f t="shared" si="8"/>
        <v>0</v>
      </c>
    </row>
    <row r="47" spans="1:11" s="468" customFormat="1" ht="12.75" customHeight="1" x14ac:dyDescent="0.25">
      <c r="A47" s="118">
        <v>26</v>
      </c>
      <c r="B47" s="151">
        <v>5235</v>
      </c>
      <c r="C47" s="94" t="s">
        <v>124</v>
      </c>
      <c r="D47" s="428"/>
      <c r="E47" s="428">
        <v>0</v>
      </c>
      <c r="F47" s="428">
        <v>0</v>
      </c>
      <c r="G47" s="428">
        <v>0</v>
      </c>
      <c r="H47" s="428"/>
      <c r="I47" s="428">
        <f t="shared" si="6"/>
        <v>0</v>
      </c>
      <c r="J47" s="428">
        <f t="shared" si="7"/>
        <v>0</v>
      </c>
      <c r="K47" s="428">
        <f t="shared" si="8"/>
        <v>0</v>
      </c>
    </row>
    <row r="48" spans="1:11" s="468" customFormat="1" x14ac:dyDescent="0.25">
      <c r="A48" s="118">
        <v>26</v>
      </c>
      <c r="B48" s="151">
        <v>5240</v>
      </c>
      <c r="C48" s="94" t="s">
        <v>59</v>
      </c>
      <c r="D48" s="428">
        <v>124589</v>
      </c>
      <c r="E48" s="428">
        <v>120000</v>
      </c>
      <c r="F48" s="428">
        <v>50000</v>
      </c>
      <c r="G48" s="428">
        <v>50000</v>
      </c>
      <c r="H48" s="428">
        <v>50000</v>
      </c>
      <c r="I48" s="428">
        <f>+H48*1.058</f>
        <v>52900</v>
      </c>
      <c r="J48" s="428">
        <f>+I48*1.055</f>
        <v>55809.5</v>
      </c>
      <c r="K48" s="428">
        <f>+J48*1.053</f>
        <v>58767.403499999993</v>
      </c>
    </row>
    <row r="49" spans="1:11" s="468" customFormat="1" ht="12.75" customHeight="1" x14ac:dyDescent="0.25">
      <c r="A49" s="118">
        <v>26</v>
      </c>
      <c r="B49" s="151">
        <v>5245</v>
      </c>
      <c r="C49" s="94" t="s">
        <v>91</v>
      </c>
      <c r="D49" s="428"/>
      <c r="E49" s="428">
        <v>0</v>
      </c>
      <c r="F49" s="428">
        <v>0</v>
      </c>
      <c r="G49" s="428">
        <v>0</v>
      </c>
      <c r="H49" s="428"/>
      <c r="I49" s="428">
        <f t="shared" si="6"/>
        <v>0</v>
      </c>
      <c r="J49" s="428">
        <f t="shared" si="7"/>
        <v>0</v>
      </c>
      <c r="K49" s="428">
        <f t="shared" si="8"/>
        <v>0</v>
      </c>
    </row>
    <row r="50" spans="1:11" s="468" customFormat="1" ht="12.75" customHeight="1" x14ac:dyDescent="0.25">
      <c r="A50" s="118">
        <v>26</v>
      </c>
      <c r="B50" s="151">
        <v>5250</v>
      </c>
      <c r="C50" s="94" t="s">
        <v>88</v>
      </c>
      <c r="D50" s="428"/>
      <c r="E50" s="428">
        <v>0</v>
      </c>
      <c r="F50" s="428">
        <v>0</v>
      </c>
      <c r="G50" s="428">
        <v>0</v>
      </c>
      <c r="H50" s="428"/>
      <c r="I50" s="428">
        <f t="shared" si="6"/>
        <v>0</v>
      </c>
      <c r="J50" s="428">
        <f t="shared" si="7"/>
        <v>0</v>
      </c>
      <c r="K50" s="428">
        <f t="shared" si="8"/>
        <v>0</v>
      </c>
    </row>
    <row r="51" spans="1:11" s="468" customFormat="1" ht="12.75" customHeight="1" x14ac:dyDescent="0.25">
      <c r="A51" s="118">
        <v>26</v>
      </c>
      <c r="B51" s="151">
        <v>5255</v>
      </c>
      <c r="C51" s="94" t="s">
        <v>125</v>
      </c>
      <c r="D51" s="428"/>
      <c r="E51" s="428">
        <v>0</v>
      </c>
      <c r="F51" s="428">
        <v>0</v>
      </c>
      <c r="G51" s="428">
        <v>0</v>
      </c>
      <c r="H51" s="428"/>
      <c r="I51" s="428">
        <f t="shared" si="6"/>
        <v>0</v>
      </c>
      <c r="J51" s="428">
        <f t="shared" si="7"/>
        <v>0</v>
      </c>
      <c r="K51" s="428">
        <f t="shared" si="8"/>
        <v>0</v>
      </c>
    </row>
    <row r="52" spans="1:11" s="468" customFormat="1" ht="12.75" customHeight="1" x14ac:dyDescent="0.25">
      <c r="A52" s="118">
        <v>26</v>
      </c>
      <c r="B52" s="151">
        <v>5260</v>
      </c>
      <c r="C52" s="94" t="s">
        <v>90</v>
      </c>
      <c r="D52" s="428"/>
      <c r="E52" s="428">
        <v>0</v>
      </c>
      <c r="F52" s="428">
        <v>0</v>
      </c>
      <c r="G52" s="428">
        <v>0</v>
      </c>
      <c r="H52" s="428"/>
      <c r="I52" s="428">
        <f t="shared" si="6"/>
        <v>0</v>
      </c>
      <c r="J52" s="428">
        <f t="shared" si="7"/>
        <v>0</v>
      </c>
      <c r="K52" s="428">
        <f t="shared" si="8"/>
        <v>0</v>
      </c>
    </row>
    <row r="53" spans="1:11" s="468" customFormat="1" ht="12.75" customHeight="1" x14ac:dyDescent="0.25">
      <c r="A53" s="118">
        <v>26</v>
      </c>
      <c r="B53" s="151">
        <v>5265</v>
      </c>
      <c r="C53" s="94" t="s">
        <v>87</v>
      </c>
      <c r="D53" s="428"/>
      <c r="E53" s="428">
        <v>0</v>
      </c>
      <c r="F53" s="428">
        <v>0</v>
      </c>
      <c r="G53" s="428">
        <v>0</v>
      </c>
      <c r="H53" s="428"/>
      <c r="I53" s="428">
        <f t="shared" si="6"/>
        <v>0</v>
      </c>
      <c r="J53" s="428">
        <f t="shared" si="7"/>
        <v>0</v>
      </c>
      <c r="K53" s="428">
        <f t="shared" si="8"/>
        <v>0</v>
      </c>
    </row>
    <row r="54" spans="1:11" s="468" customFormat="1" ht="12.75" customHeight="1" x14ac:dyDescent="0.25">
      <c r="A54" s="118">
        <v>26</v>
      </c>
      <c r="B54" s="151">
        <v>5270</v>
      </c>
      <c r="C54" s="94" t="s">
        <v>89</v>
      </c>
      <c r="D54" s="428"/>
      <c r="E54" s="428">
        <v>0</v>
      </c>
      <c r="F54" s="428">
        <v>0</v>
      </c>
      <c r="G54" s="428">
        <v>0</v>
      </c>
      <c r="H54" s="428"/>
      <c r="I54" s="428">
        <f t="shared" si="6"/>
        <v>0</v>
      </c>
      <c r="J54" s="428">
        <f t="shared" si="7"/>
        <v>0</v>
      </c>
      <c r="K54" s="428">
        <f t="shared" si="8"/>
        <v>0</v>
      </c>
    </row>
    <row r="55" spans="1:11" s="468" customFormat="1" ht="12.75" customHeight="1" x14ac:dyDescent="0.25">
      <c r="A55" s="118">
        <v>26</v>
      </c>
      <c r="B55" s="151">
        <v>5275</v>
      </c>
      <c r="C55" s="94" t="s">
        <v>93</v>
      </c>
      <c r="D55" s="428"/>
      <c r="E55" s="428">
        <v>0</v>
      </c>
      <c r="F55" s="428">
        <v>0</v>
      </c>
      <c r="G55" s="428">
        <v>0</v>
      </c>
      <c r="H55" s="428"/>
      <c r="I55" s="428">
        <f t="shared" si="6"/>
        <v>0</v>
      </c>
      <c r="J55" s="428">
        <f t="shared" si="7"/>
        <v>0</v>
      </c>
      <c r="K55" s="428">
        <f t="shared" si="8"/>
        <v>0</v>
      </c>
    </row>
    <row r="56" spans="1:11" s="468" customFormat="1" ht="12.75" customHeight="1" x14ac:dyDescent="0.25">
      <c r="A56" s="118">
        <v>26</v>
      </c>
      <c r="B56" s="151">
        <v>5280</v>
      </c>
      <c r="C56" s="94" t="s">
        <v>94</v>
      </c>
      <c r="D56" s="428"/>
      <c r="E56" s="428">
        <v>0</v>
      </c>
      <c r="F56" s="428">
        <v>0</v>
      </c>
      <c r="G56" s="428">
        <v>0</v>
      </c>
      <c r="H56" s="428"/>
      <c r="I56" s="428">
        <f t="shared" si="6"/>
        <v>0</v>
      </c>
      <c r="J56" s="428">
        <f t="shared" si="7"/>
        <v>0</v>
      </c>
      <c r="K56" s="428">
        <f t="shared" si="8"/>
        <v>0</v>
      </c>
    </row>
    <row r="57" spans="1:11" s="468" customFormat="1" x14ac:dyDescent="0.25">
      <c r="A57" s="118">
        <v>26</v>
      </c>
      <c r="B57" s="151">
        <v>5285</v>
      </c>
      <c r="C57" s="94" t="s">
        <v>60</v>
      </c>
      <c r="D57" s="428">
        <v>5300</v>
      </c>
      <c r="E57" s="428">
        <v>50000</v>
      </c>
      <c r="F57" s="428">
        <v>30000</v>
      </c>
      <c r="G57" s="428">
        <v>30000</v>
      </c>
      <c r="H57" s="428">
        <v>20000</v>
      </c>
      <c r="I57" s="428">
        <f t="shared" si="6"/>
        <v>21160</v>
      </c>
      <c r="J57" s="428">
        <f t="shared" si="7"/>
        <v>22323.8</v>
      </c>
      <c r="K57" s="428">
        <f t="shared" si="8"/>
        <v>23506.961399999997</v>
      </c>
    </row>
    <row r="58" spans="1:11" s="468" customFormat="1" x14ac:dyDescent="0.25">
      <c r="A58" s="118">
        <v>26</v>
      </c>
      <c r="B58" s="151">
        <v>5290</v>
      </c>
      <c r="C58" s="94" t="s">
        <v>186</v>
      </c>
      <c r="D58" s="428"/>
      <c r="E58" s="428"/>
      <c r="F58" s="428">
        <f>E58-D58</f>
        <v>0</v>
      </c>
      <c r="G58" s="428">
        <v>0</v>
      </c>
      <c r="H58" s="428"/>
      <c r="I58" s="428">
        <f t="shared" si="6"/>
        <v>0</v>
      </c>
      <c r="J58" s="428">
        <f t="shared" si="7"/>
        <v>0</v>
      </c>
      <c r="K58" s="428">
        <f t="shared" si="8"/>
        <v>0</v>
      </c>
    </row>
    <row r="59" spans="1:11" s="468" customFormat="1" x14ac:dyDescent="0.25">
      <c r="A59" s="344"/>
      <c r="B59" s="151"/>
      <c r="C59" s="94"/>
      <c r="D59" s="439">
        <f t="shared" ref="D59:K59" si="9">SUM(D40:D58)</f>
        <v>199674</v>
      </c>
      <c r="E59" s="439">
        <f t="shared" si="9"/>
        <v>330000</v>
      </c>
      <c r="F59" s="439">
        <f t="shared" si="9"/>
        <v>110000</v>
      </c>
      <c r="G59" s="439">
        <f t="shared" si="9"/>
        <v>110000</v>
      </c>
      <c r="H59" s="439">
        <f t="shared" si="9"/>
        <v>110000</v>
      </c>
      <c r="I59" s="439">
        <f t="shared" si="9"/>
        <v>105800</v>
      </c>
      <c r="J59" s="439">
        <f t="shared" si="9"/>
        <v>111619</v>
      </c>
      <c r="K59" s="439">
        <f t="shared" si="9"/>
        <v>117534.80699999999</v>
      </c>
    </row>
    <row r="60" spans="1:11" s="468" customFormat="1" ht="12.75" customHeight="1" x14ac:dyDescent="0.25">
      <c r="A60" s="344"/>
      <c r="B60" s="151"/>
      <c r="C60" s="93" t="s">
        <v>198</v>
      </c>
      <c r="D60" s="428"/>
      <c r="E60" s="112"/>
      <c r="F60" s="112"/>
      <c r="G60" s="112"/>
      <c r="H60" s="112"/>
      <c r="I60" s="112"/>
      <c r="J60" s="112"/>
      <c r="K60" s="425"/>
    </row>
    <row r="61" spans="1:11" s="468" customFormat="1" ht="12.75" customHeight="1" x14ac:dyDescent="0.25">
      <c r="A61" s="118">
        <v>26</v>
      </c>
      <c r="B61" s="151">
        <v>5400</v>
      </c>
      <c r="C61" s="94" t="s">
        <v>334</v>
      </c>
      <c r="D61" s="428"/>
      <c r="E61" s="86"/>
      <c r="F61" s="428">
        <f>0/8*12</f>
        <v>0</v>
      </c>
      <c r="G61" s="86"/>
      <c r="H61" s="86"/>
      <c r="I61" s="86"/>
      <c r="J61" s="86"/>
      <c r="K61" s="428"/>
    </row>
    <row r="62" spans="1:11" s="468" customFormat="1" ht="12.75" customHeight="1" x14ac:dyDescent="0.25">
      <c r="A62" s="118">
        <v>26</v>
      </c>
      <c r="B62" s="151">
        <v>5405</v>
      </c>
      <c r="C62" s="94" t="s">
        <v>335</v>
      </c>
      <c r="D62" s="428"/>
      <c r="E62" s="425"/>
      <c r="F62" s="428">
        <v>0</v>
      </c>
      <c r="G62" s="428">
        <v>1315716</v>
      </c>
      <c r="H62" s="428"/>
      <c r="I62" s="428">
        <v>745000</v>
      </c>
      <c r="J62" s="428">
        <f>+I62*1.055</f>
        <v>785975</v>
      </c>
      <c r="K62" s="425">
        <f>+J62*1.053</f>
        <v>827631.67499999993</v>
      </c>
    </row>
    <row r="63" spans="1:11" s="468" customFormat="1" ht="12.75" customHeight="1" x14ac:dyDescent="0.25">
      <c r="A63" s="344"/>
      <c r="B63" s="151"/>
      <c r="C63" s="94"/>
      <c r="D63" s="429">
        <f t="shared" ref="D63:K63" si="10">SUM(D61:D62)</f>
        <v>0</v>
      </c>
      <c r="E63" s="429">
        <f t="shared" si="10"/>
        <v>0</v>
      </c>
      <c r="F63" s="429">
        <f t="shared" si="10"/>
        <v>0</v>
      </c>
      <c r="G63" s="429">
        <f t="shared" si="10"/>
        <v>1315716</v>
      </c>
      <c r="H63" s="429">
        <f t="shared" si="10"/>
        <v>0</v>
      </c>
      <c r="I63" s="429">
        <f t="shared" si="10"/>
        <v>745000</v>
      </c>
      <c r="J63" s="429">
        <f t="shared" si="10"/>
        <v>785975</v>
      </c>
      <c r="K63" s="429">
        <f t="shared" si="10"/>
        <v>827631.67499999993</v>
      </c>
    </row>
    <row r="64" spans="1:11" s="468" customFormat="1" ht="12.75" customHeight="1" x14ac:dyDescent="0.25">
      <c r="A64" s="344"/>
      <c r="B64" s="151"/>
      <c r="C64" s="93" t="s">
        <v>61</v>
      </c>
      <c r="D64" s="428"/>
      <c r="E64" s="86"/>
      <c r="F64" s="86"/>
      <c r="G64" s="86"/>
      <c r="H64" s="86"/>
      <c r="I64" s="86"/>
      <c r="J64" s="86"/>
      <c r="K64" s="428"/>
    </row>
    <row r="65" spans="1:11" s="468" customFormat="1" ht="12.75" customHeight="1" x14ac:dyDescent="0.25">
      <c r="A65" s="118">
        <v>26</v>
      </c>
      <c r="B65" s="151">
        <v>5450</v>
      </c>
      <c r="C65" s="94" t="s">
        <v>373</v>
      </c>
      <c r="D65" s="428"/>
      <c r="E65" s="425">
        <v>0</v>
      </c>
      <c r="F65" s="428">
        <f>0/8*12</f>
        <v>0</v>
      </c>
      <c r="G65" s="428"/>
      <c r="H65" s="428"/>
      <c r="I65" s="428"/>
      <c r="J65" s="428"/>
      <c r="K65" s="425">
        <v>0</v>
      </c>
    </row>
    <row r="66" spans="1:11" s="468" customFormat="1" ht="12.75" customHeight="1" x14ac:dyDescent="0.25">
      <c r="A66" s="344"/>
      <c r="B66" s="151"/>
      <c r="C66" s="94"/>
      <c r="D66" s="429"/>
      <c r="E66" s="429">
        <f t="shared" ref="E66:K66" si="11">E65</f>
        <v>0</v>
      </c>
      <c r="F66" s="429">
        <f t="shared" si="11"/>
        <v>0</v>
      </c>
      <c r="G66" s="429"/>
      <c r="H66" s="429"/>
      <c r="I66" s="429"/>
      <c r="J66" s="429"/>
      <c r="K66" s="429">
        <f t="shared" si="11"/>
        <v>0</v>
      </c>
    </row>
    <row r="67" spans="1:11" s="468" customFormat="1" ht="12.75" customHeight="1" x14ac:dyDescent="0.25">
      <c r="A67" s="344"/>
      <c r="B67" s="151"/>
      <c r="C67" s="93" t="s">
        <v>96</v>
      </c>
      <c r="D67" s="428"/>
      <c r="E67" s="86"/>
      <c r="F67" s="86"/>
      <c r="G67" s="86"/>
      <c r="H67" s="86"/>
      <c r="I67" s="86"/>
      <c r="J67" s="86"/>
      <c r="K67" s="428"/>
    </row>
    <row r="68" spans="1:11" s="468" customFormat="1" ht="12.75" customHeight="1" x14ac:dyDescent="0.25">
      <c r="A68" s="118">
        <v>26</v>
      </c>
      <c r="B68" s="151">
        <v>5470</v>
      </c>
      <c r="C68" s="94" t="s">
        <v>97</v>
      </c>
      <c r="D68" s="428"/>
      <c r="E68" s="86"/>
      <c r="F68" s="428">
        <f>0/8*12</f>
        <v>0</v>
      </c>
      <c r="G68" s="428"/>
      <c r="H68" s="428"/>
      <c r="I68" s="428"/>
      <c r="J68" s="428"/>
      <c r="K68" s="428">
        <f>F68*(1+[1]INPUT!C11)</f>
        <v>0</v>
      </c>
    </row>
    <row r="69" spans="1:11" s="468" customFormat="1" ht="12.75" customHeight="1" x14ac:dyDescent="0.25">
      <c r="A69" s="118">
        <v>26</v>
      </c>
      <c r="B69" s="151">
        <v>5475</v>
      </c>
      <c r="C69" s="94" t="s">
        <v>134</v>
      </c>
      <c r="D69" s="428"/>
      <c r="E69" s="86"/>
      <c r="F69" s="428">
        <f>0/8*12</f>
        <v>0</v>
      </c>
      <c r="G69" s="428"/>
      <c r="H69" s="428"/>
      <c r="I69" s="428"/>
      <c r="J69" s="428"/>
      <c r="K69" s="428">
        <f>F69*(1+[1]INPUT!C12)</f>
        <v>0</v>
      </c>
    </row>
    <row r="70" spans="1:11" s="468" customFormat="1" ht="12.75" customHeight="1" x14ac:dyDescent="0.25">
      <c r="A70" s="344"/>
      <c r="B70" s="151"/>
      <c r="C70" s="94"/>
      <c r="D70" s="439"/>
      <c r="E70" s="439">
        <f t="shared" ref="E70:K70" si="12">SUM(E68:E69)</f>
        <v>0</v>
      </c>
      <c r="F70" s="439">
        <f t="shared" si="12"/>
        <v>0</v>
      </c>
      <c r="G70" s="439"/>
      <c r="H70" s="439"/>
      <c r="I70" s="439"/>
      <c r="J70" s="439"/>
      <c r="K70" s="429">
        <f t="shared" si="12"/>
        <v>0</v>
      </c>
    </row>
    <row r="71" spans="1:11" s="468" customFormat="1" x14ac:dyDescent="0.25">
      <c r="A71" s="344"/>
      <c r="B71" s="151"/>
      <c r="C71" s="93" t="s">
        <v>62</v>
      </c>
      <c r="D71" s="88"/>
      <c r="E71" s="113"/>
      <c r="F71" s="113"/>
      <c r="G71" s="113"/>
      <c r="H71" s="113"/>
      <c r="I71" s="113"/>
      <c r="J71" s="113"/>
      <c r="K71" s="88"/>
    </row>
    <row r="72" spans="1:11" s="468" customFormat="1" x14ac:dyDescent="0.25">
      <c r="A72" s="118">
        <v>26</v>
      </c>
      <c r="B72" s="151">
        <v>5505</v>
      </c>
      <c r="C72" s="94" t="s">
        <v>259</v>
      </c>
      <c r="D72" s="428">
        <v>63081</v>
      </c>
      <c r="E72" s="428">
        <v>24000</v>
      </c>
      <c r="F72" s="428">
        <v>24000</v>
      </c>
      <c r="G72" s="428">
        <v>24000</v>
      </c>
      <c r="H72" s="428">
        <v>30000</v>
      </c>
      <c r="I72" s="428"/>
      <c r="J72" s="428">
        <f>+I72*1.055</f>
        <v>0</v>
      </c>
      <c r="K72" s="428">
        <f>+J72*1.053</f>
        <v>0</v>
      </c>
    </row>
    <row r="73" spans="1:11" s="468" customFormat="1" x14ac:dyDescent="0.25">
      <c r="A73" s="118">
        <v>26</v>
      </c>
      <c r="B73" s="151">
        <v>5510</v>
      </c>
      <c r="C73" s="94" t="s">
        <v>63</v>
      </c>
      <c r="D73" s="428"/>
      <c r="E73" s="428">
        <v>10822</v>
      </c>
      <c r="F73" s="428">
        <v>10822</v>
      </c>
      <c r="G73" s="428">
        <v>10822</v>
      </c>
      <c r="H73" s="428">
        <v>800000</v>
      </c>
      <c r="I73" s="428">
        <v>500000</v>
      </c>
      <c r="J73" s="428">
        <f>+I73*1.055</f>
        <v>527500</v>
      </c>
      <c r="K73" s="428">
        <f>+J73*1.053</f>
        <v>555457.5</v>
      </c>
    </row>
    <row r="74" spans="1:11" s="468" customFormat="1" ht="12.75" hidden="1" customHeight="1" x14ac:dyDescent="0.25">
      <c r="A74" s="118">
        <v>26</v>
      </c>
      <c r="B74" s="151">
        <v>5520</v>
      </c>
      <c r="C74" s="94" t="s">
        <v>260</v>
      </c>
      <c r="D74" s="428"/>
      <c r="E74" s="428"/>
      <c r="F74" s="428">
        <v>0</v>
      </c>
      <c r="G74" s="428">
        <v>0</v>
      </c>
      <c r="H74" s="428"/>
      <c r="I74" s="428"/>
      <c r="J74" s="428">
        <f t="shared" ref="J74:J137" si="13">+I74*1.055</f>
        <v>0</v>
      </c>
      <c r="K74" s="428">
        <f t="shared" ref="K74:K137" si="14">+J74*1.053</f>
        <v>0</v>
      </c>
    </row>
    <row r="75" spans="1:11" s="468" customFormat="1" ht="12.75" hidden="1" customHeight="1" x14ac:dyDescent="0.25">
      <c r="A75" s="118">
        <v>26</v>
      </c>
      <c r="B75" s="151">
        <v>5525</v>
      </c>
      <c r="C75" s="94" t="s">
        <v>261</v>
      </c>
      <c r="D75" s="428"/>
      <c r="E75" s="428"/>
      <c r="F75" s="428">
        <v>0</v>
      </c>
      <c r="G75" s="428">
        <v>0</v>
      </c>
      <c r="H75" s="428"/>
      <c r="I75" s="428"/>
      <c r="J75" s="428">
        <f t="shared" si="13"/>
        <v>0</v>
      </c>
      <c r="K75" s="428">
        <f t="shared" si="14"/>
        <v>0</v>
      </c>
    </row>
    <row r="76" spans="1:11" s="468" customFormat="1" ht="12.75" hidden="1" customHeight="1" x14ac:dyDescent="0.25">
      <c r="A76" s="118">
        <v>26</v>
      </c>
      <c r="B76" s="151">
        <v>5530</v>
      </c>
      <c r="C76" s="94" t="s">
        <v>262</v>
      </c>
      <c r="D76" s="428"/>
      <c r="E76" s="428"/>
      <c r="F76" s="428">
        <v>0</v>
      </c>
      <c r="G76" s="428">
        <v>0</v>
      </c>
      <c r="H76" s="428"/>
      <c r="I76" s="428"/>
      <c r="J76" s="428">
        <f t="shared" si="13"/>
        <v>0</v>
      </c>
      <c r="K76" s="428">
        <f t="shared" si="14"/>
        <v>0</v>
      </c>
    </row>
    <row r="77" spans="1:11" s="468" customFormat="1" x14ac:dyDescent="0.25">
      <c r="A77" s="118">
        <v>26</v>
      </c>
      <c r="B77" s="151">
        <v>5535</v>
      </c>
      <c r="C77" s="94" t="s">
        <v>263</v>
      </c>
      <c r="D77" s="428">
        <v>443</v>
      </c>
      <c r="E77" s="428">
        <v>15000</v>
      </c>
      <c r="F77" s="428">
        <v>15000</v>
      </c>
      <c r="G77" s="428">
        <v>15000</v>
      </c>
      <c r="H77" s="428">
        <v>5000</v>
      </c>
      <c r="I77" s="428">
        <v>30000</v>
      </c>
      <c r="J77" s="428">
        <f t="shared" si="13"/>
        <v>31649.999999999996</v>
      </c>
      <c r="K77" s="428">
        <f t="shared" si="14"/>
        <v>33327.449999999997</v>
      </c>
    </row>
    <row r="78" spans="1:11" s="468" customFormat="1" x14ac:dyDescent="0.25">
      <c r="A78" s="118">
        <v>26</v>
      </c>
      <c r="B78" s="151">
        <v>5540</v>
      </c>
      <c r="C78" s="94" t="s">
        <v>264</v>
      </c>
      <c r="D78" s="428">
        <v>302507</v>
      </c>
      <c r="E78" s="428">
        <v>3000000</v>
      </c>
      <c r="F78" s="428">
        <v>2630000</v>
      </c>
      <c r="G78" s="428">
        <v>2630000</v>
      </c>
      <c r="H78" s="428">
        <v>1900000</v>
      </c>
      <c r="I78" s="428">
        <v>1000000</v>
      </c>
      <c r="J78" s="428">
        <f t="shared" si="13"/>
        <v>1055000</v>
      </c>
      <c r="K78" s="428">
        <f t="shared" si="14"/>
        <v>1110915</v>
      </c>
    </row>
    <row r="79" spans="1:11" s="468" customFormat="1" ht="13.5" customHeight="1" x14ac:dyDescent="0.25">
      <c r="A79" s="118">
        <v>26</v>
      </c>
      <c r="B79" s="151">
        <v>5545</v>
      </c>
      <c r="C79" s="94" t="s">
        <v>265</v>
      </c>
      <c r="D79" s="428">
        <v>20426</v>
      </c>
      <c r="E79" s="428">
        <v>22000</v>
      </c>
      <c r="F79" s="428">
        <v>0</v>
      </c>
      <c r="G79" s="428">
        <v>0</v>
      </c>
      <c r="H79" s="428">
        <v>5000</v>
      </c>
      <c r="I79" s="428">
        <v>5000</v>
      </c>
      <c r="J79" s="428">
        <f t="shared" si="13"/>
        <v>5275</v>
      </c>
      <c r="K79" s="428">
        <f t="shared" si="14"/>
        <v>5554.5749999999998</v>
      </c>
    </row>
    <row r="80" spans="1:11" s="468" customFormat="1" ht="12.75" hidden="1" customHeight="1" x14ac:dyDescent="0.25">
      <c r="A80" s="118">
        <v>26</v>
      </c>
      <c r="B80" s="151">
        <v>5550</v>
      </c>
      <c r="C80" s="94" t="s">
        <v>267</v>
      </c>
      <c r="D80" s="428"/>
      <c r="E80" s="428"/>
      <c r="F80" s="428">
        <v>0</v>
      </c>
      <c r="G80" s="428">
        <v>0</v>
      </c>
      <c r="H80" s="428"/>
      <c r="I80" s="428"/>
      <c r="J80" s="428">
        <f t="shared" si="13"/>
        <v>0</v>
      </c>
      <c r="K80" s="428">
        <f t="shared" si="14"/>
        <v>0</v>
      </c>
    </row>
    <row r="81" spans="1:11" s="468" customFormat="1" x14ac:dyDescent="0.25">
      <c r="A81" s="118">
        <v>26</v>
      </c>
      <c r="B81" s="151">
        <v>5555</v>
      </c>
      <c r="C81" s="94" t="s">
        <v>268</v>
      </c>
      <c r="D81" s="428">
        <v>8550</v>
      </c>
      <c r="E81" s="428">
        <v>20000</v>
      </c>
      <c r="F81" s="428">
        <v>0</v>
      </c>
      <c r="G81" s="428">
        <v>0</v>
      </c>
      <c r="H81" s="428">
        <v>0</v>
      </c>
      <c r="I81" s="428"/>
      <c r="J81" s="428">
        <f t="shared" si="13"/>
        <v>0</v>
      </c>
      <c r="K81" s="428">
        <f t="shared" si="14"/>
        <v>0</v>
      </c>
    </row>
    <row r="82" spans="1:11" s="468" customFormat="1" x14ac:dyDescent="0.25">
      <c r="A82" s="118">
        <v>26</v>
      </c>
      <c r="B82" s="151">
        <v>5560</v>
      </c>
      <c r="C82" s="94" t="s">
        <v>269</v>
      </c>
      <c r="D82" s="428">
        <v>21600</v>
      </c>
      <c r="E82" s="428">
        <v>25320</v>
      </c>
      <c r="F82" s="428">
        <v>45320</v>
      </c>
      <c r="G82" s="428">
        <v>45320</v>
      </c>
      <c r="H82" s="428">
        <v>45320</v>
      </c>
      <c r="I82" s="428"/>
      <c r="J82" s="428">
        <f t="shared" si="13"/>
        <v>0</v>
      </c>
      <c r="K82" s="428">
        <f t="shared" si="14"/>
        <v>0</v>
      </c>
    </row>
    <row r="83" spans="1:11" s="468" customFormat="1" ht="12.75" customHeight="1" x14ac:dyDescent="0.25">
      <c r="A83" s="118">
        <v>26</v>
      </c>
      <c r="B83" s="151">
        <v>5565</v>
      </c>
      <c r="C83" s="94" t="s">
        <v>246</v>
      </c>
      <c r="D83" s="428"/>
      <c r="E83" s="428"/>
      <c r="F83" s="428">
        <v>0</v>
      </c>
      <c r="G83" s="428">
        <v>0</v>
      </c>
      <c r="H83" s="428">
        <v>0</v>
      </c>
      <c r="I83" s="428"/>
      <c r="J83" s="428">
        <f t="shared" si="13"/>
        <v>0</v>
      </c>
      <c r="K83" s="428">
        <f t="shared" si="14"/>
        <v>0</v>
      </c>
    </row>
    <row r="84" spans="1:11" s="468" customFormat="1" x14ac:dyDescent="0.25">
      <c r="A84" s="118">
        <v>26</v>
      </c>
      <c r="B84" s="151">
        <v>5570</v>
      </c>
      <c r="C84" s="94" t="s">
        <v>397</v>
      </c>
      <c r="D84" s="428">
        <v>48692</v>
      </c>
      <c r="E84" s="428"/>
      <c r="F84" s="428">
        <v>370000</v>
      </c>
      <c r="G84" s="428">
        <v>370000</v>
      </c>
      <c r="H84" s="428">
        <v>400000</v>
      </c>
      <c r="I84" s="428">
        <f>209143*1.71428571428571*1.058</f>
        <v>379325.64685714192</v>
      </c>
      <c r="J84" s="428">
        <f t="shared" si="13"/>
        <v>400188.55743428471</v>
      </c>
      <c r="K84" s="428">
        <f t="shared" si="14"/>
        <v>421398.55097830179</v>
      </c>
    </row>
    <row r="85" spans="1:11" s="468" customFormat="1" x14ac:dyDescent="0.25">
      <c r="A85" s="118">
        <v>26</v>
      </c>
      <c r="B85" s="151">
        <v>5575</v>
      </c>
      <c r="C85" s="94" t="s">
        <v>271</v>
      </c>
      <c r="D85" s="428">
        <v>455089</v>
      </c>
      <c r="E85" s="428">
        <v>250000</v>
      </c>
      <c r="F85" s="428">
        <v>350000</v>
      </c>
      <c r="G85" s="428">
        <v>350000</v>
      </c>
      <c r="H85" s="428">
        <v>350000</v>
      </c>
      <c r="I85" s="428"/>
      <c r="J85" s="428">
        <f t="shared" si="13"/>
        <v>0</v>
      </c>
      <c r="K85" s="428">
        <f t="shared" si="14"/>
        <v>0</v>
      </c>
    </row>
    <row r="86" spans="1:11" s="468" customFormat="1" x14ac:dyDescent="0.25">
      <c r="A86" s="118">
        <v>26</v>
      </c>
      <c r="B86" s="151">
        <v>5580</v>
      </c>
      <c r="C86" s="94" t="s">
        <v>272</v>
      </c>
      <c r="D86" s="428"/>
      <c r="E86" s="428">
        <v>10000</v>
      </c>
      <c r="F86" s="428">
        <v>10000</v>
      </c>
      <c r="G86" s="428">
        <v>10000</v>
      </c>
      <c r="H86" s="428">
        <v>5000</v>
      </c>
      <c r="I86" s="428"/>
      <c r="J86" s="428">
        <f t="shared" si="13"/>
        <v>0</v>
      </c>
      <c r="K86" s="428">
        <f t="shared" si="14"/>
        <v>0</v>
      </c>
    </row>
    <row r="87" spans="1:11" s="468" customFormat="1" x14ac:dyDescent="0.25">
      <c r="A87" s="118">
        <v>26</v>
      </c>
      <c r="B87" s="151">
        <v>5585</v>
      </c>
      <c r="C87" s="94" t="s">
        <v>273</v>
      </c>
      <c r="D87" s="86">
        <v>5914</v>
      </c>
      <c r="E87" s="428">
        <v>25892</v>
      </c>
      <c r="F87" s="428">
        <v>65892</v>
      </c>
      <c r="G87" s="428">
        <v>65892</v>
      </c>
      <c r="H87" s="428">
        <v>40000</v>
      </c>
      <c r="I87" s="428"/>
      <c r="J87" s="428">
        <f t="shared" si="13"/>
        <v>0</v>
      </c>
      <c r="K87" s="428">
        <f t="shared" si="14"/>
        <v>0</v>
      </c>
    </row>
    <row r="88" spans="1:11" s="468" customFormat="1" x14ac:dyDescent="0.25">
      <c r="A88" s="118">
        <v>26</v>
      </c>
      <c r="B88" s="151">
        <v>5590</v>
      </c>
      <c r="C88" s="94" t="s">
        <v>274</v>
      </c>
      <c r="D88" s="86">
        <v>101068</v>
      </c>
      <c r="E88" s="428">
        <v>25200</v>
      </c>
      <c r="F88" s="428">
        <v>285200</v>
      </c>
      <c r="G88" s="428">
        <v>285200</v>
      </c>
      <c r="H88" s="428">
        <v>120000</v>
      </c>
      <c r="I88" s="428">
        <f>164051*1.71428571428571*1.1+25000</f>
        <v>334353.31428571348</v>
      </c>
      <c r="J88" s="428">
        <f t="shared" si="13"/>
        <v>352742.74657142768</v>
      </c>
      <c r="K88" s="428">
        <f t="shared" si="14"/>
        <v>371438.11213971331</v>
      </c>
    </row>
    <row r="89" spans="1:11" s="468" customFormat="1" x14ac:dyDescent="0.25">
      <c r="A89" s="118">
        <v>26</v>
      </c>
      <c r="B89" s="151">
        <v>5595</v>
      </c>
      <c r="C89" s="94" t="s">
        <v>275</v>
      </c>
      <c r="D89" s="428"/>
      <c r="E89" s="428"/>
      <c r="F89" s="428">
        <v>0</v>
      </c>
      <c r="G89" s="428">
        <v>0</v>
      </c>
      <c r="H89" s="428">
        <v>0</v>
      </c>
      <c r="I89" s="428"/>
      <c r="J89" s="428">
        <f t="shared" si="13"/>
        <v>0</v>
      </c>
      <c r="K89" s="428">
        <f t="shared" si="14"/>
        <v>0</v>
      </c>
    </row>
    <row r="90" spans="1:11" s="468" customFormat="1" x14ac:dyDescent="0.25">
      <c r="A90" s="118">
        <v>26</v>
      </c>
      <c r="B90" s="151">
        <v>5600</v>
      </c>
      <c r="C90" s="159" t="s">
        <v>276</v>
      </c>
      <c r="D90" s="428">
        <v>2322338</v>
      </c>
      <c r="E90" s="428">
        <v>2479250</v>
      </c>
      <c r="F90" s="428">
        <v>3810214</v>
      </c>
      <c r="G90" s="428">
        <v>3810214</v>
      </c>
      <c r="H90" s="428">
        <v>2500000</v>
      </c>
      <c r="I90" s="428">
        <f>2258459*1.15</f>
        <v>2597227.8499999996</v>
      </c>
      <c r="J90" s="428">
        <f t="shared" si="13"/>
        <v>2740075.3817499992</v>
      </c>
      <c r="K90" s="428">
        <f t="shared" si="14"/>
        <v>2885299.376982749</v>
      </c>
    </row>
    <row r="91" spans="1:11" s="468" customFormat="1" x14ac:dyDescent="0.25">
      <c r="A91" s="118">
        <v>26</v>
      </c>
      <c r="B91" s="151">
        <v>5605</v>
      </c>
      <c r="C91" s="159" t="s">
        <v>277</v>
      </c>
      <c r="D91" s="428">
        <v>141592</v>
      </c>
      <c r="E91" s="428">
        <v>201000</v>
      </c>
      <c r="F91" s="428">
        <v>1000000</v>
      </c>
      <c r="G91" s="428">
        <v>1000000</v>
      </c>
      <c r="H91" s="428">
        <v>500000</v>
      </c>
      <c r="I91" s="601">
        <f>73684*1.71428571428571*1.058</f>
        <v>133641.7234285711</v>
      </c>
      <c r="J91" s="428">
        <f t="shared" si="13"/>
        <v>140992.0182171425</v>
      </c>
      <c r="K91" s="428">
        <f t="shared" si="14"/>
        <v>148464.59518265104</v>
      </c>
    </row>
    <row r="92" spans="1:11" s="468" customFormat="1" x14ac:dyDescent="0.25">
      <c r="A92" s="118">
        <v>26</v>
      </c>
      <c r="B92" s="151">
        <v>5610</v>
      </c>
      <c r="C92" s="159" t="s">
        <v>278</v>
      </c>
      <c r="D92" s="428"/>
      <c r="E92" s="428"/>
      <c r="F92" s="428">
        <f t="shared" ref="F92:F99" si="15">E92-D92</f>
        <v>0</v>
      </c>
      <c r="G92" s="428"/>
      <c r="H92" s="428"/>
      <c r="I92" s="428"/>
      <c r="J92" s="428">
        <f t="shared" si="13"/>
        <v>0</v>
      </c>
      <c r="K92" s="428">
        <f t="shared" si="14"/>
        <v>0</v>
      </c>
    </row>
    <row r="93" spans="1:11" s="468" customFormat="1" x14ac:dyDescent="0.25">
      <c r="A93" s="118">
        <v>26</v>
      </c>
      <c r="B93" s="151">
        <v>5615</v>
      </c>
      <c r="C93" s="159" t="s">
        <v>279</v>
      </c>
      <c r="D93" s="428"/>
      <c r="E93" s="428"/>
      <c r="F93" s="428">
        <f t="shared" si="15"/>
        <v>0</v>
      </c>
      <c r="G93" s="428"/>
      <c r="H93" s="428"/>
      <c r="I93" s="428"/>
      <c r="J93" s="428">
        <f t="shared" si="13"/>
        <v>0</v>
      </c>
      <c r="K93" s="428">
        <f t="shared" si="14"/>
        <v>0</v>
      </c>
    </row>
    <row r="94" spans="1:11" s="468" customFormat="1" x14ac:dyDescent="0.25">
      <c r="A94" s="118">
        <v>26</v>
      </c>
      <c r="B94" s="151">
        <v>5620</v>
      </c>
      <c r="C94" s="159" t="s">
        <v>506</v>
      </c>
      <c r="D94" s="428"/>
      <c r="E94" s="428"/>
      <c r="F94" s="428">
        <f t="shared" si="15"/>
        <v>0</v>
      </c>
      <c r="G94" s="428"/>
      <c r="H94" s="428"/>
      <c r="I94" s="428">
        <v>66348</v>
      </c>
      <c r="J94" s="428">
        <f t="shared" si="13"/>
        <v>69997.14</v>
      </c>
      <c r="K94" s="428">
        <f t="shared" si="14"/>
        <v>73706.988419999994</v>
      </c>
    </row>
    <row r="95" spans="1:11" s="468" customFormat="1" x14ac:dyDescent="0.25">
      <c r="A95" s="118">
        <v>26</v>
      </c>
      <c r="B95" s="151">
        <v>5625</v>
      </c>
      <c r="C95" s="159" t="s">
        <v>281</v>
      </c>
      <c r="D95" s="428"/>
      <c r="E95" s="428"/>
      <c r="F95" s="428">
        <f t="shared" si="15"/>
        <v>0</v>
      </c>
      <c r="G95" s="428"/>
      <c r="H95" s="428"/>
      <c r="I95" s="428"/>
      <c r="J95" s="428">
        <f t="shared" si="13"/>
        <v>0</v>
      </c>
      <c r="K95" s="428">
        <f t="shared" si="14"/>
        <v>0</v>
      </c>
    </row>
    <row r="96" spans="1:11" s="468" customFormat="1" x14ac:dyDescent="0.25">
      <c r="A96" s="118">
        <v>26</v>
      </c>
      <c r="B96" s="151">
        <v>5630</v>
      </c>
      <c r="C96" s="159" t="s">
        <v>282</v>
      </c>
      <c r="D96" s="428"/>
      <c r="E96" s="428"/>
      <c r="F96" s="428">
        <f t="shared" si="15"/>
        <v>0</v>
      </c>
      <c r="G96" s="428"/>
      <c r="H96" s="428"/>
      <c r="I96" s="428"/>
      <c r="J96" s="428">
        <f t="shared" si="13"/>
        <v>0</v>
      </c>
      <c r="K96" s="428">
        <f t="shared" si="14"/>
        <v>0</v>
      </c>
    </row>
    <row r="97" spans="1:11" s="468" customFormat="1" x14ac:dyDescent="0.25">
      <c r="A97" s="118">
        <v>26</v>
      </c>
      <c r="B97" s="151">
        <v>5635</v>
      </c>
      <c r="C97" s="159" t="s">
        <v>283</v>
      </c>
      <c r="D97" s="428"/>
      <c r="E97" s="428"/>
      <c r="F97" s="428">
        <f t="shared" si="15"/>
        <v>0</v>
      </c>
      <c r="G97" s="428"/>
      <c r="H97" s="428"/>
      <c r="I97" s="428"/>
      <c r="J97" s="428">
        <f t="shared" si="13"/>
        <v>0</v>
      </c>
      <c r="K97" s="428">
        <f t="shared" si="14"/>
        <v>0</v>
      </c>
    </row>
    <row r="98" spans="1:11" s="468" customFormat="1" x14ac:dyDescent="0.25">
      <c r="A98" s="118">
        <v>26</v>
      </c>
      <c r="B98" s="151">
        <v>5640</v>
      </c>
      <c r="C98" s="159" t="s">
        <v>284</v>
      </c>
      <c r="D98" s="428"/>
      <c r="E98" s="428"/>
      <c r="F98" s="428">
        <f t="shared" si="15"/>
        <v>0</v>
      </c>
      <c r="G98" s="428"/>
      <c r="H98" s="428"/>
      <c r="I98" s="428"/>
      <c r="J98" s="428">
        <f t="shared" si="13"/>
        <v>0</v>
      </c>
      <c r="K98" s="428">
        <f t="shared" si="14"/>
        <v>0</v>
      </c>
    </row>
    <row r="99" spans="1:11" s="468" customFormat="1" x14ac:dyDescent="0.25">
      <c r="A99" s="118">
        <v>26</v>
      </c>
      <c r="B99" s="151">
        <v>5645</v>
      </c>
      <c r="C99" s="159" t="s">
        <v>285</v>
      </c>
      <c r="D99" s="428"/>
      <c r="E99" s="428"/>
      <c r="F99" s="428">
        <f t="shared" si="15"/>
        <v>0</v>
      </c>
      <c r="G99" s="428"/>
      <c r="H99" s="428"/>
      <c r="I99" s="428"/>
      <c r="J99" s="428">
        <f t="shared" si="13"/>
        <v>0</v>
      </c>
      <c r="K99" s="428">
        <f t="shared" si="14"/>
        <v>0</v>
      </c>
    </row>
    <row r="100" spans="1:11" s="468" customFormat="1" x14ac:dyDescent="0.25">
      <c r="A100" s="118">
        <v>26</v>
      </c>
      <c r="B100" s="151">
        <v>5650</v>
      </c>
      <c r="C100" s="159" t="s">
        <v>286</v>
      </c>
      <c r="D100" s="428">
        <v>6214921</v>
      </c>
      <c r="E100" s="428">
        <v>800000</v>
      </c>
      <c r="F100" s="428">
        <v>1000000</v>
      </c>
      <c r="G100" s="428">
        <v>1000000</v>
      </c>
      <c r="H100" s="428">
        <v>1000000</v>
      </c>
      <c r="I100" s="428">
        <f>787500+350000</f>
        <v>1137500</v>
      </c>
      <c r="J100" s="428">
        <f t="shared" si="13"/>
        <v>1200062.5</v>
      </c>
      <c r="K100" s="428">
        <f t="shared" si="14"/>
        <v>1263665.8125</v>
      </c>
    </row>
    <row r="101" spans="1:11" s="468" customFormat="1" x14ac:dyDescent="0.25">
      <c r="A101" s="118">
        <v>26</v>
      </c>
      <c r="B101" s="151">
        <v>5655</v>
      </c>
      <c r="C101" s="159" t="s">
        <v>287</v>
      </c>
      <c r="D101" s="428"/>
      <c r="E101" s="428"/>
      <c r="F101" s="428">
        <v>0</v>
      </c>
      <c r="G101" s="428"/>
      <c r="H101" s="428"/>
      <c r="I101" s="428"/>
      <c r="J101" s="428">
        <f t="shared" si="13"/>
        <v>0</v>
      </c>
      <c r="K101" s="428">
        <f t="shared" si="14"/>
        <v>0</v>
      </c>
    </row>
    <row r="102" spans="1:11" s="468" customFormat="1" x14ac:dyDescent="0.25">
      <c r="A102" s="118">
        <v>26</v>
      </c>
      <c r="B102" s="151">
        <v>5660</v>
      </c>
      <c r="C102" s="159" t="s">
        <v>288</v>
      </c>
      <c r="D102" s="428"/>
      <c r="E102" s="428"/>
      <c r="F102" s="428">
        <v>0</v>
      </c>
      <c r="G102" s="428"/>
      <c r="H102" s="428"/>
      <c r="I102" s="428"/>
      <c r="J102" s="428">
        <f t="shared" si="13"/>
        <v>0</v>
      </c>
      <c r="K102" s="428">
        <f t="shared" si="14"/>
        <v>0</v>
      </c>
    </row>
    <row r="103" spans="1:11" s="468" customFormat="1" x14ac:dyDescent="0.25">
      <c r="A103" s="118">
        <v>26</v>
      </c>
      <c r="B103" s="151">
        <v>5665</v>
      </c>
      <c r="C103" s="94" t="s">
        <v>501</v>
      </c>
      <c r="D103" s="428"/>
      <c r="E103" s="428">
        <v>520000</v>
      </c>
      <c r="F103" s="428">
        <v>20000</v>
      </c>
      <c r="G103" s="428">
        <v>20001</v>
      </c>
      <c r="H103" s="428">
        <v>20001</v>
      </c>
      <c r="I103" s="428"/>
      <c r="J103" s="428">
        <f t="shared" si="13"/>
        <v>0</v>
      </c>
      <c r="K103" s="428">
        <f t="shared" si="14"/>
        <v>0</v>
      </c>
    </row>
    <row r="104" spans="1:11" s="468" customFormat="1" x14ac:dyDescent="0.25">
      <c r="A104" s="118">
        <v>26</v>
      </c>
      <c r="B104" s="151">
        <v>5670</v>
      </c>
      <c r="C104" s="94" t="s">
        <v>290</v>
      </c>
      <c r="D104" s="428"/>
      <c r="E104" s="428"/>
      <c r="F104" s="428">
        <f>E104-D104</f>
        <v>0</v>
      </c>
      <c r="G104" s="428">
        <v>0</v>
      </c>
      <c r="H104" s="428">
        <v>0</v>
      </c>
      <c r="I104" s="428"/>
      <c r="J104" s="428">
        <f t="shared" si="13"/>
        <v>0</v>
      </c>
      <c r="K104" s="428">
        <f t="shared" si="14"/>
        <v>0</v>
      </c>
    </row>
    <row r="105" spans="1:11" s="468" customFormat="1" x14ac:dyDescent="0.25">
      <c r="A105" s="371">
        <v>26</v>
      </c>
      <c r="B105" s="152">
        <v>5675</v>
      </c>
      <c r="C105" s="106" t="s">
        <v>291</v>
      </c>
      <c r="D105" s="383"/>
      <c r="E105" s="383"/>
      <c r="F105" s="383">
        <f>E105-D105</f>
        <v>0</v>
      </c>
      <c r="G105" s="383">
        <v>0</v>
      </c>
      <c r="H105" s="383">
        <v>0</v>
      </c>
      <c r="I105" s="428"/>
      <c r="J105" s="428">
        <f t="shared" si="13"/>
        <v>0</v>
      </c>
      <c r="K105" s="428">
        <f t="shared" si="14"/>
        <v>0</v>
      </c>
    </row>
    <row r="106" spans="1:11" s="468" customFormat="1" x14ac:dyDescent="0.25">
      <c r="A106" s="374">
        <v>26</v>
      </c>
      <c r="B106" s="153">
        <v>5680</v>
      </c>
      <c r="C106" s="97" t="s">
        <v>292</v>
      </c>
      <c r="D106" s="88"/>
      <c r="E106" s="88"/>
      <c r="F106" s="88">
        <f>E106-D106</f>
        <v>0</v>
      </c>
      <c r="G106" s="88">
        <v>0</v>
      </c>
      <c r="H106" s="88">
        <v>0</v>
      </c>
      <c r="I106" s="428"/>
      <c r="J106" s="428">
        <f t="shared" si="13"/>
        <v>0</v>
      </c>
      <c r="K106" s="428">
        <f t="shared" si="14"/>
        <v>0</v>
      </c>
    </row>
    <row r="107" spans="1:11" s="468" customFormat="1" x14ac:dyDescent="0.25">
      <c r="A107" s="118">
        <v>26</v>
      </c>
      <c r="B107" s="151">
        <v>5685</v>
      </c>
      <c r="C107" s="94" t="s">
        <v>293</v>
      </c>
      <c r="D107" s="428"/>
      <c r="E107" s="428"/>
      <c r="F107" s="428">
        <f>E107-D107</f>
        <v>0</v>
      </c>
      <c r="G107" s="428">
        <v>0</v>
      </c>
      <c r="H107" s="428">
        <v>0</v>
      </c>
      <c r="I107" s="428"/>
      <c r="J107" s="428">
        <f t="shared" si="13"/>
        <v>0</v>
      </c>
      <c r="K107" s="428">
        <f t="shared" si="14"/>
        <v>0</v>
      </c>
    </row>
    <row r="108" spans="1:11" s="468" customFormat="1" x14ac:dyDescent="0.25">
      <c r="A108" s="118">
        <v>26</v>
      </c>
      <c r="B108" s="151">
        <v>5690</v>
      </c>
      <c r="C108" s="94" t="s">
        <v>399</v>
      </c>
      <c r="D108" s="428"/>
      <c r="E108" s="428"/>
      <c r="F108" s="428">
        <f>E108-D108</f>
        <v>0</v>
      </c>
      <c r="G108" s="428">
        <v>0</v>
      </c>
      <c r="H108" s="428">
        <v>0</v>
      </c>
      <c r="I108" s="428"/>
      <c r="J108" s="428">
        <f t="shared" si="13"/>
        <v>0</v>
      </c>
      <c r="K108" s="428">
        <f t="shared" si="14"/>
        <v>0</v>
      </c>
    </row>
    <row r="109" spans="1:11" s="468" customFormat="1" x14ac:dyDescent="0.25">
      <c r="A109" s="118">
        <v>26</v>
      </c>
      <c r="B109" s="151">
        <v>5695</v>
      </c>
      <c r="C109" s="94" t="s">
        <v>409</v>
      </c>
      <c r="D109" s="428">
        <v>217395</v>
      </c>
      <c r="E109" s="428">
        <v>190000</v>
      </c>
      <c r="F109" s="428">
        <v>290000</v>
      </c>
      <c r="G109" s="428">
        <v>290000</v>
      </c>
      <c r="H109" s="428">
        <v>290000</v>
      </c>
      <c r="I109" s="428">
        <v>1500</v>
      </c>
      <c r="J109" s="428">
        <f t="shared" si="13"/>
        <v>1582.5</v>
      </c>
      <c r="K109" s="428">
        <f t="shared" si="14"/>
        <v>1666.3724999999999</v>
      </c>
    </row>
    <row r="110" spans="1:11" s="468" customFormat="1" x14ac:dyDescent="0.25">
      <c r="A110" s="118">
        <v>26</v>
      </c>
      <c r="B110" s="151">
        <v>5700</v>
      </c>
      <c r="C110" s="94" t="s">
        <v>295</v>
      </c>
      <c r="D110" s="428">
        <v>27024</v>
      </c>
      <c r="E110" s="428">
        <v>0</v>
      </c>
      <c r="F110" s="428">
        <v>0</v>
      </c>
      <c r="G110" s="428">
        <v>0</v>
      </c>
      <c r="H110" s="428">
        <v>0</v>
      </c>
      <c r="I110" s="428"/>
      <c r="J110" s="428">
        <f t="shared" si="13"/>
        <v>0</v>
      </c>
      <c r="K110" s="428">
        <f t="shared" si="14"/>
        <v>0</v>
      </c>
    </row>
    <row r="111" spans="1:11" s="468" customFormat="1" x14ac:dyDescent="0.25">
      <c r="A111" s="118">
        <v>26</v>
      </c>
      <c r="B111" s="151">
        <v>5710</v>
      </c>
      <c r="C111" s="94" t="s">
        <v>297</v>
      </c>
      <c r="D111" s="428"/>
      <c r="E111" s="428"/>
      <c r="F111" s="428">
        <v>0</v>
      </c>
      <c r="G111" s="428">
        <v>0</v>
      </c>
      <c r="H111" s="428"/>
      <c r="I111" s="428"/>
      <c r="J111" s="428">
        <f t="shared" si="13"/>
        <v>0</v>
      </c>
      <c r="K111" s="428">
        <f t="shared" si="14"/>
        <v>0</v>
      </c>
    </row>
    <row r="112" spans="1:11" s="468" customFormat="1" x14ac:dyDescent="0.25">
      <c r="A112" s="118">
        <v>26</v>
      </c>
      <c r="B112" s="151">
        <v>5715</v>
      </c>
      <c r="C112" s="94" t="s">
        <v>298</v>
      </c>
      <c r="D112" s="428"/>
      <c r="E112" s="428"/>
      <c r="F112" s="428">
        <v>0</v>
      </c>
      <c r="G112" s="428">
        <v>0</v>
      </c>
      <c r="H112" s="428"/>
      <c r="I112" s="428"/>
      <c r="J112" s="428">
        <f t="shared" si="13"/>
        <v>0</v>
      </c>
      <c r="K112" s="428">
        <f t="shared" si="14"/>
        <v>0</v>
      </c>
    </row>
    <row r="113" spans="1:11" s="468" customFormat="1" x14ac:dyDescent="0.25">
      <c r="A113" s="118">
        <v>26</v>
      </c>
      <c r="B113" s="151">
        <v>5720</v>
      </c>
      <c r="C113" s="94" t="s">
        <v>299</v>
      </c>
      <c r="D113" s="428"/>
      <c r="E113" s="428"/>
      <c r="F113" s="428">
        <v>0</v>
      </c>
      <c r="G113" s="428">
        <v>0</v>
      </c>
      <c r="H113" s="428"/>
      <c r="I113" s="428"/>
      <c r="J113" s="428">
        <f t="shared" si="13"/>
        <v>0</v>
      </c>
      <c r="K113" s="428">
        <f t="shared" si="14"/>
        <v>0</v>
      </c>
    </row>
    <row r="114" spans="1:11" s="468" customFormat="1" x14ac:dyDescent="0.25">
      <c r="A114" s="118">
        <v>26</v>
      </c>
      <c r="B114" s="151">
        <v>5730</v>
      </c>
      <c r="C114" s="94" t="s">
        <v>300</v>
      </c>
      <c r="D114" s="428">
        <v>21274</v>
      </c>
      <c r="E114" s="428">
        <v>22577</v>
      </c>
      <c r="F114" s="428">
        <v>22577</v>
      </c>
      <c r="G114" s="428">
        <v>22577</v>
      </c>
      <c r="H114" s="428">
        <v>25000</v>
      </c>
      <c r="I114" s="428"/>
      <c r="J114" s="428">
        <f t="shared" si="13"/>
        <v>0</v>
      </c>
      <c r="K114" s="428">
        <f t="shared" si="14"/>
        <v>0</v>
      </c>
    </row>
    <row r="115" spans="1:11" s="468" customFormat="1" x14ac:dyDescent="0.25">
      <c r="A115" s="118">
        <v>26</v>
      </c>
      <c r="B115" s="151">
        <v>5735</v>
      </c>
      <c r="C115" s="94" t="s">
        <v>301</v>
      </c>
      <c r="D115" s="428"/>
      <c r="E115" s="428"/>
      <c r="F115" s="428">
        <v>0</v>
      </c>
      <c r="G115" s="428">
        <v>0</v>
      </c>
      <c r="H115" s="428"/>
      <c r="I115" s="428"/>
      <c r="J115" s="428">
        <f t="shared" si="13"/>
        <v>0</v>
      </c>
      <c r="K115" s="428">
        <f t="shared" si="14"/>
        <v>0</v>
      </c>
    </row>
    <row r="116" spans="1:11" s="468" customFormat="1" x14ac:dyDescent="0.25">
      <c r="A116" s="118">
        <v>26</v>
      </c>
      <c r="B116" s="151">
        <v>5740</v>
      </c>
      <c r="C116" s="94" t="s">
        <v>302</v>
      </c>
      <c r="D116" s="428"/>
      <c r="E116" s="428"/>
      <c r="F116" s="428">
        <v>0</v>
      </c>
      <c r="G116" s="428">
        <v>0</v>
      </c>
      <c r="H116" s="428"/>
      <c r="I116" s="428"/>
      <c r="J116" s="428">
        <f t="shared" si="13"/>
        <v>0</v>
      </c>
      <c r="K116" s="428">
        <f t="shared" si="14"/>
        <v>0</v>
      </c>
    </row>
    <row r="117" spans="1:11" s="468" customFormat="1" x14ac:dyDescent="0.25">
      <c r="A117" s="118">
        <v>26</v>
      </c>
      <c r="B117" s="151">
        <v>5745</v>
      </c>
      <c r="C117" s="94" t="s">
        <v>303</v>
      </c>
      <c r="D117" s="428"/>
      <c r="E117" s="428"/>
      <c r="F117" s="428">
        <v>0</v>
      </c>
      <c r="G117" s="428">
        <v>0</v>
      </c>
      <c r="H117" s="428"/>
      <c r="I117" s="428"/>
      <c r="J117" s="428">
        <f t="shared" si="13"/>
        <v>0</v>
      </c>
      <c r="K117" s="428">
        <f t="shared" si="14"/>
        <v>0</v>
      </c>
    </row>
    <row r="118" spans="1:11" s="468" customFormat="1" x14ac:dyDescent="0.25">
      <c r="A118" s="118">
        <v>26</v>
      </c>
      <c r="B118" s="151">
        <v>5750</v>
      </c>
      <c r="C118" s="94" t="s">
        <v>304</v>
      </c>
      <c r="D118" s="428">
        <v>1070</v>
      </c>
      <c r="E118" s="428">
        <v>3500</v>
      </c>
      <c r="F118" s="428">
        <v>3500</v>
      </c>
      <c r="G118" s="428">
        <v>3500</v>
      </c>
      <c r="H118" s="428">
        <v>3500</v>
      </c>
      <c r="I118" s="428">
        <f>1334*1.71428571428571*1.0679</f>
        <v>2442.1347428571371</v>
      </c>
      <c r="J118" s="428">
        <f t="shared" si="13"/>
        <v>2576.4521537142796</v>
      </c>
      <c r="K118" s="428">
        <f t="shared" si="14"/>
        <v>2713.0041178611364</v>
      </c>
    </row>
    <row r="119" spans="1:11" s="468" customFormat="1" x14ac:dyDescent="0.25">
      <c r="A119" s="118">
        <v>26</v>
      </c>
      <c r="B119" s="151">
        <v>5755</v>
      </c>
      <c r="C119" s="94" t="s">
        <v>305</v>
      </c>
      <c r="D119" s="428">
        <v>33788</v>
      </c>
      <c r="E119" s="428">
        <v>82000</v>
      </c>
      <c r="F119" s="428">
        <v>82000</v>
      </c>
      <c r="G119" s="428">
        <v>82000</v>
      </c>
      <c r="H119" s="428">
        <v>83000</v>
      </c>
      <c r="I119" s="428">
        <f>42476*1.71428571428571*1.0679</f>
        <v>77760.206399999806</v>
      </c>
      <c r="J119" s="428">
        <f t="shared" si="13"/>
        <v>82037.017751999796</v>
      </c>
      <c r="K119" s="428">
        <f t="shared" si="14"/>
        <v>86384.979692855777</v>
      </c>
    </row>
    <row r="120" spans="1:11" s="468" customFormat="1" ht="12" customHeight="1" x14ac:dyDescent="0.25">
      <c r="A120" s="118">
        <v>26</v>
      </c>
      <c r="B120" s="151">
        <v>5760</v>
      </c>
      <c r="C120" s="94" t="s">
        <v>306</v>
      </c>
      <c r="D120" s="428"/>
      <c r="E120" s="428"/>
      <c r="F120" s="428">
        <v>0</v>
      </c>
      <c r="G120" s="428">
        <v>0</v>
      </c>
      <c r="H120" s="428"/>
      <c r="I120" s="428"/>
      <c r="J120" s="428">
        <f t="shared" si="13"/>
        <v>0</v>
      </c>
      <c r="K120" s="428">
        <f t="shared" si="14"/>
        <v>0</v>
      </c>
    </row>
    <row r="121" spans="1:11" s="468" customFormat="1" x14ac:dyDescent="0.25">
      <c r="A121" s="118">
        <v>26</v>
      </c>
      <c r="B121" s="151">
        <v>5765</v>
      </c>
      <c r="C121" s="94" t="s">
        <v>307</v>
      </c>
      <c r="D121" s="428">
        <v>1107768</v>
      </c>
      <c r="E121" s="428">
        <v>1100000</v>
      </c>
      <c r="F121" s="428">
        <v>600000</v>
      </c>
      <c r="G121" s="428">
        <v>600000</v>
      </c>
      <c r="H121" s="428">
        <v>200000</v>
      </c>
      <c r="I121" s="428">
        <f>126957*1.1</f>
        <v>139652.70000000001</v>
      </c>
      <c r="J121" s="428">
        <f t="shared" si="13"/>
        <v>147333.59849999999</v>
      </c>
      <c r="K121" s="428">
        <f t="shared" si="14"/>
        <v>155142.27922049997</v>
      </c>
    </row>
    <row r="122" spans="1:11" s="468" customFormat="1" x14ac:dyDescent="0.25">
      <c r="A122" s="118">
        <v>26</v>
      </c>
      <c r="B122" s="151">
        <v>5770</v>
      </c>
      <c r="C122" s="94" t="s">
        <v>308</v>
      </c>
      <c r="D122" s="428"/>
      <c r="E122" s="428"/>
      <c r="F122" s="428">
        <v>0</v>
      </c>
      <c r="G122" s="428">
        <v>0</v>
      </c>
      <c r="H122" s="428">
        <v>0</v>
      </c>
      <c r="I122" s="428"/>
      <c r="J122" s="428">
        <f t="shared" si="13"/>
        <v>0</v>
      </c>
      <c r="K122" s="428">
        <f t="shared" si="14"/>
        <v>0</v>
      </c>
    </row>
    <row r="123" spans="1:11" s="468" customFormat="1" x14ac:dyDescent="0.25">
      <c r="A123" s="118">
        <v>26</v>
      </c>
      <c r="B123" s="151">
        <v>5775</v>
      </c>
      <c r="C123" s="94" t="s">
        <v>309</v>
      </c>
      <c r="D123" s="428"/>
      <c r="E123" s="428"/>
      <c r="F123" s="428">
        <v>0</v>
      </c>
      <c r="G123" s="428">
        <v>0</v>
      </c>
      <c r="H123" s="428">
        <v>0</v>
      </c>
      <c r="I123" s="428"/>
      <c r="J123" s="428">
        <f t="shared" si="13"/>
        <v>0</v>
      </c>
      <c r="K123" s="428">
        <f t="shared" si="14"/>
        <v>0</v>
      </c>
    </row>
    <row r="124" spans="1:11" s="468" customFormat="1" x14ac:dyDescent="0.25">
      <c r="A124" s="118">
        <v>26</v>
      </c>
      <c r="B124" s="151">
        <v>5780</v>
      </c>
      <c r="C124" s="94" t="s">
        <v>310</v>
      </c>
      <c r="D124" s="428"/>
      <c r="E124" s="428"/>
      <c r="F124" s="428">
        <v>0</v>
      </c>
      <c r="G124" s="428">
        <v>0</v>
      </c>
      <c r="H124" s="428">
        <v>0</v>
      </c>
      <c r="I124" s="428"/>
      <c r="J124" s="428">
        <f t="shared" si="13"/>
        <v>0</v>
      </c>
      <c r="K124" s="428">
        <f t="shared" si="14"/>
        <v>0</v>
      </c>
    </row>
    <row r="125" spans="1:11" s="468" customFormat="1" x14ac:dyDescent="0.25">
      <c r="A125" s="118">
        <v>26</v>
      </c>
      <c r="B125" s="151">
        <v>5785</v>
      </c>
      <c r="C125" s="94" t="s">
        <v>311</v>
      </c>
      <c r="D125" s="428"/>
      <c r="E125" s="428"/>
      <c r="F125" s="428">
        <v>0</v>
      </c>
      <c r="G125" s="428">
        <v>0</v>
      </c>
      <c r="H125" s="428">
        <v>0</v>
      </c>
      <c r="I125" s="428"/>
      <c r="J125" s="428">
        <f t="shared" si="13"/>
        <v>0</v>
      </c>
      <c r="K125" s="428">
        <f t="shared" si="14"/>
        <v>0</v>
      </c>
    </row>
    <row r="126" spans="1:11" s="468" customFormat="1" x14ac:dyDescent="0.25">
      <c r="A126" s="118">
        <v>26</v>
      </c>
      <c r="B126" s="151">
        <v>5790</v>
      </c>
      <c r="C126" s="94" t="s">
        <v>312</v>
      </c>
      <c r="D126" s="428"/>
      <c r="E126" s="428"/>
      <c r="F126" s="428">
        <v>0</v>
      </c>
      <c r="G126" s="428">
        <v>0</v>
      </c>
      <c r="H126" s="428">
        <v>0</v>
      </c>
      <c r="I126" s="428"/>
      <c r="J126" s="428">
        <f t="shared" si="13"/>
        <v>0</v>
      </c>
      <c r="K126" s="428">
        <f t="shared" si="14"/>
        <v>0</v>
      </c>
    </row>
    <row r="127" spans="1:11" s="468" customFormat="1" x14ac:dyDescent="0.25">
      <c r="A127" s="118">
        <v>26</v>
      </c>
      <c r="B127" s="151">
        <v>5795</v>
      </c>
      <c r="C127" s="94" t="s">
        <v>313</v>
      </c>
      <c r="D127" s="428"/>
      <c r="E127" s="428"/>
      <c r="F127" s="428">
        <v>0</v>
      </c>
      <c r="G127" s="428">
        <v>0</v>
      </c>
      <c r="H127" s="428">
        <v>0</v>
      </c>
      <c r="I127" s="428"/>
      <c r="J127" s="428">
        <f t="shared" si="13"/>
        <v>0</v>
      </c>
      <c r="K127" s="428">
        <f t="shared" si="14"/>
        <v>0</v>
      </c>
    </row>
    <row r="128" spans="1:11" s="468" customFormat="1" x14ac:dyDescent="0.25">
      <c r="A128" s="118">
        <v>26</v>
      </c>
      <c r="B128" s="151">
        <v>5800</v>
      </c>
      <c r="C128" s="94" t="s">
        <v>314</v>
      </c>
      <c r="D128" s="428"/>
      <c r="E128" s="428"/>
      <c r="F128" s="428">
        <v>0</v>
      </c>
      <c r="G128" s="428">
        <v>0</v>
      </c>
      <c r="H128" s="428">
        <v>0</v>
      </c>
      <c r="I128" s="428"/>
      <c r="J128" s="428">
        <f t="shared" si="13"/>
        <v>0</v>
      </c>
      <c r="K128" s="428">
        <f t="shared" si="14"/>
        <v>0</v>
      </c>
    </row>
    <row r="129" spans="1:11" s="468" customFormat="1" x14ac:dyDescent="0.25">
      <c r="A129" s="118">
        <v>26</v>
      </c>
      <c r="B129" s="151">
        <v>5805</v>
      </c>
      <c r="C129" s="94" t="s">
        <v>894</v>
      </c>
      <c r="D129" s="428"/>
      <c r="E129" s="428"/>
      <c r="F129" s="428">
        <v>0</v>
      </c>
      <c r="G129" s="428">
        <v>0</v>
      </c>
      <c r="H129" s="428">
        <v>0</v>
      </c>
      <c r="I129" s="428">
        <f>5000+66000+45000</f>
        <v>116000</v>
      </c>
      <c r="J129" s="428">
        <f t="shared" si="13"/>
        <v>122380</v>
      </c>
      <c r="K129" s="428">
        <f t="shared" si="14"/>
        <v>128866.14</v>
      </c>
    </row>
    <row r="130" spans="1:11" s="468" customFormat="1" x14ac:dyDescent="0.25">
      <c r="A130" s="118">
        <v>26</v>
      </c>
      <c r="B130" s="151">
        <v>5810</v>
      </c>
      <c r="C130" s="94" t="s">
        <v>316</v>
      </c>
      <c r="D130" s="428"/>
      <c r="E130" s="428"/>
      <c r="F130" s="428">
        <v>0</v>
      </c>
      <c r="G130" s="428">
        <v>0</v>
      </c>
      <c r="H130" s="428">
        <v>0</v>
      </c>
      <c r="I130" s="428"/>
      <c r="J130" s="428">
        <f t="shared" si="13"/>
        <v>0</v>
      </c>
      <c r="K130" s="428">
        <f t="shared" si="14"/>
        <v>0</v>
      </c>
    </row>
    <row r="131" spans="1:11" s="468" customFormat="1" x14ac:dyDescent="0.25">
      <c r="A131" s="118">
        <v>26</v>
      </c>
      <c r="B131" s="151">
        <v>5815</v>
      </c>
      <c r="C131" s="94" t="s">
        <v>99</v>
      </c>
      <c r="D131" s="428"/>
      <c r="E131" s="428"/>
      <c r="F131" s="428">
        <v>0</v>
      </c>
      <c r="G131" s="428">
        <v>0</v>
      </c>
      <c r="H131" s="428">
        <v>0</v>
      </c>
      <c r="I131" s="428"/>
      <c r="J131" s="428">
        <f t="shared" si="13"/>
        <v>0</v>
      </c>
      <c r="K131" s="428">
        <f t="shared" si="14"/>
        <v>0</v>
      </c>
    </row>
    <row r="132" spans="1:11" s="468" customFormat="1" x14ac:dyDescent="0.25">
      <c r="A132" s="118">
        <v>26</v>
      </c>
      <c r="B132" s="151">
        <v>5820</v>
      </c>
      <c r="C132" s="94" t="s">
        <v>114</v>
      </c>
      <c r="D132" s="86"/>
      <c r="E132" s="428"/>
      <c r="F132" s="428">
        <v>0</v>
      </c>
      <c r="G132" s="428">
        <v>0</v>
      </c>
      <c r="H132" s="428">
        <v>0</v>
      </c>
      <c r="I132" s="428"/>
      <c r="J132" s="428">
        <f t="shared" si="13"/>
        <v>0</v>
      </c>
      <c r="K132" s="428">
        <f t="shared" si="14"/>
        <v>0</v>
      </c>
    </row>
    <row r="133" spans="1:11" s="468" customFormat="1" x14ac:dyDescent="0.25">
      <c r="A133" s="118">
        <v>26</v>
      </c>
      <c r="B133" s="151">
        <v>5825</v>
      </c>
      <c r="C133" s="94" t="s">
        <v>317</v>
      </c>
      <c r="D133" s="86"/>
      <c r="E133" s="428"/>
      <c r="F133" s="428">
        <v>0</v>
      </c>
      <c r="G133" s="428">
        <v>0</v>
      </c>
      <c r="H133" s="428">
        <v>0</v>
      </c>
      <c r="I133" s="428"/>
      <c r="J133" s="428">
        <f t="shared" si="13"/>
        <v>0</v>
      </c>
      <c r="K133" s="428">
        <f t="shared" si="14"/>
        <v>0</v>
      </c>
    </row>
    <row r="134" spans="1:11" s="468" customFormat="1" x14ac:dyDescent="0.25">
      <c r="A134" s="118">
        <v>26</v>
      </c>
      <c r="B134" s="151">
        <v>5830</v>
      </c>
      <c r="C134" s="94" t="s">
        <v>318</v>
      </c>
      <c r="D134" s="86">
        <v>63140</v>
      </c>
      <c r="E134" s="428">
        <v>11500</v>
      </c>
      <c r="F134" s="428">
        <v>161500</v>
      </c>
      <c r="G134" s="428">
        <v>161500</v>
      </c>
      <c r="H134" s="428">
        <v>161500</v>
      </c>
      <c r="I134" s="428"/>
      <c r="J134" s="428">
        <f t="shared" si="13"/>
        <v>0</v>
      </c>
      <c r="K134" s="428">
        <f t="shared" si="14"/>
        <v>0</v>
      </c>
    </row>
    <row r="135" spans="1:11" s="468" customFormat="1" x14ac:dyDescent="0.25">
      <c r="A135" s="118">
        <v>26</v>
      </c>
      <c r="B135" s="151">
        <v>5835</v>
      </c>
      <c r="C135" s="94" t="s">
        <v>319</v>
      </c>
      <c r="D135" s="86">
        <v>84925</v>
      </c>
      <c r="E135" s="428">
        <v>101130</v>
      </c>
      <c r="F135" s="428">
        <v>121130</v>
      </c>
      <c r="G135" s="428">
        <v>121130</v>
      </c>
      <c r="H135" s="428">
        <f>+G135*1.0574</f>
        <v>128082.86199999999</v>
      </c>
      <c r="I135" s="428">
        <f>88468*2*1.1</f>
        <v>194629.6</v>
      </c>
      <c r="J135" s="428">
        <f t="shared" si="13"/>
        <v>205334.228</v>
      </c>
      <c r="K135" s="428">
        <f t="shared" si="14"/>
        <v>216216.94208399998</v>
      </c>
    </row>
    <row r="136" spans="1:11" s="468" customFormat="1" x14ac:dyDescent="0.25">
      <c r="A136" s="118">
        <v>26</v>
      </c>
      <c r="B136" s="151">
        <v>5840</v>
      </c>
      <c r="C136" s="94" t="s">
        <v>332</v>
      </c>
      <c r="D136" s="440"/>
      <c r="E136" s="428"/>
      <c r="F136" s="428">
        <f t="shared" ref="F136:F143" si="16">E136-D136</f>
        <v>0</v>
      </c>
      <c r="G136" s="428">
        <f t="shared" ref="G136:G143" si="17">F136-E136</f>
        <v>0</v>
      </c>
      <c r="H136" s="428">
        <f t="shared" ref="H136:H143" si="18">G136-F136</f>
        <v>0</v>
      </c>
      <c r="I136" s="428"/>
      <c r="J136" s="428">
        <f t="shared" si="13"/>
        <v>0</v>
      </c>
      <c r="K136" s="428">
        <f t="shared" si="14"/>
        <v>0</v>
      </c>
    </row>
    <row r="137" spans="1:11" s="468" customFormat="1" x14ac:dyDescent="0.25">
      <c r="A137" s="118">
        <v>26</v>
      </c>
      <c r="B137" s="151">
        <v>5845</v>
      </c>
      <c r="C137" s="94" t="s">
        <v>320</v>
      </c>
      <c r="D137" s="86"/>
      <c r="E137" s="428"/>
      <c r="F137" s="428">
        <f t="shared" si="16"/>
        <v>0</v>
      </c>
      <c r="G137" s="428">
        <f t="shared" si="17"/>
        <v>0</v>
      </c>
      <c r="H137" s="428">
        <f t="shared" si="18"/>
        <v>0</v>
      </c>
      <c r="I137" s="428"/>
      <c r="J137" s="428">
        <f t="shared" si="13"/>
        <v>0</v>
      </c>
      <c r="K137" s="428">
        <f t="shared" si="14"/>
        <v>0</v>
      </c>
    </row>
    <row r="138" spans="1:11" s="468" customFormat="1" x14ac:dyDescent="0.25">
      <c r="A138" s="118">
        <v>26</v>
      </c>
      <c r="B138" s="151">
        <v>5855</v>
      </c>
      <c r="C138" s="94" t="s">
        <v>321</v>
      </c>
      <c r="D138" s="428"/>
      <c r="E138" s="428"/>
      <c r="F138" s="428">
        <f t="shared" si="16"/>
        <v>0</v>
      </c>
      <c r="G138" s="428">
        <f t="shared" si="17"/>
        <v>0</v>
      </c>
      <c r="H138" s="428">
        <f t="shared" si="18"/>
        <v>0</v>
      </c>
      <c r="I138" s="428"/>
      <c r="J138" s="428">
        <f t="shared" ref="J138:J144" si="19">+I138*1.055</f>
        <v>0</v>
      </c>
      <c r="K138" s="428">
        <f t="shared" ref="K138:K144" si="20">+J138*1.053</f>
        <v>0</v>
      </c>
    </row>
    <row r="139" spans="1:11" s="468" customFormat="1" x14ac:dyDescent="0.25">
      <c r="A139" s="118">
        <v>26</v>
      </c>
      <c r="B139" s="151">
        <v>5860</v>
      </c>
      <c r="C139" s="94" t="s">
        <v>322</v>
      </c>
      <c r="D139" s="428"/>
      <c r="E139" s="428"/>
      <c r="F139" s="428">
        <f t="shared" si="16"/>
        <v>0</v>
      </c>
      <c r="G139" s="428">
        <f t="shared" si="17"/>
        <v>0</v>
      </c>
      <c r="H139" s="428">
        <f t="shared" si="18"/>
        <v>0</v>
      </c>
      <c r="I139" s="428"/>
      <c r="J139" s="428">
        <f t="shared" si="19"/>
        <v>0</v>
      </c>
      <c r="K139" s="428">
        <f t="shared" si="20"/>
        <v>0</v>
      </c>
    </row>
    <row r="140" spans="1:11" s="468" customFormat="1" x14ac:dyDescent="0.25">
      <c r="A140" s="118">
        <v>26</v>
      </c>
      <c r="B140" s="151">
        <v>5865</v>
      </c>
      <c r="C140" s="94" t="s">
        <v>323</v>
      </c>
      <c r="D140" s="428"/>
      <c r="E140" s="428"/>
      <c r="F140" s="428">
        <f t="shared" si="16"/>
        <v>0</v>
      </c>
      <c r="G140" s="428">
        <f t="shared" si="17"/>
        <v>0</v>
      </c>
      <c r="H140" s="428">
        <f t="shared" si="18"/>
        <v>0</v>
      </c>
      <c r="I140" s="428"/>
      <c r="J140" s="428">
        <f t="shared" si="19"/>
        <v>0</v>
      </c>
      <c r="K140" s="428">
        <f t="shared" si="20"/>
        <v>0</v>
      </c>
    </row>
    <row r="141" spans="1:11" s="468" customFormat="1" x14ac:dyDescent="0.25">
      <c r="A141" s="118">
        <v>26</v>
      </c>
      <c r="B141" s="151">
        <v>5870</v>
      </c>
      <c r="C141" s="94" t="s">
        <v>324</v>
      </c>
      <c r="D141" s="428"/>
      <c r="E141" s="428"/>
      <c r="F141" s="428">
        <f t="shared" si="16"/>
        <v>0</v>
      </c>
      <c r="G141" s="428">
        <f t="shared" si="17"/>
        <v>0</v>
      </c>
      <c r="H141" s="428">
        <f t="shared" si="18"/>
        <v>0</v>
      </c>
      <c r="I141" s="428"/>
      <c r="J141" s="428">
        <f t="shared" si="19"/>
        <v>0</v>
      </c>
      <c r="K141" s="428">
        <f t="shared" si="20"/>
        <v>0</v>
      </c>
    </row>
    <row r="142" spans="1:11" s="468" customFormat="1" x14ac:dyDescent="0.25">
      <c r="A142" s="118">
        <v>26</v>
      </c>
      <c r="B142" s="151">
        <v>5875</v>
      </c>
      <c r="C142" s="94" t="s">
        <v>325</v>
      </c>
      <c r="D142" s="428"/>
      <c r="E142" s="428"/>
      <c r="F142" s="428">
        <f t="shared" si="16"/>
        <v>0</v>
      </c>
      <c r="G142" s="428">
        <f t="shared" si="17"/>
        <v>0</v>
      </c>
      <c r="H142" s="428">
        <f t="shared" si="18"/>
        <v>0</v>
      </c>
      <c r="I142" s="428"/>
      <c r="J142" s="428">
        <f t="shared" si="19"/>
        <v>0</v>
      </c>
      <c r="K142" s="428">
        <f t="shared" si="20"/>
        <v>0</v>
      </c>
    </row>
    <row r="143" spans="1:11" s="468" customFormat="1" x14ac:dyDescent="0.25">
      <c r="A143" s="118">
        <v>26</v>
      </c>
      <c r="B143" s="151">
        <v>5880</v>
      </c>
      <c r="C143" s="94" t="s">
        <v>326</v>
      </c>
      <c r="D143" s="428"/>
      <c r="E143" s="428"/>
      <c r="F143" s="428">
        <f t="shared" si="16"/>
        <v>0</v>
      </c>
      <c r="G143" s="428">
        <f t="shared" si="17"/>
        <v>0</v>
      </c>
      <c r="H143" s="428">
        <f t="shared" si="18"/>
        <v>0</v>
      </c>
      <c r="I143" s="428"/>
      <c r="J143" s="428">
        <f t="shared" si="19"/>
        <v>0</v>
      </c>
      <c r="K143" s="428">
        <f t="shared" si="20"/>
        <v>0</v>
      </c>
    </row>
    <row r="144" spans="1:11" s="468" customFormat="1" x14ac:dyDescent="0.25">
      <c r="A144" s="118">
        <v>26</v>
      </c>
      <c r="B144" s="151">
        <v>5885</v>
      </c>
      <c r="C144" s="94" t="s">
        <v>331</v>
      </c>
      <c r="D144" s="428">
        <v>78321</v>
      </c>
      <c r="E144" s="428">
        <v>0</v>
      </c>
      <c r="F144" s="428">
        <v>70000</v>
      </c>
      <c r="G144" s="428">
        <v>70000</v>
      </c>
      <c r="H144" s="428">
        <v>20000</v>
      </c>
      <c r="I144" s="428"/>
      <c r="J144" s="428">
        <f t="shared" si="19"/>
        <v>0</v>
      </c>
      <c r="K144" s="428">
        <f t="shared" si="20"/>
        <v>0</v>
      </c>
    </row>
    <row r="145" spans="1:11" s="468" customFormat="1" x14ac:dyDescent="0.25">
      <c r="A145" s="118">
        <v>26</v>
      </c>
      <c r="B145" s="151">
        <v>5890</v>
      </c>
      <c r="C145" s="94" t="s">
        <v>327</v>
      </c>
      <c r="D145" s="428"/>
      <c r="E145" s="428"/>
      <c r="F145" s="428">
        <f t="shared" ref="F145:H146" si="21">0/8*12</f>
        <v>0</v>
      </c>
      <c r="G145" s="428">
        <f t="shared" si="21"/>
        <v>0</v>
      </c>
      <c r="H145" s="428">
        <f t="shared" si="21"/>
        <v>0</v>
      </c>
      <c r="I145" s="428"/>
      <c r="J145" s="428">
        <f>+(H145*0.1)+H145</f>
        <v>0</v>
      </c>
      <c r="K145" s="428">
        <f>+(J145*0.1)+J145</f>
        <v>0</v>
      </c>
    </row>
    <row r="146" spans="1:11" s="468" customFormat="1" x14ac:dyDescent="0.25">
      <c r="A146" s="118">
        <v>26</v>
      </c>
      <c r="B146" s="151">
        <v>5895</v>
      </c>
      <c r="C146" s="94" t="s">
        <v>328</v>
      </c>
      <c r="D146" s="428"/>
      <c r="E146" s="428"/>
      <c r="F146" s="428">
        <f t="shared" si="21"/>
        <v>0</v>
      </c>
      <c r="G146" s="428">
        <f t="shared" si="21"/>
        <v>0</v>
      </c>
      <c r="H146" s="428">
        <f t="shared" si="21"/>
        <v>0</v>
      </c>
      <c r="I146" s="428"/>
      <c r="J146" s="428">
        <f>+(H146*0.1)+H146</f>
        <v>0</v>
      </c>
      <c r="K146" s="428">
        <f>+(J146*0.1)+J146</f>
        <v>0</v>
      </c>
    </row>
    <row r="147" spans="1:11" s="468" customFormat="1" x14ac:dyDescent="0.25">
      <c r="A147" s="118">
        <v>26</v>
      </c>
      <c r="B147" s="151">
        <v>5910</v>
      </c>
      <c r="C147" s="94" t="s">
        <v>330</v>
      </c>
      <c r="D147" s="428"/>
      <c r="E147" s="428"/>
      <c r="F147" s="428">
        <v>0</v>
      </c>
      <c r="G147" s="428"/>
      <c r="H147" s="428"/>
      <c r="I147" s="428">
        <v>13298093</v>
      </c>
      <c r="J147" s="428">
        <f>+(H147*0.1)+H147</f>
        <v>0</v>
      </c>
      <c r="K147" s="428">
        <f>+(J147*0.1)+J147</f>
        <v>0</v>
      </c>
    </row>
    <row r="148" spans="1:11" s="468" customFormat="1" x14ac:dyDescent="0.25">
      <c r="A148" s="344"/>
      <c r="B148" s="151"/>
      <c r="C148" s="94"/>
      <c r="D148" s="429">
        <f t="shared" ref="D148:K148" si="22">SUM(D72:D147)</f>
        <v>11340926</v>
      </c>
      <c r="E148" s="429">
        <f t="shared" si="22"/>
        <v>8939191</v>
      </c>
      <c r="F148" s="429">
        <f t="shared" si="22"/>
        <v>10987155</v>
      </c>
      <c r="G148" s="429">
        <f t="shared" si="22"/>
        <v>10987156</v>
      </c>
      <c r="H148" s="429">
        <f t="shared" si="22"/>
        <v>8631403.8619999997</v>
      </c>
      <c r="I148" s="429">
        <f t="shared" si="22"/>
        <v>20013474.175714284</v>
      </c>
      <c r="J148" s="429">
        <f t="shared" si="22"/>
        <v>7084727.1403785683</v>
      </c>
      <c r="K148" s="429">
        <f t="shared" si="22"/>
        <v>7460217.6788186319</v>
      </c>
    </row>
    <row r="149" spans="1:11" s="468" customFormat="1" hidden="1" x14ac:dyDescent="0.25">
      <c r="A149" s="344"/>
      <c r="B149" s="151"/>
      <c r="C149" s="93" t="s">
        <v>187</v>
      </c>
      <c r="D149" s="428"/>
      <c r="E149" s="425"/>
      <c r="F149" s="425"/>
      <c r="G149" s="425"/>
      <c r="H149" s="425"/>
      <c r="I149" s="425"/>
      <c r="J149" s="425"/>
      <c r="K149" s="425"/>
    </row>
    <row r="150" spans="1:11" s="468" customFormat="1" hidden="1" x14ac:dyDescent="0.25">
      <c r="A150" s="118">
        <v>26</v>
      </c>
      <c r="B150" s="151">
        <v>6005</v>
      </c>
      <c r="C150" s="94" t="s">
        <v>188</v>
      </c>
      <c r="D150" s="428">
        <v>0</v>
      </c>
      <c r="E150" s="425"/>
      <c r="F150" s="428">
        <f>0/8*12</f>
        <v>0</v>
      </c>
      <c r="G150" s="428"/>
      <c r="H150" s="428"/>
      <c r="I150" s="428"/>
      <c r="J150" s="428"/>
      <c r="K150" s="425"/>
    </row>
    <row r="151" spans="1:11" s="468" customFormat="1" ht="10.5" hidden="1" customHeight="1" x14ac:dyDescent="0.25">
      <c r="A151" s="344"/>
      <c r="B151" s="151"/>
      <c r="C151" s="94"/>
      <c r="D151" s="429">
        <v>0</v>
      </c>
      <c r="E151" s="429">
        <f t="shared" ref="E151:K151" si="23">SUM(E150)</f>
        <v>0</v>
      </c>
      <c r="F151" s="429">
        <f t="shared" si="23"/>
        <v>0</v>
      </c>
      <c r="G151" s="429"/>
      <c r="H151" s="429"/>
      <c r="I151" s="429"/>
      <c r="J151" s="429"/>
      <c r="K151" s="429">
        <f t="shared" si="23"/>
        <v>0</v>
      </c>
    </row>
    <row r="152" spans="1:11" s="468" customFormat="1" x14ac:dyDescent="0.25">
      <c r="A152" s="344"/>
      <c r="B152" s="151"/>
      <c r="C152" s="93" t="s">
        <v>64</v>
      </c>
      <c r="D152" s="88"/>
      <c r="E152" s="113"/>
      <c r="F152" s="113"/>
      <c r="G152" s="113"/>
      <c r="H152" s="113"/>
      <c r="I152" s="113"/>
      <c r="J152" s="113"/>
      <c r="K152" s="88"/>
    </row>
    <row r="153" spans="1:11" s="468" customFormat="1" x14ac:dyDescent="0.25">
      <c r="A153" s="118">
        <v>26</v>
      </c>
      <c r="B153" s="151">
        <v>6105</v>
      </c>
      <c r="C153" s="94" t="s">
        <v>336</v>
      </c>
      <c r="D153" s="428">
        <v>0</v>
      </c>
      <c r="E153" s="425">
        <v>100000</v>
      </c>
      <c r="F153" s="428">
        <f>0/8*12</f>
        <v>0</v>
      </c>
      <c r="G153" s="428"/>
      <c r="H153" s="428"/>
      <c r="I153" s="428">
        <f>3000+300000</f>
        <v>303000</v>
      </c>
      <c r="J153" s="428"/>
      <c r="K153" s="428"/>
    </row>
    <row r="154" spans="1:11" s="468" customFormat="1" x14ac:dyDescent="0.25">
      <c r="A154" s="118">
        <v>26</v>
      </c>
      <c r="B154" s="151">
        <v>6110</v>
      </c>
      <c r="C154" s="94" t="s">
        <v>504</v>
      </c>
      <c r="D154" s="428">
        <v>0</v>
      </c>
      <c r="E154" s="425">
        <v>250000</v>
      </c>
      <c r="F154" s="428">
        <f>0/8*12</f>
        <v>0</v>
      </c>
      <c r="G154" s="428"/>
      <c r="H154" s="428"/>
      <c r="I154" s="428">
        <v>80000</v>
      </c>
      <c r="J154" s="428"/>
      <c r="K154" s="428"/>
    </row>
    <row r="155" spans="1:11" s="468" customFormat="1" x14ac:dyDescent="0.25">
      <c r="A155" s="118">
        <v>26</v>
      </c>
      <c r="B155" s="151">
        <v>6115</v>
      </c>
      <c r="C155" s="94" t="s">
        <v>60</v>
      </c>
      <c r="D155" s="428">
        <v>0</v>
      </c>
      <c r="E155" s="425">
        <v>290000</v>
      </c>
      <c r="F155" s="428">
        <f>0/8*12</f>
        <v>0</v>
      </c>
      <c r="G155" s="428"/>
      <c r="H155" s="428"/>
      <c r="I155" s="428"/>
      <c r="J155" s="428"/>
      <c r="K155" s="428"/>
    </row>
    <row r="156" spans="1:11" s="468" customFormat="1" x14ac:dyDescent="0.25">
      <c r="A156" s="344"/>
      <c r="B156" s="151"/>
      <c r="C156" s="94"/>
      <c r="D156" s="429">
        <f t="shared" ref="D156:K156" si="24">SUM(D153:D155)</f>
        <v>0</v>
      </c>
      <c r="E156" s="429">
        <f t="shared" si="24"/>
        <v>640000</v>
      </c>
      <c r="F156" s="429">
        <f t="shared" si="24"/>
        <v>0</v>
      </c>
      <c r="G156" s="429">
        <f t="shared" si="24"/>
        <v>0</v>
      </c>
      <c r="H156" s="429">
        <f t="shared" si="24"/>
        <v>0</v>
      </c>
      <c r="I156" s="429">
        <f t="shared" si="24"/>
        <v>383000</v>
      </c>
      <c r="J156" s="429">
        <f t="shared" si="24"/>
        <v>0</v>
      </c>
      <c r="K156" s="429">
        <f t="shared" si="24"/>
        <v>0</v>
      </c>
    </row>
    <row r="157" spans="1:11" s="468" customFormat="1" x14ac:dyDescent="0.25">
      <c r="A157" s="344"/>
      <c r="B157" s="151"/>
      <c r="C157" s="459" t="s">
        <v>65</v>
      </c>
      <c r="D157" s="88"/>
      <c r="E157" s="113"/>
      <c r="F157" s="113"/>
      <c r="G157" s="113"/>
      <c r="H157" s="113"/>
      <c r="I157" s="113"/>
      <c r="J157" s="113"/>
      <c r="K157" s="88"/>
    </row>
    <row r="158" spans="1:11" s="468" customFormat="1" hidden="1" x14ac:dyDescent="0.25">
      <c r="A158" s="118">
        <v>26</v>
      </c>
      <c r="B158" s="151">
        <v>6205</v>
      </c>
      <c r="C158" s="94" t="s">
        <v>338</v>
      </c>
      <c r="D158" s="428">
        <v>0</v>
      </c>
      <c r="E158" s="425"/>
      <c r="F158" s="428">
        <f>0/8*12</f>
        <v>0</v>
      </c>
      <c r="G158" s="428"/>
      <c r="H158" s="428"/>
      <c r="I158" s="428"/>
      <c r="J158" s="428">
        <f>0/8*12</f>
        <v>0</v>
      </c>
      <c r="K158" s="428">
        <f>F158*(1+[1]INPUT!C$10)</f>
        <v>0</v>
      </c>
    </row>
    <row r="159" spans="1:11" s="468" customFormat="1" hidden="1" x14ac:dyDescent="0.25">
      <c r="A159" s="118">
        <v>26</v>
      </c>
      <c r="B159" s="151">
        <v>6210</v>
      </c>
      <c r="C159" s="94" t="s">
        <v>339</v>
      </c>
      <c r="D159" s="428">
        <v>0</v>
      </c>
      <c r="E159" s="428"/>
      <c r="F159" s="428">
        <f>0/8*12</f>
        <v>0</v>
      </c>
      <c r="G159" s="428"/>
      <c r="H159" s="428"/>
      <c r="I159" s="428"/>
      <c r="J159" s="428">
        <f>0/8*12</f>
        <v>0</v>
      </c>
      <c r="K159" s="428">
        <f>F159*(1+[1]INPUT!C$10)</f>
        <v>0</v>
      </c>
    </row>
    <row r="160" spans="1:11" s="468" customFormat="1" ht="10.5" customHeight="1" x14ac:dyDescent="0.25">
      <c r="A160" s="344"/>
      <c r="B160" s="346"/>
      <c r="C160" s="347"/>
      <c r="D160" s="441">
        <v>0</v>
      </c>
      <c r="E160" s="441">
        <f>SUM(E158:E159)</f>
        <v>0</v>
      </c>
      <c r="F160" s="441">
        <f>SUM(F158:F159)</f>
        <v>0</v>
      </c>
      <c r="G160" s="441"/>
      <c r="H160" s="441"/>
      <c r="I160" s="441"/>
      <c r="J160" s="441"/>
      <c r="K160" s="441"/>
    </row>
    <row r="161" spans="1:11" s="468" customFormat="1" x14ac:dyDescent="0.25">
      <c r="A161" s="344"/>
      <c r="B161" s="346"/>
      <c r="C161" s="93" t="s">
        <v>189</v>
      </c>
      <c r="D161" s="441">
        <f t="shared" ref="D161:K161" si="25">D160+D156+D151+D148+D70+D66+D63+D59+D38+D35+D32+D29+D25+D18</f>
        <v>18579390</v>
      </c>
      <c r="E161" s="441">
        <f t="shared" si="25"/>
        <v>19700491</v>
      </c>
      <c r="F161" s="441">
        <f t="shared" si="25"/>
        <v>20176828</v>
      </c>
      <c r="G161" s="441">
        <f t="shared" si="25"/>
        <v>21492545</v>
      </c>
      <c r="H161" s="441">
        <f t="shared" si="25"/>
        <v>17358494.262000002</v>
      </c>
      <c r="I161" s="441">
        <f t="shared" si="25"/>
        <v>101793626.00971428</v>
      </c>
      <c r="J161" s="441">
        <f t="shared" si="25"/>
        <v>92958722.325248554</v>
      </c>
      <c r="K161" s="441">
        <f t="shared" si="25"/>
        <v>97901811.361929491</v>
      </c>
    </row>
    <row r="162" spans="1:11" s="468" customFormat="1" x14ac:dyDescent="0.25">
      <c r="A162" s="344"/>
      <c r="B162" s="151"/>
      <c r="C162" s="93" t="s">
        <v>258</v>
      </c>
      <c r="D162" s="442"/>
      <c r="E162" s="442"/>
      <c r="F162" s="442"/>
      <c r="G162" s="442"/>
      <c r="H162" s="442"/>
      <c r="I162" s="442"/>
      <c r="J162" s="442"/>
      <c r="K162" s="442"/>
    </row>
    <row r="163" spans="1:11" s="468" customFormat="1" x14ac:dyDescent="0.25">
      <c r="A163" s="118">
        <v>26</v>
      </c>
      <c r="B163" s="151">
        <v>6305</v>
      </c>
      <c r="C163" s="94" t="s">
        <v>190</v>
      </c>
      <c r="D163" s="428"/>
      <c r="E163" s="428"/>
      <c r="F163" s="428"/>
      <c r="G163" s="428"/>
      <c r="H163" s="428"/>
      <c r="I163" s="428"/>
      <c r="J163" s="428"/>
      <c r="K163" s="428"/>
    </row>
    <row r="164" spans="1:11" s="468" customFormat="1" ht="14.25" hidden="1" customHeight="1" x14ac:dyDescent="0.25">
      <c r="A164" s="344"/>
      <c r="B164" s="151"/>
      <c r="C164" s="94"/>
      <c r="D164" s="441">
        <v>0</v>
      </c>
      <c r="E164" s="441">
        <f>E163</f>
        <v>0</v>
      </c>
      <c r="F164" s="441">
        <f>F163</f>
        <v>0</v>
      </c>
      <c r="G164" s="441"/>
      <c r="H164" s="441">
        <f>H163</f>
        <v>0</v>
      </c>
      <c r="I164" s="441"/>
      <c r="J164" s="441"/>
      <c r="K164" s="441"/>
    </row>
    <row r="165" spans="1:11" s="468" customFormat="1" x14ac:dyDescent="0.25">
      <c r="A165" s="348"/>
      <c r="B165" s="152"/>
      <c r="C165" s="119" t="s">
        <v>191</v>
      </c>
      <c r="D165" s="448">
        <f t="shared" ref="D165:K165" si="26">SUM(D161+D164)</f>
        <v>18579390</v>
      </c>
      <c r="E165" s="448">
        <f t="shared" si="26"/>
        <v>19700491</v>
      </c>
      <c r="F165" s="448">
        <f t="shared" si="26"/>
        <v>20176828</v>
      </c>
      <c r="G165" s="448">
        <f t="shared" si="26"/>
        <v>21492545</v>
      </c>
      <c r="H165" s="448">
        <f t="shared" si="26"/>
        <v>17358494.262000002</v>
      </c>
      <c r="I165" s="448">
        <f t="shared" si="26"/>
        <v>101793626.00971428</v>
      </c>
      <c r="J165" s="448">
        <f t="shared" si="26"/>
        <v>92958722.325248554</v>
      </c>
      <c r="K165" s="448">
        <f t="shared" si="26"/>
        <v>97901811.361929491</v>
      </c>
    </row>
    <row r="166" spans="1:11" s="468" customFormat="1" x14ac:dyDescent="0.25">
      <c r="A166" s="350"/>
      <c r="B166" s="385"/>
      <c r="C166" s="386"/>
      <c r="D166" s="120"/>
      <c r="E166" s="120"/>
      <c r="F166" s="271"/>
      <c r="G166" s="271"/>
      <c r="H166" s="271"/>
      <c r="I166" s="271"/>
      <c r="J166" s="271"/>
      <c r="K166" s="380"/>
    </row>
    <row r="167" spans="1:11" s="468" customFormat="1" x14ac:dyDescent="0.25">
      <c r="A167" s="344"/>
      <c r="B167" s="130"/>
      <c r="C167" s="440"/>
      <c r="D167" s="111"/>
      <c r="E167" s="111"/>
      <c r="F167" s="111"/>
      <c r="G167" s="111"/>
      <c r="H167" s="111"/>
      <c r="I167" s="111"/>
      <c r="J167" s="111"/>
      <c r="K167" s="381"/>
    </row>
    <row r="168" spans="1:11" s="468" customFormat="1" x14ac:dyDescent="0.25">
      <c r="A168" s="349"/>
      <c r="B168" s="546" t="s">
        <v>416</v>
      </c>
      <c r="C168" s="546"/>
      <c r="D168" s="547"/>
      <c r="E168" s="563"/>
      <c r="F168" s="563"/>
      <c r="G168" s="563"/>
      <c r="H168" s="563"/>
      <c r="I168" s="581"/>
      <c r="J168" s="563"/>
      <c r="K168" s="564"/>
    </row>
    <row r="169" spans="1:11" s="468" customFormat="1" ht="21" customHeight="1" x14ac:dyDescent="0.25">
      <c r="A169" s="567" t="s">
        <v>21</v>
      </c>
      <c r="B169" s="568"/>
      <c r="C169" s="150" t="s">
        <v>22</v>
      </c>
      <c r="D169" s="103" t="s">
        <v>878</v>
      </c>
      <c r="E169" s="104" t="s">
        <v>24</v>
      </c>
      <c r="F169" s="103" t="s">
        <v>535</v>
      </c>
      <c r="G169" s="103" t="s">
        <v>413</v>
      </c>
      <c r="H169" s="104" t="s">
        <v>24</v>
      </c>
      <c r="I169" s="583" t="s">
        <v>24</v>
      </c>
      <c r="J169" s="583" t="s">
        <v>24</v>
      </c>
      <c r="K169" s="583" t="s">
        <v>24</v>
      </c>
    </row>
    <row r="170" spans="1:11" s="468" customFormat="1" x14ac:dyDescent="0.25">
      <c r="A170" s="569"/>
      <c r="B170" s="570"/>
      <c r="C170" s="106"/>
      <c r="D170" s="333" t="s">
        <v>257</v>
      </c>
      <c r="E170" s="107" t="s">
        <v>382</v>
      </c>
      <c r="F170" s="107" t="s">
        <v>382</v>
      </c>
      <c r="G170" s="107" t="s">
        <v>382</v>
      </c>
      <c r="H170" s="107" t="s">
        <v>407</v>
      </c>
      <c r="I170" s="586" t="s">
        <v>414</v>
      </c>
      <c r="J170" s="586" t="s">
        <v>530</v>
      </c>
      <c r="K170" s="586" t="s">
        <v>886</v>
      </c>
    </row>
    <row r="171" spans="1:11" s="468" customFormat="1" ht="12.75" hidden="1" customHeight="1" x14ac:dyDescent="0.25">
      <c r="A171" s="350"/>
      <c r="B171" s="153"/>
      <c r="C171" s="93" t="s">
        <v>98</v>
      </c>
      <c r="D171" s="444"/>
      <c r="E171" s="435"/>
      <c r="F171" s="435"/>
      <c r="G171" s="435"/>
      <c r="H171" s="435"/>
      <c r="I171" s="435"/>
      <c r="J171" s="435"/>
      <c r="K171" s="444"/>
    </row>
    <row r="172" spans="1:11" s="468" customFormat="1" ht="12.75" hidden="1" customHeight="1" x14ac:dyDescent="0.25">
      <c r="A172" s="118">
        <v>26</v>
      </c>
      <c r="B172" s="151">
        <v>1237</v>
      </c>
      <c r="C172" s="94" t="s">
        <v>99</v>
      </c>
      <c r="D172" s="444"/>
      <c r="E172" s="425"/>
      <c r="F172" s="435">
        <f>E172/8*12</f>
        <v>0</v>
      </c>
      <c r="G172" s="435"/>
      <c r="H172" s="435"/>
      <c r="I172" s="435"/>
      <c r="J172" s="435"/>
      <c r="K172" s="425">
        <f>F172*(1+[1]INPUT!C15)</f>
        <v>0</v>
      </c>
    </row>
    <row r="173" spans="1:11" s="468" customFormat="1" ht="12.75" hidden="1" customHeight="1" x14ac:dyDescent="0.25">
      <c r="A173" s="118">
        <v>26</v>
      </c>
      <c r="B173" s="151">
        <v>5725</v>
      </c>
      <c r="C173" s="94" t="s">
        <v>400</v>
      </c>
      <c r="D173" s="428"/>
      <c r="E173" s="428">
        <v>0</v>
      </c>
      <c r="F173" s="428">
        <f>(0/8*12)*-1</f>
        <v>0</v>
      </c>
      <c r="G173" s="428"/>
      <c r="H173" s="428"/>
      <c r="I173" s="428"/>
      <c r="J173" s="428"/>
      <c r="K173" s="428">
        <f>F173*(1+[1]INPUT!C$10)</f>
        <v>0</v>
      </c>
    </row>
    <row r="174" spans="1:11" s="468" customFormat="1" ht="0.75" customHeight="1" x14ac:dyDescent="0.25">
      <c r="A174" s="344"/>
      <c r="B174" s="151"/>
      <c r="C174" s="94"/>
      <c r="D174" s="436">
        <f>SUM(D172)</f>
        <v>0</v>
      </c>
      <c r="E174" s="436">
        <f>SUM(E172)</f>
        <v>0</v>
      </c>
      <c r="F174" s="436">
        <f>SUM(F172)</f>
        <v>0</v>
      </c>
      <c r="G174" s="436">
        <f>SUM(G172)</f>
        <v>0</v>
      </c>
      <c r="H174" s="436"/>
      <c r="I174" s="436"/>
      <c r="J174" s="436"/>
      <c r="K174" s="436">
        <f>SUM(K172)</f>
        <v>0</v>
      </c>
    </row>
    <row r="175" spans="1:11" s="468" customFormat="1" x14ac:dyDescent="0.25">
      <c r="A175" s="344"/>
      <c r="B175" s="151"/>
      <c r="C175" s="93" t="s">
        <v>100</v>
      </c>
      <c r="D175" s="444"/>
      <c r="E175" s="435"/>
      <c r="F175" s="435"/>
      <c r="G175" s="435"/>
      <c r="H175" s="435"/>
      <c r="I175" s="435"/>
      <c r="J175" s="435"/>
      <c r="K175" s="444"/>
    </row>
    <row r="176" spans="1:11" s="468" customFormat="1" hidden="1" x14ac:dyDescent="0.25">
      <c r="A176" s="118">
        <v>26</v>
      </c>
      <c r="B176" s="151">
        <v>1147</v>
      </c>
      <c r="C176" s="94" t="s">
        <v>102</v>
      </c>
      <c r="D176" s="444"/>
      <c r="E176" s="435"/>
      <c r="F176" s="428">
        <f>E176-D176</f>
        <v>0</v>
      </c>
      <c r="G176" s="428"/>
      <c r="H176" s="428">
        <f t="shared" ref="H176:H200" si="27">+(F176*0.1)+F176</f>
        <v>0</v>
      </c>
      <c r="I176" s="428"/>
      <c r="J176" s="428">
        <f>+(H176*0.1)+H176</f>
        <v>0</v>
      </c>
      <c r="K176" s="428">
        <f>+(J176*0.1)+J176</f>
        <v>0</v>
      </c>
    </row>
    <row r="177" spans="1:11" s="468" customFormat="1" hidden="1" x14ac:dyDescent="0.25">
      <c r="A177" s="118">
        <v>26</v>
      </c>
      <c r="B177" s="151">
        <v>1202</v>
      </c>
      <c r="C177" s="94" t="s">
        <v>343</v>
      </c>
      <c r="D177" s="444"/>
      <c r="E177" s="435"/>
      <c r="F177" s="428">
        <f>E177-D177</f>
        <v>0</v>
      </c>
      <c r="G177" s="428"/>
      <c r="H177" s="428">
        <f t="shared" si="27"/>
        <v>0</v>
      </c>
      <c r="I177" s="428"/>
      <c r="J177" s="428">
        <f>+(H177*0.1)+H177</f>
        <v>0</v>
      </c>
      <c r="K177" s="428">
        <f>+(J177*0.1)+J177</f>
        <v>0</v>
      </c>
    </row>
    <row r="178" spans="1:11" s="468" customFormat="1" x14ac:dyDescent="0.25">
      <c r="A178" s="118">
        <v>26</v>
      </c>
      <c r="B178" s="151">
        <v>1207</v>
      </c>
      <c r="C178" s="94" t="s">
        <v>104</v>
      </c>
      <c r="D178" s="444">
        <v>5952</v>
      </c>
      <c r="E178" s="435">
        <v>6285.3119999999999</v>
      </c>
      <c r="F178" s="428">
        <v>6285.3119999999999</v>
      </c>
      <c r="G178" s="428">
        <v>6285.3119999999999</v>
      </c>
      <c r="H178" s="428">
        <f t="shared" si="27"/>
        <v>6913.8432000000003</v>
      </c>
      <c r="I178" s="428">
        <f>4909*1.058</f>
        <v>5193.7220000000007</v>
      </c>
      <c r="J178" s="428">
        <f>+I178*1.055</f>
        <v>5479.3767100000005</v>
      </c>
      <c r="K178" s="428">
        <f>+J178*1.053</f>
        <v>5769.7836756300003</v>
      </c>
    </row>
    <row r="179" spans="1:11" s="468" customFormat="1" ht="12.75" hidden="1" customHeight="1" x14ac:dyDescent="0.25">
      <c r="A179" s="118">
        <v>26</v>
      </c>
      <c r="B179" s="151">
        <v>1153</v>
      </c>
      <c r="C179" s="94" t="s">
        <v>115</v>
      </c>
      <c r="D179" s="444"/>
      <c r="E179" s="435"/>
      <c r="F179" s="428">
        <v>0</v>
      </c>
      <c r="G179" s="428">
        <v>0</v>
      </c>
      <c r="H179" s="428">
        <f t="shared" si="27"/>
        <v>0</v>
      </c>
      <c r="I179" s="428">
        <f>4909*1.058</f>
        <v>5193.7220000000007</v>
      </c>
      <c r="J179" s="428">
        <f t="shared" ref="J179:J200" si="28">+I179*1.055</f>
        <v>5479.3767100000005</v>
      </c>
      <c r="K179" s="428">
        <f t="shared" ref="K179:K200" si="29">+J179*1.053</f>
        <v>5769.7836756300003</v>
      </c>
    </row>
    <row r="180" spans="1:11" s="468" customFormat="1" ht="12.75" hidden="1" customHeight="1" x14ac:dyDescent="0.25">
      <c r="A180" s="118">
        <v>26</v>
      </c>
      <c r="B180" s="151">
        <v>1143</v>
      </c>
      <c r="C180" s="94" t="s">
        <v>109</v>
      </c>
      <c r="D180" s="444"/>
      <c r="E180" s="435"/>
      <c r="F180" s="428">
        <v>0</v>
      </c>
      <c r="G180" s="428">
        <v>0</v>
      </c>
      <c r="H180" s="428">
        <f t="shared" si="27"/>
        <v>0</v>
      </c>
      <c r="I180" s="428">
        <f>4909*1.058</f>
        <v>5193.7220000000007</v>
      </c>
      <c r="J180" s="428">
        <f t="shared" si="28"/>
        <v>5479.3767100000005</v>
      </c>
      <c r="K180" s="428">
        <f t="shared" si="29"/>
        <v>5769.7836756300003</v>
      </c>
    </row>
    <row r="181" spans="1:11" s="468" customFormat="1" x14ac:dyDescent="0.25">
      <c r="A181" s="118">
        <v>26</v>
      </c>
      <c r="B181" s="151">
        <v>5500</v>
      </c>
      <c r="C181" s="94" t="s">
        <v>266</v>
      </c>
      <c r="D181" s="428">
        <v>-63790</v>
      </c>
      <c r="E181" s="428">
        <v>-67362.240000000005</v>
      </c>
      <c r="F181" s="428">
        <v>-67362.240000000005</v>
      </c>
      <c r="G181" s="428">
        <v>-67362.240000000005</v>
      </c>
      <c r="H181" s="428">
        <f t="shared" si="27"/>
        <v>-74098.464000000007</v>
      </c>
      <c r="I181" s="428">
        <f>+H181*1.058</f>
        <v>-78396.174912000017</v>
      </c>
      <c r="J181" s="428">
        <f t="shared" si="28"/>
        <v>-82707.964532160011</v>
      </c>
      <c r="K181" s="428">
        <f t="shared" si="29"/>
        <v>-87091.486652364489</v>
      </c>
    </row>
    <row r="182" spans="1:11" s="468" customFormat="1" ht="12.75" hidden="1" customHeight="1" x14ac:dyDescent="0.25">
      <c r="A182" s="118">
        <v>26</v>
      </c>
      <c r="B182" s="151">
        <v>5705</v>
      </c>
      <c r="C182" s="94" t="s">
        <v>296</v>
      </c>
      <c r="D182" s="428"/>
      <c r="E182" s="428">
        <v>0</v>
      </c>
      <c r="F182" s="428">
        <v>0</v>
      </c>
      <c r="G182" s="428">
        <v>0</v>
      </c>
      <c r="H182" s="428">
        <f t="shared" si="27"/>
        <v>0</v>
      </c>
      <c r="I182" s="428">
        <f t="shared" ref="I182:I200" si="30">+H182*1.058</f>
        <v>0</v>
      </c>
      <c r="J182" s="428">
        <f t="shared" si="28"/>
        <v>0</v>
      </c>
      <c r="K182" s="428">
        <f t="shared" si="29"/>
        <v>0</v>
      </c>
    </row>
    <row r="183" spans="1:11" s="468" customFormat="1" ht="12.75" hidden="1" customHeight="1" x14ac:dyDescent="0.25">
      <c r="A183" s="118">
        <v>26</v>
      </c>
      <c r="B183" s="151">
        <v>1140</v>
      </c>
      <c r="C183" s="94" t="s">
        <v>113</v>
      </c>
      <c r="D183" s="444"/>
      <c r="E183" s="435">
        <v>0</v>
      </c>
      <c r="F183" s="428">
        <v>0</v>
      </c>
      <c r="G183" s="428">
        <v>0</v>
      </c>
      <c r="H183" s="428">
        <f t="shared" si="27"/>
        <v>0</v>
      </c>
      <c r="I183" s="428">
        <f t="shared" si="30"/>
        <v>0</v>
      </c>
      <c r="J183" s="428">
        <f t="shared" si="28"/>
        <v>0</v>
      </c>
      <c r="K183" s="428">
        <f t="shared" si="29"/>
        <v>0</v>
      </c>
    </row>
    <row r="184" spans="1:11" s="468" customFormat="1" ht="12.75" hidden="1" customHeight="1" x14ac:dyDescent="0.25">
      <c r="A184" s="118">
        <v>26</v>
      </c>
      <c r="B184" s="151">
        <v>1145</v>
      </c>
      <c r="C184" s="94" t="s">
        <v>132</v>
      </c>
      <c r="D184" s="444"/>
      <c r="E184" s="435">
        <v>0</v>
      </c>
      <c r="F184" s="428">
        <v>0</v>
      </c>
      <c r="G184" s="428">
        <v>0</v>
      </c>
      <c r="H184" s="428">
        <f t="shared" si="27"/>
        <v>0</v>
      </c>
      <c r="I184" s="428">
        <f t="shared" si="30"/>
        <v>0</v>
      </c>
      <c r="J184" s="428">
        <f t="shared" si="28"/>
        <v>0</v>
      </c>
      <c r="K184" s="428">
        <f t="shared" si="29"/>
        <v>0</v>
      </c>
    </row>
    <row r="185" spans="1:11" s="468" customFormat="1" ht="12.75" hidden="1" customHeight="1" x14ac:dyDescent="0.25">
      <c r="A185" s="118">
        <v>26</v>
      </c>
      <c r="B185" s="151">
        <v>1150</v>
      </c>
      <c r="C185" s="94" t="s">
        <v>120</v>
      </c>
      <c r="D185" s="444"/>
      <c r="E185" s="435">
        <v>0</v>
      </c>
      <c r="F185" s="428">
        <v>0</v>
      </c>
      <c r="G185" s="428">
        <v>0</v>
      </c>
      <c r="H185" s="428">
        <f t="shared" si="27"/>
        <v>0</v>
      </c>
      <c r="I185" s="428">
        <f t="shared" si="30"/>
        <v>0</v>
      </c>
      <c r="J185" s="428">
        <f t="shared" si="28"/>
        <v>0</v>
      </c>
      <c r="K185" s="428">
        <f t="shared" si="29"/>
        <v>0</v>
      </c>
    </row>
    <row r="186" spans="1:11" s="468" customFormat="1" ht="12.75" hidden="1" customHeight="1" x14ac:dyDescent="0.25">
      <c r="A186" s="118">
        <v>26</v>
      </c>
      <c r="B186" s="151">
        <v>1155</v>
      </c>
      <c r="C186" s="94" t="s">
        <v>116</v>
      </c>
      <c r="D186" s="444"/>
      <c r="E186" s="435">
        <v>0</v>
      </c>
      <c r="F186" s="428">
        <v>0</v>
      </c>
      <c r="G186" s="428">
        <v>0</v>
      </c>
      <c r="H186" s="428">
        <f t="shared" si="27"/>
        <v>0</v>
      </c>
      <c r="I186" s="428">
        <f t="shared" si="30"/>
        <v>0</v>
      </c>
      <c r="J186" s="428">
        <f t="shared" si="28"/>
        <v>0</v>
      </c>
      <c r="K186" s="428">
        <f t="shared" si="29"/>
        <v>0</v>
      </c>
    </row>
    <row r="187" spans="1:11" s="468" customFormat="1" ht="12.75" hidden="1" customHeight="1" x14ac:dyDescent="0.25">
      <c r="A187" s="118">
        <v>26</v>
      </c>
      <c r="B187" s="151">
        <v>1160</v>
      </c>
      <c r="C187" s="94" t="s">
        <v>101</v>
      </c>
      <c r="D187" s="444"/>
      <c r="E187" s="435">
        <v>0</v>
      </c>
      <c r="F187" s="428">
        <v>0</v>
      </c>
      <c r="G187" s="428">
        <v>0</v>
      </c>
      <c r="H187" s="428">
        <f t="shared" si="27"/>
        <v>0</v>
      </c>
      <c r="I187" s="428">
        <f t="shared" si="30"/>
        <v>0</v>
      </c>
      <c r="J187" s="428">
        <f t="shared" si="28"/>
        <v>0</v>
      </c>
      <c r="K187" s="428">
        <f t="shared" si="29"/>
        <v>0</v>
      </c>
    </row>
    <row r="188" spans="1:11" s="468" customFormat="1" ht="12.75" hidden="1" customHeight="1" x14ac:dyDescent="0.25">
      <c r="A188" s="118">
        <v>26</v>
      </c>
      <c r="B188" s="151">
        <v>1165</v>
      </c>
      <c r="C188" s="94" t="s">
        <v>114</v>
      </c>
      <c r="D188" s="444"/>
      <c r="E188" s="435">
        <v>0</v>
      </c>
      <c r="F188" s="428">
        <v>0</v>
      </c>
      <c r="G188" s="428">
        <v>0</v>
      </c>
      <c r="H188" s="428">
        <f t="shared" si="27"/>
        <v>0</v>
      </c>
      <c r="I188" s="428">
        <f t="shared" si="30"/>
        <v>0</v>
      </c>
      <c r="J188" s="428">
        <f t="shared" si="28"/>
        <v>0</v>
      </c>
      <c r="K188" s="428">
        <f t="shared" si="29"/>
        <v>0</v>
      </c>
    </row>
    <row r="189" spans="1:11" s="468" customFormat="1" ht="12.75" hidden="1" customHeight="1" x14ac:dyDescent="0.25">
      <c r="A189" s="118"/>
      <c r="B189" s="151"/>
      <c r="C189" s="94" t="s">
        <v>401</v>
      </c>
      <c r="D189" s="444"/>
      <c r="E189" s="435">
        <v>0</v>
      </c>
      <c r="F189" s="428">
        <v>0</v>
      </c>
      <c r="G189" s="428">
        <v>0</v>
      </c>
      <c r="H189" s="428">
        <f t="shared" si="27"/>
        <v>0</v>
      </c>
      <c r="I189" s="428">
        <f t="shared" si="30"/>
        <v>0</v>
      </c>
      <c r="J189" s="428">
        <f t="shared" si="28"/>
        <v>0</v>
      </c>
      <c r="K189" s="428">
        <f t="shared" si="29"/>
        <v>0</v>
      </c>
    </row>
    <row r="190" spans="1:11" s="468" customFormat="1" ht="12.75" hidden="1" customHeight="1" x14ac:dyDescent="0.25">
      <c r="A190" s="118">
        <v>26</v>
      </c>
      <c r="B190" s="151">
        <v>1180</v>
      </c>
      <c r="C190" s="94" t="s">
        <v>402</v>
      </c>
      <c r="D190" s="444"/>
      <c r="E190" s="435">
        <v>0</v>
      </c>
      <c r="F190" s="428">
        <v>0</v>
      </c>
      <c r="G190" s="428">
        <v>0</v>
      </c>
      <c r="H190" s="428">
        <f t="shared" si="27"/>
        <v>0</v>
      </c>
      <c r="I190" s="428">
        <f t="shared" si="30"/>
        <v>0</v>
      </c>
      <c r="J190" s="428">
        <f t="shared" si="28"/>
        <v>0</v>
      </c>
      <c r="K190" s="428">
        <f t="shared" si="29"/>
        <v>0</v>
      </c>
    </row>
    <row r="191" spans="1:11" s="468" customFormat="1" ht="12.75" hidden="1" customHeight="1" x14ac:dyDescent="0.25">
      <c r="A191" s="118">
        <v>26</v>
      </c>
      <c r="B191" s="151">
        <v>1185</v>
      </c>
      <c r="C191" s="94" t="s">
        <v>403</v>
      </c>
      <c r="D191" s="444"/>
      <c r="E191" s="435">
        <v>0</v>
      </c>
      <c r="F191" s="428">
        <v>0</v>
      </c>
      <c r="G191" s="428">
        <v>0</v>
      </c>
      <c r="H191" s="428">
        <f t="shared" si="27"/>
        <v>0</v>
      </c>
      <c r="I191" s="428">
        <f t="shared" si="30"/>
        <v>0</v>
      </c>
      <c r="J191" s="428">
        <f t="shared" si="28"/>
        <v>0</v>
      </c>
      <c r="K191" s="428">
        <f t="shared" si="29"/>
        <v>0</v>
      </c>
    </row>
    <row r="192" spans="1:11" s="468" customFormat="1" ht="12.75" hidden="1" customHeight="1" x14ac:dyDescent="0.25">
      <c r="A192" s="118">
        <v>26</v>
      </c>
      <c r="B192" s="151">
        <v>1190</v>
      </c>
      <c r="C192" s="94" t="s">
        <v>404</v>
      </c>
      <c r="D192" s="444"/>
      <c r="E192" s="435">
        <v>0</v>
      </c>
      <c r="F192" s="428">
        <v>0</v>
      </c>
      <c r="G192" s="428">
        <v>0</v>
      </c>
      <c r="H192" s="428">
        <f t="shared" si="27"/>
        <v>0</v>
      </c>
      <c r="I192" s="428">
        <f t="shared" si="30"/>
        <v>0</v>
      </c>
      <c r="J192" s="428">
        <f t="shared" si="28"/>
        <v>0</v>
      </c>
      <c r="K192" s="428">
        <f t="shared" si="29"/>
        <v>0</v>
      </c>
    </row>
    <row r="193" spans="1:11" s="468" customFormat="1" ht="12.75" hidden="1" customHeight="1" x14ac:dyDescent="0.25">
      <c r="A193" s="118"/>
      <c r="B193" s="151"/>
      <c r="C193" s="94" t="s">
        <v>405</v>
      </c>
      <c r="D193" s="444"/>
      <c r="E193" s="435">
        <v>0</v>
      </c>
      <c r="F193" s="428">
        <v>0</v>
      </c>
      <c r="G193" s="428">
        <v>0</v>
      </c>
      <c r="H193" s="428">
        <f t="shared" si="27"/>
        <v>0</v>
      </c>
      <c r="I193" s="428">
        <f t="shared" si="30"/>
        <v>0</v>
      </c>
      <c r="J193" s="428">
        <f t="shared" si="28"/>
        <v>0</v>
      </c>
      <c r="K193" s="428">
        <f t="shared" si="29"/>
        <v>0</v>
      </c>
    </row>
    <row r="194" spans="1:11" s="468" customFormat="1" ht="12.75" hidden="1" customHeight="1" x14ac:dyDescent="0.25">
      <c r="A194" s="118">
        <v>26</v>
      </c>
      <c r="B194" s="151">
        <v>1195</v>
      </c>
      <c r="C194" s="94" t="s">
        <v>199</v>
      </c>
      <c r="D194" s="444"/>
      <c r="E194" s="435">
        <v>0</v>
      </c>
      <c r="F194" s="428">
        <v>0</v>
      </c>
      <c r="G194" s="428">
        <v>0</v>
      </c>
      <c r="H194" s="428">
        <f t="shared" si="27"/>
        <v>0</v>
      </c>
      <c r="I194" s="428">
        <f t="shared" si="30"/>
        <v>0</v>
      </c>
      <c r="J194" s="428">
        <f t="shared" si="28"/>
        <v>0</v>
      </c>
      <c r="K194" s="428">
        <f t="shared" si="29"/>
        <v>0</v>
      </c>
    </row>
    <row r="195" spans="1:11" s="468" customFormat="1" ht="12.75" hidden="1" customHeight="1" x14ac:dyDescent="0.25">
      <c r="A195" s="118">
        <v>26</v>
      </c>
      <c r="B195" s="151">
        <v>1200</v>
      </c>
      <c r="C195" s="94" t="s">
        <v>117</v>
      </c>
      <c r="D195" s="444"/>
      <c r="E195" s="435">
        <v>0</v>
      </c>
      <c r="F195" s="428">
        <v>0</v>
      </c>
      <c r="G195" s="428">
        <v>0</v>
      </c>
      <c r="H195" s="428">
        <f t="shared" si="27"/>
        <v>0</v>
      </c>
      <c r="I195" s="428">
        <f t="shared" si="30"/>
        <v>0</v>
      </c>
      <c r="J195" s="428">
        <f t="shared" si="28"/>
        <v>0</v>
      </c>
      <c r="K195" s="428">
        <f t="shared" si="29"/>
        <v>0</v>
      </c>
    </row>
    <row r="196" spans="1:11" s="468" customFormat="1" x14ac:dyDescent="0.25">
      <c r="A196" s="118">
        <v>26</v>
      </c>
      <c r="B196" s="151">
        <v>1205</v>
      </c>
      <c r="C196" s="440" t="s">
        <v>105</v>
      </c>
      <c r="D196" s="444">
        <v>3912</v>
      </c>
      <c r="E196" s="435">
        <v>4131.0720000000001</v>
      </c>
      <c r="F196" s="428">
        <v>4131.0720000000001</v>
      </c>
      <c r="G196" s="428">
        <v>4131.0720000000001</v>
      </c>
      <c r="H196" s="428">
        <f t="shared" si="27"/>
        <v>4544.1792000000005</v>
      </c>
      <c r="I196" s="428">
        <f t="shared" si="30"/>
        <v>4807.7415936000007</v>
      </c>
      <c r="J196" s="428">
        <f t="shared" si="28"/>
        <v>5072.1673812480003</v>
      </c>
      <c r="K196" s="428">
        <f t="shared" si="29"/>
        <v>5340.9922524541444</v>
      </c>
    </row>
    <row r="197" spans="1:11" s="468" customFormat="1" ht="12.75" hidden="1" customHeight="1" x14ac:dyDescent="0.25">
      <c r="A197" s="118">
        <v>26</v>
      </c>
      <c r="B197" s="151">
        <v>1210</v>
      </c>
      <c r="C197" s="94" t="s">
        <v>118</v>
      </c>
      <c r="D197" s="444"/>
      <c r="E197" s="435">
        <v>0</v>
      </c>
      <c r="F197" s="428">
        <v>0</v>
      </c>
      <c r="G197" s="428">
        <v>0</v>
      </c>
      <c r="H197" s="428">
        <f t="shared" si="27"/>
        <v>0</v>
      </c>
      <c r="I197" s="428">
        <f t="shared" si="30"/>
        <v>0</v>
      </c>
      <c r="J197" s="428">
        <f t="shared" si="28"/>
        <v>0</v>
      </c>
      <c r="K197" s="428">
        <f t="shared" si="29"/>
        <v>0</v>
      </c>
    </row>
    <row r="198" spans="1:11" s="468" customFormat="1" ht="12.75" hidden="1" customHeight="1" x14ac:dyDescent="0.25">
      <c r="A198" s="118">
        <v>26</v>
      </c>
      <c r="B198" s="151">
        <v>1215</v>
      </c>
      <c r="C198" s="94" t="s">
        <v>133</v>
      </c>
      <c r="D198" s="444"/>
      <c r="E198" s="435">
        <v>0</v>
      </c>
      <c r="F198" s="428">
        <v>0</v>
      </c>
      <c r="G198" s="428">
        <v>0</v>
      </c>
      <c r="H198" s="428">
        <f t="shared" si="27"/>
        <v>0</v>
      </c>
      <c r="I198" s="428">
        <f t="shared" si="30"/>
        <v>0</v>
      </c>
      <c r="J198" s="428">
        <f t="shared" si="28"/>
        <v>0</v>
      </c>
      <c r="K198" s="428">
        <f t="shared" si="29"/>
        <v>0</v>
      </c>
    </row>
    <row r="199" spans="1:11" s="468" customFormat="1" ht="12.75" hidden="1" customHeight="1" x14ac:dyDescent="0.25">
      <c r="A199" s="118">
        <v>26</v>
      </c>
      <c r="B199" s="151">
        <v>5905</v>
      </c>
      <c r="C199" s="94" t="s">
        <v>329</v>
      </c>
      <c r="D199" s="428"/>
      <c r="E199" s="428">
        <v>0</v>
      </c>
      <c r="F199" s="428">
        <v>0</v>
      </c>
      <c r="G199" s="428">
        <v>0</v>
      </c>
      <c r="H199" s="428">
        <f t="shared" si="27"/>
        <v>0</v>
      </c>
      <c r="I199" s="428">
        <f t="shared" si="30"/>
        <v>0</v>
      </c>
      <c r="J199" s="428">
        <f t="shared" si="28"/>
        <v>0</v>
      </c>
      <c r="K199" s="428">
        <f t="shared" si="29"/>
        <v>0</v>
      </c>
    </row>
    <row r="200" spans="1:11" s="468" customFormat="1" x14ac:dyDescent="0.25">
      <c r="A200" s="118">
        <v>26</v>
      </c>
      <c r="B200" s="151">
        <v>5900</v>
      </c>
      <c r="C200" s="94" t="s">
        <v>333</v>
      </c>
      <c r="D200" s="428">
        <v>-43000</v>
      </c>
      <c r="E200" s="428">
        <v>-45408</v>
      </c>
      <c r="F200" s="428">
        <v>-45408</v>
      </c>
      <c r="G200" s="428">
        <v>-45408</v>
      </c>
      <c r="H200" s="428">
        <f t="shared" si="27"/>
        <v>-49948.800000000003</v>
      </c>
      <c r="I200" s="428">
        <f t="shared" si="30"/>
        <v>-52845.830400000006</v>
      </c>
      <c r="J200" s="428">
        <f t="shared" si="28"/>
        <v>-55752.351072000005</v>
      </c>
      <c r="K200" s="428">
        <f t="shared" si="29"/>
        <v>-58707.225678816001</v>
      </c>
    </row>
    <row r="201" spans="1:11" s="468" customFormat="1" ht="12.75" hidden="1" customHeight="1" x14ac:dyDescent="0.25">
      <c r="A201" s="118">
        <v>26</v>
      </c>
      <c r="B201" s="151">
        <v>1220</v>
      </c>
      <c r="C201" s="94" t="s">
        <v>340</v>
      </c>
      <c r="D201" s="444"/>
      <c r="E201" s="435"/>
      <c r="F201" s="435">
        <f>E201/8*12</f>
        <v>0</v>
      </c>
      <c r="G201" s="435">
        <v>0</v>
      </c>
      <c r="H201" s="435"/>
      <c r="I201" s="435"/>
      <c r="J201" s="435"/>
      <c r="K201" s="444">
        <f>F201*(1+[1]INPUT!C37)</f>
        <v>0</v>
      </c>
    </row>
    <row r="202" spans="1:11" s="468" customFormat="1" ht="12.75" hidden="1" customHeight="1" x14ac:dyDescent="0.25">
      <c r="A202" s="118">
        <v>26</v>
      </c>
      <c r="B202" s="151">
        <v>1225</v>
      </c>
      <c r="C202" s="94" t="s">
        <v>370</v>
      </c>
      <c r="D202" s="444"/>
      <c r="E202" s="435"/>
      <c r="F202" s="435">
        <f>E202/8*12</f>
        <v>0</v>
      </c>
      <c r="G202" s="435">
        <v>0</v>
      </c>
      <c r="H202" s="435"/>
      <c r="I202" s="435"/>
      <c r="J202" s="435"/>
      <c r="K202" s="444">
        <f>F202*(1+[1]INPUT!C38)</f>
        <v>0</v>
      </c>
    </row>
    <row r="203" spans="1:11" s="468" customFormat="1" ht="12.75" hidden="1" customHeight="1" x14ac:dyDescent="0.25">
      <c r="A203" s="118">
        <v>26</v>
      </c>
      <c r="B203" s="151">
        <v>1230</v>
      </c>
      <c r="C203" s="94" t="s">
        <v>119</v>
      </c>
      <c r="D203" s="444"/>
      <c r="E203" s="435"/>
      <c r="F203" s="435">
        <f>E203/8*12</f>
        <v>0</v>
      </c>
      <c r="G203" s="435">
        <v>0</v>
      </c>
      <c r="H203" s="435"/>
      <c r="I203" s="435"/>
      <c r="J203" s="435"/>
      <c r="K203" s="444">
        <f>F203*(1+[1]INPUT!C39)</f>
        <v>0</v>
      </c>
    </row>
    <row r="204" spans="1:11" s="468" customFormat="1" ht="12.75" hidden="1" customHeight="1" x14ac:dyDescent="0.25">
      <c r="A204" s="118">
        <v>26</v>
      </c>
      <c r="B204" s="151">
        <v>1235</v>
      </c>
      <c r="C204" s="94" t="s">
        <v>347</v>
      </c>
      <c r="D204" s="444"/>
      <c r="E204" s="435"/>
      <c r="F204" s="435">
        <f>E204/8*12</f>
        <v>0</v>
      </c>
      <c r="G204" s="435">
        <v>0</v>
      </c>
      <c r="H204" s="435"/>
      <c r="I204" s="435"/>
      <c r="J204" s="435"/>
      <c r="K204" s="444">
        <f>F204*(1+[1]INPUT!C40)</f>
        <v>0</v>
      </c>
    </row>
    <row r="205" spans="1:11" s="468" customFormat="1" ht="12.75" hidden="1" customHeight="1" x14ac:dyDescent="0.25">
      <c r="A205" s="118"/>
      <c r="B205" s="151"/>
      <c r="C205" s="94" t="s">
        <v>510</v>
      </c>
      <c r="D205" s="225"/>
      <c r="E205" s="428"/>
      <c r="F205" s="428"/>
      <c r="G205" s="428"/>
      <c r="H205" s="428"/>
      <c r="I205" s="428"/>
      <c r="J205" s="428"/>
      <c r="K205" s="428"/>
    </row>
    <row r="206" spans="1:11" s="468" customFormat="1" x14ac:dyDescent="0.25">
      <c r="A206" s="344"/>
      <c r="B206" s="151"/>
      <c r="C206" s="94"/>
      <c r="D206" s="437">
        <f t="shared" ref="D206:K206" si="31">SUM(D176:D204)</f>
        <v>-96926</v>
      </c>
      <c r="E206" s="437">
        <f t="shared" si="31"/>
        <v>-102353.856</v>
      </c>
      <c r="F206" s="437">
        <f t="shared" si="31"/>
        <v>-102353.856</v>
      </c>
      <c r="G206" s="437">
        <f t="shared" si="31"/>
        <v>-102353.856</v>
      </c>
      <c r="H206" s="437">
        <f t="shared" si="31"/>
        <v>-112589.24160000001</v>
      </c>
      <c r="I206" s="437">
        <f t="shared" si="31"/>
        <v>-110853.09771840002</v>
      </c>
      <c r="J206" s="437">
        <f t="shared" si="31"/>
        <v>-116950.01809291201</v>
      </c>
      <c r="K206" s="437">
        <f t="shared" si="31"/>
        <v>-123148.36905183634</v>
      </c>
    </row>
    <row r="207" spans="1:11" s="468" customFormat="1" ht="12.75" hidden="1" customHeight="1" x14ac:dyDescent="0.25">
      <c r="A207" s="344"/>
      <c r="B207" s="151"/>
      <c r="C207" s="93" t="s">
        <v>66</v>
      </c>
      <c r="D207" s="444"/>
      <c r="E207" s="435"/>
      <c r="F207" s="435"/>
      <c r="G207" s="435"/>
      <c r="H207" s="435"/>
      <c r="I207" s="435"/>
      <c r="J207" s="435"/>
      <c r="K207" s="444"/>
    </row>
    <row r="208" spans="1:11" s="468" customFormat="1" ht="12.75" hidden="1" customHeight="1" x14ac:dyDescent="0.25">
      <c r="A208" s="118">
        <v>26</v>
      </c>
      <c r="B208" s="151">
        <v>1305</v>
      </c>
      <c r="C208" s="94" t="s">
        <v>342</v>
      </c>
      <c r="D208" s="444"/>
      <c r="E208" s="435"/>
      <c r="F208" s="435">
        <f>E208/8*12</f>
        <v>0</v>
      </c>
      <c r="G208" s="435">
        <v>0</v>
      </c>
      <c r="H208" s="435"/>
      <c r="I208" s="435"/>
      <c r="J208" s="435"/>
      <c r="K208" s="444">
        <f>F208*(1+[1]INPUT!C43)</f>
        <v>0</v>
      </c>
    </row>
    <row r="209" spans="1:11" s="468" customFormat="1" ht="12.75" hidden="1" customHeight="1" x14ac:dyDescent="0.25">
      <c r="A209" s="118">
        <v>26</v>
      </c>
      <c r="B209" s="151">
        <v>1310</v>
      </c>
      <c r="C209" s="94" t="s">
        <v>344</v>
      </c>
      <c r="D209" s="444"/>
      <c r="E209" s="435"/>
      <c r="F209" s="435">
        <f>E209/8*12</f>
        <v>0</v>
      </c>
      <c r="G209" s="435">
        <v>0</v>
      </c>
      <c r="H209" s="435"/>
      <c r="I209" s="435"/>
      <c r="J209" s="435"/>
      <c r="K209" s="444">
        <f>F209*(1+[1]INPUT!C44)</f>
        <v>0</v>
      </c>
    </row>
    <row r="210" spans="1:11" s="468" customFormat="1" ht="12.75" hidden="1" customHeight="1" x14ac:dyDescent="0.25">
      <c r="A210" s="118">
        <v>26</v>
      </c>
      <c r="B210" s="151">
        <v>1320</v>
      </c>
      <c r="C210" s="94" t="s">
        <v>345</v>
      </c>
      <c r="D210" s="444"/>
      <c r="E210" s="435"/>
      <c r="F210" s="435">
        <f>E210/8*12</f>
        <v>0</v>
      </c>
      <c r="G210" s="435">
        <v>0</v>
      </c>
      <c r="H210" s="435"/>
      <c r="I210" s="435"/>
      <c r="J210" s="435"/>
      <c r="K210" s="444">
        <f>F210*(1+[1]INPUT!C45)</f>
        <v>0</v>
      </c>
    </row>
    <row r="211" spans="1:11" s="468" customFormat="1" ht="12.75" hidden="1" customHeight="1" x14ac:dyDescent="0.25">
      <c r="A211" s="118">
        <v>26</v>
      </c>
      <c r="B211" s="151">
        <v>1315</v>
      </c>
      <c r="C211" s="94" t="s">
        <v>346</v>
      </c>
      <c r="D211" s="444"/>
      <c r="E211" s="425"/>
      <c r="F211" s="435">
        <f>E211/8*12</f>
        <v>0</v>
      </c>
      <c r="G211" s="435">
        <v>0</v>
      </c>
      <c r="H211" s="435"/>
      <c r="I211" s="435"/>
      <c r="J211" s="435"/>
      <c r="K211" s="425">
        <f>F211*(1+[1]INPUT!C46)</f>
        <v>0</v>
      </c>
    </row>
    <row r="212" spans="1:11" s="468" customFormat="1" ht="12.75" hidden="1" customHeight="1" x14ac:dyDescent="0.25">
      <c r="A212" s="344"/>
      <c r="B212" s="151"/>
      <c r="C212" s="94"/>
      <c r="D212" s="436"/>
      <c r="E212" s="436">
        <f>SUM(E208:E211)</f>
        <v>0</v>
      </c>
      <c r="F212" s="436">
        <f>SUM(F208:F211)</f>
        <v>0</v>
      </c>
      <c r="G212" s="436">
        <v>0</v>
      </c>
      <c r="H212" s="436"/>
      <c r="I212" s="436"/>
      <c r="J212" s="436"/>
      <c r="K212" s="436">
        <f>SUM(K208:K211)</f>
        <v>0</v>
      </c>
    </row>
    <row r="213" spans="1:11" s="468" customFormat="1" x14ac:dyDescent="0.25">
      <c r="A213" s="344"/>
      <c r="B213" s="151"/>
      <c r="C213" s="93" t="s">
        <v>67</v>
      </c>
      <c r="D213" s="444"/>
      <c r="E213" s="435"/>
      <c r="F213" s="435"/>
      <c r="G213" s="435"/>
      <c r="H213" s="435"/>
      <c r="I213" s="435"/>
      <c r="J213" s="435"/>
      <c r="K213" s="444"/>
    </row>
    <row r="214" spans="1:11" s="468" customFormat="1" x14ac:dyDescent="0.25">
      <c r="A214" s="118">
        <v>26</v>
      </c>
      <c r="B214" s="151">
        <v>1400</v>
      </c>
      <c r="C214" s="94" t="s">
        <v>68</v>
      </c>
      <c r="D214" s="444">
        <v>1134</v>
      </c>
      <c r="E214" s="425">
        <v>1197.5040000000001</v>
      </c>
      <c r="F214" s="425">
        <v>1197.5040000000001</v>
      </c>
      <c r="G214" s="425">
        <v>1197.5040000000001</v>
      </c>
      <c r="H214" s="428">
        <v>2500</v>
      </c>
      <c r="I214" s="428">
        <f>421464*1.71428571428571*1.058</f>
        <v>764415.27771428379</v>
      </c>
      <c r="J214" s="428">
        <f>+I214*1.055</f>
        <v>806458.11798856931</v>
      </c>
      <c r="K214" s="428">
        <f>+J214*1.053</f>
        <v>849200.39824196347</v>
      </c>
    </row>
    <row r="215" spans="1:11" s="468" customFormat="1" x14ac:dyDescent="0.25">
      <c r="A215" s="118">
        <v>26</v>
      </c>
      <c r="B215" s="151">
        <v>1405</v>
      </c>
      <c r="C215" s="94" t="s">
        <v>69</v>
      </c>
      <c r="D215" s="444">
        <v>320322</v>
      </c>
      <c r="E215" s="425">
        <v>338260.03200000001</v>
      </c>
      <c r="F215" s="428">
        <f>E215-D215</f>
        <v>17938.032000000007</v>
      </c>
      <c r="G215" s="428">
        <v>17938.032000000007</v>
      </c>
      <c r="H215" s="428">
        <f>+(F215*0.1)+F215</f>
        <v>19731.835200000009</v>
      </c>
      <c r="I215" s="428">
        <f>+H215*1.058</f>
        <v>20876.28164160001</v>
      </c>
      <c r="J215" s="428">
        <f>+I215*1.055</f>
        <v>22024.477131888008</v>
      </c>
      <c r="K215" s="428">
        <f>+J215*1.053</f>
        <v>23191.774419878071</v>
      </c>
    </row>
    <row r="216" spans="1:11" s="468" customFormat="1" x14ac:dyDescent="0.25">
      <c r="A216" s="344"/>
      <c r="B216" s="151"/>
      <c r="C216" s="94"/>
      <c r="D216" s="436">
        <f t="shared" ref="D216:K216" si="32">SUM(D214:D215)</f>
        <v>321456</v>
      </c>
      <c r="E216" s="436">
        <f t="shared" si="32"/>
        <v>339457.53600000002</v>
      </c>
      <c r="F216" s="436">
        <f t="shared" si="32"/>
        <v>19135.536000000007</v>
      </c>
      <c r="G216" s="436">
        <f t="shared" si="32"/>
        <v>19135.536000000007</v>
      </c>
      <c r="H216" s="436">
        <f t="shared" si="32"/>
        <v>22231.835200000009</v>
      </c>
      <c r="I216" s="436">
        <f t="shared" si="32"/>
        <v>785291.55935588374</v>
      </c>
      <c r="J216" s="436">
        <f t="shared" si="32"/>
        <v>828482.59512045735</v>
      </c>
      <c r="K216" s="436">
        <f t="shared" si="32"/>
        <v>872392.1726618415</v>
      </c>
    </row>
    <row r="217" spans="1:11" s="468" customFormat="1" ht="12" customHeight="1" x14ac:dyDescent="0.25">
      <c r="A217" s="344"/>
      <c r="B217" s="151"/>
      <c r="C217" s="93" t="s">
        <v>70</v>
      </c>
      <c r="D217" s="444"/>
      <c r="E217" s="435"/>
      <c r="F217" s="435"/>
      <c r="G217" s="435"/>
      <c r="H217" s="435"/>
      <c r="I217" s="435"/>
      <c r="J217" s="435"/>
      <c r="K217" s="444"/>
    </row>
    <row r="218" spans="1:11" s="468" customFormat="1" x14ac:dyDescent="0.25">
      <c r="A218" s="118">
        <v>26</v>
      </c>
      <c r="B218" s="151">
        <v>1500</v>
      </c>
      <c r="C218" s="94" t="s">
        <v>106</v>
      </c>
      <c r="D218" s="444">
        <v>12500000</v>
      </c>
      <c r="E218" s="425">
        <v>13200000</v>
      </c>
      <c r="F218" s="428">
        <v>6000000</v>
      </c>
      <c r="G218" s="428">
        <v>6000000</v>
      </c>
      <c r="H218" s="428">
        <v>7500000</v>
      </c>
      <c r="I218" s="428">
        <f>7618662*1.5*1.058</f>
        <v>12090816.594000001</v>
      </c>
      <c r="J218" s="428">
        <f>+I218*1.055</f>
        <v>12755811.50667</v>
      </c>
      <c r="K218" s="428">
        <f>+J218*1.053</f>
        <v>13431869.516523508</v>
      </c>
    </row>
    <row r="219" spans="1:11" s="468" customFormat="1" ht="12.75" hidden="1" customHeight="1" x14ac:dyDescent="0.25">
      <c r="A219" s="118">
        <v>26</v>
      </c>
      <c r="B219" s="151">
        <v>1505</v>
      </c>
      <c r="C219" s="94" t="s">
        <v>71</v>
      </c>
      <c r="D219" s="444"/>
      <c r="E219" s="425"/>
      <c r="F219" s="435">
        <f>E219/8*12</f>
        <v>0</v>
      </c>
      <c r="G219" s="435">
        <v>0</v>
      </c>
      <c r="H219" s="435"/>
      <c r="I219" s="435"/>
      <c r="J219" s="435"/>
      <c r="K219" s="425"/>
    </row>
    <row r="220" spans="1:11" s="468" customFormat="1" ht="12.75" hidden="1" customHeight="1" x14ac:dyDescent="0.25">
      <c r="A220" s="118">
        <v>26</v>
      </c>
      <c r="B220" s="151">
        <v>1510</v>
      </c>
      <c r="C220" s="94" t="s">
        <v>72</v>
      </c>
      <c r="D220" s="444"/>
      <c r="E220" s="425"/>
      <c r="F220" s="435">
        <f>E220/8*12</f>
        <v>0</v>
      </c>
      <c r="G220" s="435">
        <v>0</v>
      </c>
      <c r="H220" s="435"/>
      <c r="I220" s="435"/>
      <c r="J220" s="435"/>
      <c r="K220" s="425"/>
    </row>
    <row r="221" spans="1:11" s="468" customFormat="1" x14ac:dyDescent="0.25">
      <c r="A221" s="344"/>
      <c r="B221" s="151"/>
      <c r="C221" s="94"/>
      <c r="D221" s="436">
        <f t="shared" ref="D221:K221" si="33">SUM(D218:D220)</f>
        <v>12500000</v>
      </c>
      <c r="E221" s="436">
        <f t="shared" si="33"/>
        <v>13200000</v>
      </c>
      <c r="F221" s="436">
        <f t="shared" si="33"/>
        <v>6000000</v>
      </c>
      <c r="G221" s="436">
        <f t="shared" si="33"/>
        <v>6000000</v>
      </c>
      <c r="H221" s="436">
        <f t="shared" si="33"/>
        <v>7500000</v>
      </c>
      <c r="I221" s="436">
        <f t="shared" si="33"/>
        <v>12090816.594000001</v>
      </c>
      <c r="J221" s="436">
        <f t="shared" si="33"/>
        <v>12755811.50667</v>
      </c>
      <c r="K221" s="436">
        <f t="shared" si="33"/>
        <v>13431869.516523508</v>
      </c>
    </row>
    <row r="222" spans="1:11" s="468" customFormat="1" ht="12.75" hidden="1" customHeight="1" x14ac:dyDescent="0.25">
      <c r="A222" s="344"/>
      <c r="B222" s="151"/>
      <c r="C222" s="93" t="s">
        <v>73</v>
      </c>
      <c r="D222" s="444"/>
      <c r="E222" s="435"/>
      <c r="F222" s="435"/>
      <c r="G222" s="435"/>
      <c r="H222" s="435"/>
      <c r="I222" s="435"/>
      <c r="J222" s="435"/>
      <c r="K222" s="444"/>
    </row>
    <row r="223" spans="1:11" s="468" customFormat="1" ht="12.75" hidden="1" customHeight="1" x14ac:dyDescent="0.25">
      <c r="A223" s="118">
        <v>26</v>
      </c>
      <c r="B223" s="151">
        <v>1550</v>
      </c>
      <c r="C223" s="94" t="s">
        <v>349</v>
      </c>
      <c r="D223" s="444"/>
      <c r="E223" s="435"/>
      <c r="F223" s="435">
        <f>E223/8*12</f>
        <v>0</v>
      </c>
      <c r="G223" s="435">
        <v>0</v>
      </c>
      <c r="H223" s="435"/>
      <c r="I223" s="435"/>
      <c r="J223" s="435"/>
      <c r="K223" s="444"/>
    </row>
    <row r="224" spans="1:11" s="468" customFormat="1" ht="12.75" hidden="1" customHeight="1" x14ac:dyDescent="0.25">
      <c r="A224" s="118">
        <v>26</v>
      </c>
      <c r="B224" s="151">
        <v>1555</v>
      </c>
      <c r="C224" s="94" t="s">
        <v>348</v>
      </c>
      <c r="D224" s="444"/>
      <c r="E224" s="435"/>
      <c r="F224" s="435">
        <f>E224/8*12</f>
        <v>0</v>
      </c>
      <c r="G224" s="435">
        <v>0</v>
      </c>
      <c r="H224" s="435"/>
      <c r="I224" s="435"/>
      <c r="J224" s="435"/>
      <c r="K224" s="425"/>
    </row>
    <row r="225" spans="1:11" s="468" customFormat="1" ht="12.75" hidden="1" customHeight="1" x14ac:dyDescent="0.25">
      <c r="A225" s="344"/>
      <c r="B225" s="151"/>
      <c r="C225" s="94"/>
      <c r="D225" s="437"/>
      <c r="E225" s="437">
        <f t="shared" ref="E225:K225" si="34">SUM(E223:E224)</f>
        <v>0</v>
      </c>
      <c r="F225" s="437">
        <f t="shared" si="34"/>
        <v>0</v>
      </c>
      <c r="G225" s="437">
        <v>0</v>
      </c>
      <c r="H225" s="437"/>
      <c r="I225" s="437"/>
      <c r="J225" s="437"/>
      <c r="K225" s="436">
        <f t="shared" si="34"/>
        <v>0</v>
      </c>
    </row>
    <row r="226" spans="1:11" s="468" customFormat="1" ht="13.5" customHeight="1" x14ac:dyDescent="0.25">
      <c r="A226" s="344"/>
      <c r="B226" s="151"/>
      <c r="C226" s="93" t="s">
        <v>74</v>
      </c>
      <c r="D226" s="444"/>
      <c r="E226" s="435"/>
      <c r="F226" s="435"/>
      <c r="G226" s="435"/>
      <c r="H226" s="435"/>
      <c r="I226" s="435"/>
      <c r="J226" s="435"/>
      <c r="K226" s="444"/>
    </row>
    <row r="227" spans="1:11" s="468" customFormat="1" ht="12.75" hidden="1" customHeight="1" x14ac:dyDescent="0.25">
      <c r="A227" s="118">
        <v>26</v>
      </c>
      <c r="B227" s="151">
        <v>1605</v>
      </c>
      <c r="C227" s="94" t="s">
        <v>75</v>
      </c>
      <c r="D227" s="444"/>
      <c r="E227" s="435"/>
      <c r="F227" s="435"/>
      <c r="G227" s="435"/>
      <c r="H227" s="435"/>
      <c r="I227" s="435"/>
      <c r="J227" s="435"/>
      <c r="K227" s="444"/>
    </row>
    <row r="228" spans="1:11" s="468" customFormat="1" ht="12.75" hidden="1" customHeight="1" x14ac:dyDescent="0.25">
      <c r="A228" s="118">
        <v>26</v>
      </c>
      <c r="B228" s="151">
        <v>1610</v>
      </c>
      <c r="C228" s="94" t="s">
        <v>131</v>
      </c>
      <c r="D228" s="444"/>
      <c r="E228" s="425"/>
      <c r="F228" s="435"/>
      <c r="G228" s="435"/>
      <c r="H228" s="435"/>
      <c r="I228" s="435"/>
      <c r="J228" s="435"/>
      <c r="K228" s="444"/>
    </row>
    <row r="229" spans="1:11" s="468" customFormat="1" ht="12.75" hidden="1" customHeight="1" x14ac:dyDescent="0.25">
      <c r="A229" s="118">
        <v>26</v>
      </c>
      <c r="B229" s="151">
        <v>1615</v>
      </c>
      <c r="C229" s="94" t="s">
        <v>182</v>
      </c>
      <c r="D229" s="444"/>
      <c r="E229" s="425"/>
      <c r="F229" s="435"/>
      <c r="G229" s="435"/>
      <c r="H229" s="435"/>
      <c r="I229" s="435"/>
      <c r="J229" s="435"/>
      <c r="K229" s="444"/>
    </row>
    <row r="230" spans="1:11" s="468" customFormat="1" ht="12.75" hidden="1" customHeight="1" x14ac:dyDescent="0.25">
      <c r="A230" s="118">
        <v>26</v>
      </c>
      <c r="B230" s="151">
        <v>1620</v>
      </c>
      <c r="C230" s="94" t="s">
        <v>255</v>
      </c>
      <c r="D230" s="444"/>
      <c r="E230" s="425"/>
      <c r="F230" s="435"/>
      <c r="G230" s="435"/>
      <c r="H230" s="435"/>
      <c r="I230" s="435"/>
      <c r="J230" s="435"/>
      <c r="K230" s="444"/>
    </row>
    <row r="231" spans="1:11" s="468" customFormat="1" ht="12.75" hidden="1" customHeight="1" x14ac:dyDescent="0.25">
      <c r="A231" s="118">
        <v>26</v>
      </c>
      <c r="B231" s="151">
        <v>1625</v>
      </c>
      <c r="C231" s="94" t="s">
        <v>108</v>
      </c>
      <c r="D231" s="444"/>
      <c r="E231" s="425"/>
      <c r="F231" s="435"/>
      <c r="G231" s="435"/>
      <c r="H231" s="435"/>
      <c r="I231" s="435"/>
      <c r="J231" s="435"/>
      <c r="K231" s="444"/>
    </row>
    <row r="232" spans="1:11" s="468" customFormat="1" x14ac:dyDescent="0.25">
      <c r="A232" s="118">
        <v>26</v>
      </c>
      <c r="B232" s="151">
        <v>1630</v>
      </c>
      <c r="C232" s="94" t="s">
        <v>76</v>
      </c>
      <c r="D232" s="444">
        <v>1500000</v>
      </c>
      <c r="E232" s="435">
        <v>1650000</v>
      </c>
      <c r="F232" s="435">
        <v>1650000</v>
      </c>
      <c r="G232" s="435">
        <v>1650000</v>
      </c>
      <c r="H232" s="435">
        <v>1800000</v>
      </c>
      <c r="I232" s="435">
        <v>1800000</v>
      </c>
      <c r="J232" s="428">
        <v>1825000</v>
      </c>
      <c r="K232" s="428">
        <v>1900000</v>
      </c>
    </row>
    <row r="233" spans="1:11" s="468" customFormat="1" ht="12.75" hidden="1" customHeight="1" x14ac:dyDescent="0.25">
      <c r="A233" s="118">
        <v>26</v>
      </c>
      <c r="B233" s="151">
        <v>1635</v>
      </c>
      <c r="C233" s="94" t="s">
        <v>180</v>
      </c>
      <c r="D233" s="444"/>
      <c r="E233" s="435"/>
      <c r="F233" s="435"/>
      <c r="G233" s="435"/>
      <c r="H233" s="435"/>
      <c r="I233" s="435"/>
      <c r="J233" s="428"/>
      <c r="K233" s="428"/>
    </row>
    <row r="234" spans="1:11" s="468" customFormat="1" ht="12.75" hidden="1" customHeight="1" x14ac:dyDescent="0.25">
      <c r="A234" s="118">
        <v>26</v>
      </c>
      <c r="B234" s="151">
        <v>1640</v>
      </c>
      <c r="C234" s="94" t="s">
        <v>184</v>
      </c>
      <c r="D234" s="444"/>
      <c r="E234" s="435"/>
      <c r="F234" s="435"/>
      <c r="G234" s="435"/>
      <c r="H234" s="435"/>
      <c r="I234" s="435"/>
      <c r="J234" s="428"/>
      <c r="K234" s="428"/>
    </row>
    <row r="235" spans="1:11" s="468" customFormat="1" ht="12.75" hidden="1" customHeight="1" x14ac:dyDescent="0.25">
      <c r="A235" s="118">
        <v>26</v>
      </c>
      <c r="B235" s="151">
        <v>1645</v>
      </c>
      <c r="C235" s="94" t="s">
        <v>77</v>
      </c>
      <c r="D235" s="444"/>
      <c r="E235" s="435"/>
      <c r="F235" s="435"/>
      <c r="G235" s="435"/>
      <c r="H235" s="435"/>
      <c r="I235" s="435"/>
      <c r="J235" s="428"/>
      <c r="K235" s="428"/>
    </row>
    <row r="236" spans="1:11" s="468" customFormat="1" ht="12.75" hidden="1" customHeight="1" x14ac:dyDescent="0.25">
      <c r="A236" s="118">
        <v>26</v>
      </c>
      <c r="B236" s="151">
        <v>1650</v>
      </c>
      <c r="C236" s="94" t="s">
        <v>78</v>
      </c>
      <c r="D236" s="444"/>
      <c r="E236" s="435"/>
      <c r="F236" s="435"/>
      <c r="G236" s="435"/>
      <c r="H236" s="435"/>
      <c r="I236" s="435"/>
      <c r="J236" s="428"/>
      <c r="K236" s="428"/>
    </row>
    <row r="237" spans="1:11" s="468" customFormat="1" x14ac:dyDescent="0.25">
      <c r="A237" s="118">
        <v>26</v>
      </c>
      <c r="B237" s="151"/>
      <c r="C237" s="94" t="s">
        <v>381</v>
      </c>
      <c r="D237" s="444">
        <v>800000</v>
      </c>
      <c r="E237" s="435">
        <v>890000</v>
      </c>
      <c r="F237" s="435">
        <v>890000</v>
      </c>
      <c r="G237" s="435">
        <v>890000</v>
      </c>
      <c r="H237" s="435">
        <v>934000</v>
      </c>
      <c r="I237" s="435">
        <v>930000</v>
      </c>
      <c r="J237" s="428">
        <v>957000</v>
      </c>
      <c r="K237" s="428">
        <v>1053000</v>
      </c>
    </row>
    <row r="238" spans="1:11" s="468" customFormat="1" ht="12.75" hidden="1" customHeight="1" x14ac:dyDescent="0.25">
      <c r="A238" s="118">
        <v>26</v>
      </c>
      <c r="B238" s="151">
        <v>1660</v>
      </c>
      <c r="C238" s="94" t="s">
        <v>503</v>
      </c>
      <c r="D238" s="444"/>
      <c r="E238" s="425"/>
      <c r="F238" s="435">
        <f>E238/8*12</f>
        <v>0</v>
      </c>
      <c r="G238" s="435">
        <v>0</v>
      </c>
      <c r="H238" s="435"/>
      <c r="I238" s="435"/>
      <c r="J238" s="435"/>
      <c r="K238" s="444"/>
    </row>
    <row r="239" spans="1:11" s="468" customFormat="1" ht="12.75" hidden="1" customHeight="1" x14ac:dyDescent="0.25">
      <c r="A239" s="118">
        <v>26</v>
      </c>
      <c r="B239" s="151">
        <v>1665</v>
      </c>
      <c r="C239" s="94" t="s">
        <v>181</v>
      </c>
      <c r="D239" s="444"/>
      <c r="E239" s="425"/>
      <c r="F239" s="435">
        <f>E239/8*12</f>
        <v>0</v>
      </c>
      <c r="G239" s="435">
        <v>0</v>
      </c>
      <c r="H239" s="435"/>
      <c r="I239" s="435"/>
      <c r="J239" s="435"/>
      <c r="K239" s="444"/>
    </row>
    <row r="240" spans="1:11" s="468" customFormat="1" x14ac:dyDescent="0.25">
      <c r="A240" s="344"/>
      <c r="B240" s="151"/>
      <c r="C240" s="94"/>
      <c r="D240" s="436">
        <f t="shared" ref="D240:K240" si="35">SUM(D227:D239)</f>
        <v>2300000</v>
      </c>
      <c r="E240" s="436">
        <f t="shared" si="35"/>
        <v>2540000</v>
      </c>
      <c r="F240" s="436">
        <f t="shared" si="35"/>
        <v>2540000</v>
      </c>
      <c r="G240" s="436">
        <f t="shared" si="35"/>
        <v>2540000</v>
      </c>
      <c r="H240" s="436">
        <f t="shared" si="35"/>
        <v>2734000</v>
      </c>
      <c r="I240" s="436">
        <f t="shared" si="35"/>
        <v>2730000</v>
      </c>
      <c r="J240" s="436">
        <f t="shared" si="35"/>
        <v>2782000</v>
      </c>
      <c r="K240" s="436">
        <f t="shared" si="35"/>
        <v>2953000</v>
      </c>
    </row>
    <row r="241" spans="1:11" s="468" customFormat="1" x14ac:dyDescent="0.25">
      <c r="A241" s="344"/>
      <c r="B241" s="151"/>
      <c r="C241" s="93" t="s">
        <v>79</v>
      </c>
      <c r="D241" s="444"/>
      <c r="E241" s="435"/>
      <c r="F241" s="435"/>
      <c r="G241" s="435"/>
      <c r="H241" s="435"/>
      <c r="I241" s="435"/>
      <c r="J241" s="435"/>
      <c r="K241" s="444"/>
    </row>
    <row r="242" spans="1:11" s="468" customFormat="1" x14ac:dyDescent="0.25">
      <c r="A242" s="118">
        <v>26</v>
      </c>
      <c r="B242" s="151">
        <v>1705</v>
      </c>
      <c r="C242" s="94" t="s">
        <v>123</v>
      </c>
      <c r="D242" s="444">
        <v>19925.100000000002</v>
      </c>
      <c r="E242" s="435">
        <v>21040.905600000002</v>
      </c>
      <c r="F242" s="428">
        <v>81040.905599999998</v>
      </c>
      <c r="G242" s="428">
        <v>81040.905599999998</v>
      </c>
      <c r="H242" s="428">
        <f t="shared" ref="H242:H247" si="36">+(F242*0.1)+F242</f>
        <v>89144.996159999995</v>
      </c>
      <c r="I242" s="428">
        <v>5000</v>
      </c>
      <c r="J242" s="428">
        <f>+I242*1.055</f>
        <v>5275</v>
      </c>
      <c r="K242" s="428">
        <f>+J242*1.053</f>
        <v>5554.5749999999998</v>
      </c>
    </row>
    <row r="243" spans="1:11" s="468" customFormat="1" x14ac:dyDescent="0.25">
      <c r="A243" s="118">
        <v>26</v>
      </c>
      <c r="B243" s="151">
        <v>1710</v>
      </c>
      <c r="C243" s="94" t="s">
        <v>242</v>
      </c>
      <c r="D243" s="444">
        <v>10230.890400000002</v>
      </c>
      <c r="E243" s="435">
        <v>10803.936</v>
      </c>
      <c r="F243" s="428">
        <v>10803.936</v>
      </c>
      <c r="G243" s="428">
        <v>10803.936</v>
      </c>
      <c r="H243" s="428">
        <f t="shared" si="36"/>
        <v>11884.329599999999</v>
      </c>
      <c r="I243" s="428">
        <v>5050</v>
      </c>
      <c r="J243" s="428">
        <f>+I243*1.055</f>
        <v>5327.75</v>
      </c>
      <c r="K243" s="428">
        <f>+J243*1.053</f>
        <v>5610.12075</v>
      </c>
    </row>
    <row r="244" spans="1:11" s="468" customFormat="1" x14ac:dyDescent="0.25">
      <c r="A244" s="118">
        <v>26</v>
      </c>
      <c r="B244" s="151">
        <v>1715</v>
      </c>
      <c r="C244" s="94" t="s">
        <v>183</v>
      </c>
      <c r="D244" s="444">
        <v>1120</v>
      </c>
      <c r="E244" s="435">
        <v>1182.72</v>
      </c>
      <c r="F244" s="428">
        <v>1182.72</v>
      </c>
      <c r="G244" s="428">
        <v>1182.72</v>
      </c>
      <c r="H244" s="428">
        <f t="shared" si="36"/>
        <v>1300.992</v>
      </c>
      <c r="I244" s="428">
        <f>423*1.5*1.058</f>
        <v>671.30100000000004</v>
      </c>
      <c r="J244" s="428">
        <f>+I244*1.055</f>
        <v>708.22255500000006</v>
      </c>
      <c r="K244" s="428">
        <f>+J244*1.053</f>
        <v>745.758350415</v>
      </c>
    </row>
    <row r="245" spans="1:11" s="468" customFormat="1" ht="12.75" hidden="1" customHeight="1" x14ac:dyDescent="0.25">
      <c r="A245" s="118">
        <v>26</v>
      </c>
      <c r="B245" s="151">
        <v>1720</v>
      </c>
      <c r="C245" s="94" t="s">
        <v>103</v>
      </c>
      <c r="D245" s="444">
        <v>0</v>
      </c>
      <c r="E245" s="435">
        <v>0</v>
      </c>
      <c r="F245" s="428">
        <v>0</v>
      </c>
      <c r="G245" s="428">
        <v>0</v>
      </c>
      <c r="H245" s="428">
        <f t="shared" si="36"/>
        <v>0</v>
      </c>
      <c r="I245" s="428"/>
      <c r="J245" s="428">
        <f>+I245*1.055</f>
        <v>0</v>
      </c>
      <c r="K245" s="428">
        <f>+J245*1.053</f>
        <v>0</v>
      </c>
    </row>
    <row r="246" spans="1:11" s="468" customFormat="1" x14ac:dyDescent="0.25">
      <c r="A246" s="118">
        <v>26</v>
      </c>
      <c r="B246" s="151">
        <v>1725</v>
      </c>
      <c r="C246" s="94" t="s">
        <v>107</v>
      </c>
      <c r="D246" s="444">
        <v>180</v>
      </c>
      <c r="E246" s="435">
        <v>190.08</v>
      </c>
      <c r="F246" s="428">
        <v>190.08</v>
      </c>
      <c r="G246" s="428">
        <v>190.08</v>
      </c>
      <c r="H246" s="428">
        <f t="shared" si="36"/>
        <v>209.08800000000002</v>
      </c>
      <c r="I246" s="428"/>
      <c r="J246" s="428"/>
      <c r="K246" s="428"/>
    </row>
    <row r="247" spans="1:11" s="468" customFormat="1" hidden="1" x14ac:dyDescent="0.25">
      <c r="A247" s="118">
        <v>26</v>
      </c>
      <c r="B247" s="151">
        <v>1730</v>
      </c>
      <c r="C247" s="94" t="s">
        <v>256</v>
      </c>
      <c r="D247" s="444"/>
      <c r="E247" s="444"/>
      <c r="F247" s="428">
        <v>0</v>
      </c>
      <c r="G247" s="428">
        <v>0</v>
      </c>
      <c r="H247" s="428">
        <f t="shared" si="36"/>
        <v>0</v>
      </c>
      <c r="I247" s="428"/>
      <c r="J247" s="428">
        <f>+(H247*0.1)+H247</f>
        <v>0</v>
      </c>
      <c r="K247" s="428">
        <f>+(J247*0.1)+J247</f>
        <v>0</v>
      </c>
    </row>
    <row r="248" spans="1:11" s="468" customFormat="1" x14ac:dyDescent="0.25">
      <c r="A248" s="344"/>
      <c r="B248" s="151"/>
      <c r="C248" s="94"/>
      <c r="D248" s="436">
        <f t="shared" ref="D248:K248" si="37">SUM(D242:D247)</f>
        <v>31455.990400000002</v>
      </c>
      <c r="E248" s="436">
        <f t="shared" si="37"/>
        <v>33217.641600000003</v>
      </c>
      <c r="F248" s="436">
        <f t="shared" si="37"/>
        <v>93217.641600000003</v>
      </c>
      <c r="G248" s="436">
        <f t="shared" si="37"/>
        <v>93217.641600000003</v>
      </c>
      <c r="H248" s="436">
        <f t="shared" si="37"/>
        <v>102539.40575999999</v>
      </c>
      <c r="I248" s="436">
        <f t="shared" si="37"/>
        <v>10721.300999999999</v>
      </c>
      <c r="J248" s="436">
        <f t="shared" si="37"/>
        <v>11310.972555</v>
      </c>
      <c r="K248" s="436">
        <f t="shared" si="37"/>
        <v>11910.454100415</v>
      </c>
    </row>
    <row r="249" spans="1:11" s="468" customFormat="1" ht="12.75" hidden="1" customHeight="1" x14ac:dyDescent="0.25">
      <c r="A249" s="344"/>
      <c r="B249" s="151"/>
      <c r="C249" s="93" t="s">
        <v>80</v>
      </c>
      <c r="D249" s="444"/>
      <c r="E249" s="435"/>
      <c r="F249" s="435"/>
      <c r="G249" s="435"/>
      <c r="H249" s="435"/>
      <c r="I249" s="435"/>
      <c r="J249" s="435"/>
      <c r="K249" s="435"/>
    </row>
    <row r="250" spans="1:11" s="468" customFormat="1" ht="12.75" hidden="1" customHeight="1" x14ac:dyDescent="0.25">
      <c r="A250" s="118">
        <v>26</v>
      </c>
      <c r="B250" s="151">
        <v>1805</v>
      </c>
      <c r="C250" s="94" t="s">
        <v>81</v>
      </c>
      <c r="D250" s="444">
        <v>0</v>
      </c>
      <c r="E250" s="425"/>
      <c r="F250" s="435">
        <f>E250/8*12</f>
        <v>0</v>
      </c>
      <c r="G250" s="435">
        <v>0</v>
      </c>
      <c r="H250" s="435">
        <f>F250/8*12</f>
        <v>0</v>
      </c>
      <c r="I250" s="435">
        <f>G250/8*12</f>
        <v>0</v>
      </c>
      <c r="J250" s="435">
        <f>H250/8*12</f>
        <v>0</v>
      </c>
      <c r="K250" s="435">
        <f>I250/8*12</f>
        <v>0</v>
      </c>
    </row>
    <row r="251" spans="1:11" s="468" customFormat="1" ht="12.75" hidden="1" customHeight="1" x14ac:dyDescent="0.25">
      <c r="A251" s="344"/>
      <c r="B251" s="151"/>
      <c r="C251" s="94"/>
      <c r="D251" s="436">
        <v>0</v>
      </c>
      <c r="E251" s="436">
        <f>E250</f>
        <v>0</v>
      </c>
      <c r="F251" s="436">
        <f>F250</f>
        <v>0</v>
      </c>
      <c r="G251" s="436">
        <v>0</v>
      </c>
      <c r="H251" s="436">
        <f>H250</f>
        <v>0</v>
      </c>
      <c r="I251" s="436">
        <f>I250</f>
        <v>0</v>
      </c>
      <c r="J251" s="436">
        <f>J250</f>
        <v>0</v>
      </c>
      <c r="K251" s="436">
        <f>K250</f>
        <v>0</v>
      </c>
    </row>
    <row r="252" spans="1:11" s="468" customFormat="1" x14ac:dyDescent="0.25">
      <c r="A252" s="344"/>
      <c r="B252" s="346"/>
      <c r="C252" s="93" t="s">
        <v>192</v>
      </c>
      <c r="D252" s="442">
        <f t="shared" ref="D252:K252" si="38">SUM(D171:D251)/2</f>
        <v>15055985.990400001</v>
      </c>
      <c r="E252" s="442">
        <f t="shared" si="38"/>
        <v>16010321.321599999</v>
      </c>
      <c r="F252" s="442">
        <f t="shared" si="38"/>
        <v>8549999.3215999994</v>
      </c>
      <c r="G252" s="442">
        <f t="shared" si="38"/>
        <v>8549999.3215999994</v>
      </c>
      <c r="H252" s="442">
        <f t="shared" si="38"/>
        <v>10246181.999359999</v>
      </c>
      <c r="I252" s="442">
        <f t="shared" si="38"/>
        <v>15505976.356637483</v>
      </c>
      <c r="J252" s="442">
        <f t="shared" si="38"/>
        <v>16260655.056252547</v>
      </c>
      <c r="K252" s="442">
        <f t="shared" si="38"/>
        <v>17146023.774233934</v>
      </c>
    </row>
    <row r="253" spans="1:11" s="468" customFormat="1" ht="12.75" hidden="1" customHeight="1" x14ac:dyDescent="0.25">
      <c r="A253" s="344"/>
      <c r="B253" s="151"/>
      <c r="C253" s="94"/>
      <c r="D253" s="442"/>
      <c r="E253" s="442"/>
      <c r="F253" s="442"/>
      <c r="G253" s="442"/>
      <c r="H253" s="442"/>
      <c r="I253" s="442"/>
      <c r="J253" s="442"/>
      <c r="K253" s="442"/>
    </row>
    <row r="254" spans="1:11" s="468" customFormat="1" ht="12.75" hidden="1" customHeight="1" x14ac:dyDescent="0.25">
      <c r="A254" s="344"/>
      <c r="B254" s="151"/>
      <c r="C254" s="145" t="s">
        <v>193</v>
      </c>
      <c r="D254" s="445"/>
      <c r="E254" s="146"/>
      <c r="F254" s="445"/>
      <c r="G254" s="445"/>
      <c r="H254" s="445"/>
      <c r="I254" s="445"/>
      <c r="J254" s="445"/>
      <c r="K254" s="445"/>
    </row>
    <row r="255" spans="1:11" s="468" customFormat="1" ht="12.75" hidden="1" customHeight="1" x14ac:dyDescent="0.25">
      <c r="A255" s="118">
        <v>26</v>
      </c>
      <c r="B255" s="151">
        <v>1905</v>
      </c>
      <c r="C255" s="118" t="s">
        <v>194</v>
      </c>
      <c r="D255" s="127">
        <v>0</v>
      </c>
      <c r="E255" s="147"/>
      <c r="F255" s="435">
        <f>E255/8*12</f>
        <v>0</v>
      </c>
      <c r="G255" s="435">
        <v>0</v>
      </c>
      <c r="H255" s="435">
        <f>F255/8*12</f>
        <v>0</v>
      </c>
      <c r="I255" s="435">
        <f>G255/8*12</f>
        <v>0</v>
      </c>
      <c r="J255" s="435">
        <f>H255/8*12</f>
        <v>0</v>
      </c>
      <c r="K255" s="435">
        <f>I255/8*12</f>
        <v>0</v>
      </c>
    </row>
    <row r="256" spans="1:11" s="468" customFormat="1" ht="12.75" hidden="1" customHeight="1" x14ac:dyDescent="0.25">
      <c r="A256" s="344"/>
      <c r="B256" s="151"/>
      <c r="C256" s="94"/>
      <c r="D256" s="442">
        <v>0</v>
      </c>
      <c r="E256" s="442">
        <f>SUM(E255)</f>
        <v>0</v>
      </c>
      <c r="F256" s="442">
        <f>SUM(F255)</f>
        <v>0</v>
      </c>
      <c r="G256" s="442">
        <v>0</v>
      </c>
      <c r="H256" s="442">
        <f>SUM(H255)</f>
        <v>0</v>
      </c>
      <c r="I256" s="442">
        <f>SUM(I255)</f>
        <v>0</v>
      </c>
      <c r="J256" s="442">
        <f>SUM(J255)</f>
        <v>0</v>
      </c>
      <c r="K256" s="442">
        <f>SUM(K255)</f>
        <v>0</v>
      </c>
    </row>
    <row r="257" spans="1:11" s="468" customFormat="1" x14ac:dyDescent="0.25">
      <c r="A257" s="344"/>
      <c r="B257" s="151"/>
      <c r="C257" s="93" t="s">
        <v>189</v>
      </c>
      <c r="D257" s="442">
        <f t="shared" ref="D257:K257" si="39">D252+D256</f>
        <v>15055985.990400001</v>
      </c>
      <c r="E257" s="442">
        <f t="shared" si="39"/>
        <v>16010321.321599999</v>
      </c>
      <c r="F257" s="442">
        <f t="shared" si="39"/>
        <v>8549999.3215999994</v>
      </c>
      <c r="G257" s="442">
        <f t="shared" si="39"/>
        <v>8549999.3215999994</v>
      </c>
      <c r="H257" s="442">
        <f t="shared" si="39"/>
        <v>10246181.999359999</v>
      </c>
      <c r="I257" s="442">
        <f t="shared" si="39"/>
        <v>15505976.356637483</v>
      </c>
      <c r="J257" s="442">
        <f t="shared" si="39"/>
        <v>16260655.056252547</v>
      </c>
      <c r="K257" s="442">
        <f t="shared" si="39"/>
        <v>17146023.774233934</v>
      </c>
    </row>
    <row r="258" spans="1:11" s="468" customFormat="1" ht="12.75" hidden="1" customHeight="1" x14ac:dyDescent="0.25">
      <c r="A258" s="344"/>
      <c r="B258" s="151"/>
      <c r="C258" s="145" t="s">
        <v>195</v>
      </c>
      <c r="D258" s="445"/>
      <c r="E258" s="148"/>
      <c r="F258" s="446"/>
      <c r="G258" s="446"/>
      <c r="H258" s="446"/>
      <c r="I258" s="446"/>
      <c r="J258" s="446"/>
      <c r="K258" s="446"/>
    </row>
    <row r="259" spans="1:11" s="468" customFormat="1" ht="12.75" hidden="1" customHeight="1" x14ac:dyDescent="0.25">
      <c r="A259" s="118">
        <v>26</v>
      </c>
      <c r="B259" s="151">
        <v>1950</v>
      </c>
      <c r="C259" s="118" t="s">
        <v>196</v>
      </c>
      <c r="D259" s="127">
        <v>0</v>
      </c>
      <c r="E259" s="147"/>
      <c r="F259" s="435">
        <f>E259/8*12</f>
        <v>0</v>
      </c>
      <c r="G259" s="435">
        <v>0</v>
      </c>
      <c r="H259" s="435">
        <f>F259/8*12</f>
        <v>0</v>
      </c>
      <c r="I259" s="435">
        <f>G259/8*12</f>
        <v>0</v>
      </c>
      <c r="J259" s="435">
        <f>H259/8*12</f>
        <v>0</v>
      </c>
      <c r="K259" s="435">
        <f>I259/8*12</f>
        <v>0</v>
      </c>
    </row>
    <row r="260" spans="1:11" s="468" customFormat="1" ht="12.75" hidden="1" customHeight="1" x14ac:dyDescent="0.25">
      <c r="A260" s="344"/>
      <c r="B260" s="346"/>
      <c r="C260" s="94"/>
      <c r="D260" s="445">
        <v>0</v>
      </c>
      <c r="E260" s="445">
        <f>E259</f>
        <v>0</v>
      </c>
      <c r="F260" s="445">
        <f>F259</f>
        <v>0</v>
      </c>
      <c r="G260" s="445">
        <v>0</v>
      </c>
      <c r="H260" s="445">
        <f>H259</f>
        <v>0</v>
      </c>
      <c r="I260" s="445">
        <f>I259</f>
        <v>0</v>
      </c>
      <c r="J260" s="445">
        <f>J259</f>
        <v>0</v>
      </c>
      <c r="K260" s="445">
        <f>K259</f>
        <v>0</v>
      </c>
    </row>
    <row r="261" spans="1:11" s="468" customFormat="1" x14ac:dyDescent="0.25">
      <c r="A261" s="348"/>
      <c r="B261" s="351"/>
      <c r="C261" s="93" t="s">
        <v>197</v>
      </c>
      <c r="D261" s="448">
        <f t="shared" ref="D261:K261" si="40">D257+D260</f>
        <v>15055985.990400001</v>
      </c>
      <c r="E261" s="448">
        <f t="shared" si="40"/>
        <v>16010321.321599999</v>
      </c>
      <c r="F261" s="448">
        <f t="shared" si="40"/>
        <v>8549999.3215999994</v>
      </c>
      <c r="G261" s="448">
        <f t="shared" si="40"/>
        <v>8549999.3215999994</v>
      </c>
      <c r="H261" s="448">
        <f t="shared" si="40"/>
        <v>10246181.999359999</v>
      </c>
      <c r="I261" s="448">
        <f t="shared" si="40"/>
        <v>15505976.356637483</v>
      </c>
      <c r="J261" s="448">
        <f t="shared" si="40"/>
        <v>16260655.056252547</v>
      </c>
      <c r="K261" s="448">
        <f t="shared" si="40"/>
        <v>17146023.774233934</v>
      </c>
    </row>
    <row r="262" spans="1:11" s="468" customFormat="1" x14ac:dyDescent="0.25">
      <c r="A262" s="349"/>
      <c r="B262" s="154"/>
      <c r="C262" s="126" t="s">
        <v>82</v>
      </c>
      <c r="D262" s="449">
        <f t="shared" ref="D262:K262" si="41">D261-D165</f>
        <v>-3523404.0095999986</v>
      </c>
      <c r="E262" s="449">
        <f t="shared" si="41"/>
        <v>-3690169.6784000006</v>
      </c>
      <c r="F262" s="449">
        <f t="shared" si="41"/>
        <v>-11626828.678400001</v>
      </c>
      <c r="G262" s="449">
        <f t="shared" si="41"/>
        <v>-12942545.678400001</v>
      </c>
      <c r="H262" s="449">
        <f t="shared" si="41"/>
        <v>-7112312.2626400031</v>
      </c>
      <c r="I262" s="449">
        <f t="shared" si="41"/>
        <v>-86287649.653076798</v>
      </c>
      <c r="J262" s="449">
        <f t="shared" si="41"/>
        <v>-76698067.268996</v>
      </c>
      <c r="K262" s="449">
        <f t="shared" si="41"/>
        <v>-80755787.587695554</v>
      </c>
    </row>
    <row r="263" spans="1:11" s="468" customFormat="1" x14ac:dyDescent="0.25">
      <c r="A263" s="443"/>
      <c r="B263" s="352"/>
    </row>
    <row r="264" spans="1:11" s="468" customFormat="1" x14ac:dyDescent="0.25">
      <c r="A264" s="443"/>
      <c r="B264" s="352"/>
    </row>
    <row r="265" spans="1:11" s="468" customFormat="1" x14ac:dyDescent="0.25">
      <c r="B265" s="352"/>
    </row>
    <row r="266" spans="1:11" x14ac:dyDescent="0.25">
      <c r="E266" s="128"/>
      <c r="F266" s="128"/>
      <c r="G266" s="128"/>
      <c r="H266" s="128"/>
      <c r="I266" s="128"/>
      <c r="J266" s="128"/>
    </row>
    <row r="267" spans="1:11" x14ac:dyDescent="0.25">
      <c r="E267" s="128"/>
      <c r="F267" s="128"/>
      <c r="G267" s="128"/>
      <c r="H267" s="128"/>
      <c r="I267" s="128"/>
      <c r="J267" s="128"/>
      <c r="K267" s="109"/>
    </row>
    <row r="268" spans="1:11" x14ac:dyDescent="0.25">
      <c r="E268" s="128"/>
      <c r="F268" s="128"/>
      <c r="G268" s="128"/>
      <c r="H268" s="128"/>
      <c r="I268" s="128"/>
      <c r="J268" s="128"/>
    </row>
  </sheetData>
  <mergeCells count="2">
    <mergeCell ref="A1:K1"/>
    <mergeCell ref="A2:K2"/>
  </mergeCells>
  <phoneticPr fontId="0" type="noConversion"/>
  <pageMargins left="0.25" right="0.25" top="0.75" bottom="0.75" header="0.3" footer="0.3"/>
  <pageSetup paperSize="9" scale="72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Q31"/>
  <sheetViews>
    <sheetView view="pageBreakPreview" topLeftCell="A13" zoomScaleSheetLayoutView="100" workbookViewId="0">
      <selection activeCell="D12" sqref="D12"/>
    </sheetView>
  </sheetViews>
  <sheetFormatPr defaultColWidth="9.109375" defaultRowHeight="13.2" x14ac:dyDescent="0.25"/>
  <cols>
    <col min="1" max="1" width="30.5546875" style="32" customWidth="1"/>
    <col min="2" max="2" width="16" style="32" customWidth="1"/>
    <col min="3" max="4" width="15.5546875" style="32" customWidth="1"/>
    <col min="5" max="5" width="16.44140625" style="32" customWidth="1"/>
    <col min="6" max="7" width="16" style="32" customWidth="1"/>
    <col min="8" max="8" width="15.44140625" style="32" customWidth="1"/>
    <col min="9" max="9" width="12.6640625" style="32" bestFit="1" customWidth="1"/>
    <col min="10" max="10" width="12.33203125" style="32" customWidth="1"/>
    <col min="11" max="11" width="12.44140625" style="32" bestFit="1" customWidth="1"/>
    <col min="12" max="12" width="12.88671875" style="32" bestFit="1" customWidth="1"/>
    <col min="13" max="13" width="13.109375" style="32" bestFit="1" customWidth="1"/>
    <col min="14" max="14" width="12.44140625" style="32" bestFit="1" customWidth="1"/>
    <col min="15" max="15" width="11.6640625" style="32" bestFit="1" customWidth="1"/>
    <col min="16" max="16384" width="9.109375" style="32"/>
  </cols>
  <sheetData>
    <row r="1" spans="1:17" x14ac:dyDescent="0.25">
      <c r="A1" s="205"/>
      <c r="B1" s="206"/>
      <c r="C1" s="206"/>
      <c r="D1" s="206"/>
      <c r="E1" s="206"/>
      <c r="F1" s="206"/>
      <c r="G1" s="206"/>
      <c r="H1" s="207">
        <v>1</v>
      </c>
    </row>
    <row r="2" spans="1:17" x14ac:dyDescent="0.25">
      <c r="A2" s="208"/>
      <c r="B2" s="45"/>
      <c r="C2" s="45"/>
      <c r="D2" s="45"/>
      <c r="E2" s="45"/>
      <c r="F2" s="45"/>
      <c r="G2" s="45"/>
      <c r="H2" s="44"/>
    </row>
    <row r="3" spans="1:17" ht="15.6" x14ac:dyDescent="0.3">
      <c r="A3" s="921" t="s">
        <v>151</v>
      </c>
      <c r="B3" s="922"/>
      <c r="C3" s="922"/>
      <c r="D3" s="922"/>
      <c r="E3" s="922"/>
      <c r="F3" s="922"/>
      <c r="G3" s="922"/>
      <c r="H3" s="923"/>
      <c r="J3" s="31"/>
    </row>
    <row r="4" spans="1:17" ht="15.6" x14ac:dyDescent="0.3">
      <c r="A4" s="921" t="s">
        <v>173</v>
      </c>
      <c r="B4" s="922"/>
      <c r="C4" s="922"/>
      <c r="D4" s="922"/>
      <c r="E4" s="922"/>
      <c r="F4" s="922"/>
      <c r="G4" s="922"/>
      <c r="H4" s="923"/>
      <c r="K4" s="31"/>
    </row>
    <row r="5" spans="1:17" x14ac:dyDescent="0.25">
      <c r="A5" s="209"/>
      <c r="B5" s="45"/>
      <c r="C5" s="45"/>
      <c r="D5" s="45"/>
      <c r="E5" s="45"/>
      <c r="F5" s="45"/>
      <c r="G5" s="45"/>
      <c r="H5" s="44"/>
      <c r="I5" s="45"/>
      <c r="J5" s="45"/>
      <c r="K5" s="45"/>
      <c r="L5" s="45"/>
      <c r="M5" s="45"/>
      <c r="N5" s="45"/>
      <c r="O5" s="45"/>
      <c r="P5" s="45"/>
      <c r="Q5" s="45"/>
    </row>
    <row r="6" spans="1:17" ht="13.8" thickBot="1" x14ac:dyDescent="0.3">
      <c r="A6" s="210"/>
      <c r="B6" s="52"/>
      <c r="C6" s="52"/>
      <c r="D6" s="52"/>
      <c r="E6" s="52"/>
      <c r="F6" s="52"/>
      <c r="G6" s="52"/>
      <c r="H6" s="211"/>
      <c r="I6" s="45"/>
      <c r="J6" s="45"/>
      <c r="K6" s="45"/>
      <c r="L6" s="45"/>
      <c r="M6" s="45"/>
      <c r="N6" s="45"/>
      <c r="O6" s="45"/>
      <c r="P6" s="45"/>
      <c r="Q6" s="45"/>
    </row>
    <row r="7" spans="1:17" ht="20.100000000000001" customHeight="1" x14ac:dyDescent="0.25">
      <c r="A7" s="212" t="s">
        <v>152</v>
      </c>
      <c r="B7" s="33"/>
      <c r="C7" s="34"/>
      <c r="D7" s="34"/>
      <c r="E7" s="34"/>
      <c r="F7" s="34"/>
      <c r="G7" s="34"/>
      <c r="H7" s="213"/>
      <c r="I7" s="49"/>
      <c r="J7" s="49"/>
      <c r="K7" s="49"/>
      <c r="L7" s="49"/>
      <c r="M7" s="49"/>
      <c r="N7" s="49"/>
      <c r="O7" s="49"/>
      <c r="P7" s="45"/>
      <c r="Q7" s="45"/>
    </row>
    <row r="8" spans="1:17" ht="20.100000000000001" customHeight="1" x14ac:dyDescent="0.25">
      <c r="A8" s="214"/>
      <c r="B8" s="35" t="s">
        <v>153</v>
      </c>
      <c r="C8" s="36"/>
      <c r="D8" s="37"/>
      <c r="E8" s="36" t="s">
        <v>154</v>
      </c>
      <c r="F8" s="36"/>
      <c r="G8" s="37"/>
      <c r="H8" s="215" t="s">
        <v>155</v>
      </c>
      <c r="I8" s="49"/>
      <c r="J8" s="49"/>
      <c r="K8" s="49"/>
      <c r="L8" s="49"/>
      <c r="M8" s="49"/>
      <c r="N8" s="49"/>
      <c r="O8" s="50"/>
      <c r="P8" s="45"/>
      <c r="Q8" s="45"/>
    </row>
    <row r="9" spans="1:17" ht="20.100000000000001" customHeight="1" thickBot="1" x14ac:dyDescent="0.3">
      <c r="A9" s="216"/>
      <c r="B9" s="38" t="s">
        <v>156</v>
      </c>
      <c r="C9" s="39" t="s">
        <v>157</v>
      </c>
      <c r="D9" s="40" t="s">
        <v>158</v>
      </c>
      <c r="E9" s="41" t="s">
        <v>159</v>
      </c>
      <c r="F9" s="39" t="s">
        <v>160</v>
      </c>
      <c r="G9" s="40" t="s">
        <v>158</v>
      </c>
      <c r="H9" s="217" t="s">
        <v>161</v>
      </c>
      <c r="I9" s="50"/>
      <c r="J9" s="50"/>
      <c r="K9" s="50"/>
      <c r="L9" s="50"/>
      <c r="M9" s="50"/>
      <c r="N9" s="50"/>
      <c r="O9" s="50"/>
      <c r="P9" s="45"/>
      <c r="Q9" s="45"/>
    </row>
    <row r="10" spans="1:17" ht="20.100000000000001" customHeight="1" x14ac:dyDescent="0.25">
      <c r="A10" s="218"/>
      <c r="B10" s="42"/>
      <c r="C10" s="43"/>
      <c r="D10" s="44"/>
      <c r="E10" s="45"/>
      <c r="F10" s="43"/>
      <c r="G10" s="44"/>
      <c r="H10" s="44"/>
      <c r="I10" s="45"/>
      <c r="J10" s="45"/>
      <c r="K10" s="45"/>
      <c r="L10" s="45"/>
      <c r="M10" s="45"/>
      <c r="N10" s="45"/>
      <c r="O10" s="45"/>
      <c r="P10" s="45"/>
      <c r="Q10" s="45"/>
    </row>
    <row r="11" spans="1:17" ht="20.100000000000001" customHeight="1" x14ac:dyDescent="0.25">
      <c r="A11" s="219"/>
      <c r="B11" s="46"/>
      <c r="C11" s="47"/>
      <c r="D11" s="47"/>
      <c r="E11" s="47"/>
      <c r="F11" s="47"/>
      <c r="G11" s="47"/>
      <c r="H11" s="47"/>
      <c r="I11" s="45"/>
      <c r="J11" s="45"/>
      <c r="K11" s="45"/>
      <c r="L11" s="45"/>
      <c r="M11" s="45"/>
      <c r="N11" s="45"/>
      <c r="O11" s="45"/>
      <c r="P11" s="45"/>
      <c r="Q11" s="45"/>
    </row>
    <row r="12" spans="1:17" ht="20.100000000000001" customHeight="1" x14ac:dyDescent="0.25">
      <c r="A12" s="220" t="s">
        <v>162</v>
      </c>
      <c r="B12" s="45">
        <v>0</v>
      </c>
      <c r="C12" s="47">
        <f>+'EXP ALLOCATION'!J6+'EXP ALLOCATION'!J7+'EXP ALLOCATION'!J8+'EXP ALLOCATION'!J9+'EXP ALLOCATION'!J10-B12</f>
        <v>50743888.444065265</v>
      </c>
      <c r="D12" s="47">
        <f>B12+C12</f>
        <v>50743888.444065265</v>
      </c>
      <c r="E12" s="47">
        <f>+INCEXP!K7+INCEXP!K8+INCEXP!K9+INCEXP!K10+INCEXP!K11</f>
        <v>18146051.440325275</v>
      </c>
      <c r="F12" s="47"/>
      <c r="G12" s="47">
        <f>+E12+F12</f>
        <v>18146051.440325275</v>
      </c>
      <c r="H12" s="47">
        <f>+G12-D12</f>
        <v>-32597837.00373999</v>
      </c>
      <c r="I12" s="45"/>
      <c r="J12" s="45"/>
      <c r="K12" s="45"/>
      <c r="L12" s="45"/>
      <c r="M12" s="45"/>
      <c r="N12" s="45"/>
      <c r="O12" s="45"/>
      <c r="P12" s="45"/>
      <c r="Q12" s="45"/>
    </row>
    <row r="13" spans="1:17" ht="20.100000000000001" customHeight="1" x14ac:dyDescent="0.25">
      <c r="A13" s="220" t="s">
        <v>163</v>
      </c>
      <c r="B13" s="46"/>
      <c r="C13" s="47">
        <f>+'EXP ALLOCATION'!J11+'EXP ALLOCATION'!J12+'EXP ALLOCATION'!J13+'EXP ALLOCATION'!J14</f>
        <v>101952503.21249655</v>
      </c>
      <c r="D13" s="47">
        <f t="shared" ref="D13:D24" si="0">B13+C13</f>
        <v>101952503.21249655</v>
      </c>
      <c r="E13" s="135">
        <f>+INCEXP!K12+INCEXP!K13+INCEXP!K14+INCEXP!K15</f>
        <v>43727724.116140872</v>
      </c>
      <c r="F13" s="47"/>
      <c r="G13" s="47">
        <f t="shared" ref="G13:G24" si="1">+E13+F13</f>
        <v>43727724.116140872</v>
      </c>
      <c r="H13" s="47">
        <f t="shared" ref="H13:H24" si="2">+G13-D13</f>
        <v>-58224779.096355677</v>
      </c>
      <c r="I13" s="45"/>
      <c r="J13" s="45"/>
      <c r="K13" s="45"/>
      <c r="L13" s="45"/>
      <c r="M13" s="45"/>
      <c r="N13" s="45"/>
      <c r="O13" s="45"/>
      <c r="P13" s="45"/>
      <c r="Q13" s="45"/>
    </row>
    <row r="14" spans="1:17" ht="20.100000000000001" customHeight="1" x14ac:dyDescent="0.25">
      <c r="A14" s="220" t="s">
        <v>164</v>
      </c>
      <c r="B14" s="46"/>
      <c r="C14" s="47">
        <v>0</v>
      </c>
      <c r="D14" s="47">
        <f t="shared" si="0"/>
        <v>0</v>
      </c>
      <c r="E14" s="135">
        <v>0</v>
      </c>
      <c r="F14" s="47"/>
      <c r="G14" s="47">
        <f t="shared" si="1"/>
        <v>0</v>
      </c>
      <c r="H14" s="47">
        <f t="shared" si="2"/>
        <v>0</v>
      </c>
      <c r="I14" s="45"/>
      <c r="J14" s="45"/>
      <c r="K14" s="45"/>
      <c r="L14" s="45"/>
      <c r="M14" s="45"/>
      <c r="N14" s="45"/>
      <c r="O14" s="45"/>
      <c r="P14" s="45"/>
      <c r="Q14" s="45"/>
    </row>
    <row r="15" spans="1:17" ht="20.100000000000001" customHeight="1" x14ac:dyDescent="0.25">
      <c r="A15" s="220" t="s">
        <v>243</v>
      </c>
      <c r="B15" s="46">
        <v>0</v>
      </c>
      <c r="C15" s="47">
        <f>+'EXP ALLOCATION'!J15+'EXP ALLOCATION'!J16+'EXP ALLOCATION'!J17-B15</f>
        <v>7157780.6376999998</v>
      </c>
      <c r="D15" s="47">
        <f t="shared" si="0"/>
        <v>7157780.6376999998</v>
      </c>
      <c r="E15" s="135">
        <f>+INCEXP!K16+INCEXP!K17+INCEXP!K18</f>
        <v>51565.493931656354</v>
      </c>
      <c r="F15" s="47"/>
      <c r="G15" s="47">
        <f t="shared" si="1"/>
        <v>51565.493931656354</v>
      </c>
      <c r="H15" s="47">
        <f t="shared" si="2"/>
        <v>-7106215.1437683431</v>
      </c>
      <c r="I15" s="45"/>
      <c r="J15" s="45"/>
      <c r="K15" s="45"/>
      <c r="L15" s="45"/>
      <c r="M15" s="45"/>
      <c r="N15" s="45"/>
      <c r="O15" s="45"/>
      <c r="P15" s="45"/>
      <c r="Q15" s="45"/>
    </row>
    <row r="16" spans="1:17" ht="20.100000000000001" customHeight="1" x14ac:dyDescent="0.25">
      <c r="A16" s="220" t="s">
        <v>165</v>
      </c>
      <c r="B16" s="46"/>
      <c r="C16" s="47">
        <f>+'EXP ALLOCATION'!J18</f>
        <v>1236473.4949999999</v>
      </c>
      <c r="D16" s="47">
        <f t="shared" si="0"/>
        <v>1236473.4949999999</v>
      </c>
      <c r="E16" s="135">
        <f>+INCEXP!K19</f>
        <v>100766.17977629497</v>
      </c>
      <c r="F16" s="47"/>
      <c r="G16" s="47">
        <f t="shared" si="1"/>
        <v>100766.17977629497</v>
      </c>
      <c r="H16" s="47">
        <f t="shared" si="2"/>
        <v>-1135707.315223705</v>
      </c>
      <c r="I16" s="45"/>
      <c r="J16" s="45"/>
      <c r="K16" s="45"/>
      <c r="L16" s="45"/>
      <c r="M16" s="45"/>
      <c r="N16" s="45"/>
      <c r="O16" s="45"/>
      <c r="P16" s="45"/>
      <c r="Q16" s="45"/>
    </row>
    <row r="17" spans="1:17" ht="20.100000000000001" customHeight="1" x14ac:dyDescent="0.25">
      <c r="A17" s="220" t="s">
        <v>166</v>
      </c>
      <c r="B17" s="46"/>
      <c r="C17" s="47">
        <f>+'EXP ALLOCATION'!J19</f>
        <v>2357487.3969720001</v>
      </c>
      <c r="D17" s="47">
        <f t="shared" si="0"/>
        <v>2357487.3969720001</v>
      </c>
      <c r="E17" s="135">
        <f>+INCEXP!K20</f>
        <v>290898.64732499997</v>
      </c>
      <c r="F17" s="47"/>
      <c r="G17" s="47">
        <f t="shared" si="1"/>
        <v>290898.64732499997</v>
      </c>
      <c r="H17" s="47">
        <f t="shared" si="2"/>
        <v>-2066588.7496470001</v>
      </c>
      <c r="I17" s="45"/>
      <c r="J17" s="45"/>
      <c r="K17" s="45"/>
      <c r="L17" s="45"/>
      <c r="M17" s="45"/>
      <c r="N17" s="45"/>
      <c r="O17" s="45"/>
      <c r="P17" s="45"/>
      <c r="Q17" s="45"/>
    </row>
    <row r="18" spans="1:17" ht="20.100000000000001" customHeight="1" x14ac:dyDescent="0.25">
      <c r="A18" s="220" t="s">
        <v>167</v>
      </c>
      <c r="B18" s="46"/>
      <c r="C18" s="47">
        <f>+'EXP ALLOCATION'!J20</f>
        <v>4132871.0171520002</v>
      </c>
      <c r="D18" s="47">
        <f t="shared" si="0"/>
        <v>4132871.0171520002</v>
      </c>
      <c r="E18" s="135">
        <f>+INCEXP!K21</f>
        <v>-256442.02577007294</v>
      </c>
      <c r="F18" s="47"/>
      <c r="G18" s="47">
        <f t="shared" si="1"/>
        <v>-256442.02577007294</v>
      </c>
      <c r="H18" s="47">
        <f t="shared" si="2"/>
        <v>-4389313.042922073</v>
      </c>
      <c r="I18" s="45"/>
      <c r="J18" s="45"/>
      <c r="K18" s="45"/>
      <c r="L18" s="45"/>
      <c r="M18" s="45"/>
      <c r="N18" s="45"/>
      <c r="O18" s="45"/>
      <c r="P18" s="45"/>
      <c r="Q18" s="45"/>
    </row>
    <row r="19" spans="1:17" ht="20.100000000000001" customHeight="1" x14ac:dyDescent="0.25">
      <c r="A19" s="220" t="s">
        <v>168</v>
      </c>
      <c r="B19" s="46"/>
      <c r="C19" s="47">
        <v>0</v>
      </c>
      <c r="D19" s="47">
        <f t="shared" si="0"/>
        <v>0</v>
      </c>
      <c r="E19" s="135">
        <v>0</v>
      </c>
      <c r="F19" s="47"/>
      <c r="G19" s="47">
        <f t="shared" si="1"/>
        <v>0</v>
      </c>
      <c r="H19" s="47">
        <f t="shared" si="2"/>
        <v>0</v>
      </c>
      <c r="I19" s="45"/>
      <c r="J19" s="45"/>
      <c r="K19" s="45"/>
      <c r="L19" s="45"/>
      <c r="M19" s="45"/>
      <c r="N19" s="45"/>
      <c r="O19" s="45"/>
      <c r="P19" s="45"/>
      <c r="Q19" s="45"/>
    </row>
    <row r="20" spans="1:17" ht="20.100000000000001" customHeight="1" x14ac:dyDescent="0.25">
      <c r="A20" s="220" t="s">
        <v>169</v>
      </c>
      <c r="B20" s="46"/>
      <c r="C20" s="47">
        <f>+'EXP ALLOCATION'!J21</f>
        <v>7088278.6842400003</v>
      </c>
      <c r="D20" s="47">
        <f t="shared" si="0"/>
        <v>7088278.6842400003</v>
      </c>
      <c r="E20" s="135">
        <f>+INCEXP!K22</f>
        <v>25068216.817311138</v>
      </c>
      <c r="F20" s="47"/>
      <c r="G20" s="47">
        <f t="shared" si="1"/>
        <v>25068216.817311138</v>
      </c>
      <c r="H20" s="47">
        <f t="shared" si="2"/>
        <v>17979938.133071139</v>
      </c>
      <c r="I20" s="45"/>
      <c r="J20" s="45"/>
      <c r="K20" s="45"/>
      <c r="L20" s="45"/>
      <c r="M20" s="45"/>
      <c r="N20" s="45"/>
      <c r="O20" s="45"/>
      <c r="P20" s="45"/>
      <c r="Q20" s="45"/>
    </row>
    <row r="21" spans="1:17" ht="20.100000000000001" customHeight="1" x14ac:dyDescent="0.25">
      <c r="A21" s="220" t="s">
        <v>174</v>
      </c>
      <c r="B21" s="46">
        <v>0</v>
      </c>
      <c r="C21" s="132">
        <f>+'EXP ALLOCATION'!J22</f>
        <v>13171248.7703561</v>
      </c>
      <c r="D21" s="47">
        <f t="shared" si="0"/>
        <v>13171248.7703561</v>
      </c>
      <c r="E21" s="136">
        <f>+INCEXP!K23</f>
        <v>37104457.42956686</v>
      </c>
      <c r="F21" s="132">
        <v>0</v>
      </c>
      <c r="G21" s="47">
        <f t="shared" si="1"/>
        <v>37104457.42956686</v>
      </c>
      <c r="H21" s="47">
        <f t="shared" si="2"/>
        <v>23933208.65921076</v>
      </c>
      <c r="I21" s="45"/>
      <c r="J21" s="45"/>
      <c r="K21" s="45"/>
      <c r="L21" s="45"/>
      <c r="M21" s="45"/>
      <c r="N21" s="45"/>
      <c r="O21" s="45"/>
      <c r="P21" s="45"/>
      <c r="Q21" s="45"/>
    </row>
    <row r="22" spans="1:17" ht="20.100000000000001" customHeight="1" x14ac:dyDescent="0.25">
      <c r="A22" s="220" t="s">
        <v>170</v>
      </c>
      <c r="B22" s="46"/>
      <c r="C22" s="47">
        <f>+'EXP ALLOCATION'!J23</f>
        <v>14383536.614322837</v>
      </c>
      <c r="D22" s="47">
        <f t="shared" si="0"/>
        <v>14383536.614322837</v>
      </c>
      <c r="E22" s="135">
        <f>+INCEXP!K24</f>
        <v>25638308.605900001</v>
      </c>
      <c r="F22" s="47"/>
      <c r="G22" s="47">
        <f t="shared" si="1"/>
        <v>25638308.605900001</v>
      </c>
      <c r="H22" s="47">
        <f t="shared" si="2"/>
        <v>11254771.991577163</v>
      </c>
      <c r="I22" s="45"/>
      <c r="J22" s="45"/>
      <c r="K22" s="45"/>
      <c r="L22" s="45"/>
      <c r="M22" s="45"/>
      <c r="N22" s="45"/>
      <c r="O22" s="45"/>
      <c r="P22" s="45"/>
      <c r="Q22" s="45"/>
    </row>
    <row r="23" spans="1:17" ht="20.100000000000001" customHeight="1" x14ac:dyDescent="0.25">
      <c r="A23" s="220" t="s">
        <v>134</v>
      </c>
      <c r="B23" s="46"/>
      <c r="C23" s="47">
        <f>+'EXP ALLOCATION'!J24</f>
        <v>21437091.862836994</v>
      </c>
      <c r="D23" s="47">
        <f t="shared" si="0"/>
        <v>21437091.862836994</v>
      </c>
      <c r="E23" s="135">
        <f>+INCEXP!K25</f>
        <v>80080679.36366418</v>
      </c>
      <c r="F23" s="47"/>
      <c r="G23" s="47">
        <f t="shared" si="1"/>
        <v>80080679.36366418</v>
      </c>
      <c r="H23" s="47">
        <f t="shared" si="2"/>
        <v>58643587.500827186</v>
      </c>
      <c r="I23" s="45"/>
      <c r="J23" s="45"/>
      <c r="K23" s="45"/>
      <c r="L23" s="45"/>
      <c r="M23" s="45"/>
      <c r="N23" s="45"/>
      <c r="O23" s="45"/>
      <c r="P23" s="45"/>
      <c r="Q23" s="45"/>
    </row>
    <row r="24" spans="1:17" ht="20.100000000000001" customHeight="1" thickBot="1" x14ac:dyDescent="0.3">
      <c r="A24" s="220" t="s">
        <v>97</v>
      </c>
      <c r="B24" s="46"/>
      <c r="C24" s="47">
        <f>+'EXP ALLOCATION'!J25</f>
        <v>42462718.850000001</v>
      </c>
      <c r="D24" s="47">
        <f t="shared" si="0"/>
        <v>42462718.850000001</v>
      </c>
      <c r="E24" s="47">
        <f>+INCEXP!K26</f>
        <v>47172043.899223298</v>
      </c>
      <c r="F24" s="47"/>
      <c r="G24" s="47">
        <f t="shared" si="1"/>
        <v>47172043.899223298</v>
      </c>
      <c r="H24" s="47">
        <f t="shared" si="2"/>
        <v>4709325.0492232963</v>
      </c>
      <c r="I24" s="45"/>
      <c r="J24" s="45"/>
      <c r="K24" s="45"/>
      <c r="L24" s="45"/>
      <c r="M24" s="45"/>
      <c r="N24" s="45"/>
      <c r="O24" s="45"/>
      <c r="P24" s="45"/>
      <c r="Q24" s="45"/>
    </row>
    <row r="25" spans="1:17" ht="20.100000000000001" customHeight="1" thickBot="1" x14ac:dyDescent="0.3">
      <c r="A25" s="87" t="s">
        <v>171</v>
      </c>
      <c r="B25" s="166">
        <f>SUM(B12:B24)</f>
        <v>0</v>
      </c>
      <c r="C25" s="48">
        <f t="shared" ref="C25:H25" si="3">SUM(C12:C24)</f>
        <v>266123878.98514175</v>
      </c>
      <c r="D25" s="48">
        <f t="shared" si="3"/>
        <v>266123878.98514175</v>
      </c>
      <c r="E25" s="48">
        <f t="shared" si="3"/>
        <v>277124269.96739447</v>
      </c>
      <c r="F25" s="48">
        <f t="shared" si="3"/>
        <v>0</v>
      </c>
      <c r="G25" s="48">
        <f t="shared" si="3"/>
        <v>277124269.96739447</v>
      </c>
      <c r="H25" s="48">
        <f t="shared" si="3"/>
        <v>11000390.982252747</v>
      </c>
      <c r="I25" s="51"/>
      <c r="J25" s="51"/>
      <c r="K25" s="51"/>
      <c r="L25" s="51"/>
      <c r="M25" s="51"/>
      <c r="N25" s="51"/>
      <c r="O25" s="51"/>
      <c r="P25" s="45"/>
      <c r="Q25" s="45"/>
    </row>
    <row r="26" spans="1:17" x14ac:dyDescent="0.25">
      <c r="A26" s="209"/>
      <c r="B26" s="45"/>
      <c r="C26" s="45"/>
      <c r="D26" s="45"/>
      <c r="E26" s="45"/>
      <c r="F26" s="45"/>
      <c r="G26" s="45"/>
      <c r="H26" s="44"/>
      <c r="I26" s="45"/>
      <c r="J26" s="45"/>
      <c r="K26" s="45"/>
      <c r="L26" s="45"/>
      <c r="M26" s="45"/>
      <c r="N26" s="45"/>
      <c r="O26" s="45"/>
      <c r="P26" s="45"/>
      <c r="Q26" s="45"/>
    </row>
    <row r="27" spans="1:17" x14ac:dyDescent="0.25">
      <c r="A27" s="221"/>
      <c r="B27" s="222" t="s">
        <v>172</v>
      </c>
      <c r="C27" s="223"/>
      <c r="D27" s="223"/>
      <c r="E27" s="223"/>
      <c r="F27" s="223"/>
      <c r="G27" s="223"/>
      <c r="H27" s="224"/>
      <c r="I27" s="45"/>
      <c r="J27" s="45"/>
      <c r="K27" s="45"/>
      <c r="L27" s="45"/>
      <c r="M27" s="45"/>
      <c r="N27" s="45"/>
      <c r="O27" s="45"/>
      <c r="P27" s="45"/>
      <c r="Q27" s="45"/>
    </row>
    <row r="28" spans="1:17" x14ac:dyDescent="0.25">
      <c r="I28" s="45"/>
      <c r="J28" s="45"/>
      <c r="K28" s="45"/>
      <c r="L28" s="45"/>
      <c r="M28" s="45"/>
      <c r="N28" s="45"/>
      <c r="O28" s="45"/>
      <c r="P28" s="45"/>
      <c r="Q28" s="45"/>
    </row>
    <row r="29" spans="1:17" x14ac:dyDescent="0.25">
      <c r="I29" s="45"/>
      <c r="J29" s="45"/>
      <c r="K29" s="45"/>
      <c r="L29" s="45"/>
      <c r="M29" s="45"/>
      <c r="N29" s="45"/>
      <c r="O29" s="45"/>
      <c r="P29" s="45"/>
      <c r="Q29" s="45"/>
    </row>
    <row r="30" spans="1:17" x14ac:dyDescent="0.25">
      <c r="I30" s="45"/>
      <c r="J30" s="45"/>
      <c r="K30" s="45"/>
      <c r="L30" s="45"/>
      <c r="M30" s="45"/>
      <c r="N30" s="45"/>
      <c r="O30" s="45"/>
      <c r="P30" s="45"/>
      <c r="Q30" s="45"/>
    </row>
    <row r="31" spans="1:17" x14ac:dyDescent="0.25">
      <c r="I31" s="45"/>
      <c r="J31" s="45"/>
      <c r="K31" s="45"/>
      <c r="L31" s="45"/>
      <c r="M31" s="45"/>
      <c r="N31" s="45"/>
      <c r="O31" s="45"/>
      <c r="P31" s="45"/>
      <c r="Q31" s="45"/>
    </row>
  </sheetData>
  <mergeCells count="2">
    <mergeCell ref="A4:H4"/>
    <mergeCell ref="A3:H3"/>
  </mergeCells>
  <phoneticPr fontId="0" type="noConversion"/>
  <pageMargins left="0.75" right="0.75" top="1" bottom="1" header="0.5" footer="0.5"/>
  <pageSetup scale="73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tabColor rgb="FFFF0000"/>
    <pageSetUpPr fitToPage="1"/>
  </sheetPr>
  <dimension ref="A1:M267"/>
  <sheetViews>
    <sheetView view="pageBreakPreview" topLeftCell="A148" zoomScaleSheetLayoutView="100" workbookViewId="0">
      <selection activeCell="I161" sqref="I161:K161"/>
    </sheetView>
  </sheetViews>
  <sheetFormatPr defaultColWidth="9.109375" defaultRowHeight="13.2" x14ac:dyDescent="0.25"/>
  <cols>
    <col min="1" max="1" width="3.33203125" style="96" customWidth="1"/>
    <col min="2" max="2" width="9" style="131" customWidth="1"/>
    <col min="3" max="3" width="30.44140625" style="96" customWidth="1"/>
    <col min="4" max="4" width="12.6640625" style="96" customWidth="1"/>
    <col min="5" max="5" width="13.33203125" style="96" customWidth="1"/>
    <col min="6" max="6" width="12" style="96" customWidth="1"/>
    <col min="7" max="7" width="12" style="434" customWidth="1"/>
    <col min="8" max="8" width="12" style="96" customWidth="1"/>
    <col min="9" max="9" width="12" style="434" customWidth="1"/>
    <col min="10" max="10" width="9.6640625" style="96" customWidth="1"/>
    <col min="11" max="11" width="10.5546875" style="96" customWidth="1"/>
    <col min="12" max="12" width="10.33203125" style="96" hidden="1" customWidth="1"/>
    <col min="13" max="16384" width="9.109375" style="96"/>
  </cols>
  <sheetData>
    <row r="1" spans="1:11" s="434" customFormat="1" x14ac:dyDescent="0.25">
      <c r="A1" s="957"/>
      <c r="B1" s="957"/>
      <c r="C1" s="957"/>
      <c r="D1" s="957"/>
      <c r="E1" s="957"/>
      <c r="F1" s="957"/>
      <c r="G1" s="957"/>
      <c r="H1" s="957"/>
      <c r="I1" s="957"/>
      <c r="J1" s="957"/>
      <c r="K1" s="957"/>
    </row>
    <row r="2" spans="1:11" ht="12.75" customHeight="1" x14ac:dyDescent="0.25">
      <c r="A2" s="954" t="s">
        <v>357</v>
      </c>
      <c r="B2" s="955"/>
      <c r="C2" s="955"/>
      <c r="D2" s="955"/>
      <c r="E2" s="955"/>
      <c r="F2" s="955"/>
      <c r="G2" s="955"/>
      <c r="H2" s="955"/>
      <c r="I2" s="955"/>
      <c r="J2" s="955"/>
      <c r="K2" s="956"/>
    </row>
    <row r="3" spans="1:11" s="285" customFormat="1" x14ac:dyDescent="0.25">
      <c r="A3" s="419" t="s">
        <v>415</v>
      </c>
      <c r="B3" s="414"/>
      <c r="C3" s="415"/>
      <c r="D3" s="149"/>
      <c r="E3" s="338"/>
      <c r="F3" s="338"/>
      <c r="G3" s="563"/>
      <c r="H3" s="421"/>
      <c r="I3" s="581"/>
      <c r="J3" s="338"/>
      <c r="K3" s="360"/>
    </row>
    <row r="4" spans="1:11" s="285" customFormat="1" x14ac:dyDescent="0.25">
      <c r="A4" s="944" t="s">
        <v>21</v>
      </c>
      <c r="B4" s="945"/>
      <c r="C4" s="150" t="s">
        <v>22</v>
      </c>
      <c r="D4" s="103" t="s">
        <v>23</v>
      </c>
      <c r="E4" s="104" t="s">
        <v>24</v>
      </c>
      <c r="F4" s="103" t="s">
        <v>535</v>
      </c>
      <c r="G4" s="103" t="s">
        <v>413</v>
      </c>
      <c r="H4" s="104" t="s">
        <v>24</v>
      </c>
      <c r="I4" s="583" t="s">
        <v>24</v>
      </c>
      <c r="J4" s="583" t="s">
        <v>24</v>
      </c>
      <c r="K4" s="583" t="s">
        <v>24</v>
      </c>
    </row>
    <row r="5" spans="1:11" s="285" customFormat="1" x14ac:dyDescent="0.25">
      <c r="A5" s="946"/>
      <c r="B5" s="947"/>
      <c r="C5" s="106"/>
      <c r="D5" s="333" t="s">
        <v>257</v>
      </c>
      <c r="E5" s="107" t="s">
        <v>382</v>
      </c>
      <c r="F5" s="107" t="s">
        <v>382</v>
      </c>
      <c r="G5" s="107" t="s">
        <v>382</v>
      </c>
      <c r="H5" s="107" t="s">
        <v>407</v>
      </c>
      <c r="I5" s="586" t="s">
        <v>414</v>
      </c>
      <c r="J5" s="586" t="s">
        <v>530</v>
      </c>
      <c r="K5" s="586" t="s">
        <v>886</v>
      </c>
    </row>
    <row r="6" spans="1:11" s="285" customFormat="1" x14ac:dyDescent="0.25">
      <c r="A6" s="344"/>
      <c r="B6" s="151"/>
      <c r="C6" s="93" t="s">
        <v>33</v>
      </c>
      <c r="D6" s="85"/>
      <c r="E6" s="85"/>
      <c r="F6" s="85"/>
      <c r="G6" s="428"/>
      <c r="H6" s="85"/>
      <c r="I6" s="428"/>
      <c r="J6" s="85"/>
      <c r="K6" s="85"/>
    </row>
    <row r="7" spans="1:11" s="285" customFormat="1" x14ac:dyDescent="0.25">
      <c r="A7" s="118">
        <v>28</v>
      </c>
      <c r="B7" s="155">
        <v>5005</v>
      </c>
      <c r="C7" s="94" t="s">
        <v>241</v>
      </c>
      <c r="D7" s="85">
        <v>3600</v>
      </c>
      <c r="E7" s="85">
        <v>7700</v>
      </c>
      <c r="F7" s="85">
        <v>7700</v>
      </c>
      <c r="G7" s="428">
        <v>7700</v>
      </c>
      <c r="H7" s="428">
        <f t="shared" ref="H7:H17" si="0">(F7*0.068)+F7</f>
        <v>8223.6</v>
      </c>
      <c r="I7" s="428">
        <f>+H7*1.058</f>
        <v>8700.5688000000009</v>
      </c>
      <c r="J7" s="428">
        <f>+I7*1.055</f>
        <v>9179.1000839999997</v>
      </c>
      <c r="K7" s="428">
        <f>+J7*1.053</f>
        <v>9665.5923884519998</v>
      </c>
    </row>
    <row r="8" spans="1:11" s="285" customFormat="1" x14ac:dyDescent="0.25">
      <c r="A8" s="118">
        <v>28</v>
      </c>
      <c r="B8" s="151">
        <v>5010</v>
      </c>
      <c r="C8" s="94" t="s">
        <v>34</v>
      </c>
      <c r="D8" s="85">
        <v>0</v>
      </c>
      <c r="E8" s="85"/>
      <c r="F8" s="85">
        <v>0</v>
      </c>
      <c r="G8" s="428">
        <v>0</v>
      </c>
      <c r="H8" s="428">
        <f t="shared" si="0"/>
        <v>0</v>
      </c>
      <c r="I8" s="428">
        <f t="shared" ref="I8:I17" si="1">+H8*1.058</f>
        <v>0</v>
      </c>
      <c r="J8" s="428">
        <f t="shared" ref="J8:J17" si="2">+I8*1.055</f>
        <v>0</v>
      </c>
      <c r="K8" s="428">
        <f t="shared" ref="K8:K17" si="3">+J8*1.053</f>
        <v>0</v>
      </c>
    </row>
    <row r="9" spans="1:11" s="285" customFormat="1" x14ac:dyDescent="0.25">
      <c r="A9" s="118">
        <v>28</v>
      </c>
      <c r="B9" s="151">
        <v>5015</v>
      </c>
      <c r="C9" s="94" t="s">
        <v>35</v>
      </c>
      <c r="D9" s="85">
        <v>6270</v>
      </c>
      <c r="E9" s="85">
        <v>7000</v>
      </c>
      <c r="F9" s="85">
        <v>7000</v>
      </c>
      <c r="G9" s="428">
        <v>7000</v>
      </c>
      <c r="H9" s="428">
        <f t="shared" si="0"/>
        <v>7476</v>
      </c>
      <c r="I9" s="428">
        <f t="shared" si="1"/>
        <v>7909.6080000000002</v>
      </c>
      <c r="J9" s="428">
        <f t="shared" si="2"/>
        <v>8344.6364400000002</v>
      </c>
      <c r="K9" s="428">
        <f t="shared" si="3"/>
        <v>8786.90217132</v>
      </c>
    </row>
    <row r="10" spans="1:11" s="285" customFormat="1" x14ac:dyDescent="0.25">
      <c r="A10" s="118">
        <v>28</v>
      </c>
      <c r="B10" s="151">
        <v>5020</v>
      </c>
      <c r="C10" s="94" t="s">
        <v>350</v>
      </c>
      <c r="D10" s="85">
        <v>338550</v>
      </c>
      <c r="E10" s="85">
        <v>129000</v>
      </c>
      <c r="F10" s="85">
        <v>129000</v>
      </c>
      <c r="G10" s="428">
        <v>129000</v>
      </c>
      <c r="H10" s="428">
        <f t="shared" si="0"/>
        <v>137772</v>
      </c>
      <c r="I10" s="428">
        <f t="shared" si="1"/>
        <v>145762.77600000001</v>
      </c>
      <c r="J10" s="428">
        <f t="shared" si="2"/>
        <v>153779.72868</v>
      </c>
      <c r="K10" s="428">
        <f t="shared" si="3"/>
        <v>161930.05430003998</v>
      </c>
    </row>
    <row r="11" spans="1:11" s="285" customFormat="1" x14ac:dyDescent="0.25">
      <c r="A11" s="118">
        <v>28</v>
      </c>
      <c r="B11" s="151">
        <v>5025</v>
      </c>
      <c r="C11" s="94" t="s">
        <v>36</v>
      </c>
      <c r="D11" s="85">
        <v>0</v>
      </c>
      <c r="E11" s="85"/>
      <c r="F11" s="85">
        <v>0</v>
      </c>
      <c r="G11" s="428">
        <v>0</v>
      </c>
      <c r="H11" s="428">
        <f t="shared" si="0"/>
        <v>0</v>
      </c>
      <c r="I11" s="428">
        <f t="shared" si="1"/>
        <v>0</v>
      </c>
      <c r="J11" s="428">
        <f t="shared" si="2"/>
        <v>0</v>
      </c>
      <c r="K11" s="428">
        <f t="shared" si="3"/>
        <v>0</v>
      </c>
    </row>
    <row r="12" spans="1:11" s="285" customFormat="1" x14ac:dyDescent="0.25">
      <c r="A12" s="118">
        <v>28</v>
      </c>
      <c r="B12" s="151">
        <v>5030</v>
      </c>
      <c r="C12" s="94" t="s">
        <v>85</v>
      </c>
      <c r="D12" s="85">
        <v>0</v>
      </c>
      <c r="E12" s="85"/>
      <c r="F12" s="85">
        <v>0</v>
      </c>
      <c r="G12" s="428">
        <v>0</v>
      </c>
      <c r="H12" s="428">
        <f t="shared" si="0"/>
        <v>0</v>
      </c>
      <c r="I12" s="428">
        <f t="shared" si="1"/>
        <v>0</v>
      </c>
      <c r="J12" s="428">
        <f t="shared" si="2"/>
        <v>0</v>
      </c>
      <c r="K12" s="428">
        <f t="shared" si="3"/>
        <v>0</v>
      </c>
    </row>
    <row r="13" spans="1:11" s="285" customFormat="1" x14ac:dyDescent="0.25">
      <c r="A13" s="118">
        <v>28</v>
      </c>
      <c r="B13" s="151">
        <v>5035</v>
      </c>
      <c r="C13" s="94" t="s">
        <v>84</v>
      </c>
      <c r="D13" s="85">
        <v>0</v>
      </c>
      <c r="E13" s="85"/>
      <c r="F13" s="85">
        <v>0</v>
      </c>
      <c r="G13" s="428">
        <v>0</v>
      </c>
      <c r="H13" s="428">
        <f t="shared" si="0"/>
        <v>0</v>
      </c>
      <c r="I13" s="428">
        <f t="shared" si="1"/>
        <v>0</v>
      </c>
      <c r="J13" s="428">
        <f t="shared" si="2"/>
        <v>0</v>
      </c>
      <c r="K13" s="428">
        <f t="shared" si="3"/>
        <v>0</v>
      </c>
    </row>
    <row r="14" spans="1:11" s="285" customFormat="1" x14ac:dyDescent="0.25">
      <c r="A14" s="118">
        <v>28</v>
      </c>
      <c r="B14" s="151">
        <v>5040</v>
      </c>
      <c r="C14" s="94" t="s">
        <v>37</v>
      </c>
      <c r="D14" s="85">
        <v>73700</v>
      </c>
      <c r="E14" s="85">
        <v>208000</v>
      </c>
      <c r="F14" s="85">
        <v>208000</v>
      </c>
      <c r="G14" s="428">
        <v>208000</v>
      </c>
      <c r="H14" s="428">
        <f t="shared" si="0"/>
        <v>222144</v>
      </c>
      <c r="I14" s="428">
        <f t="shared" si="1"/>
        <v>235028.35200000001</v>
      </c>
      <c r="J14" s="428">
        <f t="shared" si="2"/>
        <v>247954.91136</v>
      </c>
      <c r="K14" s="428">
        <f t="shared" si="3"/>
        <v>261096.52166207999</v>
      </c>
    </row>
    <row r="15" spans="1:11" s="285" customFormat="1" x14ac:dyDescent="0.25">
      <c r="A15" s="118">
        <v>28</v>
      </c>
      <c r="B15" s="151">
        <v>5045</v>
      </c>
      <c r="C15" s="94" t="s">
        <v>38</v>
      </c>
      <c r="D15" s="85">
        <v>0</v>
      </c>
      <c r="E15" s="85"/>
      <c r="F15" s="85">
        <v>0</v>
      </c>
      <c r="G15" s="428">
        <v>0</v>
      </c>
      <c r="H15" s="428">
        <f t="shared" si="0"/>
        <v>0</v>
      </c>
      <c r="I15" s="428">
        <f t="shared" si="1"/>
        <v>0</v>
      </c>
      <c r="J15" s="428">
        <f t="shared" si="2"/>
        <v>0</v>
      </c>
      <c r="K15" s="428">
        <f t="shared" si="3"/>
        <v>0</v>
      </c>
    </row>
    <row r="16" spans="1:11" s="285" customFormat="1" x14ac:dyDescent="0.25">
      <c r="A16" s="118">
        <v>28</v>
      </c>
      <c r="B16" s="151">
        <v>5050</v>
      </c>
      <c r="C16" s="94" t="s">
        <v>83</v>
      </c>
      <c r="D16" s="85">
        <v>22000</v>
      </c>
      <c r="E16" s="85">
        <v>39000</v>
      </c>
      <c r="F16" s="85">
        <v>39000</v>
      </c>
      <c r="G16" s="428">
        <v>39000</v>
      </c>
      <c r="H16" s="428">
        <f t="shared" si="0"/>
        <v>41652</v>
      </c>
      <c r="I16" s="428">
        <f t="shared" si="1"/>
        <v>44067.815999999999</v>
      </c>
      <c r="J16" s="428">
        <f t="shared" si="2"/>
        <v>46491.545879999998</v>
      </c>
      <c r="K16" s="428">
        <f t="shared" si="3"/>
        <v>48955.597811639993</v>
      </c>
    </row>
    <row r="17" spans="1:12" s="285" customFormat="1" x14ac:dyDescent="0.25">
      <c r="A17" s="118">
        <v>28</v>
      </c>
      <c r="B17" s="151">
        <v>5055</v>
      </c>
      <c r="C17" s="94" t="s">
        <v>39</v>
      </c>
      <c r="D17" s="85">
        <v>1632600</v>
      </c>
      <c r="E17" s="85">
        <v>3440000</v>
      </c>
      <c r="F17" s="85">
        <v>3440000</v>
      </c>
      <c r="G17" s="428">
        <v>3440000</v>
      </c>
      <c r="H17" s="428">
        <f t="shared" si="0"/>
        <v>3673920</v>
      </c>
      <c r="I17" s="428">
        <f t="shared" si="1"/>
        <v>3887007.3600000003</v>
      </c>
      <c r="J17" s="428">
        <f t="shared" si="2"/>
        <v>4100792.7648</v>
      </c>
      <c r="K17" s="428">
        <f t="shared" si="3"/>
        <v>4318134.7813344002</v>
      </c>
    </row>
    <row r="18" spans="1:12" s="285" customFormat="1" x14ac:dyDescent="0.25">
      <c r="A18" s="344"/>
      <c r="B18" s="151"/>
      <c r="C18" s="94"/>
      <c r="D18" s="429">
        <f t="shared" ref="D18:L18" si="4">SUM(D7:D17)</f>
        <v>2076720</v>
      </c>
      <c r="E18" s="89">
        <f t="shared" si="4"/>
        <v>3830700</v>
      </c>
      <c r="F18" s="429">
        <f t="shared" si="4"/>
        <v>3830700</v>
      </c>
      <c r="G18" s="429">
        <f t="shared" si="4"/>
        <v>3830700</v>
      </c>
      <c r="H18" s="429">
        <f t="shared" si="4"/>
        <v>4091187.6</v>
      </c>
      <c r="I18" s="429">
        <f t="shared" si="4"/>
        <v>4328476.4808</v>
      </c>
      <c r="J18" s="429">
        <f t="shared" si="4"/>
        <v>4566542.6872439999</v>
      </c>
      <c r="K18" s="429">
        <f t="shared" si="4"/>
        <v>4808569.4496679325</v>
      </c>
      <c r="L18" s="429">
        <f t="shared" si="4"/>
        <v>0</v>
      </c>
    </row>
    <row r="19" spans="1:12" s="285" customFormat="1" x14ac:dyDescent="0.25">
      <c r="A19" s="344"/>
      <c r="B19" s="151"/>
      <c r="C19" s="93" t="s">
        <v>40</v>
      </c>
      <c r="D19" s="85"/>
      <c r="E19" s="86"/>
      <c r="F19" s="86"/>
      <c r="G19" s="86"/>
      <c r="H19" s="86"/>
      <c r="I19" s="86"/>
      <c r="J19" s="86"/>
      <c r="K19" s="88"/>
    </row>
    <row r="20" spans="1:12" s="285" customFormat="1" x14ac:dyDescent="0.25">
      <c r="A20" s="118">
        <v>28</v>
      </c>
      <c r="B20" s="151">
        <v>5105</v>
      </c>
      <c r="C20" s="94" t="s">
        <v>41</v>
      </c>
      <c r="D20" s="85">
        <v>77500</v>
      </c>
      <c r="E20" s="85">
        <v>225000</v>
      </c>
      <c r="F20" s="85">
        <v>225000</v>
      </c>
      <c r="G20" s="428">
        <v>225000</v>
      </c>
      <c r="H20" s="428">
        <f>(F20*0.068)+F20</f>
        <v>240300</v>
      </c>
      <c r="I20" s="428">
        <f>+H20*1.058</f>
        <v>254237.40000000002</v>
      </c>
      <c r="J20" s="428">
        <f>+I20*1.055</f>
        <v>268220.45699999999</v>
      </c>
      <c r="K20" s="428">
        <f>+J20*1.053</f>
        <v>282436.141221</v>
      </c>
    </row>
    <row r="21" spans="1:12" s="285" customFormat="1" x14ac:dyDescent="0.25">
      <c r="A21" s="118">
        <v>28</v>
      </c>
      <c r="B21" s="151">
        <v>5115</v>
      </c>
      <c r="C21" s="94" t="s">
        <v>42</v>
      </c>
      <c r="D21" s="85">
        <v>179200</v>
      </c>
      <c r="E21" s="85">
        <v>435000</v>
      </c>
      <c r="F21" s="85">
        <v>435000</v>
      </c>
      <c r="G21" s="428">
        <v>435000</v>
      </c>
      <c r="H21" s="428">
        <f>(F21*0.068)+F21</f>
        <v>464580</v>
      </c>
      <c r="I21" s="428">
        <f>+H21*1.058</f>
        <v>491525.64</v>
      </c>
      <c r="J21" s="428">
        <f>+I21*1.055</f>
        <v>518559.5502</v>
      </c>
      <c r="K21" s="428">
        <f>+J21*1.053</f>
        <v>546043.20636059996</v>
      </c>
    </row>
    <row r="22" spans="1:12" s="285" customFormat="1" x14ac:dyDescent="0.25">
      <c r="A22" s="118">
        <v>28</v>
      </c>
      <c r="B22" s="151">
        <v>5120</v>
      </c>
      <c r="C22" s="94" t="s">
        <v>43</v>
      </c>
      <c r="D22" s="85">
        <v>0</v>
      </c>
      <c r="E22" s="85">
        <v>25200</v>
      </c>
      <c r="F22" s="85">
        <v>25200</v>
      </c>
      <c r="G22" s="428">
        <v>25200</v>
      </c>
      <c r="H22" s="428">
        <f>(F22*0.068)+F22</f>
        <v>26913.599999999999</v>
      </c>
      <c r="I22" s="428">
        <f>+H22*1.058</f>
        <v>28474.588800000001</v>
      </c>
      <c r="J22" s="428">
        <f>+I22*1.055</f>
        <v>30040.691183999999</v>
      </c>
      <c r="K22" s="428">
        <f>+J22*1.053</f>
        <v>31632.847816751997</v>
      </c>
    </row>
    <row r="23" spans="1:12" s="285" customFormat="1" x14ac:dyDescent="0.25">
      <c r="A23" s="118">
        <v>28</v>
      </c>
      <c r="B23" s="151">
        <v>5125</v>
      </c>
      <c r="C23" s="94" t="s">
        <v>44</v>
      </c>
      <c r="D23" s="85">
        <v>0</v>
      </c>
      <c r="E23" s="85"/>
      <c r="F23" s="85">
        <v>0</v>
      </c>
      <c r="G23" s="428">
        <v>0</v>
      </c>
      <c r="H23" s="428">
        <f>(F23*0.068)+F23</f>
        <v>0</v>
      </c>
      <c r="I23" s="428">
        <f>+H23*1.058</f>
        <v>0</v>
      </c>
      <c r="J23" s="428">
        <f>+I23*1.055</f>
        <v>0</v>
      </c>
      <c r="K23" s="428">
        <f>+J23*1.053</f>
        <v>0</v>
      </c>
    </row>
    <row r="24" spans="1:12" s="285" customFormat="1" x14ac:dyDescent="0.25">
      <c r="A24" s="118">
        <v>28</v>
      </c>
      <c r="B24" s="151">
        <v>5130</v>
      </c>
      <c r="C24" s="94" t="s">
        <v>45</v>
      </c>
      <c r="D24" s="85">
        <v>9000</v>
      </c>
      <c r="E24" s="85">
        <v>25200</v>
      </c>
      <c r="F24" s="85">
        <v>25200</v>
      </c>
      <c r="G24" s="428">
        <v>25200</v>
      </c>
      <c r="H24" s="428">
        <f>(F24*0.068)+F24</f>
        <v>26913.599999999999</v>
      </c>
      <c r="I24" s="428">
        <f>+H24*1.058</f>
        <v>28474.588800000001</v>
      </c>
      <c r="J24" s="428">
        <f>+I24*1.055</f>
        <v>30040.691183999999</v>
      </c>
      <c r="K24" s="428">
        <f>+J24*1.053</f>
        <v>31632.847816751997</v>
      </c>
    </row>
    <row r="25" spans="1:12" s="285" customFormat="1" x14ac:dyDescent="0.25">
      <c r="A25" s="344"/>
      <c r="B25" s="151"/>
      <c r="C25" s="94"/>
      <c r="D25" s="429">
        <f t="shared" ref="D25:K25" si="5">SUM(D20:D24)</f>
        <v>265700</v>
      </c>
      <c r="E25" s="89">
        <f t="shared" si="5"/>
        <v>710400</v>
      </c>
      <c r="F25" s="429">
        <f t="shared" si="5"/>
        <v>710400</v>
      </c>
      <c r="G25" s="429">
        <f t="shared" si="5"/>
        <v>710400</v>
      </c>
      <c r="H25" s="429">
        <f t="shared" si="5"/>
        <v>758707.19999999995</v>
      </c>
      <c r="I25" s="429">
        <f t="shared" si="5"/>
        <v>802712.21760000009</v>
      </c>
      <c r="J25" s="429">
        <f t="shared" si="5"/>
        <v>846861.38956799998</v>
      </c>
      <c r="K25" s="429">
        <f t="shared" si="5"/>
        <v>891745.04321510403</v>
      </c>
    </row>
    <row r="26" spans="1:12" s="285" customFormat="1" hidden="1" x14ac:dyDescent="0.25">
      <c r="A26" s="344"/>
      <c r="B26" s="151"/>
      <c r="C26" s="93" t="s">
        <v>46</v>
      </c>
      <c r="D26" s="85"/>
      <c r="E26" s="86"/>
      <c r="F26" s="86"/>
      <c r="G26" s="86"/>
      <c r="H26" s="86"/>
      <c r="I26" s="86"/>
      <c r="J26" s="86"/>
      <c r="K26" s="86"/>
    </row>
    <row r="27" spans="1:12" s="285" customFormat="1" hidden="1" x14ac:dyDescent="0.25">
      <c r="A27" s="344"/>
      <c r="B27" s="151"/>
      <c r="C27" s="93" t="s">
        <v>47</v>
      </c>
      <c r="D27" s="85"/>
      <c r="E27" s="86"/>
      <c r="F27" s="86"/>
      <c r="G27" s="86"/>
      <c r="H27" s="86"/>
      <c r="I27" s="86"/>
      <c r="J27" s="86"/>
      <c r="K27" s="86"/>
    </row>
    <row r="28" spans="1:12" s="285" customFormat="1" hidden="1" x14ac:dyDescent="0.25">
      <c r="A28" s="118">
        <v>28</v>
      </c>
      <c r="B28" s="151">
        <v>5150</v>
      </c>
      <c r="C28" s="94" t="s">
        <v>48</v>
      </c>
      <c r="D28" s="85"/>
      <c r="E28" s="85"/>
      <c r="F28" s="85">
        <v>0</v>
      </c>
      <c r="G28" s="428">
        <v>0</v>
      </c>
      <c r="H28" s="85"/>
      <c r="I28" s="428"/>
      <c r="J28" s="85"/>
      <c r="K28" s="85"/>
    </row>
    <row r="29" spans="1:12" s="285" customFormat="1" hidden="1" x14ac:dyDescent="0.25">
      <c r="A29" s="344"/>
      <c r="B29" s="151"/>
      <c r="C29" s="94"/>
      <c r="D29" s="89"/>
      <c r="E29" s="89">
        <f>E28</f>
        <v>0</v>
      </c>
      <c r="F29" s="89">
        <v>0</v>
      </c>
      <c r="G29" s="429">
        <v>0</v>
      </c>
      <c r="H29" s="89"/>
      <c r="I29" s="429"/>
      <c r="J29" s="89"/>
      <c r="K29" s="89"/>
    </row>
    <row r="30" spans="1:12" s="285" customFormat="1" hidden="1" x14ac:dyDescent="0.25">
      <c r="A30" s="344"/>
      <c r="B30" s="151"/>
      <c r="C30" s="93" t="s">
        <v>49</v>
      </c>
      <c r="D30" s="85"/>
      <c r="E30" s="86"/>
      <c r="F30" s="86"/>
      <c r="G30" s="86"/>
      <c r="H30" s="86"/>
      <c r="I30" s="86"/>
      <c r="J30" s="86"/>
      <c r="K30" s="86"/>
    </row>
    <row r="31" spans="1:12" s="285" customFormat="1" hidden="1" x14ac:dyDescent="0.25">
      <c r="A31" s="118">
        <v>28</v>
      </c>
      <c r="B31" s="151">
        <v>5170</v>
      </c>
      <c r="C31" s="94" t="s">
        <v>341</v>
      </c>
      <c r="D31" s="425"/>
      <c r="E31" s="108"/>
      <c r="F31" s="425"/>
      <c r="G31" s="428"/>
      <c r="H31" s="85"/>
      <c r="I31" s="428"/>
      <c r="J31" s="85"/>
      <c r="K31" s="85"/>
    </row>
    <row r="32" spans="1:12" s="285" customFormat="1" hidden="1" x14ac:dyDescent="0.25">
      <c r="A32" s="344"/>
      <c r="B32" s="151"/>
      <c r="C32" s="94"/>
      <c r="D32" s="89"/>
      <c r="E32" s="429"/>
      <c r="F32" s="429"/>
      <c r="G32" s="429"/>
      <c r="H32" s="429"/>
      <c r="I32" s="429"/>
      <c r="J32" s="429"/>
      <c r="K32" s="429"/>
    </row>
    <row r="33" spans="1:11" s="285" customFormat="1" hidden="1" x14ac:dyDescent="0.25">
      <c r="A33" s="344"/>
      <c r="B33" s="151"/>
      <c r="C33" s="93" t="s">
        <v>50</v>
      </c>
      <c r="D33" s="85"/>
      <c r="E33" s="86"/>
      <c r="F33" s="86"/>
      <c r="G33" s="86"/>
      <c r="H33" s="86"/>
      <c r="I33" s="86"/>
      <c r="J33" s="86"/>
      <c r="K33" s="86"/>
    </row>
    <row r="34" spans="1:11" s="285" customFormat="1" hidden="1" x14ac:dyDescent="0.25">
      <c r="A34" s="118">
        <v>28</v>
      </c>
      <c r="B34" s="151">
        <v>5180</v>
      </c>
      <c r="C34" s="94" t="s">
        <v>51</v>
      </c>
      <c r="D34" s="85"/>
      <c r="E34" s="108"/>
      <c r="F34" s="85"/>
      <c r="G34" s="428"/>
      <c r="H34" s="85"/>
      <c r="I34" s="428"/>
      <c r="J34" s="85"/>
      <c r="K34" s="108"/>
    </row>
    <row r="35" spans="1:11" s="285" customFormat="1" hidden="1" x14ac:dyDescent="0.25">
      <c r="A35" s="344"/>
      <c r="B35" s="151"/>
      <c r="C35" s="94"/>
      <c r="D35" s="89"/>
      <c r="E35" s="89">
        <f>SUM(E34)</f>
        <v>0</v>
      </c>
      <c r="F35" s="89">
        <v>0</v>
      </c>
      <c r="G35" s="429">
        <v>0</v>
      </c>
      <c r="H35" s="89"/>
      <c r="I35" s="429"/>
      <c r="J35" s="89"/>
      <c r="K35" s="89"/>
    </row>
    <row r="36" spans="1:11" s="285" customFormat="1" hidden="1" x14ac:dyDescent="0.25">
      <c r="A36" s="344"/>
      <c r="B36" s="151"/>
      <c r="C36" s="93" t="s">
        <v>52</v>
      </c>
      <c r="D36" s="85"/>
      <c r="E36" s="86"/>
      <c r="F36" s="86"/>
      <c r="G36" s="86"/>
      <c r="H36" s="86"/>
      <c r="I36" s="86"/>
      <c r="J36" s="86"/>
      <c r="K36" s="86"/>
    </row>
    <row r="37" spans="1:11" s="285" customFormat="1" hidden="1" x14ac:dyDescent="0.25">
      <c r="A37" s="118">
        <v>28</v>
      </c>
      <c r="B37" s="151">
        <v>5190</v>
      </c>
      <c r="C37" s="94" t="s">
        <v>53</v>
      </c>
      <c r="D37" s="85"/>
      <c r="E37" s="108"/>
      <c r="F37" s="85"/>
      <c r="G37" s="428"/>
      <c r="H37" s="85"/>
      <c r="I37" s="428"/>
      <c r="J37" s="85"/>
      <c r="K37" s="85"/>
    </row>
    <row r="38" spans="1:11" s="285" customFormat="1" hidden="1" x14ac:dyDescent="0.25">
      <c r="A38" s="344"/>
      <c r="B38" s="151"/>
      <c r="C38" s="94"/>
      <c r="D38" s="89"/>
      <c r="E38" s="89">
        <f>E37</f>
        <v>0</v>
      </c>
      <c r="F38" s="89">
        <v>0</v>
      </c>
      <c r="G38" s="429">
        <v>0</v>
      </c>
      <c r="H38" s="89"/>
      <c r="I38" s="429"/>
      <c r="J38" s="89"/>
      <c r="K38" s="89"/>
    </row>
    <row r="39" spans="1:11" s="285" customFormat="1" x14ac:dyDescent="0.25">
      <c r="A39" s="344"/>
      <c r="B39" s="151"/>
      <c r="C39" s="93" t="s">
        <v>54</v>
      </c>
      <c r="D39" s="85"/>
      <c r="E39" s="86"/>
      <c r="F39" s="86"/>
      <c r="G39" s="86"/>
      <c r="H39" s="86"/>
      <c r="I39" s="86"/>
      <c r="J39" s="86"/>
      <c r="K39" s="88"/>
    </row>
    <row r="40" spans="1:11" s="285" customFormat="1" x14ac:dyDescent="0.25">
      <c r="A40" s="118">
        <v>28</v>
      </c>
      <c r="B40" s="151">
        <v>5200</v>
      </c>
      <c r="C40" s="94" t="s">
        <v>55</v>
      </c>
      <c r="D40" s="85"/>
      <c r="E40" s="108">
        <v>0</v>
      </c>
      <c r="F40" s="85">
        <v>0</v>
      </c>
      <c r="G40" s="428">
        <v>0</v>
      </c>
      <c r="H40" s="85"/>
      <c r="J40" s="85"/>
      <c r="K40" s="85"/>
    </row>
    <row r="41" spans="1:11" s="285" customFormat="1" x14ac:dyDescent="0.25">
      <c r="A41" s="118">
        <v>28</v>
      </c>
      <c r="B41" s="151">
        <v>5205</v>
      </c>
      <c r="C41" s="94" t="s">
        <v>56</v>
      </c>
      <c r="D41" s="85">
        <v>1617</v>
      </c>
      <c r="E41" s="108"/>
      <c r="F41" s="85">
        <v>0</v>
      </c>
      <c r="G41" s="428">
        <v>0</v>
      </c>
      <c r="H41" s="85"/>
      <c r="I41" s="428"/>
      <c r="J41" s="85"/>
      <c r="K41" s="85"/>
    </row>
    <row r="42" spans="1:11" s="285" customFormat="1" x14ac:dyDescent="0.25">
      <c r="A42" s="118">
        <v>28</v>
      </c>
      <c r="B42" s="151">
        <v>5210</v>
      </c>
      <c r="C42" s="94" t="s">
        <v>57</v>
      </c>
      <c r="D42" s="85"/>
      <c r="E42" s="108">
        <v>31649.999999999996</v>
      </c>
      <c r="F42" s="85">
        <v>31649.999999999996</v>
      </c>
      <c r="G42" s="428">
        <v>31649.999999999996</v>
      </c>
      <c r="H42" s="85">
        <v>20000</v>
      </c>
      <c r="I42" s="428"/>
      <c r="J42" s="85"/>
      <c r="K42" s="85"/>
    </row>
    <row r="43" spans="1:11" s="285" customFormat="1" x14ac:dyDescent="0.25">
      <c r="A43" s="118">
        <v>28</v>
      </c>
      <c r="B43" s="151">
        <v>5215</v>
      </c>
      <c r="C43" s="94" t="s">
        <v>95</v>
      </c>
      <c r="D43" s="85"/>
      <c r="E43" s="108"/>
      <c r="F43" s="85">
        <v>0</v>
      </c>
      <c r="G43" s="428">
        <v>0</v>
      </c>
      <c r="H43" s="85"/>
      <c r="I43" s="428"/>
      <c r="J43" s="85"/>
      <c r="K43" s="85"/>
    </row>
    <row r="44" spans="1:11" s="285" customFormat="1" x14ac:dyDescent="0.25">
      <c r="A44" s="118">
        <v>28</v>
      </c>
      <c r="B44" s="151">
        <v>5220</v>
      </c>
      <c r="C44" s="94" t="s">
        <v>58</v>
      </c>
      <c r="D44" s="85"/>
      <c r="E44" s="108"/>
      <c r="F44" s="85">
        <v>0</v>
      </c>
      <c r="G44" s="428">
        <v>0</v>
      </c>
      <c r="H44" s="85"/>
      <c r="I44" s="428"/>
      <c r="J44" s="85"/>
      <c r="K44" s="85"/>
    </row>
    <row r="45" spans="1:11" s="285" customFormat="1" x14ac:dyDescent="0.25">
      <c r="A45" s="118">
        <v>28</v>
      </c>
      <c r="B45" s="151">
        <v>5225</v>
      </c>
      <c r="C45" s="94" t="s">
        <v>92</v>
      </c>
      <c r="D45" s="85"/>
      <c r="E45" s="108"/>
      <c r="F45" s="85">
        <v>0</v>
      </c>
      <c r="G45" s="428">
        <v>0</v>
      </c>
      <c r="H45" s="85"/>
      <c r="I45" s="428"/>
      <c r="J45" s="85"/>
      <c r="K45" s="85"/>
    </row>
    <row r="46" spans="1:11" s="285" customFormat="1" x14ac:dyDescent="0.25">
      <c r="A46" s="118">
        <v>28</v>
      </c>
      <c r="B46" s="151">
        <v>5230</v>
      </c>
      <c r="C46" s="94" t="s">
        <v>86</v>
      </c>
      <c r="D46" s="85"/>
      <c r="E46" s="108"/>
      <c r="F46" s="85">
        <v>0</v>
      </c>
      <c r="G46" s="428">
        <v>0</v>
      </c>
      <c r="H46" s="85"/>
      <c r="I46" s="428"/>
      <c r="J46" s="85"/>
      <c r="K46" s="85"/>
    </row>
    <row r="47" spans="1:11" s="285" customFormat="1" x14ac:dyDescent="0.25">
      <c r="A47" s="118">
        <v>28</v>
      </c>
      <c r="B47" s="151">
        <v>5235</v>
      </c>
      <c r="C47" s="94" t="s">
        <v>124</v>
      </c>
      <c r="D47" s="85"/>
      <c r="E47" s="108"/>
      <c r="F47" s="85">
        <v>0</v>
      </c>
      <c r="G47" s="428">
        <v>0</v>
      </c>
      <c r="H47" s="85"/>
      <c r="I47" s="428"/>
      <c r="J47" s="85"/>
      <c r="K47" s="85"/>
    </row>
    <row r="48" spans="1:11" s="285" customFormat="1" x14ac:dyDescent="0.25">
      <c r="A48" s="118">
        <v>28</v>
      </c>
      <c r="B48" s="151">
        <v>5240</v>
      </c>
      <c r="C48" s="94" t="s">
        <v>59</v>
      </c>
      <c r="D48" s="85"/>
      <c r="E48" s="108"/>
      <c r="F48" s="85">
        <v>0</v>
      </c>
      <c r="G48" s="428">
        <v>0</v>
      </c>
      <c r="H48" s="85"/>
      <c r="I48" s="428"/>
      <c r="J48" s="85"/>
      <c r="K48" s="85"/>
    </row>
    <row r="49" spans="1:11" s="285" customFormat="1" x14ac:dyDescent="0.25">
      <c r="A49" s="118">
        <v>28</v>
      </c>
      <c r="B49" s="151">
        <v>5245</v>
      </c>
      <c r="C49" s="94" t="s">
        <v>91</v>
      </c>
      <c r="D49" s="85"/>
      <c r="E49" s="108"/>
      <c r="F49" s="85">
        <v>0</v>
      </c>
      <c r="G49" s="428">
        <v>0</v>
      </c>
      <c r="H49" s="85"/>
      <c r="I49" s="428"/>
      <c r="J49" s="85"/>
      <c r="K49" s="85"/>
    </row>
    <row r="50" spans="1:11" s="285" customFormat="1" x14ac:dyDescent="0.25">
      <c r="A50" s="118">
        <v>28</v>
      </c>
      <c r="B50" s="151">
        <v>5250</v>
      </c>
      <c r="C50" s="94" t="s">
        <v>88</v>
      </c>
      <c r="D50" s="85">
        <v>134</v>
      </c>
      <c r="E50" s="108">
        <v>147.69999999999999</v>
      </c>
      <c r="F50" s="85">
        <v>147.69999999999999</v>
      </c>
      <c r="G50" s="428">
        <v>147.69999999999999</v>
      </c>
      <c r="H50" s="85"/>
      <c r="I50" s="428"/>
      <c r="J50" s="85"/>
      <c r="K50" s="85"/>
    </row>
    <row r="51" spans="1:11" s="285" customFormat="1" hidden="1" x14ac:dyDescent="0.25">
      <c r="A51" s="118">
        <v>28</v>
      </c>
      <c r="B51" s="151">
        <v>5255</v>
      </c>
      <c r="C51" s="94" t="s">
        <v>125</v>
      </c>
      <c r="D51" s="85"/>
      <c r="E51" s="108"/>
      <c r="F51" s="85">
        <v>0</v>
      </c>
      <c r="G51" s="428">
        <v>0</v>
      </c>
      <c r="H51" s="85"/>
      <c r="I51" s="428"/>
      <c r="J51" s="85"/>
      <c r="K51" s="85"/>
    </row>
    <row r="52" spans="1:11" s="285" customFormat="1" hidden="1" x14ac:dyDescent="0.25">
      <c r="A52" s="118">
        <v>28</v>
      </c>
      <c r="B52" s="151">
        <v>5260</v>
      </c>
      <c r="C52" s="94" t="s">
        <v>90</v>
      </c>
      <c r="D52" s="85"/>
      <c r="E52" s="108"/>
      <c r="F52" s="85">
        <v>0</v>
      </c>
      <c r="G52" s="428">
        <v>0</v>
      </c>
      <c r="H52" s="85"/>
      <c r="I52" s="428"/>
      <c r="J52" s="85"/>
      <c r="K52" s="85"/>
    </row>
    <row r="53" spans="1:11" s="285" customFormat="1" hidden="1" x14ac:dyDescent="0.25">
      <c r="A53" s="118">
        <v>28</v>
      </c>
      <c r="B53" s="151">
        <v>5265</v>
      </c>
      <c r="C53" s="94"/>
      <c r="D53" s="85"/>
      <c r="E53" s="108"/>
      <c r="F53" s="85">
        <v>0</v>
      </c>
      <c r="G53" s="428">
        <v>0</v>
      </c>
      <c r="H53" s="85"/>
      <c r="I53" s="428"/>
      <c r="J53" s="85"/>
      <c r="K53" s="85"/>
    </row>
    <row r="54" spans="1:11" s="285" customFormat="1" hidden="1" x14ac:dyDescent="0.25">
      <c r="A54" s="118">
        <v>28</v>
      </c>
      <c r="B54" s="151">
        <v>5270</v>
      </c>
      <c r="C54" s="94" t="s">
        <v>89</v>
      </c>
      <c r="D54" s="85"/>
      <c r="E54" s="108"/>
      <c r="F54" s="85">
        <v>0</v>
      </c>
      <c r="G54" s="428">
        <v>0</v>
      </c>
      <c r="H54" s="85"/>
      <c r="I54" s="428"/>
      <c r="J54" s="85"/>
      <c r="K54" s="85"/>
    </row>
    <row r="55" spans="1:11" s="285" customFormat="1" hidden="1" x14ac:dyDescent="0.25">
      <c r="A55" s="118">
        <v>28</v>
      </c>
      <c r="B55" s="151">
        <v>5275</v>
      </c>
      <c r="C55" s="94" t="s">
        <v>93</v>
      </c>
      <c r="D55" s="85"/>
      <c r="E55" s="108"/>
      <c r="F55" s="85">
        <v>0</v>
      </c>
      <c r="G55" s="428">
        <v>0</v>
      </c>
      <c r="H55" s="85"/>
      <c r="I55" s="428"/>
      <c r="J55" s="85"/>
      <c r="K55" s="85"/>
    </row>
    <row r="56" spans="1:11" s="285" customFormat="1" hidden="1" x14ac:dyDescent="0.25">
      <c r="A56" s="118">
        <v>28</v>
      </c>
      <c r="B56" s="151">
        <v>5280</v>
      </c>
      <c r="C56" s="94" t="s">
        <v>94</v>
      </c>
      <c r="D56" s="85"/>
      <c r="E56" s="108"/>
      <c r="F56" s="85">
        <v>0</v>
      </c>
      <c r="G56" s="428">
        <v>0</v>
      </c>
      <c r="H56" s="85"/>
      <c r="I56" s="428"/>
      <c r="J56" s="85"/>
      <c r="K56" s="85"/>
    </row>
    <row r="57" spans="1:11" s="285" customFormat="1" x14ac:dyDescent="0.25">
      <c r="A57" s="118">
        <v>28</v>
      </c>
      <c r="B57" s="151">
        <v>5285</v>
      </c>
      <c r="C57" s="94" t="s">
        <v>60</v>
      </c>
      <c r="D57" s="85">
        <v>14543</v>
      </c>
      <c r="E57" s="85">
        <v>16079.254999999999</v>
      </c>
      <c r="F57" s="85">
        <v>16079.254999999999</v>
      </c>
      <c r="G57" s="428">
        <v>16079.254999999999</v>
      </c>
      <c r="H57" s="85">
        <v>16000</v>
      </c>
      <c r="I57" s="428"/>
      <c r="J57" s="85"/>
      <c r="K57" s="85"/>
    </row>
    <row r="58" spans="1:11" s="285" customFormat="1" x14ac:dyDescent="0.25">
      <c r="A58" s="118">
        <v>28</v>
      </c>
      <c r="B58" s="151">
        <v>5290</v>
      </c>
      <c r="C58" s="94" t="s">
        <v>186</v>
      </c>
      <c r="D58" s="85"/>
      <c r="E58" s="108">
        <v>0</v>
      </c>
      <c r="F58" s="85">
        <v>0</v>
      </c>
      <c r="G58" s="428">
        <v>0</v>
      </c>
      <c r="H58" s="85">
        <v>0</v>
      </c>
      <c r="I58" s="428"/>
      <c r="J58" s="85"/>
      <c r="K58" s="85"/>
    </row>
    <row r="59" spans="1:11" s="285" customFormat="1" x14ac:dyDescent="0.25">
      <c r="A59" s="344"/>
      <c r="B59" s="151"/>
      <c r="C59" s="94"/>
      <c r="D59" s="439">
        <f>SUM(D40:D58)</f>
        <v>16294</v>
      </c>
      <c r="E59" s="110">
        <f>SUM(E40:E58)</f>
        <v>47876.954999999994</v>
      </c>
      <c r="F59" s="110">
        <f>SUM(F40:F58)</f>
        <v>47876.954999999994</v>
      </c>
      <c r="G59" s="439">
        <f>SUM(G40:G58)</f>
        <v>47876.954999999994</v>
      </c>
      <c r="H59" s="439">
        <f>SUM(H40:H58)</f>
        <v>36000</v>
      </c>
      <c r="I59" s="439"/>
      <c r="J59" s="110"/>
      <c r="K59" s="110"/>
    </row>
    <row r="60" spans="1:11" s="285" customFormat="1" hidden="1" x14ac:dyDescent="0.25">
      <c r="A60" s="344"/>
      <c r="B60" s="151"/>
      <c r="C60" s="93" t="s">
        <v>198</v>
      </c>
      <c r="D60" s="85"/>
      <c r="E60" s="112"/>
      <c r="F60" s="112"/>
      <c r="G60" s="112"/>
      <c r="H60" s="112"/>
      <c r="I60" s="112"/>
      <c r="J60" s="112"/>
      <c r="K60" s="112"/>
    </row>
    <row r="61" spans="1:11" s="285" customFormat="1" hidden="1" x14ac:dyDescent="0.25">
      <c r="A61" s="118">
        <v>28</v>
      </c>
      <c r="B61" s="151">
        <v>5400</v>
      </c>
      <c r="C61" s="94" t="s">
        <v>334</v>
      </c>
      <c r="D61" s="85"/>
      <c r="E61" s="86"/>
      <c r="F61" s="85"/>
      <c r="G61" s="86"/>
      <c r="H61" s="86"/>
      <c r="I61" s="86"/>
      <c r="J61" s="86"/>
      <c r="K61" s="86"/>
    </row>
    <row r="62" spans="1:11" s="285" customFormat="1" hidden="1" x14ac:dyDescent="0.25">
      <c r="A62" s="118">
        <v>28</v>
      </c>
      <c r="B62" s="151">
        <v>5405</v>
      </c>
      <c r="C62" s="94" t="s">
        <v>335</v>
      </c>
      <c r="D62" s="85"/>
      <c r="E62" s="108"/>
      <c r="F62" s="85"/>
      <c r="G62" s="428"/>
      <c r="H62" s="85"/>
      <c r="I62" s="428"/>
      <c r="J62" s="85"/>
      <c r="K62" s="108"/>
    </row>
    <row r="63" spans="1:11" s="285" customFormat="1" hidden="1" x14ac:dyDescent="0.25">
      <c r="A63" s="344"/>
      <c r="B63" s="151"/>
      <c r="C63" s="94"/>
      <c r="D63" s="429">
        <f>SUM(D61:D62)</f>
        <v>0</v>
      </c>
      <c r="E63" s="89">
        <f>SUM(E61:E62)</f>
        <v>0</v>
      </c>
      <c r="F63" s="89">
        <v>0</v>
      </c>
      <c r="G63" s="429">
        <v>0</v>
      </c>
      <c r="H63" s="89"/>
      <c r="I63" s="429"/>
      <c r="J63" s="89"/>
      <c r="K63" s="89"/>
    </row>
    <row r="64" spans="1:11" s="285" customFormat="1" hidden="1" x14ac:dyDescent="0.25">
      <c r="A64" s="344"/>
      <c r="B64" s="151"/>
      <c r="C64" s="93" t="s">
        <v>61</v>
      </c>
      <c r="D64" s="85"/>
      <c r="E64" s="86"/>
      <c r="F64" s="86"/>
      <c r="G64" s="86"/>
      <c r="H64" s="86"/>
      <c r="I64" s="86"/>
      <c r="J64" s="86"/>
      <c r="K64" s="86"/>
    </row>
    <row r="65" spans="1:11" s="285" customFormat="1" hidden="1" x14ac:dyDescent="0.25">
      <c r="A65" s="118">
        <v>28</v>
      </c>
      <c r="B65" s="151">
        <v>5450</v>
      </c>
      <c r="C65" s="94" t="s">
        <v>351</v>
      </c>
      <c r="D65" s="85"/>
      <c r="E65" s="108"/>
      <c r="F65" s="85"/>
      <c r="G65" s="428"/>
      <c r="H65" s="85"/>
      <c r="I65" s="428"/>
      <c r="J65" s="85"/>
      <c r="K65" s="108"/>
    </row>
    <row r="66" spans="1:11" s="285" customFormat="1" hidden="1" x14ac:dyDescent="0.25">
      <c r="A66" s="344"/>
      <c r="B66" s="151"/>
      <c r="C66" s="94"/>
      <c r="D66" s="89"/>
      <c r="E66" s="89">
        <f>E65</f>
        <v>0</v>
      </c>
      <c r="F66" s="89">
        <v>0</v>
      </c>
      <c r="G66" s="429"/>
      <c r="H66" s="89"/>
      <c r="I66" s="429"/>
      <c r="J66" s="89"/>
      <c r="K66" s="89"/>
    </row>
    <row r="67" spans="1:11" s="285" customFormat="1" hidden="1" x14ac:dyDescent="0.25">
      <c r="A67" s="344"/>
      <c r="B67" s="151"/>
      <c r="C67" s="93" t="s">
        <v>96</v>
      </c>
      <c r="D67" s="85"/>
      <c r="E67" s="86"/>
      <c r="F67" s="86"/>
      <c r="G67" s="86"/>
      <c r="H67" s="86"/>
      <c r="I67" s="86"/>
      <c r="J67" s="86"/>
      <c r="K67" s="86"/>
    </row>
    <row r="68" spans="1:11" s="285" customFormat="1" hidden="1" x14ac:dyDescent="0.25">
      <c r="A68" s="118">
        <v>28</v>
      </c>
      <c r="B68" s="151">
        <v>5470</v>
      </c>
      <c r="C68" s="94" t="s">
        <v>97</v>
      </c>
      <c r="D68" s="85"/>
      <c r="E68" s="86"/>
      <c r="F68" s="85">
        <v>0</v>
      </c>
      <c r="G68" s="428"/>
      <c r="H68" s="85"/>
      <c r="I68" s="428"/>
      <c r="J68" s="85"/>
      <c r="K68" s="85"/>
    </row>
    <row r="69" spans="1:11" s="285" customFormat="1" hidden="1" x14ac:dyDescent="0.25">
      <c r="A69" s="118">
        <v>28</v>
      </c>
      <c r="B69" s="151">
        <v>5475</v>
      </c>
      <c r="C69" s="94" t="s">
        <v>134</v>
      </c>
      <c r="D69" s="85"/>
      <c r="E69" s="86"/>
      <c r="F69" s="85">
        <v>0</v>
      </c>
      <c r="G69" s="428"/>
      <c r="H69" s="85"/>
      <c r="I69" s="428"/>
      <c r="J69" s="85"/>
      <c r="K69" s="85"/>
    </row>
    <row r="70" spans="1:11" s="285" customFormat="1" hidden="1" x14ac:dyDescent="0.25">
      <c r="A70" s="344"/>
      <c r="B70" s="151"/>
      <c r="C70" s="94"/>
      <c r="D70" s="110"/>
      <c r="E70" s="110">
        <f>SUM(E68:E69)</f>
        <v>0</v>
      </c>
      <c r="F70" s="110">
        <v>0</v>
      </c>
      <c r="G70" s="439"/>
      <c r="H70" s="110"/>
      <c r="I70" s="439"/>
      <c r="J70" s="110"/>
      <c r="K70" s="110"/>
    </row>
    <row r="71" spans="1:11" s="285" customFormat="1" x14ac:dyDescent="0.25">
      <c r="A71" s="344"/>
      <c r="B71" s="151"/>
      <c r="C71" s="93" t="s">
        <v>62</v>
      </c>
      <c r="D71" s="88"/>
      <c r="E71" s="113"/>
      <c r="F71" s="113"/>
      <c r="G71" s="113"/>
      <c r="H71" s="113"/>
      <c r="I71" s="113"/>
      <c r="J71" s="113"/>
      <c r="K71" s="428"/>
    </row>
    <row r="72" spans="1:11" s="285" customFormat="1" x14ac:dyDescent="0.25">
      <c r="A72" s="118">
        <v>28</v>
      </c>
      <c r="B72" s="151">
        <v>5505</v>
      </c>
      <c r="C72" s="94" t="s">
        <v>259</v>
      </c>
      <c r="D72" s="85">
        <v>525</v>
      </c>
      <c r="E72" s="85">
        <v>0</v>
      </c>
      <c r="F72" s="85">
        <v>35000</v>
      </c>
      <c r="G72" s="428">
        <v>35000</v>
      </c>
      <c r="H72" s="85"/>
      <c r="I72" s="428"/>
      <c r="J72" s="85"/>
      <c r="K72" s="85"/>
    </row>
    <row r="73" spans="1:11" s="285" customFormat="1" x14ac:dyDescent="0.25">
      <c r="A73" s="118">
        <v>28</v>
      </c>
      <c r="B73" s="151">
        <v>5510</v>
      </c>
      <c r="C73" s="94" t="s">
        <v>63</v>
      </c>
      <c r="D73" s="85">
        <v>10000</v>
      </c>
      <c r="E73" s="85">
        <v>13528</v>
      </c>
      <c r="F73" s="85">
        <v>0</v>
      </c>
      <c r="G73" s="428">
        <v>0</v>
      </c>
      <c r="H73" s="85">
        <v>13528</v>
      </c>
      <c r="I73" s="428"/>
      <c r="J73" s="85"/>
      <c r="K73" s="85"/>
    </row>
    <row r="74" spans="1:11" s="285" customFormat="1" x14ac:dyDescent="0.25">
      <c r="A74" s="118">
        <v>28</v>
      </c>
      <c r="B74" s="151">
        <v>5520</v>
      </c>
      <c r="C74" s="94" t="s">
        <v>260</v>
      </c>
      <c r="D74" s="85"/>
      <c r="E74" s="85"/>
      <c r="F74" s="85">
        <v>0</v>
      </c>
      <c r="G74" s="428">
        <v>0</v>
      </c>
      <c r="H74" s="85"/>
      <c r="I74" s="428"/>
      <c r="J74" s="85"/>
      <c r="K74" s="85"/>
    </row>
    <row r="75" spans="1:11" s="285" customFormat="1" x14ac:dyDescent="0.25">
      <c r="A75" s="118">
        <v>28</v>
      </c>
      <c r="B75" s="151">
        <v>5525</v>
      </c>
      <c r="C75" s="94" t="s">
        <v>261</v>
      </c>
      <c r="D75" s="85"/>
      <c r="E75" s="85"/>
      <c r="F75" s="85">
        <v>0</v>
      </c>
      <c r="G75" s="428">
        <v>0</v>
      </c>
      <c r="H75" s="85"/>
      <c r="I75" s="428"/>
      <c r="J75" s="85"/>
      <c r="K75" s="85"/>
    </row>
    <row r="76" spans="1:11" s="285" customFormat="1" x14ac:dyDescent="0.25">
      <c r="A76" s="118">
        <v>28</v>
      </c>
      <c r="B76" s="151">
        <v>5530</v>
      </c>
      <c r="C76" s="94" t="s">
        <v>262</v>
      </c>
      <c r="D76" s="85"/>
      <c r="E76" s="85"/>
      <c r="F76" s="85">
        <v>0</v>
      </c>
      <c r="G76" s="428">
        <v>0</v>
      </c>
      <c r="H76" s="85"/>
      <c r="I76" s="428"/>
      <c r="J76" s="85"/>
      <c r="K76" s="85"/>
    </row>
    <row r="77" spans="1:11" s="285" customFormat="1" x14ac:dyDescent="0.25">
      <c r="A77" s="118">
        <v>28</v>
      </c>
      <c r="B77" s="151">
        <v>5535</v>
      </c>
      <c r="C77" s="94" t="s">
        <v>263</v>
      </c>
      <c r="D77" s="85"/>
      <c r="E77" s="85">
        <v>15000</v>
      </c>
      <c r="F77" s="85">
        <v>1000</v>
      </c>
      <c r="G77" s="428">
        <v>1000</v>
      </c>
      <c r="H77" s="85">
        <v>15000</v>
      </c>
      <c r="I77" s="428">
        <v>20000</v>
      </c>
      <c r="J77" s="85">
        <f>+I77*1.055</f>
        <v>21100</v>
      </c>
      <c r="K77" s="85">
        <f>+J77*1.053</f>
        <v>22218.3</v>
      </c>
    </row>
    <row r="78" spans="1:11" s="285" customFormat="1" x14ac:dyDescent="0.25">
      <c r="A78" s="118">
        <v>28</v>
      </c>
      <c r="B78" s="151">
        <v>5540</v>
      </c>
      <c r="C78" s="94" t="s">
        <v>264</v>
      </c>
      <c r="D78" s="85">
        <v>58891</v>
      </c>
      <c r="E78" s="85">
        <v>14542</v>
      </c>
      <c r="F78" s="85">
        <v>14542</v>
      </c>
      <c r="G78" s="428">
        <v>14542</v>
      </c>
      <c r="H78" s="85">
        <v>25000</v>
      </c>
      <c r="I78" s="428"/>
      <c r="J78" s="85"/>
      <c r="K78" s="85"/>
    </row>
    <row r="79" spans="1:11" s="285" customFormat="1" ht="13.5" customHeight="1" x14ac:dyDescent="0.25">
      <c r="A79" s="118">
        <v>28</v>
      </c>
      <c r="B79" s="151">
        <v>5545</v>
      </c>
      <c r="C79" s="94" t="s">
        <v>265</v>
      </c>
      <c r="D79" s="85">
        <v>2433</v>
      </c>
      <c r="E79" s="85">
        <v>44000</v>
      </c>
      <c r="F79" s="85">
        <v>14000</v>
      </c>
      <c r="G79" s="428">
        <v>14000</v>
      </c>
      <c r="H79" s="85">
        <v>44000</v>
      </c>
      <c r="I79" s="428"/>
      <c r="J79" s="85"/>
      <c r="K79" s="85"/>
    </row>
    <row r="80" spans="1:11" s="285" customFormat="1" x14ac:dyDescent="0.25">
      <c r="A80" s="118">
        <v>28</v>
      </c>
      <c r="B80" s="151">
        <v>5550</v>
      </c>
      <c r="C80" s="94" t="s">
        <v>267</v>
      </c>
      <c r="D80" s="85"/>
      <c r="E80" s="85"/>
      <c r="F80" s="85">
        <v>0</v>
      </c>
      <c r="G80" s="428">
        <v>0</v>
      </c>
      <c r="H80" s="85"/>
      <c r="I80" s="428"/>
      <c r="J80" s="85"/>
      <c r="K80" s="85"/>
    </row>
    <row r="81" spans="1:11" s="285" customFormat="1" x14ac:dyDescent="0.25">
      <c r="A81" s="118">
        <v>28</v>
      </c>
      <c r="B81" s="151">
        <v>5555</v>
      </c>
      <c r="C81" s="94" t="s">
        <v>268</v>
      </c>
      <c r="D81" s="85"/>
      <c r="E81" s="85"/>
      <c r="F81" s="85">
        <v>0</v>
      </c>
      <c r="G81" s="428">
        <v>0</v>
      </c>
      <c r="H81" s="85"/>
      <c r="I81" s="428"/>
      <c r="J81" s="85"/>
      <c r="K81" s="85"/>
    </row>
    <row r="82" spans="1:11" s="285" customFormat="1" x14ac:dyDescent="0.25">
      <c r="A82" s="118">
        <v>28</v>
      </c>
      <c r="B82" s="151">
        <v>5560</v>
      </c>
      <c r="C82" s="94" t="s">
        <v>269</v>
      </c>
      <c r="D82" s="85">
        <v>21600</v>
      </c>
      <c r="E82" s="85">
        <v>27500</v>
      </c>
      <c r="F82" s="85">
        <v>51500</v>
      </c>
      <c r="G82" s="428">
        <v>51500</v>
      </c>
      <c r="H82" s="85">
        <v>27500</v>
      </c>
      <c r="I82" s="428"/>
      <c r="J82" s="85"/>
      <c r="K82" s="85"/>
    </row>
    <row r="83" spans="1:11" s="285" customFormat="1" x14ac:dyDescent="0.25">
      <c r="A83" s="118">
        <v>28</v>
      </c>
      <c r="B83" s="151">
        <v>5565</v>
      </c>
      <c r="C83" s="94" t="s">
        <v>246</v>
      </c>
      <c r="D83" s="85"/>
      <c r="E83" s="85"/>
      <c r="F83" s="85">
        <v>0</v>
      </c>
      <c r="G83" s="428">
        <v>0</v>
      </c>
      <c r="H83" s="85"/>
      <c r="I83" s="428"/>
      <c r="J83" s="85"/>
      <c r="K83" s="85"/>
    </row>
    <row r="84" spans="1:11" s="285" customFormat="1" x14ac:dyDescent="0.25">
      <c r="A84" s="118">
        <v>28</v>
      </c>
      <c r="B84" s="151">
        <v>5570</v>
      </c>
      <c r="C84" s="94" t="s">
        <v>270</v>
      </c>
      <c r="D84" s="85">
        <v>15464</v>
      </c>
      <c r="E84" s="85">
        <v>18997.384999999998</v>
      </c>
      <c r="F84" s="85">
        <v>997.3849999999984</v>
      </c>
      <c r="G84" s="428">
        <v>997.3849999999984</v>
      </c>
      <c r="H84" s="85">
        <v>18000</v>
      </c>
      <c r="I84" s="428"/>
      <c r="J84" s="85"/>
      <c r="K84" s="85"/>
    </row>
    <row r="85" spans="1:11" s="285" customFormat="1" x14ac:dyDescent="0.25">
      <c r="A85" s="118">
        <v>28</v>
      </c>
      <c r="B85" s="151">
        <v>5575</v>
      </c>
      <c r="C85" s="94" t="s">
        <v>271</v>
      </c>
      <c r="D85" s="85">
        <v>290965</v>
      </c>
      <c r="E85" s="85">
        <v>360000</v>
      </c>
      <c r="F85" s="85">
        <v>610000</v>
      </c>
      <c r="G85" s="428">
        <v>610000</v>
      </c>
      <c r="H85" s="85">
        <v>360000</v>
      </c>
      <c r="I85" s="428"/>
      <c r="J85" s="85"/>
      <c r="K85" s="85"/>
    </row>
    <row r="86" spans="1:11" s="285" customFormat="1" x14ac:dyDescent="0.25">
      <c r="A86" s="118">
        <v>28</v>
      </c>
      <c r="B86" s="151">
        <v>5580</v>
      </c>
      <c r="C86" s="94" t="s">
        <v>272</v>
      </c>
      <c r="D86" s="85"/>
      <c r="E86" s="85">
        <v>10000</v>
      </c>
      <c r="F86" s="85">
        <v>0</v>
      </c>
      <c r="G86" s="428">
        <v>0</v>
      </c>
      <c r="H86" s="85">
        <v>10000</v>
      </c>
      <c r="I86" s="428"/>
      <c r="J86" s="85"/>
      <c r="K86" s="85"/>
    </row>
    <row r="87" spans="1:11" s="285" customFormat="1" x14ac:dyDescent="0.25">
      <c r="A87" s="118">
        <v>28</v>
      </c>
      <c r="B87" s="151">
        <v>5585</v>
      </c>
      <c r="C87" s="94" t="s">
        <v>273</v>
      </c>
      <c r="D87" s="86">
        <v>12502</v>
      </c>
      <c r="E87" s="85">
        <v>20000</v>
      </c>
      <c r="F87" s="85">
        <v>20000</v>
      </c>
      <c r="G87" s="428">
        <v>20000</v>
      </c>
      <c r="H87" s="85">
        <v>40000</v>
      </c>
      <c r="I87" s="428"/>
      <c r="J87" s="85"/>
      <c r="K87" s="85"/>
    </row>
    <row r="88" spans="1:11" s="285" customFormat="1" x14ac:dyDescent="0.25">
      <c r="A88" s="118">
        <v>28</v>
      </c>
      <c r="B88" s="151">
        <v>5590</v>
      </c>
      <c r="C88" s="94" t="s">
        <v>274</v>
      </c>
      <c r="D88" s="86">
        <v>149168</v>
      </c>
      <c r="E88" s="85">
        <v>114800</v>
      </c>
      <c r="F88" s="85">
        <v>84800</v>
      </c>
      <c r="G88" s="428">
        <v>84800</v>
      </c>
      <c r="H88" s="85">
        <v>114000</v>
      </c>
      <c r="I88" s="428">
        <v>114000</v>
      </c>
      <c r="J88" s="85">
        <f>+I88*1.055</f>
        <v>120270</v>
      </c>
      <c r="K88" s="85">
        <f>+J88*1.053</f>
        <v>126644.31</v>
      </c>
    </row>
    <row r="89" spans="1:11" s="285" customFormat="1" x14ac:dyDescent="0.25">
      <c r="A89" s="118">
        <v>28</v>
      </c>
      <c r="B89" s="151">
        <v>5595</v>
      </c>
      <c r="C89" s="94" t="s">
        <v>275</v>
      </c>
      <c r="D89" s="85"/>
      <c r="E89" s="85"/>
      <c r="F89" s="85">
        <v>0</v>
      </c>
      <c r="G89" s="428">
        <v>0</v>
      </c>
      <c r="H89" s="85"/>
      <c r="I89" s="428"/>
      <c r="J89" s="85"/>
      <c r="K89" s="85"/>
    </row>
    <row r="90" spans="1:11" s="285" customFormat="1" x14ac:dyDescent="0.25">
      <c r="A90" s="118">
        <v>28</v>
      </c>
      <c r="B90" s="151">
        <v>5600</v>
      </c>
      <c r="C90" s="159" t="s">
        <v>276</v>
      </c>
      <c r="D90" s="85"/>
      <c r="E90" s="85"/>
      <c r="F90" s="85">
        <v>0</v>
      </c>
      <c r="G90" s="428">
        <v>0</v>
      </c>
      <c r="H90" s="85"/>
      <c r="I90" s="428"/>
      <c r="J90" s="85"/>
      <c r="K90" s="85"/>
    </row>
    <row r="91" spans="1:11" s="285" customFormat="1" x14ac:dyDescent="0.25">
      <c r="A91" s="118">
        <v>28</v>
      </c>
      <c r="B91" s="151">
        <v>5605</v>
      </c>
      <c r="C91" s="159" t="s">
        <v>277</v>
      </c>
      <c r="D91" s="85"/>
      <c r="E91" s="85"/>
      <c r="F91" s="85">
        <v>0</v>
      </c>
      <c r="G91" s="428">
        <v>0</v>
      </c>
      <c r="H91" s="85"/>
      <c r="I91" s="428"/>
      <c r="J91" s="85"/>
      <c r="K91" s="85"/>
    </row>
    <row r="92" spans="1:11" s="285" customFormat="1" x14ac:dyDescent="0.25">
      <c r="A92" s="118">
        <v>28</v>
      </c>
      <c r="B92" s="151">
        <v>5610</v>
      </c>
      <c r="C92" s="159" t="s">
        <v>278</v>
      </c>
      <c r="D92" s="85"/>
      <c r="E92" s="85"/>
      <c r="F92" s="85">
        <v>0</v>
      </c>
      <c r="G92" s="428">
        <v>0</v>
      </c>
      <c r="H92" s="85"/>
      <c r="I92" s="428"/>
      <c r="J92" s="85"/>
      <c r="K92" s="85"/>
    </row>
    <row r="93" spans="1:11" s="285" customFormat="1" x14ac:dyDescent="0.25">
      <c r="A93" s="118">
        <v>28</v>
      </c>
      <c r="B93" s="151">
        <v>5615</v>
      </c>
      <c r="C93" s="159" t="s">
        <v>279</v>
      </c>
      <c r="D93" s="85"/>
      <c r="E93" s="85"/>
      <c r="F93" s="85">
        <v>0</v>
      </c>
      <c r="G93" s="428">
        <v>0</v>
      </c>
      <c r="H93" s="85"/>
      <c r="I93" s="428"/>
      <c r="J93" s="85"/>
      <c r="K93" s="85"/>
    </row>
    <row r="94" spans="1:11" s="285" customFormat="1" x14ac:dyDescent="0.25">
      <c r="A94" s="118">
        <v>28</v>
      </c>
      <c r="B94" s="151">
        <v>5620</v>
      </c>
      <c r="C94" s="159" t="s">
        <v>280</v>
      </c>
      <c r="D94" s="85"/>
      <c r="E94" s="85"/>
      <c r="F94" s="85">
        <v>0</v>
      </c>
      <c r="G94" s="428">
        <v>0</v>
      </c>
      <c r="H94" s="85"/>
      <c r="I94" s="428"/>
      <c r="J94" s="85"/>
      <c r="K94" s="85"/>
    </row>
    <row r="95" spans="1:11" s="285" customFormat="1" x14ac:dyDescent="0.25">
      <c r="A95" s="118">
        <v>28</v>
      </c>
      <c r="B95" s="151">
        <v>5625</v>
      </c>
      <c r="C95" s="159" t="s">
        <v>281</v>
      </c>
      <c r="D95" s="85"/>
      <c r="E95" s="85"/>
      <c r="F95" s="85">
        <v>0</v>
      </c>
      <c r="G95" s="428">
        <v>0</v>
      </c>
      <c r="H95" s="85"/>
      <c r="I95" s="428"/>
      <c r="J95" s="85"/>
      <c r="K95" s="85"/>
    </row>
    <row r="96" spans="1:11" s="285" customFormat="1" x14ac:dyDescent="0.25">
      <c r="A96" s="118">
        <v>28</v>
      </c>
      <c r="B96" s="151">
        <v>5630</v>
      </c>
      <c r="C96" s="159" t="s">
        <v>282</v>
      </c>
      <c r="D96" s="85"/>
      <c r="E96" s="85"/>
      <c r="F96" s="85">
        <v>0</v>
      </c>
      <c r="G96" s="428">
        <v>0</v>
      </c>
      <c r="H96" s="85"/>
      <c r="I96" s="428"/>
      <c r="J96" s="85"/>
      <c r="K96" s="85"/>
    </row>
    <row r="97" spans="1:11" s="285" customFormat="1" x14ac:dyDescent="0.25">
      <c r="A97" s="118">
        <v>28</v>
      </c>
      <c r="B97" s="151">
        <v>5635</v>
      </c>
      <c r="C97" s="159" t="s">
        <v>283</v>
      </c>
      <c r="D97" s="85"/>
      <c r="E97" s="85"/>
      <c r="F97" s="85">
        <v>0</v>
      </c>
      <c r="G97" s="428">
        <v>0</v>
      </c>
      <c r="H97" s="85"/>
      <c r="I97" s="428"/>
      <c r="J97" s="85"/>
      <c r="K97" s="85"/>
    </row>
    <row r="98" spans="1:11" s="285" customFormat="1" x14ac:dyDescent="0.25">
      <c r="A98" s="118">
        <v>28</v>
      </c>
      <c r="B98" s="151">
        <v>5640</v>
      </c>
      <c r="C98" s="159" t="s">
        <v>284</v>
      </c>
      <c r="D98" s="85"/>
      <c r="E98" s="85"/>
      <c r="F98" s="85">
        <v>0</v>
      </c>
      <c r="G98" s="428">
        <v>0</v>
      </c>
      <c r="H98" s="85"/>
      <c r="I98" s="428"/>
      <c r="J98" s="85"/>
      <c r="K98" s="85"/>
    </row>
    <row r="99" spans="1:11" s="285" customFormat="1" x14ac:dyDescent="0.25">
      <c r="A99" s="118">
        <v>28</v>
      </c>
      <c r="B99" s="151">
        <v>5645</v>
      </c>
      <c r="C99" s="159" t="s">
        <v>285</v>
      </c>
      <c r="D99" s="85"/>
      <c r="E99" s="85"/>
      <c r="F99" s="85">
        <v>0</v>
      </c>
      <c r="G99" s="428">
        <v>0</v>
      </c>
      <c r="H99" s="85"/>
      <c r="I99" s="428"/>
      <c r="J99" s="85"/>
      <c r="K99" s="85"/>
    </row>
    <row r="100" spans="1:11" s="285" customFormat="1" x14ac:dyDescent="0.25">
      <c r="A100" s="118">
        <v>28</v>
      </c>
      <c r="B100" s="151">
        <v>5650</v>
      </c>
      <c r="C100" s="159" t="s">
        <v>286</v>
      </c>
      <c r="D100" s="85">
        <v>77400</v>
      </c>
      <c r="E100" s="85">
        <v>67000</v>
      </c>
      <c r="F100" s="85">
        <v>17000</v>
      </c>
      <c r="G100" s="428">
        <v>17000</v>
      </c>
      <c r="H100" s="85">
        <v>67000</v>
      </c>
      <c r="I100" s="428">
        <v>90000</v>
      </c>
      <c r="J100" s="85">
        <f>+I100*1.055</f>
        <v>94950</v>
      </c>
      <c r="K100" s="85">
        <f>+J100*1.053</f>
        <v>99982.349999999991</v>
      </c>
    </row>
    <row r="101" spans="1:11" s="285" customFormat="1" x14ac:dyDescent="0.25">
      <c r="A101" s="118">
        <v>28</v>
      </c>
      <c r="B101" s="151">
        <v>5655</v>
      </c>
      <c r="C101" s="159" t="s">
        <v>287</v>
      </c>
      <c r="D101" s="85"/>
      <c r="E101" s="85"/>
      <c r="F101" s="85">
        <v>0</v>
      </c>
      <c r="G101" s="428"/>
      <c r="H101" s="85"/>
      <c r="I101" s="428"/>
      <c r="J101" s="85"/>
      <c r="K101" s="85"/>
    </row>
    <row r="102" spans="1:11" s="285" customFormat="1" x14ac:dyDescent="0.25">
      <c r="A102" s="118">
        <v>28</v>
      </c>
      <c r="B102" s="151">
        <v>5660</v>
      </c>
      <c r="C102" s="159" t="s">
        <v>288</v>
      </c>
      <c r="D102" s="85"/>
      <c r="E102" s="85"/>
      <c r="F102" s="85">
        <v>0</v>
      </c>
      <c r="G102" s="428"/>
      <c r="H102" s="85"/>
      <c r="I102" s="428"/>
      <c r="J102" s="85"/>
      <c r="K102" s="85"/>
    </row>
    <row r="103" spans="1:11" s="285" customFormat="1" x14ac:dyDescent="0.25">
      <c r="A103" s="118">
        <v>28</v>
      </c>
      <c r="B103" s="151">
        <v>5665</v>
      </c>
      <c r="C103" s="94" t="s">
        <v>289</v>
      </c>
      <c r="D103" s="85"/>
      <c r="E103" s="85"/>
      <c r="F103" s="85">
        <v>0</v>
      </c>
      <c r="G103" s="428"/>
      <c r="H103" s="85"/>
      <c r="I103" s="428"/>
      <c r="J103" s="85"/>
      <c r="K103" s="85"/>
    </row>
    <row r="104" spans="1:11" s="285" customFormat="1" x14ac:dyDescent="0.25">
      <c r="A104" s="118">
        <v>28</v>
      </c>
      <c r="B104" s="151">
        <v>5670</v>
      </c>
      <c r="C104" s="94" t="s">
        <v>290</v>
      </c>
      <c r="D104" s="85"/>
      <c r="E104" s="85"/>
      <c r="F104" s="85">
        <v>0</v>
      </c>
      <c r="G104" s="428"/>
      <c r="H104" s="85"/>
      <c r="I104" s="428"/>
      <c r="J104" s="85"/>
      <c r="K104" s="85"/>
    </row>
    <row r="105" spans="1:11" s="285" customFormat="1" x14ac:dyDescent="0.25">
      <c r="A105" s="118">
        <v>28</v>
      </c>
      <c r="B105" s="151">
        <v>5675</v>
      </c>
      <c r="C105" s="94" t="s">
        <v>291</v>
      </c>
      <c r="D105" s="85"/>
      <c r="E105" s="85"/>
      <c r="F105" s="85">
        <v>0</v>
      </c>
      <c r="G105" s="428"/>
      <c r="H105" s="85"/>
      <c r="I105" s="428"/>
      <c r="J105" s="85"/>
      <c r="K105" s="85"/>
    </row>
    <row r="106" spans="1:11" s="285" customFormat="1" x14ac:dyDescent="0.25">
      <c r="A106" s="118">
        <v>28</v>
      </c>
      <c r="B106" s="151">
        <v>5680</v>
      </c>
      <c r="C106" s="94" t="s">
        <v>292</v>
      </c>
      <c r="D106" s="85"/>
      <c r="E106" s="85"/>
      <c r="F106" s="85">
        <v>0</v>
      </c>
      <c r="G106" s="428"/>
      <c r="H106" s="85"/>
      <c r="I106" s="428"/>
      <c r="J106" s="85"/>
      <c r="K106" s="85"/>
    </row>
    <row r="107" spans="1:11" s="285" customFormat="1" x14ac:dyDescent="0.25">
      <c r="A107" s="118">
        <v>28</v>
      </c>
      <c r="B107" s="151">
        <v>5685</v>
      </c>
      <c r="C107" s="94" t="s">
        <v>293</v>
      </c>
      <c r="D107" s="85"/>
      <c r="E107" s="85"/>
      <c r="F107" s="85">
        <v>0</v>
      </c>
      <c r="G107" s="428"/>
      <c r="H107" s="85"/>
      <c r="I107" s="428"/>
      <c r="J107" s="85"/>
      <c r="K107" s="85"/>
    </row>
    <row r="108" spans="1:11" s="285" customFormat="1" x14ac:dyDescent="0.25">
      <c r="A108" s="118">
        <v>28</v>
      </c>
      <c r="B108" s="151">
        <v>5690</v>
      </c>
      <c r="C108" s="94" t="s">
        <v>247</v>
      </c>
      <c r="D108" s="85"/>
      <c r="E108" s="85"/>
      <c r="F108" s="85">
        <v>0</v>
      </c>
      <c r="G108" s="428"/>
      <c r="H108" s="85"/>
      <c r="I108" s="428"/>
      <c r="J108" s="85"/>
      <c r="K108" s="85"/>
    </row>
    <row r="109" spans="1:11" s="285" customFormat="1" x14ac:dyDescent="0.25">
      <c r="A109" s="118">
        <v>28</v>
      </c>
      <c r="B109" s="151">
        <v>5695</v>
      </c>
      <c r="C109" s="94" t="s">
        <v>294</v>
      </c>
      <c r="D109" s="85"/>
      <c r="E109" s="85"/>
      <c r="F109" s="85">
        <v>0</v>
      </c>
      <c r="G109" s="428"/>
      <c r="H109" s="85"/>
      <c r="I109" s="428"/>
      <c r="J109" s="85"/>
      <c r="K109" s="85"/>
    </row>
    <row r="110" spans="1:11" s="285" customFormat="1" x14ac:dyDescent="0.25">
      <c r="A110" s="371">
        <v>28</v>
      </c>
      <c r="B110" s="152">
        <v>5700</v>
      </c>
      <c r="C110" s="106" t="s">
        <v>295</v>
      </c>
      <c r="D110" s="383">
        <v>19800</v>
      </c>
      <c r="E110" s="383">
        <v>48000</v>
      </c>
      <c r="F110" s="383">
        <v>13000</v>
      </c>
      <c r="G110" s="428">
        <v>13000</v>
      </c>
      <c r="H110" s="85">
        <v>48000</v>
      </c>
      <c r="I110" s="428"/>
      <c r="J110" s="85"/>
      <c r="K110" s="85"/>
    </row>
    <row r="111" spans="1:11" s="285" customFormat="1" hidden="1" x14ac:dyDescent="0.25">
      <c r="A111" s="374">
        <v>28</v>
      </c>
      <c r="B111" s="153">
        <v>5710</v>
      </c>
      <c r="C111" s="97" t="s">
        <v>297</v>
      </c>
      <c r="D111" s="88"/>
      <c r="E111" s="88"/>
      <c r="F111" s="88">
        <v>0</v>
      </c>
      <c r="G111" s="428">
        <v>0</v>
      </c>
      <c r="H111" s="85"/>
      <c r="I111" s="428"/>
      <c r="J111" s="85"/>
      <c r="K111" s="85"/>
    </row>
    <row r="112" spans="1:11" s="285" customFormat="1" hidden="1" x14ac:dyDescent="0.25">
      <c r="A112" s="118">
        <v>28</v>
      </c>
      <c r="B112" s="151">
        <v>5715</v>
      </c>
      <c r="C112" s="94" t="s">
        <v>298</v>
      </c>
      <c r="D112" s="85"/>
      <c r="E112" s="85"/>
      <c r="F112" s="85">
        <v>0</v>
      </c>
      <c r="G112" s="428">
        <v>0</v>
      </c>
      <c r="H112" s="85"/>
      <c r="I112" s="428"/>
      <c r="J112" s="85"/>
      <c r="K112" s="85"/>
    </row>
    <row r="113" spans="1:11" s="285" customFormat="1" hidden="1" x14ac:dyDescent="0.25">
      <c r="A113" s="118">
        <v>28</v>
      </c>
      <c r="B113" s="151">
        <v>5720</v>
      </c>
      <c r="C113" s="94" t="s">
        <v>299</v>
      </c>
      <c r="D113" s="85"/>
      <c r="E113" s="85"/>
      <c r="F113" s="85">
        <v>0</v>
      </c>
      <c r="G113" s="428">
        <v>0</v>
      </c>
      <c r="H113" s="85"/>
      <c r="I113" s="428"/>
      <c r="J113" s="85"/>
      <c r="K113" s="85"/>
    </row>
    <row r="114" spans="1:11" s="285" customFormat="1" hidden="1" x14ac:dyDescent="0.25">
      <c r="A114" s="118">
        <v>28</v>
      </c>
      <c r="B114" s="151">
        <v>5730</v>
      </c>
      <c r="C114" s="94" t="s">
        <v>300</v>
      </c>
      <c r="D114" s="85"/>
      <c r="E114" s="85"/>
      <c r="F114" s="85">
        <v>0</v>
      </c>
      <c r="G114" s="428">
        <v>0</v>
      </c>
      <c r="H114" s="85"/>
      <c r="I114" s="428"/>
      <c r="J114" s="85"/>
      <c r="K114" s="85"/>
    </row>
    <row r="115" spans="1:11" s="285" customFormat="1" hidden="1" x14ac:dyDescent="0.25">
      <c r="A115" s="118">
        <v>28</v>
      </c>
      <c r="B115" s="151">
        <v>5735</v>
      </c>
      <c r="C115" s="94" t="s">
        <v>301</v>
      </c>
      <c r="D115" s="85"/>
      <c r="E115" s="85"/>
      <c r="F115" s="85">
        <v>0</v>
      </c>
      <c r="G115" s="428">
        <v>0</v>
      </c>
      <c r="H115" s="85"/>
      <c r="I115" s="428"/>
      <c r="J115" s="85"/>
      <c r="K115" s="85"/>
    </row>
    <row r="116" spans="1:11" s="285" customFormat="1" hidden="1" x14ac:dyDescent="0.25">
      <c r="A116" s="118">
        <v>28</v>
      </c>
      <c r="B116" s="151">
        <v>5740</v>
      </c>
      <c r="C116" s="94" t="s">
        <v>302</v>
      </c>
      <c r="D116" s="85"/>
      <c r="E116" s="85"/>
      <c r="F116" s="85">
        <v>0</v>
      </c>
      <c r="G116" s="428">
        <v>0</v>
      </c>
      <c r="H116" s="85"/>
      <c r="I116" s="428"/>
      <c r="J116" s="85"/>
      <c r="K116" s="85"/>
    </row>
    <row r="117" spans="1:11" s="285" customFormat="1" hidden="1" x14ac:dyDescent="0.25">
      <c r="A117" s="118">
        <v>28</v>
      </c>
      <c r="B117" s="151">
        <v>5745</v>
      </c>
      <c r="C117" s="94" t="s">
        <v>303</v>
      </c>
      <c r="D117" s="85"/>
      <c r="E117" s="85"/>
      <c r="F117" s="85">
        <v>0</v>
      </c>
      <c r="G117" s="428">
        <v>0</v>
      </c>
      <c r="H117" s="85"/>
      <c r="I117" s="428"/>
      <c r="J117" s="85"/>
      <c r="K117" s="85"/>
    </row>
    <row r="118" spans="1:11" s="285" customFormat="1" x14ac:dyDescent="0.25">
      <c r="A118" s="118">
        <v>28</v>
      </c>
      <c r="B118" s="151">
        <v>5750</v>
      </c>
      <c r="C118" s="94" t="s">
        <v>304</v>
      </c>
      <c r="D118" s="85">
        <v>161</v>
      </c>
      <c r="E118" s="85">
        <v>2100</v>
      </c>
      <c r="F118" s="85">
        <v>2100</v>
      </c>
      <c r="G118" s="428">
        <v>2100</v>
      </c>
      <c r="H118" s="85">
        <v>2100</v>
      </c>
      <c r="I118" s="428"/>
      <c r="J118" s="85"/>
      <c r="K118" s="85"/>
    </row>
    <row r="119" spans="1:11" s="285" customFormat="1" x14ac:dyDescent="0.25">
      <c r="A119" s="118">
        <v>28</v>
      </c>
      <c r="B119" s="151">
        <v>5755</v>
      </c>
      <c r="C119" s="94" t="s">
        <v>305</v>
      </c>
      <c r="D119" s="85">
        <v>11546</v>
      </c>
      <c r="E119" s="85">
        <v>27000</v>
      </c>
      <c r="F119" s="85">
        <v>27000</v>
      </c>
      <c r="G119" s="428">
        <v>27000</v>
      </c>
      <c r="H119" s="85">
        <v>27000</v>
      </c>
      <c r="I119" s="428"/>
      <c r="J119" s="85"/>
      <c r="K119" s="85"/>
    </row>
    <row r="120" spans="1:11" s="285" customFormat="1" ht="12" hidden="1" customHeight="1" x14ac:dyDescent="0.25">
      <c r="A120" s="118">
        <v>28</v>
      </c>
      <c r="B120" s="151">
        <v>5760</v>
      </c>
      <c r="C120" s="94" t="s">
        <v>306</v>
      </c>
      <c r="D120" s="85"/>
      <c r="E120" s="85"/>
      <c r="F120" s="85">
        <v>0</v>
      </c>
      <c r="G120" s="428">
        <v>0</v>
      </c>
      <c r="H120" s="85"/>
      <c r="I120" s="428"/>
      <c r="J120" s="85"/>
      <c r="K120" s="85"/>
    </row>
    <row r="121" spans="1:11" s="285" customFormat="1" hidden="1" x14ac:dyDescent="0.25">
      <c r="A121" s="118">
        <v>28</v>
      </c>
      <c r="B121" s="151">
        <v>5765</v>
      </c>
      <c r="C121" s="94" t="s">
        <v>307</v>
      </c>
      <c r="D121" s="85"/>
      <c r="E121" s="85"/>
      <c r="F121" s="85">
        <v>0</v>
      </c>
      <c r="G121" s="428">
        <v>0</v>
      </c>
      <c r="H121" s="85"/>
      <c r="I121" s="428"/>
      <c r="J121" s="85"/>
      <c r="K121" s="85"/>
    </row>
    <row r="122" spans="1:11" s="285" customFormat="1" x14ac:dyDescent="0.25">
      <c r="A122" s="118">
        <v>28</v>
      </c>
      <c r="B122" s="151">
        <v>5770</v>
      </c>
      <c r="C122" s="94" t="s">
        <v>308</v>
      </c>
      <c r="D122" s="85">
        <v>2196</v>
      </c>
      <c r="E122" s="85">
        <v>2427.5549999999998</v>
      </c>
      <c r="F122" s="85">
        <v>2427.5549999999998</v>
      </c>
      <c r="G122" s="428">
        <v>2427.5549999999998</v>
      </c>
      <c r="H122" s="85">
        <v>2248</v>
      </c>
      <c r="I122" s="428"/>
      <c r="J122" s="85"/>
      <c r="K122" s="85"/>
    </row>
    <row r="123" spans="1:11" s="285" customFormat="1" ht="0.75" hidden="1" customHeight="1" x14ac:dyDescent="0.25">
      <c r="A123" s="118">
        <v>28</v>
      </c>
      <c r="B123" s="151">
        <v>5775</v>
      </c>
      <c r="C123" s="94" t="s">
        <v>309</v>
      </c>
      <c r="D123" s="85"/>
      <c r="E123" s="85"/>
      <c r="F123" s="85">
        <v>0</v>
      </c>
      <c r="G123" s="428"/>
      <c r="H123" s="85"/>
      <c r="I123" s="428"/>
      <c r="J123" s="85"/>
      <c r="K123" s="85"/>
    </row>
    <row r="124" spans="1:11" s="285" customFormat="1" hidden="1" x14ac:dyDescent="0.25">
      <c r="A124" s="118">
        <v>28</v>
      </c>
      <c r="B124" s="151">
        <v>5780</v>
      </c>
      <c r="C124" s="94" t="s">
        <v>310</v>
      </c>
      <c r="D124" s="85"/>
      <c r="E124" s="85"/>
      <c r="F124" s="85">
        <v>0</v>
      </c>
      <c r="G124" s="428"/>
      <c r="H124" s="85"/>
      <c r="I124" s="428"/>
      <c r="J124" s="85"/>
      <c r="K124" s="85"/>
    </row>
    <row r="125" spans="1:11" s="285" customFormat="1" hidden="1" x14ac:dyDescent="0.25">
      <c r="A125" s="118">
        <v>28</v>
      </c>
      <c r="B125" s="151">
        <v>5785</v>
      </c>
      <c r="C125" s="94" t="s">
        <v>311</v>
      </c>
      <c r="D125" s="85"/>
      <c r="E125" s="85"/>
      <c r="F125" s="85">
        <v>0</v>
      </c>
      <c r="G125" s="428"/>
      <c r="H125" s="85"/>
      <c r="I125" s="428"/>
      <c r="J125" s="85"/>
      <c r="K125" s="85"/>
    </row>
    <row r="126" spans="1:11" s="285" customFormat="1" hidden="1" x14ac:dyDescent="0.25">
      <c r="A126" s="118">
        <v>28</v>
      </c>
      <c r="B126" s="151">
        <v>5790</v>
      </c>
      <c r="C126" s="94" t="s">
        <v>312</v>
      </c>
      <c r="D126" s="85"/>
      <c r="E126" s="85"/>
      <c r="F126" s="85">
        <v>0</v>
      </c>
      <c r="G126" s="428"/>
      <c r="H126" s="85"/>
      <c r="I126" s="428"/>
      <c r="J126" s="85"/>
      <c r="K126" s="85"/>
    </row>
    <row r="127" spans="1:11" s="285" customFormat="1" hidden="1" x14ac:dyDescent="0.25">
      <c r="A127" s="118">
        <v>28</v>
      </c>
      <c r="B127" s="151">
        <v>5795</v>
      </c>
      <c r="C127" s="94" t="s">
        <v>313</v>
      </c>
      <c r="D127" s="85"/>
      <c r="E127" s="85"/>
      <c r="F127" s="85">
        <v>0</v>
      </c>
      <c r="G127" s="428"/>
      <c r="H127" s="85"/>
      <c r="I127" s="428"/>
      <c r="J127" s="85"/>
      <c r="K127" s="85"/>
    </row>
    <row r="128" spans="1:11" s="285" customFormat="1" hidden="1" x14ac:dyDescent="0.25">
      <c r="A128" s="118">
        <v>28</v>
      </c>
      <c r="B128" s="151">
        <v>5800</v>
      </c>
      <c r="C128" s="94" t="s">
        <v>314</v>
      </c>
      <c r="D128" s="85"/>
      <c r="E128" s="85"/>
      <c r="F128" s="85">
        <v>0</v>
      </c>
      <c r="G128" s="428"/>
      <c r="H128" s="85"/>
      <c r="I128" s="428"/>
      <c r="J128" s="85"/>
      <c r="K128" s="85"/>
    </row>
    <row r="129" spans="1:11" s="285" customFormat="1" hidden="1" x14ac:dyDescent="0.25">
      <c r="A129" s="118">
        <v>28</v>
      </c>
      <c r="B129" s="151">
        <v>5805</v>
      </c>
      <c r="C129" s="94" t="s">
        <v>315</v>
      </c>
      <c r="D129" s="85"/>
      <c r="E129" s="85"/>
      <c r="F129" s="85">
        <v>0</v>
      </c>
      <c r="G129" s="428"/>
      <c r="H129" s="85"/>
      <c r="I129" s="428"/>
      <c r="J129" s="85"/>
      <c r="K129" s="85"/>
    </row>
    <row r="130" spans="1:11" s="285" customFormat="1" hidden="1" x14ac:dyDescent="0.25">
      <c r="A130" s="118">
        <v>28</v>
      </c>
      <c r="B130" s="151">
        <v>5810</v>
      </c>
      <c r="C130" s="94" t="s">
        <v>316</v>
      </c>
      <c r="D130" s="85"/>
      <c r="E130" s="85"/>
      <c r="F130" s="85">
        <v>0</v>
      </c>
      <c r="G130" s="428"/>
      <c r="H130" s="85"/>
      <c r="I130" s="428"/>
      <c r="J130" s="85"/>
      <c r="K130" s="85"/>
    </row>
    <row r="131" spans="1:11" s="285" customFormat="1" hidden="1" x14ac:dyDescent="0.25">
      <c r="A131" s="118">
        <v>28</v>
      </c>
      <c r="B131" s="151">
        <v>5815</v>
      </c>
      <c r="C131" s="94" t="s">
        <v>99</v>
      </c>
      <c r="D131" s="85"/>
      <c r="E131" s="85"/>
      <c r="F131" s="85">
        <v>0</v>
      </c>
      <c r="G131" s="428"/>
      <c r="H131" s="85"/>
      <c r="I131" s="428"/>
      <c r="J131" s="85"/>
      <c r="K131" s="85"/>
    </row>
    <row r="132" spans="1:11" s="285" customFormat="1" hidden="1" x14ac:dyDescent="0.25">
      <c r="A132" s="118">
        <v>28</v>
      </c>
      <c r="B132" s="151">
        <v>5820</v>
      </c>
      <c r="C132" s="94" t="s">
        <v>114</v>
      </c>
      <c r="D132" s="86"/>
      <c r="E132" s="85"/>
      <c r="F132" s="85">
        <v>0</v>
      </c>
      <c r="G132" s="428"/>
      <c r="H132" s="85"/>
      <c r="I132" s="428"/>
      <c r="J132" s="85"/>
      <c r="K132" s="85"/>
    </row>
    <row r="133" spans="1:11" s="285" customFormat="1" hidden="1" x14ac:dyDescent="0.25">
      <c r="A133" s="118">
        <v>28</v>
      </c>
      <c r="B133" s="151">
        <v>5825</v>
      </c>
      <c r="C133" s="94" t="s">
        <v>317</v>
      </c>
      <c r="D133" s="86"/>
      <c r="E133" s="85"/>
      <c r="F133" s="85">
        <v>0</v>
      </c>
      <c r="G133" s="428"/>
      <c r="H133" s="85"/>
      <c r="I133" s="428"/>
      <c r="J133" s="85"/>
      <c r="K133" s="85"/>
    </row>
    <row r="134" spans="1:11" s="285" customFormat="1" hidden="1" x14ac:dyDescent="0.25">
      <c r="A134" s="118">
        <v>28</v>
      </c>
      <c r="B134" s="151">
        <v>5830</v>
      </c>
      <c r="C134" s="94" t="s">
        <v>318</v>
      </c>
      <c r="D134" s="86">
        <v>58640</v>
      </c>
      <c r="E134" s="85">
        <v>78000</v>
      </c>
      <c r="F134" s="85">
        <v>136000</v>
      </c>
      <c r="G134" s="428">
        <v>136000</v>
      </c>
      <c r="H134" s="85">
        <v>78000</v>
      </c>
      <c r="I134" s="428"/>
      <c r="J134" s="85">
        <v>78000</v>
      </c>
      <c r="K134" s="85">
        <v>85000</v>
      </c>
    </row>
    <row r="135" spans="1:11" s="285" customFormat="1" hidden="1" x14ac:dyDescent="0.25">
      <c r="A135" s="118">
        <v>28</v>
      </c>
      <c r="B135" s="151">
        <v>5835</v>
      </c>
      <c r="C135" s="94" t="s">
        <v>319</v>
      </c>
      <c r="D135" s="86"/>
      <c r="E135" s="85"/>
      <c r="F135" s="85">
        <v>0</v>
      </c>
      <c r="G135" s="428">
        <v>0</v>
      </c>
      <c r="H135" s="85"/>
      <c r="I135" s="428"/>
      <c r="J135" s="85"/>
      <c r="K135" s="85"/>
    </row>
    <row r="136" spans="1:11" s="285" customFormat="1" hidden="1" x14ac:dyDescent="0.25">
      <c r="A136" s="118">
        <v>28</v>
      </c>
      <c r="B136" s="151">
        <v>5840</v>
      </c>
      <c r="C136" s="94" t="s">
        <v>332</v>
      </c>
      <c r="D136" s="115"/>
      <c r="E136" s="85"/>
      <c r="F136" s="85">
        <v>0</v>
      </c>
      <c r="G136" s="428">
        <v>0</v>
      </c>
      <c r="H136" s="85"/>
      <c r="I136" s="428"/>
      <c r="J136" s="85"/>
      <c r="K136" s="85"/>
    </row>
    <row r="137" spans="1:11" s="285" customFormat="1" hidden="1" x14ac:dyDescent="0.25">
      <c r="A137" s="118">
        <v>28</v>
      </c>
      <c r="B137" s="151">
        <v>5845</v>
      </c>
      <c r="C137" s="94" t="s">
        <v>320</v>
      </c>
      <c r="D137" s="86"/>
      <c r="E137" s="85"/>
      <c r="F137" s="85">
        <v>0</v>
      </c>
      <c r="G137" s="428">
        <v>0</v>
      </c>
      <c r="H137" s="85"/>
      <c r="I137" s="428"/>
      <c r="J137" s="85"/>
      <c r="K137" s="85"/>
    </row>
    <row r="138" spans="1:11" s="285" customFormat="1" hidden="1" x14ac:dyDescent="0.25">
      <c r="A138" s="118">
        <v>28</v>
      </c>
      <c r="B138" s="151">
        <v>5855</v>
      </c>
      <c r="C138" s="94" t="s">
        <v>321</v>
      </c>
      <c r="D138" s="85"/>
      <c r="E138" s="85"/>
      <c r="F138" s="85">
        <v>0</v>
      </c>
      <c r="G138" s="428">
        <v>0</v>
      </c>
      <c r="H138" s="85"/>
      <c r="I138" s="428"/>
      <c r="J138" s="85"/>
      <c r="K138" s="85"/>
    </row>
    <row r="139" spans="1:11" s="285" customFormat="1" hidden="1" x14ac:dyDescent="0.25">
      <c r="A139" s="118">
        <v>28</v>
      </c>
      <c r="B139" s="151">
        <v>5860</v>
      </c>
      <c r="C139" s="94" t="s">
        <v>322</v>
      </c>
      <c r="D139" s="85"/>
      <c r="E139" s="85"/>
      <c r="F139" s="85">
        <v>0</v>
      </c>
      <c r="G139" s="428">
        <v>0</v>
      </c>
      <c r="H139" s="85"/>
      <c r="I139" s="428"/>
      <c r="J139" s="85"/>
      <c r="K139" s="85"/>
    </row>
    <row r="140" spans="1:11" s="285" customFormat="1" hidden="1" x14ac:dyDescent="0.25">
      <c r="A140" s="118">
        <v>28</v>
      </c>
      <c r="B140" s="151">
        <v>5865</v>
      </c>
      <c r="C140" s="94" t="s">
        <v>323</v>
      </c>
      <c r="D140" s="85"/>
      <c r="E140" s="85"/>
      <c r="F140" s="85">
        <v>0</v>
      </c>
      <c r="G140" s="428">
        <v>0</v>
      </c>
      <c r="H140" s="85"/>
      <c r="I140" s="428"/>
      <c r="J140" s="85"/>
      <c r="K140" s="85"/>
    </row>
    <row r="141" spans="1:11" s="285" customFormat="1" hidden="1" x14ac:dyDescent="0.25">
      <c r="A141" s="118">
        <v>28</v>
      </c>
      <c r="B141" s="151">
        <v>5870</v>
      </c>
      <c r="C141" s="94" t="s">
        <v>324</v>
      </c>
      <c r="D141" s="85"/>
      <c r="E141" s="85"/>
      <c r="F141" s="85">
        <v>0</v>
      </c>
      <c r="G141" s="428">
        <v>0</v>
      </c>
      <c r="H141" s="85"/>
      <c r="I141" s="428"/>
      <c r="J141" s="85"/>
      <c r="K141" s="85"/>
    </row>
    <row r="142" spans="1:11" s="285" customFormat="1" hidden="1" x14ac:dyDescent="0.25">
      <c r="A142" s="118">
        <v>28</v>
      </c>
      <c r="B142" s="151">
        <v>5875</v>
      </c>
      <c r="C142" s="94" t="s">
        <v>325</v>
      </c>
      <c r="D142" s="85"/>
      <c r="E142" s="85"/>
      <c r="F142" s="85">
        <v>0</v>
      </c>
      <c r="G142" s="428">
        <v>0</v>
      </c>
      <c r="H142" s="85"/>
      <c r="I142" s="428"/>
      <c r="J142" s="85"/>
      <c r="K142" s="85"/>
    </row>
    <row r="143" spans="1:11" s="285" customFormat="1" hidden="1" x14ac:dyDescent="0.25">
      <c r="A143" s="118">
        <v>28</v>
      </c>
      <c r="B143" s="151">
        <v>5880</v>
      </c>
      <c r="C143" s="94" t="s">
        <v>326</v>
      </c>
      <c r="D143" s="85"/>
      <c r="E143" s="85"/>
      <c r="F143" s="85">
        <v>0</v>
      </c>
      <c r="G143" s="428">
        <v>0</v>
      </c>
      <c r="H143" s="85"/>
      <c r="I143" s="428"/>
      <c r="J143" s="85"/>
      <c r="K143" s="85"/>
    </row>
    <row r="144" spans="1:11" s="285" customFormat="1" hidden="1" x14ac:dyDescent="0.25">
      <c r="A144" s="118">
        <v>28</v>
      </c>
      <c r="B144" s="151">
        <v>5885</v>
      </c>
      <c r="C144" s="94" t="s">
        <v>331</v>
      </c>
      <c r="D144" s="85">
        <v>10305</v>
      </c>
      <c r="E144" s="85">
        <v>0</v>
      </c>
      <c r="F144" s="85">
        <v>5000</v>
      </c>
      <c r="G144" s="428">
        <v>5000</v>
      </c>
      <c r="H144" s="85">
        <v>12000</v>
      </c>
      <c r="I144" s="428"/>
      <c r="J144" s="85">
        <v>12000</v>
      </c>
      <c r="K144" s="85">
        <v>15000</v>
      </c>
    </row>
    <row r="145" spans="1:12" s="285" customFormat="1" hidden="1" x14ac:dyDescent="0.25">
      <c r="A145" s="118">
        <v>28</v>
      </c>
      <c r="B145" s="151">
        <v>5890</v>
      </c>
      <c r="C145" s="94" t="s">
        <v>327</v>
      </c>
      <c r="D145" s="85"/>
      <c r="E145" s="85"/>
      <c r="F145" s="85">
        <v>0</v>
      </c>
      <c r="G145" s="428"/>
      <c r="H145" s="85"/>
      <c r="I145" s="428"/>
      <c r="J145" s="85"/>
      <c r="K145" s="85"/>
    </row>
    <row r="146" spans="1:12" s="285" customFormat="1" hidden="1" x14ac:dyDescent="0.25">
      <c r="A146" s="118">
        <v>28</v>
      </c>
      <c r="B146" s="151">
        <v>5895</v>
      </c>
      <c r="C146" s="94" t="s">
        <v>328</v>
      </c>
      <c r="D146" s="85"/>
      <c r="E146" s="85"/>
      <c r="F146" s="85">
        <v>0</v>
      </c>
      <c r="G146" s="428"/>
      <c r="H146" s="85"/>
      <c r="I146" s="428"/>
      <c r="J146" s="85"/>
      <c r="K146" s="85"/>
    </row>
    <row r="147" spans="1:12" s="285" customFormat="1" hidden="1" x14ac:dyDescent="0.25">
      <c r="A147" s="118">
        <v>28</v>
      </c>
      <c r="B147" s="151">
        <v>5910</v>
      </c>
      <c r="C147" s="94" t="s">
        <v>330</v>
      </c>
      <c r="D147" s="85"/>
      <c r="E147" s="85"/>
      <c r="F147" s="85">
        <v>0</v>
      </c>
      <c r="G147" s="428"/>
      <c r="H147" s="85"/>
      <c r="I147" s="428"/>
      <c r="J147" s="85"/>
      <c r="K147" s="85"/>
    </row>
    <row r="148" spans="1:12" s="285" customFormat="1" x14ac:dyDescent="0.25">
      <c r="A148" s="344"/>
      <c r="B148" s="151"/>
      <c r="C148" s="94"/>
      <c r="D148" s="429">
        <f t="shared" ref="D148:L148" si="6">SUM(D72:D147)</f>
        <v>741596</v>
      </c>
      <c r="E148" s="89">
        <f t="shared" si="6"/>
        <v>862894.94000000006</v>
      </c>
      <c r="F148" s="89">
        <f t="shared" si="6"/>
        <v>1034366.9400000001</v>
      </c>
      <c r="G148" s="429">
        <f t="shared" si="6"/>
        <v>1034366.9400000001</v>
      </c>
      <c r="H148" s="89">
        <f t="shared" si="6"/>
        <v>903376</v>
      </c>
      <c r="I148" s="429">
        <f t="shared" si="6"/>
        <v>224000</v>
      </c>
      <c r="J148" s="429">
        <f t="shared" si="6"/>
        <v>326320</v>
      </c>
      <c r="K148" s="429">
        <f t="shared" si="6"/>
        <v>348844.95999999996</v>
      </c>
      <c r="L148" s="89">
        <f t="shared" si="6"/>
        <v>0</v>
      </c>
    </row>
    <row r="149" spans="1:12" s="285" customFormat="1" hidden="1" x14ac:dyDescent="0.25">
      <c r="A149" s="344"/>
      <c r="B149" s="151"/>
      <c r="C149" s="93" t="s">
        <v>187</v>
      </c>
      <c r="D149" s="85"/>
      <c r="E149" s="108"/>
      <c r="F149" s="108"/>
      <c r="G149" s="425"/>
      <c r="H149" s="108"/>
      <c r="I149" s="425"/>
      <c r="J149" s="108"/>
      <c r="K149" s="108"/>
    </row>
    <row r="150" spans="1:12" s="285" customFormat="1" hidden="1" x14ac:dyDescent="0.25">
      <c r="A150" s="118">
        <v>28</v>
      </c>
      <c r="B150" s="151">
        <v>6005</v>
      </c>
      <c r="C150" s="94" t="s">
        <v>188</v>
      </c>
      <c r="D150" s="85"/>
      <c r="E150" s="108"/>
      <c r="F150" s="85">
        <v>0</v>
      </c>
      <c r="G150" s="428"/>
      <c r="H150" s="85"/>
      <c r="I150" s="428"/>
      <c r="J150" s="85"/>
      <c r="K150" s="108"/>
    </row>
    <row r="151" spans="1:12" s="285" customFormat="1" hidden="1" x14ac:dyDescent="0.25">
      <c r="A151" s="344"/>
      <c r="B151" s="151"/>
      <c r="C151" s="94"/>
      <c r="D151" s="89"/>
      <c r="E151" s="89">
        <f>SUM(E150)</f>
        <v>0</v>
      </c>
      <c r="F151" s="89">
        <v>0</v>
      </c>
      <c r="G151" s="429"/>
      <c r="H151" s="89"/>
      <c r="I151" s="429"/>
      <c r="J151" s="89"/>
      <c r="K151" s="89"/>
    </row>
    <row r="152" spans="1:12" s="285" customFormat="1" hidden="1" x14ac:dyDescent="0.25">
      <c r="A152" s="344"/>
      <c r="B152" s="151"/>
      <c r="C152" s="93" t="s">
        <v>64</v>
      </c>
      <c r="D152" s="88"/>
      <c r="E152" s="113"/>
      <c r="F152" s="113"/>
      <c r="G152" s="113"/>
      <c r="H152" s="113"/>
      <c r="I152" s="113"/>
      <c r="J152" s="113"/>
      <c r="K152" s="113"/>
    </row>
    <row r="153" spans="1:12" s="285" customFormat="1" hidden="1" x14ac:dyDescent="0.25">
      <c r="A153" s="118">
        <v>28</v>
      </c>
      <c r="B153" s="151">
        <v>6105</v>
      </c>
      <c r="C153" s="94" t="s">
        <v>336</v>
      </c>
      <c r="D153" s="85"/>
      <c r="E153" s="108"/>
      <c r="F153" s="85">
        <v>0</v>
      </c>
      <c r="G153" s="428"/>
      <c r="H153" s="85"/>
      <c r="I153" s="428"/>
      <c r="J153" s="85"/>
      <c r="K153" s="108"/>
    </row>
    <row r="154" spans="1:12" s="285" customFormat="1" hidden="1" x14ac:dyDescent="0.25">
      <c r="A154" s="118">
        <v>28</v>
      </c>
      <c r="B154" s="151">
        <v>6110</v>
      </c>
      <c r="C154" s="94" t="s">
        <v>337</v>
      </c>
      <c r="D154" s="85"/>
      <c r="E154" s="108"/>
      <c r="F154" s="85">
        <v>0</v>
      </c>
      <c r="G154" s="428"/>
      <c r="H154" s="85"/>
      <c r="I154" s="428"/>
      <c r="J154" s="85"/>
      <c r="K154" s="108"/>
    </row>
    <row r="155" spans="1:12" s="285" customFormat="1" hidden="1" x14ac:dyDescent="0.25">
      <c r="A155" s="118">
        <v>28</v>
      </c>
      <c r="B155" s="151">
        <v>6115</v>
      </c>
      <c r="C155" s="94" t="s">
        <v>60</v>
      </c>
      <c r="D155" s="85"/>
      <c r="E155" s="108"/>
      <c r="F155" s="85">
        <v>0</v>
      </c>
      <c r="G155" s="428"/>
      <c r="H155" s="85"/>
      <c r="I155" s="428"/>
      <c r="J155" s="85"/>
      <c r="K155" s="108"/>
    </row>
    <row r="156" spans="1:12" s="285" customFormat="1" hidden="1" x14ac:dyDescent="0.25">
      <c r="A156" s="344"/>
      <c r="B156" s="151"/>
      <c r="C156" s="94"/>
      <c r="D156" s="429">
        <f>SUM(D153:D155)</f>
        <v>0</v>
      </c>
      <c r="E156" s="89">
        <f>SUM(E153:E155)</f>
        <v>0</v>
      </c>
      <c r="F156" s="89">
        <v>0</v>
      </c>
      <c r="G156" s="429">
        <v>0</v>
      </c>
      <c r="H156" s="89"/>
      <c r="I156" s="429"/>
      <c r="J156" s="89"/>
      <c r="K156" s="89"/>
    </row>
    <row r="157" spans="1:12" s="285" customFormat="1" ht="14.4" customHeight="1" x14ac:dyDescent="0.25">
      <c r="A157" s="344"/>
      <c r="B157" s="151"/>
      <c r="C157" s="184" t="s">
        <v>65</v>
      </c>
      <c r="D157" s="441"/>
      <c r="E157" s="113"/>
      <c r="F157" s="113"/>
      <c r="G157" s="113"/>
      <c r="H157" s="113"/>
      <c r="I157" s="113"/>
      <c r="J157" s="113"/>
      <c r="K157" s="88"/>
    </row>
    <row r="158" spans="1:12" s="285" customFormat="1" x14ac:dyDescent="0.25">
      <c r="A158" s="118">
        <v>28</v>
      </c>
      <c r="B158" s="151">
        <v>6205</v>
      </c>
      <c r="C158" s="94" t="s">
        <v>338</v>
      </c>
      <c r="D158" s="85">
        <v>49844</v>
      </c>
      <c r="E158" s="108"/>
      <c r="F158" s="85"/>
      <c r="G158" s="428"/>
      <c r="H158" s="85"/>
      <c r="I158" s="428"/>
      <c r="J158" s="85"/>
      <c r="K158" s="85"/>
    </row>
    <row r="159" spans="1:12" s="285" customFormat="1" x14ac:dyDescent="0.25">
      <c r="A159" s="118">
        <v>28</v>
      </c>
      <c r="B159" s="151">
        <v>6210</v>
      </c>
      <c r="C159" s="94" t="s">
        <v>339</v>
      </c>
      <c r="D159" s="85"/>
      <c r="E159" s="85"/>
      <c r="F159" s="85">
        <v>0</v>
      </c>
      <c r="G159" s="428"/>
      <c r="H159" s="85"/>
      <c r="I159" s="428"/>
      <c r="J159" s="85"/>
      <c r="K159" s="85"/>
    </row>
    <row r="160" spans="1:12" s="285" customFormat="1" ht="10.5" customHeight="1" x14ac:dyDescent="0.25">
      <c r="A160" s="344"/>
      <c r="B160" s="346"/>
      <c r="C160" s="347"/>
      <c r="D160" s="441">
        <f>SUM(D158:D159)</f>
        <v>49844</v>
      </c>
      <c r="E160" s="116">
        <f>SUM(E158:E159)</f>
        <v>0</v>
      </c>
      <c r="F160" s="116">
        <v>0</v>
      </c>
      <c r="G160" s="441"/>
      <c r="H160" s="116"/>
      <c r="I160" s="441"/>
      <c r="J160" s="116"/>
      <c r="K160" s="116"/>
    </row>
    <row r="161" spans="1:12" s="285" customFormat="1" x14ac:dyDescent="0.25">
      <c r="A161" s="344"/>
      <c r="B161" s="346"/>
      <c r="C161" s="93" t="s">
        <v>189</v>
      </c>
      <c r="D161" s="441">
        <f t="shared" ref="D161:K161" si="7">D160+D156+D151+D148+D70+D66+D63+D59+D38+D35+D32+D29+D25+D18</f>
        <v>3150154</v>
      </c>
      <c r="E161" s="116">
        <f t="shared" si="7"/>
        <v>5451871.8949999996</v>
      </c>
      <c r="F161" s="116">
        <f t="shared" si="7"/>
        <v>5623343.8949999996</v>
      </c>
      <c r="G161" s="441">
        <f t="shared" si="7"/>
        <v>5623343.8949999996</v>
      </c>
      <c r="H161" s="116">
        <f t="shared" si="7"/>
        <v>5789270.7999999998</v>
      </c>
      <c r="I161" s="441">
        <f t="shared" si="7"/>
        <v>5355188.6984000001</v>
      </c>
      <c r="J161" s="441">
        <f t="shared" si="7"/>
        <v>5739724.076812</v>
      </c>
      <c r="K161" s="441">
        <f t="shared" si="7"/>
        <v>6049159.4528830368</v>
      </c>
    </row>
    <row r="162" spans="1:12" s="285" customFormat="1" hidden="1" x14ac:dyDescent="0.25">
      <c r="A162" s="344"/>
      <c r="B162" s="151"/>
      <c r="C162" s="93" t="s">
        <v>258</v>
      </c>
      <c r="D162" s="117"/>
      <c r="E162" s="117"/>
      <c r="F162" s="117"/>
      <c r="G162" s="442"/>
      <c r="H162" s="117"/>
      <c r="I162" s="442"/>
      <c r="J162" s="442"/>
      <c r="K162" s="442"/>
    </row>
    <row r="163" spans="1:12" s="285" customFormat="1" hidden="1" x14ac:dyDescent="0.25">
      <c r="A163" s="118">
        <v>28</v>
      </c>
      <c r="B163" s="151">
        <v>6305</v>
      </c>
      <c r="C163" s="94" t="s">
        <v>190</v>
      </c>
      <c r="D163" s="85">
        <v>0</v>
      </c>
      <c r="E163" s="85"/>
      <c r="F163" s="85"/>
      <c r="G163" s="428"/>
      <c r="H163" s="85"/>
      <c r="I163" s="428"/>
      <c r="J163" s="428"/>
      <c r="K163" s="428"/>
    </row>
    <row r="164" spans="1:12" s="285" customFormat="1" ht="14.25" hidden="1" customHeight="1" x14ac:dyDescent="0.25">
      <c r="A164" s="344"/>
      <c r="B164" s="151"/>
      <c r="C164" s="94"/>
      <c r="D164" s="116">
        <v>0</v>
      </c>
      <c r="E164" s="116">
        <f>E163</f>
        <v>0</v>
      </c>
      <c r="F164" s="116">
        <v>0</v>
      </c>
      <c r="G164" s="441">
        <v>1</v>
      </c>
      <c r="H164" s="116"/>
      <c r="I164" s="441"/>
      <c r="J164" s="441"/>
      <c r="K164" s="441"/>
    </row>
    <row r="165" spans="1:12" s="285" customFormat="1" x14ac:dyDescent="0.25">
      <c r="A165" s="348"/>
      <c r="B165" s="152"/>
      <c r="C165" s="119" t="s">
        <v>191</v>
      </c>
      <c r="D165" s="448">
        <f t="shared" ref="D165:K165" si="8">SUM(D161+D164)</f>
        <v>3150154</v>
      </c>
      <c r="E165" s="160">
        <f t="shared" si="8"/>
        <v>5451871.8949999996</v>
      </c>
      <c r="F165" s="160">
        <f t="shared" si="8"/>
        <v>5623343.8949999996</v>
      </c>
      <c r="G165" s="448">
        <f t="shared" si="8"/>
        <v>5623344.8949999996</v>
      </c>
      <c r="H165" s="160">
        <f t="shared" si="8"/>
        <v>5789270.7999999998</v>
      </c>
      <c r="I165" s="448">
        <f t="shared" si="8"/>
        <v>5355188.6984000001</v>
      </c>
      <c r="J165" s="448">
        <f t="shared" si="8"/>
        <v>5739724.076812</v>
      </c>
      <c r="K165" s="448">
        <f t="shared" si="8"/>
        <v>6049159.4528830368</v>
      </c>
    </row>
    <row r="166" spans="1:12" s="285" customFormat="1" x14ac:dyDescent="0.25">
      <c r="A166" s="344"/>
      <c r="B166" s="130"/>
      <c r="C166" s="115"/>
      <c r="D166" s="111"/>
      <c r="E166" s="111"/>
      <c r="F166" s="111"/>
      <c r="G166" s="111"/>
      <c r="H166" s="111"/>
      <c r="I166" s="111"/>
      <c r="J166" s="111"/>
      <c r="K166" s="398"/>
      <c r="L166" s="356"/>
    </row>
    <row r="167" spans="1:12" s="285" customFormat="1" x14ac:dyDescent="0.25">
      <c r="A167" s="349"/>
      <c r="B167" s="546"/>
      <c r="C167" s="546"/>
      <c r="D167" s="546"/>
      <c r="E167" s="338"/>
      <c r="F167" s="338"/>
      <c r="G167" s="563"/>
      <c r="H167" s="421"/>
      <c r="I167" s="581"/>
      <c r="J167" s="338"/>
      <c r="K167" s="360"/>
    </row>
    <row r="168" spans="1:12" s="285" customFormat="1" x14ac:dyDescent="0.25">
      <c r="A168" s="944"/>
      <c r="B168" s="945" t="s">
        <v>416</v>
      </c>
      <c r="C168" s="150"/>
      <c r="D168" s="103" t="s">
        <v>878</v>
      </c>
      <c r="E168" s="435" t="s">
        <v>382</v>
      </c>
      <c r="F168" s="435" t="s">
        <v>382</v>
      </c>
      <c r="G168" s="103" t="s">
        <v>413</v>
      </c>
      <c r="H168" s="435" t="s">
        <v>407</v>
      </c>
      <c r="I168" s="583" t="s">
        <v>24</v>
      </c>
      <c r="J168" s="583" t="s">
        <v>24</v>
      </c>
      <c r="K168" s="583" t="s">
        <v>24</v>
      </c>
    </row>
    <row r="169" spans="1:12" s="285" customFormat="1" x14ac:dyDescent="0.25">
      <c r="A169" s="946" t="s">
        <v>21</v>
      </c>
      <c r="B169" s="947"/>
      <c r="C169" s="106" t="s">
        <v>22</v>
      </c>
      <c r="D169" s="333" t="s">
        <v>257</v>
      </c>
      <c r="E169" s="107" t="s">
        <v>24</v>
      </c>
      <c r="F169" s="107" t="s">
        <v>535</v>
      </c>
      <c r="G169" s="107" t="s">
        <v>382</v>
      </c>
      <c r="H169" s="107" t="s">
        <v>24</v>
      </c>
      <c r="I169" s="586" t="s">
        <v>414</v>
      </c>
      <c r="J169" s="586" t="s">
        <v>530</v>
      </c>
      <c r="K169" s="586" t="s">
        <v>886</v>
      </c>
    </row>
    <row r="170" spans="1:12" s="285" customFormat="1" hidden="1" x14ac:dyDescent="0.25">
      <c r="A170" s="350"/>
      <c r="B170" s="153"/>
      <c r="C170" s="93"/>
      <c r="D170" s="122"/>
      <c r="E170" s="98"/>
      <c r="F170" s="98"/>
      <c r="G170" s="435"/>
      <c r="H170" s="98"/>
      <c r="I170" s="435"/>
      <c r="J170" s="98"/>
      <c r="K170" s="98"/>
    </row>
    <row r="171" spans="1:12" s="285" customFormat="1" hidden="1" x14ac:dyDescent="0.25">
      <c r="A171" s="118"/>
      <c r="B171" s="151"/>
      <c r="C171" s="94" t="s">
        <v>98</v>
      </c>
      <c r="D171" s="122"/>
      <c r="E171" s="108"/>
      <c r="F171" s="98"/>
      <c r="G171" s="435"/>
      <c r="H171" s="98"/>
      <c r="I171" s="435"/>
      <c r="J171" s="98"/>
      <c r="K171" s="108"/>
    </row>
    <row r="172" spans="1:12" s="285" customFormat="1" hidden="1" x14ac:dyDescent="0.25">
      <c r="A172" s="118">
        <v>28</v>
      </c>
      <c r="B172" s="151">
        <v>1237</v>
      </c>
      <c r="C172" s="94" t="s">
        <v>99</v>
      </c>
      <c r="D172" s="85"/>
      <c r="E172" s="85"/>
      <c r="F172" s="85">
        <v>0</v>
      </c>
      <c r="G172" s="428"/>
      <c r="H172" s="85"/>
      <c r="I172" s="428"/>
      <c r="J172" s="85"/>
      <c r="K172" s="85"/>
    </row>
    <row r="173" spans="1:12" s="285" customFormat="1" hidden="1" x14ac:dyDescent="0.25">
      <c r="A173" s="118">
        <v>28</v>
      </c>
      <c r="B173" s="151">
        <v>5725</v>
      </c>
      <c r="C173" s="118" t="s">
        <v>400</v>
      </c>
      <c r="D173" s="375"/>
      <c r="E173" s="375">
        <v>0</v>
      </c>
      <c r="F173" s="375">
        <v>0</v>
      </c>
      <c r="G173" s="375"/>
      <c r="H173" s="375"/>
      <c r="I173" s="375"/>
      <c r="J173" s="375"/>
      <c r="K173" s="375"/>
    </row>
    <row r="174" spans="1:12" s="285" customFormat="1" hidden="1" x14ac:dyDescent="0.25">
      <c r="A174" s="344"/>
      <c r="B174" s="151"/>
      <c r="C174" s="93"/>
      <c r="D174" s="436">
        <f>SUM(D172)</f>
        <v>0</v>
      </c>
      <c r="E174" s="436">
        <f>SUM(E172)</f>
        <v>0</v>
      </c>
      <c r="F174" s="436">
        <v>0</v>
      </c>
      <c r="G174" s="436">
        <v>0</v>
      </c>
      <c r="H174" s="436"/>
      <c r="I174" s="436"/>
      <c r="J174" s="436"/>
      <c r="K174" s="436"/>
    </row>
    <row r="175" spans="1:12" s="285" customFormat="1" x14ac:dyDescent="0.25">
      <c r="A175" s="118"/>
      <c r="B175" s="151"/>
      <c r="C175" s="94" t="s">
        <v>100</v>
      </c>
      <c r="D175" s="122"/>
      <c r="E175" s="98"/>
      <c r="F175" s="85"/>
      <c r="G175" s="86"/>
      <c r="H175" s="86"/>
      <c r="I175" s="86"/>
      <c r="J175" s="86"/>
      <c r="K175" s="86"/>
    </row>
    <row r="176" spans="1:12" s="285" customFormat="1" hidden="1" x14ac:dyDescent="0.25">
      <c r="A176" s="118">
        <v>28</v>
      </c>
      <c r="B176" s="151">
        <v>1147</v>
      </c>
      <c r="C176" s="94" t="s">
        <v>102</v>
      </c>
      <c r="D176" s="122"/>
      <c r="E176" s="98">
        <v>4801.6320000000005</v>
      </c>
      <c r="F176" s="85">
        <v>4801.6320000000005</v>
      </c>
      <c r="G176" s="86">
        <v>0</v>
      </c>
      <c r="H176" s="86">
        <f>D176*2</f>
        <v>0</v>
      </c>
      <c r="I176" s="86"/>
      <c r="J176" s="86">
        <f>(H176*0.1)+H176</f>
        <v>0</v>
      </c>
      <c r="K176" s="86">
        <f>(J176*0.1)+J176</f>
        <v>0</v>
      </c>
    </row>
    <row r="177" spans="1:11" s="285" customFormat="1" hidden="1" x14ac:dyDescent="0.25">
      <c r="A177" s="118">
        <v>28</v>
      </c>
      <c r="B177" s="151">
        <v>1202</v>
      </c>
      <c r="C177" s="94" t="s">
        <v>343</v>
      </c>
      <c r="D177" s="122"/>
      <c r="E177" s="98"/>
      <c r="F177" s="85">
        <v>0</v>
      </c>
      <c r="G177" s="86">
        <v>0</v>
      </c>
      <c r="H177" s="86">
        <f t="shared" ref="H177:H201" si="9">(F177*0.1)+F177</f>
        <v>0</v>
      </c>
      <c r="I177" s="86"/>
      <c r="J177" s="86">
        <f>(H177*0.1)+H177</f>
        <v>0</v>
      </c>
      <c r="K177" s="86">
        <f>(J177*0.1)+J177</f>
        <v>0</v>
      </c>
    </row>
    <row r="178" spans="1:11" s="285" customFormat="1" hidden="1" x14ac:dyDescent="0.25">
      <c r="A178" s="118">
        <v>28</v>
      </c>
      <c r="B178" s="151">
        <v>1207</v>
      </c>
      <c r="C178" s="94" t="s">
        <v>104</v>
      </c>
      <c r="D178" s="122"/>
      <c r="E178" s="98"/>
      <c r="F178" s="85">
        <v>0</v>
      </c>
      <c r="G178" s="86">
        <v>0</v>
      </c>
      <c r="H178" s="86">
        <f t="shared" si="9"/>
        <v>0</v>
      </c>
      <c r="I178" s="86"/>
      <c r="J178" s="86">
        <f>(H178*0.1)+H178</f>
        <v>0</v>
      </c>
      <c r="K178" s="86">
        <f>(J178*0.1)+J178</f>
        <v>0</v>
      </c>
    </row>
    <row r="179" spans="1:11" s="285" customFormat="1" hidden="1" x14ac:dyDescent="0.25">
      <c r="A179" s="118">
        <v>28</v>
      </c>
      <c r="B179" s="151">
        <v>1153</v>
      </c>
      <c r="C179" s="94" t="s">
        <v>115</v>
      </c>
      <c r="D179" s="122"/>
      <c r="E179" s="98"/>
      <c r="F179" s="85">
        <v>0</v>
      </c>
      <c r="G179" s="86">
        <v>0</v>
      </c>
      <c r="H179" s="86">
        <f t="shared" si="9"/>
        <v>0</v>
      </c>
      <c r="I179" s="86"/>
      <c r="J179" s="86">
        <f>(H179*0.1)+H179</f>
        <v>0</v>
      </c>
      <c r="K179" s="86">
        <f>(J179*0.1)+J179</f>
        <v>0</v>
      </c>
    </row>
    <row r="180" spans="1:11" s="285" customFormat="1" x14ac:dyDescent="0.25">
      <c r="A180" s="118">
        <v>28</v>
      </c>
      <c r="B180" s="151">
        <v>1143</v>
      </c>
      <c r="C180" s="94" t="s">
        <v>109</v>
      </c>
      <c r="D180" s="85">
        <v>-85054</v>
      </c>
      <c r="E180" s="86">
        <v>-90584</v>
      </c>
      <c r="F180" s="86">
        <v>-90584</v>
      </c>
      <c r="G180" s="86">
        <v>-90584</v>
      </c>
      <c r="H180" s="86">
        <f>+G180*1.0739</f>
        <v>-97278.157600000006</v>
      </c>
      <c r="I180" s="86">
        <f>+H180*1.058</f>
        <v>-102920.29074080002</v>
      </c>
      <c r="J180" s="86">
        <f>+I180*1.055</f>
        <v>-108580.90673154402</v>
      </c>
      <c r="K180" s="86">
        <f>+J180*1.053</f>
        <v>-114335.69478831584</v>
      </c>
    </row>
    <row r="181" spans="1:11" s="285" customFormat="1" hidden="1" x14ac:dyDescent="0.25">
      <c r="A181" s="118">
        <v>28</v>
      </c>
      <c r="B181" s="151">
        <v>5500</v>
      </c>
      <c r="C181" s="94" t="s">
        <v>266</v>
      </c>
      <c r="D181" s="85"/>
      <c r="E181" s="86">
        <v>0</v>
      </c>
      <c r="F181" s="86">
        <v>0</v>
      </c>
      <c r="G181" s="86">
        <v>0</v>
      </c>
      <c r="H181" s="86">
        <f t="shared" si="9"/>
        <v>0</v>
      </c>
      <c r="I181" s="86">
        <f t="shared" ref="I181:I204" si="10">+H181*1.058</f>
        <v>0</v>
      </c>
      <c r="J181" s="86">
        <f t="shared" ref="J181:J204" si="11">+I181*1.055</f>
        <v>0</v>
      </c>
      <c r="K181" s="86">
        <f t="shared" ref="K181:K204" si="12">+J181*1.053</f>
        <v>0</v>
      </c>
    </row>
    <row r="182" spans="1:11" s="285" customFormat="1" hidden="1" x14ac:dyDescent="0.25">
      <c r="A182" s="118">
        <v>28</v>
      </c>
      <c r="B182" s="151">
        <v>5705</v>
      </c>
      <c r="C182" s="94" t="s">
        <v>296</v>
      </c>
      <c r="D182" s="122"/>
      <c r="E182" s="86">
        <v>0</v>
      </c>
      <c r="F182" s="86">
        <v>0</v>
      </c>
      <c r="G182" s="86">
        <v>0</v>
      </c>
      <c r="H182" s="86">
        <f t="shared" si="9"/>
        <v>0</v>
      </c>
      <c r="I182" s="86">
        <f t="shared" si="10"/>
        <v>0</v>
      </c>
      <c r="J182" s="86">
        <f t="shared" si="11"/>
        <v>0</v>
      </c>
      <c r="K182" s="86">
        <f t="shared" si="12"/>
        <v>0</v>
      </c>
    </row>
    <row r="183" spans="1:11" s="285" customFormat="1" hidden="1" x14ac:dyDescent="0.25">
      <c r="A183" s="118">
        <v>28</v>
      </c>
      <c r="B183" s="151">
        <v>1140</v>
      </c>
      <c r="C183" s="94" t="s">
        <v>113</v>
      </c>
      <c r="D183" s="122"/>
      <c r="E183" s="86">
        <v>0</v>
      </c>
      <c r="F183" s="86">
        <v>0</v>
      </c>
      <c r="G183" s="86">
        <v>0</v>
      </c>
      <c r="H183" s="86">
        <f t="shared" si="9"/>
        <v>0</v>
      </c>
      <c r="I183" s="86">
        <f t="shared" si="10"/>
        <v>0</v>
      </c>
      <c r="J183" s="86">
        <f t="shared" si="11"/>
        <v>0</v>
      </c>
      <c r="K183" s="86">
        <f t="shared" si="12"/>
        <v>0</v>
      </c>
    </row>
    <row r="184" spans="1:11" s="285" customFormat="1" x14ac:dyDescent="0.25">
      <c r="A184" s="118">
        <v>28</v>
      </c>
      <c r="B184" s="151">
        <v>1145</v>
      </c>
      <c r="C184" s="94" t="s">
        <v>132</v>
      </c>
      <c r="D184" s="122"/>
      <c r="E184" s="86">
        <v>0</v>
      </c>
      <c r="F184" s="86">
        <v>0</v>
      </c>
      <c r="G184" s="86">
        <v>0</v>
      </c>
      <c r="H184" s="86">
        <f t="shared" si="9"/>
        <v>0</v>
      </c>
      <c r="I184" s="86">
        <f t="shared" si="10"/>
        <v>0</v>
      </c>
      <c r="J184" s="86">
        <f t="shared" si="11"/>
        <v>0</v>
      </c>
      <c r="K184" s="86">
        <f t="shared" si="12"/>
        <v>0</v>
      </c>
    </row>
    <row r="185" spans="1:11" s="285" customFormat="1" hidden="1" x14ac:dyDescent="0.25">
      <c r="A185" s="118">
        <v>28</v>
      </c>
      <c r="B185" s="151">
        <v>1150</v>
      </c>
      <c r="C185" s="94" t="s">
        <v>120</v>
      </c>
      <c r="D185" s="122"/>
      <c r="E185" s="86">
        <v>0</v>
      </c>
      <c r="F185" s="86">
        <v>0</v>
      </c>
      <c r="G185" s="86">
        <v>0</v>
      </c>
      <c r="H185" s="86">
        <f t="shared" si="9"/>
        <v>0</v>
      </c>
      <c r="I185" s="86">
        <f t="shared" si="10"/>
        <v>0</v>
      </c>
      <c r="J185" s="86">
        <f t="shared" si="11"/>
        <v>0</v>
      </c>
      <c r="K185" s="86">
        <f t="shared" si="12"/>
        <v>0</v>
      </c>
    </row>
    <row r="186" spans="1:11" s="285" customFormat="1" hidden="1" x14ac:dyDescent="0.25">
      <c r="A186" s="118">
        <v>28</v>
      </c>
      <c r="B186" s="151">
        <v>1155</v>
      </c>
      <c r="C186" s="94" t="s">
        <v>116</v>
      </c>
      <c r="D186" s="122"/>
      <c r="E186" s="86">
        <v>0</v>
      </c>
      <c r="F186" s="86">
        <v>0</v>
      </c>
      <c r="G186" s="86">
        <v>0</v>
      </c>
      <c r="H186" s="86">
        <f t="shared" si="9"/>
        <v>0</v>
      </c>
      <c r="I186" s="86">
        <f t="shared" si="10"/>
        <v>0</v>
      </c>
      <c r="J186" s="86">
        <f t="shared" si="11"/>
        <v>0</v>
      </c>
      <c r="K186" s="86">
        <f t="shared" si="12"/>
        <v>0</v>
      </c>
    </row>
    <row r="187" spans="1:11" s="285" customFormat="1" hidden="1" x14ac:dyDescent="0.25">
      <c r="A187" s="118">
        <v>28</v>
      </c>
      <c r="B187" s="151">
        <v>1160</v>
      </c>
      <c r="C187" s="94" t="s">
        <v>101</v>
      </c>
      <c r="D187" s="122"/>
      <c r="E187" s="86">
        <v>0</v>
      </c>
      <c r="F187" s="86">
        <v>0</v>
      </c>
      <c r="G187" s="86">
        <v>0</v>
      </c>
      <c r="H187" s="86">
        <f t="shared" si="9"/>
        <v>0</v>
      </c>
      <c r="I187" s="86">
        <f t="shared" si="10"/>
        <v>0</v>
      </c>
      <c r="J187" s="86">
        <f t="shared" si="11"/>
        <v>0</v>
      </c>
      <c r="K187" s="86">
        <f t="shared" si="12"/>
        <v>0</v>
      </c>
    </row>
    <row r="188" spans="1:11" s="285" customFormat="1" hidden="1" x14ac:dyDescent="0.25">
      <c r="A188" s="118">
        <v>28</v>
      </c>
      <c r="B188" s="151">
        <v>1165</v>
      </c>
      <c r="C188" s="94" t="s">
        <v>114</v>
      </c>
      <c r="D188" s="122"/>
      <c r="E188" s="86">
        <v>0</v>
      </c>
      <c r="F188" s="86">
        <v>0</v>
      </c>
      <c r="G188" s="86">
        <v>0</v>
      </c>
      <c r="H188" s="86">
        <f t="shared" si="9"/>
        <v>0</v>
      </c>
      <c r="I188" s="86">
        <f t="shared" si="10"/>
        <v>0</v>
      </c>
      <c r="J188" s="86">
        <f t="shared" si="11"/>
        <v>0</v>
      </c>
      <c r="K188" s="86">
        <f t="shared" si="12"/>
        <v>0</v>
      </c>
    </row>
    <row r="189" spans="1:11" s="285" customFormat="1" hidden="1" x14ac:dyDescent="0.25">
      <c r="A189" s="118"/>
      <c r="B189" s="151"/>
      <c r="C189" s="94" t="s">
        <v>401</v>
      </c>
      <c r="D189" s="122"/>
      <c r="E189" s="86">
        <v>0</v>
      </c>
      <c r="F189" s="86">
        <v>0</v>
      </c>
      <c r="G189" s="86">
        <v>0</v>
      </c>
      <c r="H189" s="86">
        <f t="shared" si="9"/>
        <v>0</v>
      </c>
      <c r="I189" s="86">
        <f t="shared" si="10"/>
        <v>0</v>
      </c>
      <c r="J189" s="86">
        <f t="shared" si="11"/>
        <v>0</v>
      </c>
      <c r="K189" s="86">
        <f t="shared" si="12"/>
        <v>0</v>
      </c>
    </row>
    <row r="190" spans="1:11" s="285" customFormat="1" hidden="1" x14ac:dyDescent="0.25">
      <c r="A190" s="118">
        <v>28</v>
      </c>
      <c r="B190" s="151">
        <v>1180</v>
      </c>
      <c r="C190" s="94" t="s">
        <v>402</v>
      </c>
      <c r="D190" s="122"/>
      <c r="E190" s="86">
        <v>0</v>
      </c>
      <c r="F190" s="86">
        <v>0</v>
      </c>
      <c r="G190" s="86">
        <v>0</v>
      </c>
      <c r="H190" s="86">
        <f t="shared" si="9"/>
        <v>0</v>
      </c>
      <c r="I190" s="86">
        <f t="shared" si="10"/>
        <v>0</v>
      </c>
      <c r="J190" s="86">
        <f t="shared" si="11"/>
        <v>0</v>
      </c>
      <c r="K190" s="86">
        <f t="shared" si="12"/>
        <v>0</v>
      </c>
    </row>
    <row r="191" spans="1:11" s="285" customFormat="1" hidden="1" x14ac:dyDescent="0.25">
      <c r="A191" s="118">
        <v>28</v>
      </c>
      <c r="B191" s="151">
        <v>1185</v>
      </c>
      <c r="C191" s="94" t="s">
        <v>403</v>
      </c>
      <c r="D191" s="122"/>
      <c r="E191" s="86">
        <v>0</v>
      </c>
      <c r="F191" s="86">
        <v>0</v>
      </c>
      <c r="G191" s="86">
        <v>0</v>
      </c>
      <c r="H191" s="86">
        <f t="shared" si="9"/>
        <v>0</v>
      </c>
      <c r="I191" s="86">
        <f t="shared" si="10"/>
        <v>0</v>
      </c>
      <c r="J191" s="86">
        <f t="shared" si="11"/>
        <v>0</v>
      </c>
      <c r="K191" s="86">
        <f t="shared" si="12"/>
        <v>0</v>
      </c>
    </row>
    <row r="192" spans="1:11" s="285" customFormat="1" hidden="1" x14ac:dyDescent="0.25">
      <c r="A192" s="118">
        <v>28</v>
      </c>
      <c r="B192" s="151">
        <v>1190</v>
      </c>
      <c r="C192" s="94" t="s">
        <v>404</v>
      </c>
      <c r="D192" s="122"/>
      <c r="E192" s="86">
        <v>0</v>
      </c>
      <c r="F192" s="86">
        <v>0</v>
      </c>
      <c r="G192" s="86">
        <v>0</v>
      </c>
      <c r="H192" s="86">
        <f t="shared" si="9"/>
        <v>0</v>
      </c>
      <c r="I192" s="86">
        <f t="shared" si="10"/>
        <v>0</v>
      </c>
      <c r="J192" s="86">
        <f t="shared" si="11"/>
        <v>0</v>
      </c>
      <c r="K192" s="86">
        <f t="shared" si="12"/>
        <v>0</v>
      </c>
    </row>
    <row r="193" spans="1:11" s="285" customFormat="1" hidden="1" x14ac:dyDescent="0.25">
      <c r="A193" s="118"/>
      <c r="B193" s="151"/>
      <c r="C193" s="94" t="s">
        <v>405</v>
      </c>
      <c r="D193" s="122"/>
      <c r="E193" s="86">
        <v>0</v>
      </c>
      <c r="F193" s="86">
        <v>0</v>
      </c>
      <c r="G193" s="86">
        <v>0</v>
      </c>
      <c r="H193" s="86">
        <f t="shared" si="9"/>
        <v>0</v>
      </c>
      <c r="I193" s="86">
        <f t="shared" si="10"/>
        <v>0</v>
      </c>
      <c r="J193" s="86">
        <f t="shared" si="11"/>
        <v>0</v>
      </c>
      <c r="K193" s="86">
        <f t="shared" si="12"/>
        <v>0</v>
      </c>
    </row>
    <row r="194" spans="1:11" s="285" customFormat="1" hidden="1" x14ac:dyDescent="0.25">
      <c r="A194" s="118">
        <v>28</v>
      </c>
      <c r="B194" s="151">
        <v>1195</v>
      </c>
      <c r="C194" s="94" t="s">
        <v>199</v>
      </c>
      <c r="D194" s="122"/>
      <c r="E194" s="86">
        <v>0</v>
      </c>
      <c r="F194" s="86">
        <v>0</v>
      </c>
      <c r="G194" s="86">
        <v>0</v>
      </c>
      <c r="H194" s="86">
        <f t="shared" si="9"/>
        <v>0</v>
      </c>
      <c r="I194" s="86">
        <f t="shared" si="10"/>
        <v>0</v>
      </c>
      <c r="J194" s="86">
        <f t="shared" si="11"/>
        <v>0</v>
      </c>
      <c r="K194" s="86">
        <f t="shared" si="12"/>
        <v>0</v>
      </c>
    </row>
    <row r="195" spans="1:11" s="285" customFormat="1" hidden="1" x14ac:dyDescent="0.25">
      <c r="A195" s="118">
        <v>28</v>
      </c>
      <c r="B195" s="151">
        <v>1200</v>
      </c>
      <c r="C195" s="115" t="s">
        <v>117</v>
      </c>
      <c r="D195" s="122"/>
      <c r="E195" s="86">
        <v>0</v>
      </c>
      <c r="F195" s="86">
        <v>0</v>
      </c>
      <c r="G195" s="86">
        <v>0</v>
      </c>
      <c r="H195" s="86">
        <f t="shared" si="9"/>
        <v>0</v>
      </c>
      <c r="I195" s="86">
        <f t="shared" si="10"/>
        <v>0</v>
      </c>
      <c r="J195" s="86">
        <f t="shared" si="11"/>
        <v>0</v>
      </c>
      <c r="K195" s="86">
        <f t="shared" si="12"/>
        <v>0</v>
      </c>
    </row>
    <row r="196" spans="1:11" s="285" customFormat="1" hidden="1" x14ac:dyDescent="0.25">
      <c r="A196" s="118">
        <v>28</v>
      </c>
      <c r="B196" s="151">
        <v>1205</v>
      </c>
      <c r="C196" s="94" t="s">
        <v>105</v>
      </c>
      <c r="D196" s="122"/>
      <c r="E196" s="86">
        <v>0</v>
      </c>
      <c r="F196" s="86">
        <v>0</v>
      </c>
      <c r="G196" s="86">
        <v>0</v>
      </c>
      <c r="H196" s="86">
        <f t="shared" si="9"/>
        <v>0</v>
      </c>
      <c r="I196" s="86">
        <f t="shared" si="10"/>
        <v>0</v>
      </c>
      <c r="J196" s="86">
        <f t="shared" si="11"/>
        <v>0</v>
      </c>
      <c r="K196" s="86">
        <f t="shared" si="12"/>
        <v>0</v>
      </c>
    </row>
    <row r="197" spans="1:11" s="285" customFormat="1" hidden="1" x14ac:dyDescent="0.25">
      <c r="A197" s="118">
        <v>28</v>
      </c>
      <c r="B197" s="151">
        <v>1210</v>
      </c>
      <c r="C197" s="94" t="s">
        <v>118</v>
      </c>
      <c r="D197" s="122"/>
      <c r="E197" s="86">
        <v>0</v>
      </c>
      <c r="F197" s="86">
        <v>0</v>
      </c>
      <c r="G197" s="86">
        <v>0</v>
      </c>
      <c r="H197" s="86">
        <f t="shared" si="9"/>
        <v>0</v>
      </c>
      <c r="I197" s="86">
        <f t="shared" si="10"/>
        <v>0</v>
      </c>
      <c r="J197" s="86">
        <f t="shared" si="11"/>
        <v>0</v>
      </c>
      <c r="K197" s="86">
        <f t="shared" si="12"/>
        <v>0</v>
      </c>
    </row>
    <row r="198" spans="1:11" s="285" customFormat="1" hidden="1" x14ac:dyDescent="0.25">
      <c r="A198" s="118">
        <v>28</v>
      </c>
      <c r="B198" s="151">
        <v>1215</v>
      </c>
      <c r="C198" s="94" t="s">
        <v>133</v>
      </c>
      <c r="D198" s="85"/>
      <c r="E198" s="86">
        <v>0</v>
      </c>
      <c r="F198" s="86">
        <v>0</v>
      </c>
      <c r="G198" s="86">
        <v>0</v>
      </c>
      <c r="H198" s="86">
        <f t="shared" si="9"/>
        <v>0</v>
      </c>
      <c r="I198" s="86">
        <f t="shared" si="10"/>
        <v>0</v>
      </c>
      <c r="J198" s="86">
        <f t="shared" si="11"/>
        <v>0</v>
      </c>
      <c r="K198" s="86">
        <f t="shared" si="12"/>
        <v>0</v>
      </c>
    </row>
    <row r="199" spans="1:11" s="285" customFormat="1" x14ac:dyDescent="0.25">
      <c r="A199" s="118">
        <v>28</v>
      </c>
      <c r="B199" s="151">
        <v>5905</v>
      </c>
      <c r="C199" s="94" t="s">
        <v>329</v>
      </c>
      <c r="D199" s="85">
        <v>-53750</v>
      </c>
      <c r="E199" s="86">
        <v>-56746</v>
      </c>
      <c r="F199" s="86">
        <v>-56746</v>
      </c>
      <c r="G199" s="86">
        <v>-56746</v>
      </c>
      <c r="H199" s="86">
        <f>+G199*1.0574</f>
        <v>-60003.220399999991</v>
      </c>
      <c r="I199" s="86">
        <f t="shared" si="10"/>
        <v>-63483.407183199997</v>
      </c>
      <c r="J199" s="86">
        <f t="shared" si="11"/>
        <v>-66974.99457827599</v>
      </c>
      <c r="K199" s="86">
        <f t="shared" si="12"/>
        <v>-70524.669290924619</v>
      </c>
    </row>
    <row r="200" spans="1:11" s="285" customFormat="1" hidden="1" x14ac:dyDescent="0.25">
      <c r="A200" s="118">
        <v>28</v>
      </c>
      <c r="B200" s="151">
        <v>5900</v>
      </c>
      <c r="C200" s="94" t="s">
        <v>333</v>
      </c>
      <c r="D200" s="122"/>
      <c r="E200" s="86">
        <v>0</v>
      </c>
      <c r="F200" s="86">
        <v>0</v>
      </c>
      <c r="G200" s="86">
        <v>0</v>
      </c>
      <c r="H200" s="86">
        <f t="shared" si="9"/>
        <v>0</v>
      </c>
      <c r="I200" s="86">
        <f t="shared" si="10"/>
        <v>0</v>
      </c>
      <c r="J200" s="86">
        <f t="shared" si="11"/>
        <v>0</v>
      </c>
      <c r="K200" s="86">
        <f t="shared" si="12"/>
        <v>0</v>
      </c>
    </row>
    <row r="201" spans="1:11" s="285" customFormat="1" x14ac:dyDescent="0.25">
      <c r="A201" s="118">
        <v>28</v>
      </c>
      <c r="B201" s="151">
        <v>1220</v>
      </c>
      <c r="C201" s="94" t="s">
        <v>340</v>
      </c>
      <c r="D201" s="122"/>
      <c r="E201" s="86">
        <v>0</v>
      </c>
      <c r="F201" s="86">
        <v>0</v>
      </c>
      <c r="G201" s="86">
        <v>0</v>
      </c>
      <c r="H201" s="86">
        <f t="shared" si="9"/>
        <v>0</v>
      </c>
      <c r="I201" s="86">
        <f t="shared" si="10"/>
        <v>0</v>
      </c>
      <c r="J201" s="86">
        <f t="shared" si="11"/>
        <v>0</v>
      </c>
      <c r="K201" s="86">
        <f t="shared" si="12"/>
        <v>0</v>
      </c>
    </row>
    <row r="202" spans="1:11" s="285" customFormat="1" x14ac:dyDescent="0.25">
      <c r="A202" s="118">
        <v>28</v>
      </c>
      <c r="B202" s="151">
        <v>1225</v>
      </c>
      <c r="C202" s="94" t="s">
        <v>370</v>
      </c>
      <c r="D202" s="122">
        <v>1184</v>
      </c>
      <c r="E202" s="86">
        <v>1249.1199999999999</v>
      </c>
      <c r="F202" s="86">
        <v>1249.1199999999999</v>
      </c>
      <c r="G202" s="86">
        <v>1249.1199999999999</v>
      </c>
      <c r="H202" s="86">
        <f>+G202*1.1</f>
        <v>1374.0319999999999</v>
      </c>
      <c r="I202" s="86">
        <f t="shared" si="10"/>
        <v>1453.725856</v>
      </c>
      <c r="J202" s="86">
        <f t="shared" si="11"/>
        <v>1533.68077808</v>
      </c>
      <c r="K202" s="86">
        <f t="shared" si="12"/>
        <v>1614.9658593182398</v>
      </c>
    </row>
    <row r="203" spans="1:11" s="285" customFormat="1" hidden="1" x14ac:dyDescent="0.25">
      <c r="A203" s="118">
        <v>28</v>
      </c>
      <c r="B203" s="151">
        <v>1230</v>
      </c>
      <c r="C203" s="94" t="s">
        <v>119</v>
      </c>
      <c r="D203" s="122"/>
      <c r="E203" s="98">
        <v>1249.1199999999999</v>
      </c>
      <c r="F203" s="98">
        <v>1249.1199999999999</v>
      </c>
      <c r="G203" s="435">
        <v>0</v>
      </c>
      <c r="H203" s="98">
        <f>D203*2</f>
        <v>0</v>
      </c>
      <c r="I203" s="86">
        <f t="shared" si="10"/>
        <v>0</v>
      </c>
      <c r="J203" s="86">
        <f t="shared" si="11"/>
        <v>0</v>
      </c>
      <c r="K203" s="86">
        <f t="shared" si="12"/>
        <v>0</v>
      </c>
    </row>
    <row r="204" spans="1:11" s="285" customFormat="1" hidden="1" x14ac:dyDescent="0.25">
      <c r="A204" s="118">
        <v>28</v>
      </c>
      <c r="B204" s="151">
        <v>1235</v>
      </c>
      <c r="C204" s="94" t="s">
        <v>347</v>
      </c>
      <c r="D204" s="225"/>
      <c r="E204" s="85"/>
      <c r="F204" s="85">
        <v>0</v>
      </c>
      <c r="G204" s="428"/>
      <c r="H204" s="85"/>
      <c r="I204" s="86">
        <f t="shared" si="10"/>
        <v>0</v>
      </c>
      <c r="J204" s="86">
        <f t="shared" si="11"/>
        <v>0</v>
      </c>
      <c r="K204" s="86">
        <f t="shared" si="12"/>
        <v>0</v>
      </c>
    </row>
    <row r="205" spans="1:11" s="285" customFormat="1" x14ac:dyDescent="0.25">
      <c r="A205" s="344"/>
      <c r="B205" s="151"/>
      <c r="C205" s="94" t="s">
        <v>510</v>
      </c>
      <c r="D205" s="435"/>
      <c r="E205" s="435"/>
      <c r="F205" s="435"/>
      <c r="G205" s="377"/>
      <c r="H205" s="435"/>
      <c r="I205" s="435"/>
      <c r="J205" s="435"/>
      <c r="K205" s="334"/>
    </row>
    <row r="206" spans="1:11" s="285" customFormat="1" x14ac:dyDescent="0.25">
      <c r="A206" s="344"/>
      <c r="B206" s="151"/>
      <c r="C206" s="93"/>
      <c r="D206" s="436">
        <f>SUM(D176:D204)</f>
        <v>-137620</v>
      </c>
      <c r="E206" s="436">
        <f>SUM(E176:E204)</f>
        <v>-140030.12800000003</v>
      </c>
      <c r="F206" s="436">
        <f>SUM(F176:F204)</f>
        <v>-140030.12800000003</v>
      </c>
      <c r="G206" s="436">
        <v>-141279.24800000002</v>
      </c>
      <c r="H206" s="436">
        <f>SUM(H176:H204)</f>
        <v>-155907.34599999999</v>
      </c>
      <c r="I206" s="436">
        <f>SUM(I176:I204)</f>
        <v>-164949.972068</v>
      </c>
      <c r="J206" s="436">
        <f>SUM(J176:J204)</f>
        <v>-174022.22053174002</v>
      </c>
      <c r="K206" s="436">
        <f>SUM(K176:K204)</f>
        <v>-183245.39821992224</v>
      </c>
    </row>
    <row r="207" spans="1:11" s="285" customFormat="1" x14ac:dyDescent="0.25">
      <c r="A207" s="118"/>
      <c r="B207" s="151"/>
      <c r="C207" s="94" t="s">
        <v>66</v>
      </c>
      <c r="D207" s="122"/>
      <c r="E207" s="98"/>
      <c r="F207" s="85"/>
      <c r="G207" s="428"/>
      <c r="H207" s="85"/>
      <c r="I207" s="428"/>
      <c r="J207" s="428"/>
      <c r="K207" s="428"/>
    </row>
    <row r="208" spans="1:11" s="285" customFormat="1" x14ac:dyDescent="0.25">
      <c r="A208" s="118">
        <v>28</v>
      </c>
      <c r="B208" s="151">
        <v>1305</v>
      </c>
      <c r="C208" s="94" t="s">
        <v>342</v>
      </c>
      <c r="D208" s="122"/>
      <c r="E208" s="98"/>
      <c r="F208" s="98"/>
      <c r="G208" s="435"/>
      <c r="H208" s="98"/>
      <c r="I208" s="435"/>
      <c r="J208" s="435"/>
      <c r="K208" s="435"/>
    </row>
    <row r="209" spans="1:12" s="285" customFormat="1" x14ac:dyDescent="0.25">
      <c r="A209" s="118">
        <v>28</v>
      </c>
      <c r="B209" s="151">
        <v>1310</v>
      </c>
      <c r="C209" s="94" t="s">
        <v>344</v>
      </c>
      <c r="D209" s="122"/>
      <c r="E209" s="98"/>
      <c r="F209" s="98">
        <v>0</v>
      </c>
      <c r="G209" s="435">
        <v>0</v>
      </c>
      <c r="H209" s="98"/>
      <c r="I209" s="435"/>
      <c r="J209" s="435"/>
      <c r="K209" s="435"/>
    </row>
    <row r="210" spans="1:12" s="285" customFormat="1" x14ac:dyDescent="0.25">
      <c r="A210" s="118">
        <v>28</v>
      </c>
      <c r="B210" s="151">
        <v>1320</v>
      </c>
      <c r="C210" s="94" t="s">
        <v>345</v>
      </c>
      <c r="D210" s="122"/>
      <c r="E210" s="108"/>
      <c r="F210" s="98">
        <v>0</v>
      </c>
      <c r="G210" s="435">
        <v>0</v>
      </c>
      <c r="H210" s="98"/>
      <c r="I210" s="435"/>
      <c r="J210" s="435"/>
      <c r="K210" s="435"/>
    </row>
    <row r="211" spans="1:12" s="285" customFormat="1" x14ac:dyDescent="0.25">
      <c r="A211" s="344">
        <v>28</v>
      </c>
      <c r="B211" s="151">
        <v>1315</v>
      </c>
      <c r="C211" s="118" t="s">
        <v>346</v>
      </c>
      <c r="D211" s="375">
        <v>0</v>
      </c>
      <c r="E211" s="379">
        <f t="shared" ref="D211:L212" si="13">SUM(E207:E210)</f>
        <v>0</v>
      </c>
      <c r="F211" s="435">
        <f t="shared" si="13"/>
        <v>0</v>
      </c>
      <c r="G211" s="435"/>
      <c r="H211" s="435">
        <f t="shared" si="13"/>
        <v>0</v>
      </c>
      <c r="I211" s="435">
        <f t="shared" ref="I211:K212" si="14">SUM(I207:I210)</f>
        <v>0</v>
      </c>
      <c r="J211" s="435">
        <f t="shared" si="14"/>
        <v>0</v>
      </c>
      <c r="K211" s="435">
        <f t="shared" si="14"/>
        <v>0</v>
      </c>
    </row>
    <row r="212" spans="1:12" s="285" customFormat="1" x14ac:dyDescent="0.25">
      <c r="A212" s="344"/>
      <c r="B212" s="151"/>
      <c r="C212" s="93"/>
      <c r="D212" s="436">
        <f t="shared" si="13"/>
        <v>0</v>
      </c>
      <c r="E212" s="436">
        <f t="shared" si="13"/>
        <v>0</v>
      </c>
      <c r="F212" s="436">
        <f t="shared" si="13"/>
        <v>0</v>
      </c>
      <c r="G212" s="436">
        <f t="shared" si="13"/>
        <v>0</v>
      </c>
      <c r="H212" s="436">
        <f t="shared" si="13"/>
        <v>0</v>
      </c>
      <c r="I212" s="436">
        <f t="shared" si="14"/>
        <v>0</v>
      </c>
      <c r="J212" s="436">
        <f t="shared" si="14"/>
        <v>0</v>
      </c>
      <c r="K212" s="436">
        <f t="shared" si="14"/>
        <v>0</v>
      </c>
      <c r="L212" s="436">
        <f t="shared" si="13"/>
        <v>0</v>
      </c>
    </row>
    <row r="213" spans="1:12" s="285" customFormat="1" x14ac:dyDescent="0.25">
      <c r="A213" s="118"/>
      <c r="B213" s="151"/>
      <c r="C213" s="94" t="s">
        <v>67</v>
      </c>
      <c r="D213" s="122">
        <v>0</v>
      </c>
      <c r="E213" s="108"/>
      <c r="F213" s="98"/>
      <c r="G213" s="435"/>
      <c r="H213" s="98"/>
      <c r="I213" s="435"/>
      <c r="J213" s="435"/>
      <c r="K213" s="435"/>
    </row>
    <row r="214" spans="1:12" s="285" customFormat="1" x14ac:dyDescent="0.25">
      <c r="A214" s="118">
        <v>28</v>
      </c>
      <c r="B214" s="151">
        <v>1400</v>
      </c>
      <c r="C214" s="94" t="s">
        <v>68</v>
      </c>
      <c r="D214" s="122">
        <v>0</v>
      </c>
      <c r="E214" s="108"/>
      <c r="F214" s="98"/>
      <c r="G214" s="435"/>
      <c r="H214" s="98"/>
      <c r="I214" s="435"/>
      <c r="J214" s="435"/>
      <c r="K214" s="435"/>
    </row>
    <row r="215" spans="1:12" s="285" customFormat="1" x14ac:dyDescent="0.25">
      <c r="A215" s="344">
        <v>28</v>
      </c>
      <c r="B215" s="151">
        <v>1405</v>
      </c>
      <c r="C215" s="118" t="s">
        <v>69</v>
      </c>
      <c r="D215" s="375">
        <v>0</v>
      </c>
      <c r="E215" s="375"/>
      <c r="F215" s="375"/>
      <c r="G215" s="375">
        <v>0</v>
      </c>
      <c r="H215" s="375"/>
      <c r="I215" s="375"/>
      <c r="J215" s="375"/>
      <c r="K215" s="375"/>
    </row>
    <row r="216" spans="1:12" s="285" customFormat="1" x14ac:dyDescent="0.25">
      <c r="A216" s="344"/>
      <c r="B216" s="151"/>
      <c r="C216" s="93"/>
      <c r="D216" s="436">
        <f t="shared" ref="D216:K216" si="15">SUM(D214:D215)</f>
        <v>0</v>
      </c>
      <c r="E216" s="436">
        <f t="shared" si="15"/>
        <v>0</v>
      </c>
      <c r="F216" s="436">
        <f t="shared" si="15"/>
        <v>0</v>
      </c>
      <c r="G216" s="436">
        <f t="shared" si="15"/>
        <v>0</v>
      </c>
      <c r="H216" s="436">
        <f t="shared" si="15"/>
        <v>0</v>
      </c>
      <c r="I216" s="436">
        <f t="shared" si="15"/>
        <v>0</v>
      </c>
      <c r="J216" s="436">
        <f t="shared" si="15"/>
        <v>0</v>
      </c>
      <c r="K216" s="436">
        <f t="shared" si="15"/>
        <v>0</v>
      </c>
    </row>
    <row r="217" spans="1:12" s="285" customFormat="1" x14ac:dyDescent="0.25">
      <c r="A217" s="118"/>
      <c r="B217" s="151"/>
      <c r="C217" s="94" t="s">
        <v>70</v>
      </c>
      <c r="D217" s="122">
        <v>0</v>
      </c>
      <c r="E217" s="108"/>
      <c r="F217" s="98"/>
      <c r="G217" s="435"/>
      <c r="H217" s="98"/>
      <c r="I217" s="435"/>
      <c r="J217" s="435"/>
      <c r="K217" s="435"/>
    </row>
    <row r="218" spans="1:12" s="285" customFormat="1" x14ac:dyDescent="0.25">
      <c r="A218" s="118">
        <v>28</v>
      </c>
      <c r="B218" s="151">
        <v>1500</v>
      </c>
      <c r="C218" s="94" t="s">
        <v>106</v>
      </c>
      <c r="D218" s="122">
        <v>0</v>
      </c>
      <c r="E218" s="108"/>
      <c r="F218" s="98"/>
      <c r="G218" s="435"/>
      <c r="H218" s="98"/>
      <c r="I218" s="435"/>
      <c r="J218" s="435"/>
      <c r="K218" s="435"/>
    </row>
    <row r="219" spans="1:12" s="285" customFormat="1" x14ac:dyDescent="0.25">
      <c r="A219" s="118">
        <v>28</v>
      </c>
      <c r="B219" s="151">
        <v>1505</v>
      </c>
      <c r="C219" s="94" t="s">
        <v>71</v>
      </c>
      <c r="D219" s="122">
        <v>0</v>
      </c>
      <c r="E219" s="108"/>
      <c r="F219" s="98"/>
      <c r="G219" s="435"/>
      <c r="H219" s="98"/>
      <c r="I219" s="435"/>
      <c r="J219" s="435"/>
      <c r="K219" s="435"/>
    </row>
    <row r="220" spans="1:12" s="285" customFormat="1" x14ac:dyDescent="0.25">
      <c r="A220" s="344">
        <v>28</v>
      </c>
      <c r="B220" s="151">
        <v>1510</v>
      </c>
      <c r="C220" s="118" t="s">
        <v>72</v>
      </c>
      <c r="D220" s="375">
        <v>0</v>
      </c>
      <c r="E220" s="375"/>
      <c r="F220" s="375"/>
      <c r="G220" s="375">
        <v>0</v>
      </c>
      <c r="H220" s="375"/>
      <c r="I220" s="375"/>
      <c r="J220" s="375"/>
      <c r="K220" s="375"/>
    </row>
    <row r="221" spans="1:12" s="285" customFormat="1" x14ac:dyDescent="0.25">
      <c r="A221" s="344"/>
      <c r="B221" s="151"/>
      <c r="C221" s="93"/>
      <c r="D221" s="436">
        <f t="shared" ref="D221:K221" si="16">SUM(D218:D220)</f>
        <v>0</v>
      </c>
      <c r="E221" s="436">
        <f t="shared" si="16"/>
        <v>0</v>
      </c>
      <c r="F221" s="436">
        <f t="shared" si="16"/>
        <v>0</v>
      </c>
      <c r="G221" s="436">
        <f t="shared" si="16"/>
        <v>0</v>
      </c>
      <c r="H221" s="436">
        <f t="shared" si="16"/>
        <v>0</v>
      </c>
      <c r="I221" s="436">
        <f t="shared" si="16"/>
        <v>0</v>
      </c>
      <c r="J221" s="436">
        <f t="shared" si="16"/>
        <v>0</v>
      </c>
      <c r="K221" s="436">
        <f t="shared" si="16"/>
        <v>0</v>
      </c>
    </row>
    <row r="222" spans="1:12" s="285" customFormat="1" x14ac:dyDescent="0.25">
      <c r="A222" s="118"/>
      <c r="B222" s="151"/>
      <c r="C222" s="94" t="s">
        <v>73</v>
      </c>
      <c r="D222" s="122">
        <v>0</v>
      </c>
      <c r="E222" s="98"/>
      <c r="F222" s="98"/>
      <c r="G222" s="435"/>
      <c r="H222" s="98"/>
      <c r="I222" s="435"/>
      <c r="J222" s="435"/>
      <c r="K222" s="435"/>
    </row>
    <row r="223" spans="1:12" s="285" customFormat="1" x14ac:dyDescent="0.25">
      <c r="A223" s="118">
        <v>28</v>
      </c>
      <c r="B223" s="151">
        <v>1550</v>
      </c>
      <c r="C223" s="94" t="s">
        <v>349</v>
      </c>
      <c r="D223" s="122">
        <v>0</v>
      </c>
      <c r="E223" s="98"/>
      <c r="F223" s="98"/>
      <c r="G223" s="435"/>
      <c r="H223" s="98"/>
      <c r="I223" s="435"/>
      <c r="J223" s="435"/>
      <c r="K223" s="435"/>
    </row>
    <row r="224" spans="1:12" s="285" customFormat="1" x14ac:dyDescent="0.25">
      <c r="A224" s="344">
        <v>28</v>
      </c>
      <c r="B224" s="151">
        <v>1555</v>
      </c>
      <c r="C224" s="118" t="s">
        <v>348</v>
      </c>
      <c r="D224" s="375">
        <v>0</v>
      </c>
      <c r="E224" s="375"/>
      <c r="F224" s="375"/>
      <c r="G224" s="375">
        <v>0</v>
      </c>
      <c r="H224" s="375"/>
      <c r="I224" s="375"/>
      <c r="J224" s="375"/>
      <c r="K224" s="375"/>
    </row>
    <row r="225" spans="1:11" s="285" customFormat="1" ht="13.5" customHeight="1" x14ac:dyDescent="0.25">
      <c r="A225" s="344"/>
      <c r="B225" s="151"/>
      <c r="C225" s="93"/>
      <c r="D225" s="436">
        <f t="shared" ref="D225:K225" si="17">SUM(D223:D224)</f>
        <v>0</v>
      </c>
      <c r="E225" s="436">
        <f t="shared" si="17"/>
        <v>0</v>
      </c>
      <c r="F225" s="436">
        <f t="shared" si="17"/>
        <v>0</v>
      </c>
      <c r="G225" s="436">
        <f t="shared" si="17"/>
        <v>0</v>
      </c>
      <c r="H225" s="436">
        <f t="shared" si="17"/>
        <v>0</v>
      </c>
      <c r="I225" s="436">
        <f t="shared" si="17"/>
        <v>0</v>
      </c>
      <c r="J225" s="436">
        <f t="shared" si="17"/>
        <v>0</v>
      </c>
      <c r="K225" s="436">
        <f t="shared" si="17"/>
        <v>0</v>
      </c>
    </row>
    <row r="226" spans="1:11" s="285" customFormat="1" x14ac:dyDescent="0.25">
      <c r="A226" s="118"/>
      <c r="B226" s="151"/>
      <c r="C226" s="94" t="s">
        <v>74</v>
      </c>
      <c r="D226" s="122">
        <v>0</v>
      </c>
      <c r="E226" s="98"/>
      <c r="F226" s="98"/>
      <c r="G226" s="435"/>
      <c r="H226" s="98"/>
      <c r="I226" s="435"/>
      <c r="J226" s="435"/>
      <c r="K226" s="435"/>
    </row>
    <row r="227" spans="1:11" s="285" customFormat="1" x14ac:dyDescent="0.25">
      <c r="A227" s="118">
        <v>28</v>
      </c>
      <c r="B227" s="151">
        <v>1605</v>
      </c>
      <c r="C227" s="94" t="s">
        <v>75</v>
      </c>
      <c r="D227" s="122">
        <v>0</v>
      </c>
      <c r="E227" s="108"/>
      <c r="F227" s="98"/>
      <c r="G227" s="435"/>
      <c r="H227" s="98"/>
      <c r="I227" s="435"/>
      <c r="J227" s="435"/>
      <c r="K227" s="435"/>
    </row>
    <row r="228" spans="1:11" s="285" customFormat="1" x14ac:dyDescent="0.25">
      <c r="A228" s="118">
        <v>28</v>
      </c>
      <c r="B228" s="151">
        <v>1610</v>
      </c>
      <c r="C228" s="94" t="s">
        <v>131</v>
      </c>
      <c r="D228" s="122">
        <v>0</v>
      </c>
      <c r="E228" s="108"/>
      <c r="F228" s="98"/>
      <c r="G228" s="435"/>
      <c r="H228" s="98"/>
      <c r="I228" s="435"/>
      <c r="J228" s="435"/>
      <c r="K228" s="435"/>
    </row>
    <row r="229" spans="1:11" s="285" customFormat="1" x14ac:dyDescent="0.25">
      <c r="A229" s="118">
        <v>28</v>
      </c>
      <c r="B229" s="151">
        <v>1615</v>
      </c>
      <c r="C229" s="94" t="s">
        <v>182</v>
      </c>
      <c r="D229" s="122">
        <v>0</v>
      </c>
      <c r="E229" s="108"/>
      <c r="F229" s="98"/>
      <c r="G229" s="435"/>
      <c r="H229" s="98"/>
      <c r="I229" s="435"/>
      <c r="J229" s="435"/>
      <c r="K229" s="435"/>
    </row>
    <row r="230" spans="1:11" s="285" customFormat="1" x14ac:dyDescent="0.25">
      <c r="A230" s="118">
        <v>28</v>
      </c>
      <c r="B230" s="151">
        <v>1620</v>
      </c>
      <c r="C230" s="94" t="s">
        <v>255</v>
      </c>
      <c r="D230" s="122">
        <v>0</v>
      </c>
      <c r="E230" s="108"/>
      <c r="F230" s="98"/>
      <c r="G230" s="435"/>
      <c r="H230" s="98"/>
      <c r="I230" s="435"/>
      <c r="J230" s="435"/>
      <c r="K230" s="435"/>
    </row>
    <row r="231" spans="1:11" s="285" customFormat="1" x14ac:dyDescent="0.25">
      <c r="A231" s="118">
        <v>28</v>
      </c>
      <c r="B231" s="151">
        <v>1625</v>
      </c>
      <c r="C231" s="94" t="s">
        <v>108</v>
      </c>
      <c r="D231" s="122">
        <v>0</v>
      </c>
      <c r="E231" s="108"/>
      <c r="F231" s="98"/>
      <c r="G231" s="435"/>
      <c r="H231" s="98"/>
      <c r="I231" s="435"/>
      <c r="J231" s="435"/>
      <c r="K231" s="435"/>
    </row>
    <row r="232" spans="1:11" s="285" customFormat="1" x14ac:dyDescent="0.25">
      <c r="A232" s="118">
        <v>28</v>
      </c>
      <c r="B232" s="151">
        <v>1630</v>
      </c>
      <c r="C232" s="94" t="s">
        <v>76</v>
      </c>
      <c r="D232" s="122">
        <v>0</v>
      </c>
      <c r="E232" s="108"/>
      <c r="F232" s="98"/>
      <c r="G232" s="435"/>
      <c r="H232" s="98"/>
      <c r="I232" s="435"/>
      <c r="J232" s="435"/>
      <c r="K232" s="435"/>
    </row>
    <row r="233" spans="1:11" s="285" customFormat="1" x14ac:dyDescent="0.25">
      <c r="A233" s="118">
        <v>28</v>
      </c>
      <c r="B233" s="151">
        <v>1635</v>
      </c>
      <c r="C233" s="94" t="s">
        <v>180</v>
      </c>
      <c r="D233" s="122">
        <v>0</v>
      </c>
      <c r="E233" s="108"/>
      <c r="F233" s="98"/>
      <c r="G233" s="435"/>
      <c r="H233" s="98"/>
      <c r="I233" s="435"/>
      <c r="J233" s="435"/>
      <c r="K233" s="435"/>
    </row>
    <row r="234" spans="1:11" s="285" customFormat="1" x14ac:dyDescent="0.25">
      <c r="A234" s="118">
        <v>28</v>
      </c>
      <c r="B234" s="151">
        <v>1640</v>
      </c>
      <c r="C234" s="94" t="s">
        <v>184</v>
      </c>
      <c r="D234" s="122">
        <v>0</v>
      </c>
      <c r="E234" s="108"/>
      <c r="F234" s="98"/>
      <c r="G234" s="435"/>
      <c r="H234" s="98"/>
      <c r="I234" s="435"/>
      <c r="J234" s="435"/>
      <c r="K234" s="435"/>
    </row>
    <row r="235" spans="1:11" s="285" customFormat="1" x14ac:dyDescent="0.25">
      <c r="A235" s="118">
        <v>28</v>
      </c>
      <c r="B235" s="151">
        <v>1645</v>
      </c>
      <c r="C235" s="94" t="s">
        <v>77</v>
      </c>
      <c r="D235" s="122">
        <v>0</v>
      </c>
      <c r="E235" s="108"/>
      <c r="F235" s="98"/>
      <c r="G235" s="435"/>
      <c r="H235" s="98"/>
      <c r="I235" s="435"/>
      <c r="J235" s="435"/>
      <c r="K235" s="435"/>
    </row>
    <row r="236" spans="1:11" s="285" customFormat="1" x14ac:dyDescent="0.25">
      <c r="A236" s="118">
        <v>28</v>
      </c>
      <c r="B236" s="151">
        <v>1650</v>
      </c>
      <c r="C236" s="94" t="s">
        <v>78</v>
      </c>
      <c r="D236" s="122">
        <v>0</v>
      </c>
      <c r="E236" s="108"/>
      <c r="F236" s="98"/>
      <c r="G236" s="435"/>
      <c r="H236" s="98"/>
      <c r="I236" s="435"/>
      <c r="J236" s="435"/>
      <c r="K236" s="435"/>
    </row>
    <row r="237" spans="1:11" s="285" customFormat="1" x14ac:dyDescent="0.25">
      <c r="A237" s="118">
        <v>28</v>
      </c>
      <c r="B237" s="151"/>
      <c r="C237" s="94" t="s">
        <v>200</v>
      </c>
      <c r="D237" s="122">
        <v>0</v>
      </c>
      <c r="E237" s="108"/>
      <c r="F237" s="98"/>
      <c r="G237" s="435"/>
      <c r="H237" s="98"/>
      <c r="I237" s="435"/>
      <c r="J237" s="435"/>
      <c r="K237" s="435"/>
    </row>
    <row r="238" spans="1:11" s="285" customFormat="1" x14ac:dyDescent="0.25">
      <c r="A238" s="118">
        <v>28</v>
      </c>
      <c r="B238" s="151">
        <v>1660</v>
      </c>
      <c r="C238" s="94" t="s">
        <v>185</v>
      </c>
      <c r="D238" s="122">
        <v>0</v>
      </c>
      <c r="E238" s="108"/>
      <c r="F238" s="98"/>
      <c r="G238" s="435"/>
      <c r="H238" s="98"/>
      <c r="I238" s="435"/>
      <c r="J238" s="435"/>
      <c r="K238" s="435"/>
    </row>
    <row r="239" spans="1:11" s="285" customFormat="1" x14ac:dyDescent="0.25">
      <c r="A239" s="344">
        <v>28</v>
      </c>
      <c r="B239" s="151">
        <v>1665</v>
      </c>
      <c r="C239" s="118" t="s">
        <v>181</v>
      </c>
      <c r="D239" s="375">
        <v>0</v>
      </c>
      <c r="E239" s="375"/>
      <c r="F239" s="375"/>
      <c r="G239" s="375">
        <v>0</v>
      </c>
      <c r="H239" s="375"/>
      <c r="I239" s="375"/>
      <c r="J239" s="375"/>
      <c r="K239" s="375"/>
    </row>
    <row r="240" spans="1:11" s="285" customFormat="1" x14ac:dyDescent="0.25">
      <c r="A240" s="344"/>
      <c r="B240" s="151"/>
      <c r="C240" s="93"/>
      <c r="D240" s="436">
        <f>SUM(D227:D239)</f>
        <v>0</v>
      </c>
      <c r="E240" s="436">
        <f>SUM(E227:E239)</f>
        <v>0</v>
      </c>
      <c r="F240" s="436">
        <v>0</v>
      </c>
      <c r="G240" s="436"/>
      <c r="H240" s="436"/>
      <c r="I240" s="436"/>
      <c r="J240" s="436"/>
      <c r="K240" s="436"/>
    </row>
    <row r="241" spans="1:11" s="285" customFormat="1" x14ac:dyDescent="0.25">
      <c r="A241" s="118"/>
      <c r="B241" s="151"/>
      <c r="C241" s="94" t="s">
        <v>79</v>
      </c>
      <c r="D241" s="122">
        <v>0</v>
      </c>
      <c r="E241" s="98"/>
      <c r="F241" s="98"/>
      <c r="G241" s="435"/>
      <c r="H241" s="98"/>
      <c r="I241" s="435"/>
      <c r="J241" s="435"/>
      <c r="K241" s="435"/>
    </row>
    <row r="242" spans="1:11" s="285" customFormat="1" x14ac:dyDescent="0.25">
      <c r="A242" s="118">
        <v>28</v>
      </c>
      <c r="B242" s="151">
        <v>1705</v>
      </c>
      <c r="C242" s="94" t="s">
        <v>123</v>
      </c>
      <c r="D242" s="122">
        <v>0</v>
      </c>
      <c r="E242" s="98"/>
      <c r="F242" s="98"/>
      <c r="G242" s="435"/>
      <c r="H242" s="98"/>
      <c r="I242" s="435"/>
      <c r="J242" s="435"/>
      <c r="K242" s="435"/>
    </row>
    <row r="243" spans="1:11" s="285" customFormat="1" x14ac:dyDescent="0.25">
      <c r="A243" s="118">
        <v>28</v>
      </c>
      <c r="B243" s="151">
        <v>1710</v>
      </c>
      <c r="C243" s="94" t="s">
        <v>242</v>
      </c>
      <c r="D243" s="122">
        <v>0</v>
      </c>
      <c r="E243" s="98"/>
      <c r="F243" s="98"/>
      <c r="G243" s="435"/>
      <c r="H243" s="98"/>
      <c r="I243" s="435"/>
      <c r="J243" s="435"/>
      <c r="K243" s="435"/>
    </row>
    <row r="244" spans="1:11" s="285" customFormat="1" x14ac:dyDescent="0.25">
      <c r="A244" s="118">
        <v>28</v>
      </c>
      <c r="B244" s="151">
        <v>1715</v>
      </c>
      <c r="C244" s="94" t="s">
        <v>183</v>
      </c>
      <c r="D244" s="122">
        <v>0</v>
      </c>
      <c r="E244" s="98"/>
      <c r="F244" s="98"/>
      <c r="G244" s="435"/>
      <c r="H244" s="98"/>
      <c r="I244" s="435"/>
      <c r="J244" s="435"/>
      <c r="K244" s="435"/>
    </row>
    <row r="245" spans="1:11" s="285" customFormat="1" x14ac:dyDescent="0.25">
      <c r="A245" s="118">
        <v>28</v>
      </c>
      <c r="B245" s="151">
        <v>1720</v>
      </c>
      <c r="C245" s="94" t="s">
        <v>103</v>
      </c>
      <c r="D245" s="122">
        <v>0</v>
      </c>
      <c r="E245" s="98"/>
      <c r="F245" s="98"/>
      <c r="G245" s="435"/>
      <c r="H245" s="98"/>
      <c r="I245" s="435"/>
      <c r="J245" s="435"/>
      <c r="K245" s="435"/>
    </row>
    <row r="246" spans="1:11" s="285" customFormat="1" x14ac:dyDescent="0.25">
      <c r="A246" s="118">
        <v>28</v>
      </c>
      <c r="B246" s="151">
        <v>1725</v>
      </c>
      <c r="C246" s="94" t="s">
        <v>107</v>
      </c>
      <c r="D246" s="122">
        <v>0</v>
      </c>
      <c r="E246" s="98"/>
      <c r="F246" s="98"/>
      <c r="G246" s="435"/>
      <c r="H246" s="98"/>
      <c r="I246" s="435"/>
      <c r="J246" s="435"/>
      <c r="K246" s="435"/>
    </row>
    <row r="247" spans="1:11" s="285" customFormat="1" x14ac:dyDescent="0.25">
      <c r="A247" s="344">
        <v>28</v>
      </c>
      <c r="B247" s="151">
        <v>1730</v>
      </c>
      <c r="C247" s="94" t="s">
        <v>256</v>
      </c>
      <c r="D247" s="375">
        <v>0</v>
      </c>
      <c r="E247" s="375"/>
      <c r="F247" s="375"/>
      <c r="G247" s="375">
        <v>0</v>
      </c>
      <c r="H247" s="375"/>
      <c r="I247" s="375"/>
      <c r="J247" s="375"/>
      <c r="K247" s="375"/>
    </row>
    <row r="248" spans="1:11" s="285" customFormat="1" x14ac:dyDescent="0.25">
      <c r="A248" s="344"/>
      <c r="B248" s="151"/>
      <c r="C248" s="93"/>
      <c r="D248" s="436">
        <f>SUM(D242:D247)</f>
        <v>0</v>
      </c>
      <c r="E248" s="436">
        <f>SUM(E242:E247)</f>
        <v>0</v>
      </c>
      <c r="F248" s="436">
        <v>0</v>
      </c>
      <c r="G248" s="436">
        <v>0</v>
      </c>
      <c r="H248" s="436"/>
      <c r="I248" s="436"/>
      <c r="J248" s="436"/>
      <c r="K248" s="436"/>
    </row>
    <row r="249" spans="1:11" s="285" customFormat="1" x14ac:dyDescent="0.25">
      <c r="A249" s="118"/>
      <c r="B249" s="151"/>
      <c r="C249" s="94" t="s">
        <v>80</v>
      </c>
      <c r="D249" s="122">
        <v>0</v>
      </c>
      <c r="E249" s="108"/>
      <c r="F249" s="98"/>
      <c r="G249" s="435"/>
      <c r="H249" s="98"/>
      <c r="I249" s="435"/>
      <c r="J249" s="435"/>
      <c r="K249" s="435"/>
    </row>
    <row r="250" spans="1:11" s="285" customFormat="1" ht="12.75" customHeight="1" x14ac:dyDescent="0.25">
      <c r="A250" s="344">
        <v>28</v>
      </c>
      <c r="B250" s="151">
        <v>1805</v>
      </c>
      <c r="C250" s="94" t="s">
        <v>81</v>
      </c>
      <c r="D250" s="99">
        <v>0</v>
      </c>
      <c r="E250" s="99"/>
      <c r="F250" s="99"/>
      <c r="G250" s="436">
        <v>0</v>
      </c>
      <c r="H250" s="99"/>
      <c r="I250" s="436"/>
      <c r="J250" s="436"/>
      <c r="K250" s="436"/>
    </row>
    <row r="251" spans="1:11" s="285" customFormat="1" x14ac:dyDescent="0.25">
      <c r="A251" s="344"/>
      <c r="B251" s="346"/>
      <c r="C251" s="93"/>
      <c r="D251" s="117">
        <v>-133073</v>
      </c>
      <c r="E251" s="442">
        <v>-133072</v>
      </c>
      <c r="F251" s="442">
        <v>-133071</v>
      </c>
      <c r="G251" s="442">
        <v>-133070</v>
      </c>
      <c r="H251" s="442">
        <v>-133069</v>
      </c>
      <c r="I251" s="442"/>
      <c r="J251" s="442"/>
      <c r="K251" s="442"/>
    </row>
    <row r="252" spans="1:11" s="285" customFormat="1" x14ac:dyDescent="0.25">
      <c r="A252" s="344"/>
      <c r="B252" s="151"/>
      <c r="C252" s="94" t="s">
        <v>192</v>
      </c>
      <c r="D252" s="442">
        <f t="shared" ref="D252:K252" si="18">SUM(D171:D251)/2</f>
        <v>-204156.5</v>
      </c>
      <c r="E252" s="442">
        <f t="shared" si="18"/>
        <v>-206566.12800000003</v>
      </c>
      <c r="F252" s="442">
        <f t="shared" si="18"/>
        <v>-206565.62800000003</v>
      </c>
      <c r="G252" s="442">
        <f t="shared" si="18"/>
        <v>-210215.06400000001</v>
      </c>
      <c r="H252" s="442">
        <f t="shared" si="18"/>
        <v>-222441.84599999999</v>
      </c>
      <c r="I252" s="442">
        <f t="shared" si="18"/>
        <v>-164949.972068</v>
      </c>
      <c r="J252" s="442">
        <f t="shared" si="18"/>
        <v>-174022.22053174002</v>
      </c>
      <c r="K252" s="442">
        <f t="shared" si="18"/>
        <v>-183245.39821992224</v>
      </c>
    </row>
    <row r="253" spans="1:11" s="285" customFormat="1" x14ac:dyDescent="0.25">
      <c r="A253" s="344"/>
      <c r="B253" s="151"/>
      <c r="C253" s="145"/>
      <c r="D253" s="124"/>
      <c r="E253" s="445"/>
      <c r="F253" s="445"/>
      <c r="G253" s="445"/>
      <c r="H253" s="445"/>
      <c r="I253" s="445"/>
      <c r="J253" s="445"/>
      <c r="K253" s="445"/>
    </row>
    <row r="254" spans="1:11" s="285" customFormat="1" x14ac:dyDescent="0.25">
      <c r="A254" s="118"/>
      <c r="B254" s="151"/>
      <c r="C254" s="118" t="s">
        <v>193</v>
      </c>
      <c r="D254" s="127">
        <v>0</v>
      </c>
      <c r="E254" s="127">
        <v>0</v>
      </c>
      <c r="F254" s="127">
        <v>0</v>
      </c>
      <c r="G254" s="127">
        <v>0</v>
      </c>
      <c r="H254" s="127">
        <v>0</v>
      </c>
      <c r="I254" s="127">
        <v>0</v>
      </c>
      <c r="J254" s="127">
        <v>0</v>
      </c>
      <c r="K254" s="127">
        <v>0</v>
      </c>
    </row>
    <row r="255" spans="1:11" s="285" customFormat="1" x14ac:dyDescent="0.25">
      <c r="A255" s="344">
        <v>28</v>
      </c>
      <c r="B255" s="151">
        <v>1905</v>
      </c>
      <c r="C255" s="94" t="s">
        <v>194</v>
      </c>
      <c r="D255" s="117">
        <v>0</v>
      </c>
      <c r="E255" s="442">
        <v>0</v>
      </c>
      <c r="F255" s="442">
        <v>0</v>
      </c>
      <c r="G255" s="442">
        <v>0</v>
      </c>
      <c r="H255" s="442">
        <v>0</v>
      </c>
      <c r="I255" s="442">
        <v>0</v>
      </c>
      <c r="J255" s="442">
        <v>0</v>
      </c>
      <c r="K255" s="442">
        <v>0</v>
      </c>
    </row>
    <row r="256" spans="1:11" s="285" customFormat="1" x14ac:dyDescent="0.25">
      <c r="A256" s="344"/>
      <c r="B256" s="151"/>
      <c r="C256" s="93"/>
      <c r="D256" s="117"/>
      <c r="E256" s="442"/>
      <c r="F256" s="442"/>
      <c r="G256" s="442"/>
      <c r="H256" s="442"/>
      <c r="I256" s="442"/>
      <c r="J256" s="442"/>
      <c r="K256" s="442"/>
    </row>
    <row r="257" spans="1:13" s="285" customFormat="1" hidden="1" x14ac:dyDescent="0.25">
      <c r="A257" s="344"/>
      <c r="B257" s="151"/>
      <c r="C257" s="145" t="s">
        <v>189</v>
      </c>
      <c r="D257" s="148">
        <f t="shared" ref="D257:K257" si="19">D252+D256</f>
        <v>-204156.5</v>
      </c>
      <c r="E257" s="148">
        <f t="shared" si="19"/>
        <v>-206566.12800000003</v>
      </c>
      <c r="F257" s="148">
        <f t="shared" si="19"/>
        <v>-206565.62800000003</v>
      </c>
      <c r="G257" s="148">
        <f t="shared" si="19"/>
        <v>-210215.06400000001</v>
      </c>
      <c r="H257" s="148">
        <f t="shared" si="19"/>
        <v>-222441.84599999999</v>
      </c>
      <c r="I257" s="148">
        <f t="shared" si="19"/>
        <v>-164949.972068</v>
      </c>
      <c r="J257" s="148">
        <f t="shared" si="19"/>
        <v>-174022.22053174002</v>
      </c>
      <c r="K257" s="148">
        <f t="shared" si="19"/>
        <v>-183245.39821992224</v>
      </c>
    </row>
    <row r="258" spans="1:13" s="285" customFormat="1" hidden="1" x14ac:dyDescent="0.25">
      <c r="A258" s="118"/>
      <c r="B258" s="151"/>
      <c r="C258" s="118" t="s">
        <v>195</v>
      </c>
      <c r="D258" s="127">
        <v>0</v>
      </c>
      <c r="E258" s="127">
        <v>0</v>
      </c>
      <c r="F258" s="127">
        <v>0</v>
      </c>
      <c r="G258" s="127">
        <v>0</v>
      </c>
      <c r="H258" s="127">
        <v>0</v>
      </c>
      <c r="I258" s="127">
        <v>0</v>
      </c>
      <c r="J258" s="127">
        <v>0</v>
      </c>
      <c r="K258" s="127">
        <v>0</v>
      </c>
    </row>
    <row r="259" spans="1:13" s="285" customFormat="1" hidden="1" x14ac:dyDescent="0.25">
      <c r="A259" s="344">
        <v>28</v>
      </c>
      <c r="B259" s="346">
        <v>1950</v>
      </c>
      <c r="C259" s="94" t="s">
        <v>196</v>
      </c>
      <c r="D259" s="124">
        <v>0</v>
      </c>
      <c r="E259" s="445">
        <v>0</v>
      </c>
      <c r="F259" s="445">
        <v>0</v>
      </c>
      <c r="G259" s="445">
        <v>0</v>
      </c>
      <c r="H259" s="445">
        <v>0</v>
      </c>
      <c r="I259" s="445">
        <v>0</v>
      </c>
      <c r="J259" s="445">
        <v>0</v>
      </c>
      <c r="K259" s="445">
        <v>0</v>
      </c>
    </row>
    <row r="260" spans="1:13" s="285" customFormat="1" x14ac:dyDescent="0.25">
      <c r="A260" s="348"/>
      <c r="B260" s="351"/>
      <c r="C260" s="93"/>
      <c r="D260" s="160"/>
      <c r="E260" s="448"/>
      <c r="F260" s="448"/>
      <c r="G260" s="448"/>
      <c r="H260" s="448"/>
      <c r="I260" s="448"/>
      <c r="J260" s="448"/>
      <c r="K260" s="448"/>
    </row>
    <row r="261" spans="1:13" s="285" customFormat="1" x14ac:dyDescent="0.25">
      <c r="A261" s="349"/>
      <c r="B261" s="154"/>
      <c r="C261" s="126" t="s">
        <v>197</v>
      </c>
      <c r="D261" s="449">
        <f t="shared" ref="D261:K261" si="20">D257+D260</f>
        <v>-204156.5</v>
      </c>
      <c r="E261" s="449">
        <f t="shared" si="20"/>
        <v>-206566.12800000003</v>
      </c>
      <c r="F261" s="449">
        <f t="shared" si="20"/>
        <v>-206565.62800000003</v>
      </c>
      <c r="G261" s="449">
        <f t="shared" si="20"/>
        <v>-210215.06400000001</v>
      </c>
      <c r="H261" s="449">
        <f t="shared" si="20"/>
        <v>-222441.84599999999</v>
      </c>
      <c r="I261" s="449">
        <f t="shared" si="20"/>
        <v>-164949.972068</v>
      </c>
      <c r="J261" s="449">
        <f t="shared" si="20"/>
        <v>-174022.22053174002</v>
      </c>
      <c r="K261" s="449">
        <f t="shared" si="20"/>
        <v>-183245.39821992224</v>
      </c>
    </row>
    <row r="262" spans="1:13" s="285" customFormat="1" x14ac:dyDescent="0.25">
      <c r="A262" s="284"/>
      <c r="B262" s="352"/>
      <c r="C262" s="285" t="s">
        <v>82</v>
      </c>
      <c r="D262" s="449">
        <f t="shared" ref="D262:K262" si="21">D261-D165</f>
        <v>-3354310.5</v>
      </c>
      <c r="E262" s="449">
        <f t="shared" si="21"/>
        <v>-5658438.023</v>
      </c>
      <c r="F262" s="449">
        <f t="shared" si="21"/>
        <v>-5829909.523</v>
      </c>
      <c r="G262" s="449">
        <f t="shared" si="21"/>
        <v>-5833559.9589999998</v>
      </c>
      <c r="H262" s="449">
        <f t="shared" si="21"/>
        <v>-6011712.6459999997</v>
      </c>
      <c r="I262" s="449">
        <f t="shared" si="21"/>
        <v>-5520138.6704679998</v>
      </c>
      <c r="J262" s="449">
        <f t="shared" si="21"/>
        <v>-5913746.2973437402</v>
      </c>
      <c r="K262" s="449">
        <f t="shared" si="21"/>
        <v>-6232404.8511029594</v>
      </c>
      <c r="M262" s="96"/>
    </row>
    <row r="263" spans="1:13" x14ac:dyDescent="0.25">
      <c r="A263" s="101"/>
    </row>
    <row r="265" spans="1:13" x14ac:dyDescent="0.25">
      <c r="E265" s="128"/>
      <c r="F265" s="128"/>
      <c r="G265" s="128"/>
      <c r="H265" s="128"/>
      <c r="I265" s="128"/>
      <c r="J265" s="128"/>
    </row>
    <row r="266" spans="1:13" x14ac:dyDescent="0.25">
      <c r="E266" s="128"/>
      <c r="F266" s="128"/>
      <c r="G266" s="128"/>
      <c r="H266" s="128"/>
      <c r="I266" s="128"/>
      <c r="J266" s="128"/>
      <c r="K266" s="109"/>
    </row>
    <row r="267" spans="1:13" x14ac:dyDescent="0.25">
      <c r="E267" s="128"/>
      <c r="F267" s="128"/>
      <c r="G267" s="128"/>
      <c r="H267" s="128"/>
      <c r="I267" s="128"/>
      <c r="J267" s="128"/>
    </row>
  </sheetData>
  <mergeCells count="4">
    <mergeCell ref="A4:B5"/>
    <mergeCell ref="A168:B169"/>
    <mergeCell ref="A2:K2"/>
    <mergeCell ref="A1:K1"/>
  </mergeCells>
  <phoneticPr fontId="0" type="noConversion"/>
  <pageMargins left="0.25" right="0.25" top="0.75" bottom="0.75" header="0.3" footer="0.3"/>
  <pageSetup paperSize="9" scale="73" fitToHeight="0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tabColor rgb="FFFF0000"/>
    <pageSetUpPr fitToPage="1"/>
  </sheetPr>
  <dimension ref="A1:K268"/>
  <sheetViews>
    <sheetView view="pageBreakPreview" topLeftCell="A118" zoomScaleSheetLayoutView="100" workbookViewId="0">
      <selection activeCell="I206" sqref="I206"/>
    </sheetView>
  </sheetViews>
  <sheetFormatPr defaultColWidth="9.109375" defaultRowHeight="13.2" x14ac:dyDescent="0.25"/>
  <cols>
    <col min="1" max="1" width="3.33203125" style="96" customWidth="1"/>
    <col min="2" max="2" width="9" style="131" customWidth="1"/>
    <col min="3" max="3" width="38.109375" style="96" customWidth="1"/>
    <col min="4" max="4" width="15" style="96" customWidth="1"/>
    <col min="5" max="5" width="15.88671875" style="96" customWidth="1"/>
    <col min="6" max="6" width="16.33203125" style="96" customWidth="1"/>
    <col min="7" max="7" width="16.33203125" style="434" customWidth="1"/>
    <col min="8" max="8" width="16.33203125" style="96" customWidth="1"/>
    <col min="9" max="9" width="16.33203125" style="434" customWidth="1"/>
    <col min="10" max="11" width="12.88671875" style="96" customWidth="1"/>
    <col min="12" max="16384" width="9.109375" style="96"/>
  </cols>
  <sheetData>
    <row r="1" spans="1:11" ht="12.75" customHeight="1" x14ac:dyDescent="0.25">
      <c r="A1" s="937" t="s">
        <v>358</v>
      </c>
      <c r="B1" s="938"/>
      <c r="C1" s="938"/>
      <c r="D1" s="938"/>
      <c r="E1" s="938"/>
      <c r="F1" s="938"/>
      <c r="G1" s="938"/>
      <c r="H1" s="938"/>
      <c r="I1" s="938"/>
      <c r="J1" s="938"/>
      <c r="K1" s="938"/>
    </row>
    <row r="2" spans="1:11" ht="12.75" customHeight="1" x14ac:dyDescent="0.25">
      <c r="A2" s="552"/>
      <c r="B2" s="553"/>
      <c r="C2" s="553"/>
      <c r="D2" s="553"/>
      <c r="E2" s="553"/>
      <c r="F2" s="553"/>
      <c r="G2" s="553"/>
      <c r="H2" s="553"/>
      <c r="I2" s="553"/>
      <c r="J2" s="553"/>
      <c r="K2" s="553"/>
    </row>
    <row r="3" spans="1:11" s="285" customFormat="1" x14ac:dyDescent="0.25">
      <c r="A3" s="941" t="s">
        <v>415</v>
      </c>
      <c r="B3" s="942"/>
      <c r="C3" s="943"/>
      <c r="D3" s="149"/>
      <c r="E3" s="338"/>
      <c r="F3" s="338"/>
      <c r="G3" s="563"/>
      <c r="H3" s="421"/>
      <c r="I3" s="581"/>
      <c r="J3" s="338"/>
      <c r="K3" s="338"/>
    </row>
    <row r="4" spans="1:11" s="285" customFormat="1" x14ac:dyDescent="0.25">
      <c r="A4" s="944" t="s">
        <v>21</v>
      </c>
      <c r="B4" s="945"/>
      <c r="C4" s="150" t="s">
        <v>22</v>
      </c>
      <c r="D4" s="103" t="s">
        <v>23</v>
      </c>
      <c r="E4" s="104" t="s">
        <v>24</v>
      </c>
      <c r="F4" s="103" t="s">
        <v>535</v>
      </c>
      <c r="G4" s="103" t="s">
        <v>413</v>
      </c>
      <c r="H4" s="104" t="s">
        <v>24</v>
      </c>
      <c r="I4" s="583" t="s">
        <v>24</v>
      </c>
      <c r="J4" s="583" t="s">
        <v>24</v>
      </c>
      <c r="K4" s="583" t="s">
        <v>24</v>
      </c>
    </row>
    <row r="5" spans="1:11" s="285" customFormat="1" x14ac:dyDescent="0.25">
      <c r="A5" s="946"/>
      <c r="B5" s="947"/>
      <c r="C5" s="106"/>
      <c r="D5" s="333" t="s">
        <v>257</v>
      </c>
      <c r="E5" s="107" t="s">
        <v>382</v>
      </c>
      <c r="F5" s="107" t="s">
        <v>382</v>
      </c>
      <c r="G5" s="107" t="s">
        <v>382</v>
      </c>
      <c r="H5" s="107" t="s">
        <v>407</v>
      </c>
      <c r="I5" s="586" t="s">
        <v>414</v>
      </c>
      <c r="J5" s="586" t="s">
        <v>530</v>
      </c>
      <c r="K5" s="586" t="s">
        <v>886</v>
      </c>
    </row>
    <row r="6" spans="1:11" s="285" customFormat="1" x14ac:dyDescent="0.25">
      <c r="A6" s="344"/>
      <c r="B6" s="151"/>
      <c r="C6" s="93" t="s">
        <v>33</v>
      </c>
      <c r="D6" s="85"/>
      <c r="E6" s="85"/>
      <c r="F6" s="85"/>
      <c r="G6" s="428"/>
      <c r="H6" s="85"/>
      <c r="I6" s="428"/>
      <c r="J6" s="85"/>
      <c r="K6" s="85"/>
    </row>
    <row r="7" spans="1:11" s="285" customFormat="1" hidden="1" x14ac:dyDescent="0.25">
      <c r="A7" s="118">
        <v>30</v>
      </c>
      <c r="B7" s="155">
        <v>5005</v>
      </c>
      <c r="C7" s="94" t="s">
        <v>241</v>
      </c>
      <c r="D7" s="85"/>
      <c r="E7" s="85"/>
      <c r="F7" s="85">
        <f>0/8*12</f>
        <v>0</v>
      </c>
      <c r="G7" s="428"/>
      <c r="H7" s="428">
        <f t="shared" ref="H7:H17" si="0">(F7*0.068)+F7</f>
        <v>0</v>
      </c>
      <c r="I7" s="428"/>
      <c r="J7" s="428"/>
      <c r="K7" s="428"/>
    </row>
    <row r="8" spans="1:11" s="285" customFormat="1" hidden="1" x14ac:dyDescent="0.25">
      <c r="A8" s="118">
        <v>30</v>
      </c>
      <c r="B8" s="151">
        <v>5010</v>
      </c>
      <c r="C8" s="94" t="s">
        <v>34</v>
      </c>
      <c r="D8" s="85"/>
      <c r="E8" s="85"/>
      <c r="F8" s="85">
        <f t="shared" ref="F8:F13" si="1">0/8*12</f>
        <v>0</v>
      </c>
      <c r="G8" s="428"/>
      <c r="H8" s="428">
        <f t="shared" si="0"/>
        <v>0</v>
      </c>
      <c r="I8" s="428"/>
      <c r="J8" s="428"/>
      <c r="K8" s="428"/>
    </row>
    <row r="9" spans="1:11" s="285" customFormat="1" hidden="1" x14ac:dyDescent="0.25">
      <c r="A9" s="118">
        <v>30</v>
      </c>
      <c r="B9" s="151">
        <v>5015</v>
      </c>
      <c r="C9" s="94" t="s">
        <v>35</v>
      </c>
      <c r="D9" s="85"/>
      <c r="E9" s="85"/>
      <c r="F9" s="85">
        <f t="shared" si="1"/>
        <v>0</v>
      </c>
      <c r="G9" s="428"/>
      <c r="H9" s="428">
        <f t="shared" si="0"/>
        <v>0</v>
      </c>
      <c r="I9" s="428"/>
      <c r="J9" s="428"/>
      <c r="K9" s="428"/>
    </row>
    <row r="10" spans="1:11" s="285" customFormat="1" hidden="1" x14ac:dyDescent="0.25">
      <c r="A10" s="118">
        <v>30</v>
      </c>
      <c r="B10" s="151">
        <v>5020</v>
      </c>
      <c r="C10" s="94" t="s">
        <v>350</v>
      </c>
      <c r="D10" s="85"/>
      <c r="E10" s="85"/>
      <c r="F10" s="85">
        <f t="shared" si="1"/>
        <v>0</v>
      </c>
      <c r="G10" s="428"/>
      <c r="H10" s="428">
        <f t="shared" si="0"/>
        <v>0</v>
      </c>
      <c r="I10" s="428"/>
      <c r="J10" s="428"/>
      <c r="K10" s="428"/>
    </row>
    <row r="11" spans="1:11" s="285" customFormat="1" hidden="1" x14ac:dyDescent="0.25">
      <c r="A11" s="118">
        <v>30</v>
      </c>
      <c r="B11" s="151">
        <v>5025</v>
      </c>
      <c r="C11" s="94" t="s">
        <v>36</v>
      </c>
      <c r="D11" s="85"/>
      <c r="E11" s="85"/>
      <c r="F11" s="85">
        <f t="shared" si="1"/>
        <v>0</v>
      </c>
      <c r="G11" s="428"/>
      <c r="H11" s="428">
        <f t="shared" si="0"/>
        <v>0</v>
      </c>
      <c r="I11" s="428"/>
      <c r="J11" s="428"/>
      <c r="K11" s="428"/>
    </row>
    <row r="12" spans="1:11" s="285" customFormat="1" hidden="1" x14ac:dyDescent="0.25">
      <c r="A12" s="118">
        <v>30</v>
      </c>
      <c r="B12" s="151">
        <v>5030</v>
      </c>
      <c r="C12" s="94" t="s">
        <v>85</v>
      </c>
      <c r="D12" s="85"/>
      <c r="E12" s="85"/>
      <c r="F12" s="85">
        <f t="shared" si="1"/>
        <v>0</v>
      </c>
      <c r="G12" s="428"/>
      <c r="H12" s="428">
        <f t="shared" si="0"/>
        <v>0</v>
      </c>
      <c r="I12" s="428"/>
      <c r="J12" s="428"/>
      <c r="K12" s="428"/>
    </row>
    <row r="13" spans="1:11" s="285" customFormat="1" hidden="1" x14ac:dyDescent="0.25">
      <c r="A13" s="118">
        <v>30</v>
      </c>
      <c r="B13" s="151">
        <v>5035</v>
      </c>
      <c r="C13" s="94" t="s">
        <v>84</v>
      </c>
      <c r="D13" s="85"/>
      <c r="E13" s="85"/>
      <c r="F13" s="85">
        <f t="shared" si="1"/>
        <v>0</v>
      </c>
      <c r="G13" s="428"/>
      <c r="H13" s="428">
        <f t="shared" si="0"/>
        <v>0</v>
      </c>
      <c r="I13" s="428"/>
      <c r="J13" s="428"/>
      <c r="K13" s="428"/>
    </row>
    <row r="14" spans="1:11" s="285" customFormat="1" x14ac:dyDescent="0.25">
      <c r="A14" s="118">
        <v>30</v>
      </c>
      <c r="B14" s="151">
        <v>5040</v>
      </c>
      <c r="C14" s="94" t="s">
        <v>37</v>
      </c>
      <c r="D14" s="85">
        <v>31591.224000000002</v>
      </c>
      <c r="E14" s="85">
        <v>45000</v>
      </c>
      <c r="F14" s="85">
        <v>45000</v>
      </c>
      <c r="G14" s="428">
        <v>45000</v>
      </c>
      <c r="H14" s="428">
        <f t="shared" si="0"/>
        <v>48060</v>
      </c>
      <c r="I14" s="428">
        <f>+H14*1.058</f>
        <v>50847.48</v>
      </c>
      <c r="J14" s="428">
        <f>+I14*1.055</f>
        <v>53644.091399999998</v>
      </c>
      <c r="K14" s="428">
        <f>+J14*1.053</f>
        <v>56487.228244199992</v>
      </c>
    </row>
    <row r="15" spans="1:11" s="285" customFormat="1" hidden="1" x14ac:dyDescent="0.25">
      <c r="A15" s="118">
        <v>30</v>
      </c>
      <c r="B15" s="151">
        <v>5045</v>
      </c>
      <c r="C15" s="94" t="s">
        <v>38</v>
      </c>
      <c r="D15" s="85">
        <v>0</v>
      </c>
      <c r="E15" s="85"/>
      <c r="F15" s="85">
        <v>0</v>
      </c>
      <c r="G15" s="428">
        <v>0</v>
      </c>
      <c r="H15" s="428">
        <f t="shared" si="0"/>
        <v>0</v>
      </c>
      <c r="I15" s="428">
        <f>+H15*1.058</f>
        <v>0</v>
      </c>
      <c r="J15" s="428">
        <f>+I15*1.055</f>
        <v>0</v>
      </c>
      <c r="K15" s="428">
        <f>+J15*1.053</f>
        <v>0</v>
      </c>
    </row>
    <row r="16" spans="1:11" s="285" customFormat="1" x14ac:dyDescent="0.25">
      <c r="A16" s="118">
        <v>30</v>
      </c>
      <c r="B16" s="151">
        <v>5050</v>
      </c>
      <c r="C16" s="94" t="s">
        <v>83</v>
      </c>
      <c r="D16" s="85">
        <v>25300</v>
      </c>
      <c r="E16" s="85"/>
      <c r="F16" s="85">
        <v>0</v>
      </c>
      <c r="G16" s="428">
        <v>0</v>
      </c>
      <c r="H16" s="428">
        <f t="shared" si="0"/>
        <v>0</v>
      </c>
      <c r="I16" s="428">
        <f>+H16*1.058</f>
        <v>0</v>
      </c>
      <c r="J16" s="428">
        <f>+I16*1.055</f>
        <v>0</v>
      </c>
      <c r="K16" s="428">
        <f>+J16*1.053</f>
        <v>0</v>
      </c>
    </row>
    <row r="17" spans="1:11" s="285" customFormat="1" x14ac:dyDescent="0.25">
      <c r="A17" s="118">
        <v>30</v>
      </c>
      <c r="B17" s="151">
        <v>5055</v>
      </c>
      <c r="C17" s="94" t="s">
        <v>39</v>
      </c>
      <c r="D17" s="85">
        <v>322145</v>
      </c>
      <c r="E17" s="85">
        <v>535000</v>
      </c>
      <c r="F17" s="85">
        <v>535000</v>
      </c>
      <c r="G17" s="428">
        <v>535000</v>
      </c>
      <c r="H17" s="428">
        <f t="shared" si="0"/>
        <v>571380</v>
      </c>
      <c r="I17" s="428">
        <f>+H17*1.058</f>
        <v>604520.04</v>
      </c>
      <c r="J17" s="428">
        <f>+I17*1.055</f>
        <v>637768.6422</v>
      </c>
      <c r="K17" s="428">
        <f>+J17*1.053</f>
        <v>671570.38023659994</v>
      </c>
    </row>
    <row r="18" spans="1:11" s="285" customFormat="1" x14ac:dyDescent="0.25">
      <c r="A18" s="344"/>
      <c r="B18" s="151"/>
      <c r="C18" s="94"/>
      <c r="D18" s="429">
        <f t="shared" ref="D18:K18" si="2">SUM(D7:D17)</f>
        <v>379036.22399999999</v>
      </c>
      <c r="E18" s="89">
        <f t="shared" si="2"/>
        <v>580000</v>
      </c>
      <c r="F18" s="89">
        <f t="shared" si="2"/>
        <v>580000</v>
      </c>
      <c r="G18" s="429">
        <f t="shared" si="2"/>
        <v>580000</v>
      </c>
      <c r="H18" s="89">
        <f t="shared" si="2"/>
        <v>619440</v>
      </c>
      <c r="I18" s="429">
        <f t="shared" si="2"/>
        <v>655367.52</v>
      </c>
      <c r="J18" s="429">
        <f t="shared" si="2"/>
        <v>691412.73360000004</v>
      </c>
      <c r="K18" s="429">
        <f t="shared" si="2"/>
        <v>728057.60848079994</v>
      </c>
    </row>
    <row r="19" spans="1:11" s="285" customFormat="1" x14ac:dyDescent="0.25">
      <c r="A19" s="344"/>
      <c r="B19" s="151"/>
      <c r="C19" s="93" t="s">
        <v>40</v>
      </c>
      <c r="D19" s="85"/>
      <c r="E19" s="86"/>
      <c r="F19" s="86"/>
      <c r="G19" s="86"/>
      <c r="H19" s="86"/>
      <c r="I19" s="86"/>
      <c r="J19" s="86"/>
      <c r="K19" s="86"/>
    </row>
    <row r="20" spans="1:11" s="285" customFormat="1" x14ac:dyDescent="0.25">
      <c r="A20" s="118">
        <v>30</v>
      </c>
      <c r="B20" s="151">
        <v>5105</v>
      </c>
      <c r="C20" s="94" t="s">
        <v>41</v>
      </c>
      <c r="D20" s="85">
        <v>6500</v>
      </c>
      <c r="E20" s="85">
        <v>12800</v>
      </c>
      <c r="F20" s="85">
        <v>12800</v>
      </c>
      <c r="G20" s="428">
        <v>12800</v>
      </c>
      <c r="H20" s="428">
        <f>(F20*0.068)+F20</f>
        <v>13670.4</v>
      </c>
      <c r="I20" s="428">
        <f>+H20*1.058</f>
        <v>14463.2832</v>
      </c>
      <c r="J20" s="428">
        <f>+I20*1.055</f>
        <v>15258.763776</v>
      </c>
      <c r="K20" s="428">
        <f>+J20*1.053</f>
        <v>16067.478256127999</v>
      </c>
    </row>
    <row r="21" spans="1:11" s="285" customFormat="1" x14ac:dyDescent="0.25">
      <c r="A21" s="118">
        <v>30</v>
      </c>
      <c r="B21" s="151">
        <v>5115</v>
      </c>
      <c r="C21" s="94" t="s">
        <v>42</v>
      </c>
      <c r="D21" s="85">
        <v>23750</v>
      </c>
      <c r="E21" s="85">
        <v>82000</v>
      </c>
      <c r="F21" s="85">
        <v>82000</v>
      </c>
      <c r="G21" s="428">
        <v>82000</v>
      </c>
      <c r="H21" s="428">
        <f>(F21*0.068)+F21</f>
        <v>87576</v>
      </c>
      <c r="I21" s="428">
        <f>+H21*1.058</f>
        <v>92655.40800000001</v>
      </c>
      <c r="J21" s="428">
        <f>+I21*1.055</f>
        <v>97751.455440000005</v>
      </c>
      <c r="K21" s="428">
        <f>+J21*1.053</f>
        <v>102932.28257832</v>
      </c>
    </row>
    <row r="22" spans="1:11" s="285" customFormat="1" x14ac:dyDescent="0.25">
      <c r="A22" s="118">
        <v>30</v>
      </c>
      <c r="B22" s="151">
        <v>5120</v>
      </c>
      <c r="C22" s="94" t="s">
        <v>43</v>
      </c>
      <c r="D22" s="85">
        <v>22752.576000000001</v>
      </c>
      <c r="E22" s="85">
        <v>26000</v>
      </c>
      <c r="F22" s="85">
        <v>26000</v>
      </c>
      <c r="G22" s="428">
        <v>26000</v>
      </c>
      <c r="H22" s="428">
        <f>(F22*0.068)+F22</f>
        <v>27768</v>
      </c>
      <c r="I22" s="428">
        <f>+H22*1.058</f>
        <v>29378.544000000002</v>
      </c>
      <c r="J22" s="428">
        <f>+I22*1.055</f>
        <v>30994.36392</v>
      </c>
      <c r="K22" s="428">
        <f>+J22*1.053</f>
        <v>32637.065207759999</v>
      </c>
    </row>
    <row r="23" spans="1:11" s="285" customFormat="1" x14ac:dyDescent="0.25">
      <c r="A23" s="118">
        <v>30</v>
      </c>
      <c r="B23" s="151">
        <v>5125</v>
      </c>
      <c r="C23" s="94" t="s">
        <v>44</v>
      </c>
      <c r="D23" s="85">
        <v>0</v>
      </c>
      <c r="E23" s="85"/>
      <c r="F23" s="85">
        <v>0</v>
      </c>
      <c r="G23" s="428">
        <v>0</v>
      </c>
      <c r="H23" s="428">
        <f>(F23*0.068)+F23</f>
        <v>0</v>
      </c>
      <c r="I23" s="428">
        <f>+H23*1.058</f>
        <v>0</v>
      </c>
      <c r="J23" s="428">
        <f>+I23*1.055</f>
        <v>0</v>
      </c>
      <c r="K23" s="428">
        <f>+J23*1.053</f>
        <v>0</v>
      </c>
    </row>
    <row r="24" spans="1:11" s="285" customFormat="1" x14ac:dyDescent="0.25">
      <c r="A24" s="118">
        <v>30</v>
      </c>
      <c r="B24" s="151">
        <v>5130</v>
      </c>
      <c r="C24" s="94" t="s">
        <v>45</v>
      </c>
      <c r="D24" s="85">
        <v>3479</v>
      </c>
      <c r="E24" s="85">
        <v>5600</v>
      </c>
      <c r="F24" s="85">
        <v>5600</v>
      </c>
      <c r="G24" s="428">
        <v>5600</v>
      </c>
      <c r="H24" s="428">
        <f>(F24*0.068)+F24</f>
        <v>5980.8</v>
      </c>
      <c r="I24" s="428">
        <f>+H24*1.058</f>
        <v>6327.6864000000005</v>
      </c>
      <c r="J24" s="428">
        <f>+I24*1.055</f>
        <v>6675.7091520000004</v>
      </c>
      <c r="K24" s="428">
        <f>+J24*1.053</f>
        <v>7029.5217370560003</v>
      </c>
    </row>
    <row r="25" spans="1:11" s="285" customFormat="1" x14ac:dyDescent="0.25">
      <c r="A25" s="344"/>
      <c r="B25" s="151"/>
      <c r="C25" s="94"/>
      <c r="D25" s="429">
        <f t="shared" ref="D25:K25" si="3">SUM(D20:D24)</f>
        <v>56481.576000000001</v>
      </c>
      <c r="E25" s="89">
        <f t="shared" si="3"/>
        <v>126400</v>
      </c>
      <c r="F25" s="89">
        <f t="shared" si="3"/>
        <v>126400</v>
      </c>
      <c r="G25" s="429">
        <f t="shared" si="3"/>
        <v>126400</v>
      </c>
      <c r="H25" s="89">
        <f t="shared" si="3"/>
        <v>134995.19999999998</v>
      </c>
      <c r="I25" s="429">
        <f t="shared" si="3"/>
        <v>142824.92160000003</v>
      </c>
      <c r="J25" s="429">
        <f t="shared" si="3"/>
        <v>150680.292288</v>
      </c>
      <c r="K25" s="429">
        <f t="shared" si="3"/>
        <v>158666.347779264</v>
      </c>
    </row>
    <row r="26" spans="1:11" s="285" customFormat="1" hidden="1" x14ac:dyDescent="0.25">
      <c r="A26" s="344"/>
      <c r="B26" s="151"/>
      <c r="C26" s="93" t="s">
        <v>46</v>
      </c>
      <c r="D26" s="85"/>
      <c r="E26" s="86"/>
      <c r="F26" s="86"/>
      <c r="G26" s="86"/>
      <c r="H26" s="86"/>
      <c r="I26" s="86"/>
      <c r="J26" s="86"/>
      <c r="K26" s="86"/>
    </row>
    <row r="27" spans="1:11" s="285" customFormat="1" hidden="1" x14ac:dyDescent="0.25">
      <c r="A27" s="344"/>
      <c r="B27" s="151"/>
      <c r="C27" s="93" t="s">
        <v>47</v>
      </c>
      <c r="D27" s="85"/>
      <c r="E27" s="86"/>
      <c r="F27" s="86"/>
      <c r="G27" s="86"/>
      <c r="H27" s="86"/>
      <c r="I27" s="86"/>
      <c r="J27" s="86"/>
      <c r="K27" s="86"/>
    </row>
    <row r="28" spans="1:11" s="285" customFormat="1" hidden="1" x14ac:dyDescent="0.25">
      <c r="A28" s="118">
        <v>30</v>
      </c>
      <c r="B28" s="151">
        <v>5150</v>
      </c>
      <c r="C28" s="94" t="s">
        <v>48</v>
      </c>
      <c r="D28" s="85"/>
      <c r="E28" s="85"/>
      <c r="F28" s="85">
        <f>0/8*12</f>
        <v>0</v>
      </c>
      <c r="G28" s="428"/>
      <c r="H28" s="85"/>
      <c r="I28" s="428"/>
      <c r="J28" s="85"/>
      <c r="K28" s="85"/>
    </row>
    <row r="29" spans="1:11" s="285" customFormat="1" hidden="1" x14ac:dyDescent="0.25">
      <c r="A29" s="344"/>
      <c r="B29" s="151"/>
      <c r="C29" s="94"/>
      <c r="D29" s="89"/>
      <c r="E29" s="89">
        <f>E28</f>
        <v>0</v>
      </c>
      <c r="F29" s="89">
        <f>F28</f>
        <v>0</v>
      </c>
      <c r="G29" s="429"/>
      <c r="H29" s="89"/>
      <c r="I29" s="429"/>
      <c r="J29" s="89"/>
      <c r="K29" s="89"/>
    </row>
    <row r="30" spans="1:11" s="285" customFormat="1" hidden="1" x14ac:dyDescent="0.25">
      <c r="A30" s="344"/>
      <c r="B30" s="151"/>
      <c r="C30" s="93" t="s">
        <v>49</v>
      </c>
      <c r="D30" s="85"/>
      <c r="E30" s="86"/>
      <c r="F30" s="86"/>
      <c r="G30" s="86"/>
      <c r="H30" s="86"/>
      <c r="I30" s="86"/>
      <c r="J30" s="86"/>
      <c r="K30" s="86"/>
    </row>
    <row r="31" spans="1:11" s="285" customFormat="1" hidden="1" x14ac:dyDescent="0.25">
      <c r="A31" s="118">
        <v>30</v>
      </c>
      <c r="B31" s="151">
        <v>5170</v>
      </c>
      <c r="C31" s="94" t="s">
        <v>341</v>
      </c>
      <c r="D31" s="85"/>
      <c r="E31" s="108"/>
      <c r="F31" s="85">
        <f>0/8*12</f>
        <v>0</v>
      </c>
      <c r="G31" s="428"/>
      <c r="H31" s="85"/>
      <c r="I31" s="428"/>
      <c r="J31" s="85"/>
      <c r="K31" s="85"/>
    </row>
    <row r="32" spans="1:11" s="285" customFormat="1" hidden="1" x14ac:dyDescent="0.25">
      <c r="A32" s="344"/>
      <c r="B32" s="151"/>
      <c r="C32" s="94"/>
      <c r="D32" s="89"/>
      <c r="E32" s="89">
        <f>SUM(E31)</f>
        <v>0</v>
      </c>
      <c r="F32" s="89">
        <f>SUM(F31)</f>
        <v>0</v>
      </c>
      <c r="G32" s="429"/>
      <c r="H32" s="89"/>
      <c r="I32" s="429"/>
      <c r="J32" s="89"/>
      <c r="K32" s="89"/>
    </row>
    <row r="33" spans="1:11" s="285" customFormat="1" hidden="1" x14ac:dyDescent="0.25">
      <c r="A33" s="344"/>
      <c r="B33" s="151"/>
      <c r="C33" s="93" t="s">
        <v>50</v>
      </c>
      <c r="D33" s="85"/>
      <c r="E33" s="86"/>
      <c r="F33" s="86"/>
      <c r="G33" s="86"/>
      <c r="H33" s="86"/>
      <c r="I33" s="86"/>
      <c r="J33" s="86"/>
      <c r="K33" s="86"/>
    </row>
    <row r="34" spans="1:11" s="285" customFormat="1" hidden="1" x14ac:dyDescent="0.25">
      <c r="A34" s="118">
        <v>30</v>
      </c>
      <c r="B34" s="151">
        <v>5180</v>
      </c>
      <c r="C34" s="94" t="s">
        <v>51</v>
      </c>
      <c r="D34" s="85"/>
      <c r="E34" s="108"/>
      <c r="F34" s="85">
        <f>0/8*12</f>
        <v>0</v>
      </c>
      <c r="G34" s="428"/>
      <c r="H34" s="85"/>
      <c r="I34" s="428"/>
      <c r="J34" s="85"/>
      <c r="K34" s="108"/>
    </row>
    <row r="35" spans="1:11" s="285" customFormat="1" hidden="1" x14ac:dyDescent="0.25">
      <c r="A35" s="344"/>
      <c r="B35" s="151"/>
      <c r="C35" s="94"/>
      <c r="D35" s="89"/>
      <c r="E35" s="89">
        <f>SUM(E34)</f>
        <v>0</v>
      </c>
      <c r="F35" s="89">
        <f>SUM(F34)</f>
        <v>0</v>
      </c>
      <c r="G35" s="429"/>
      <c r="H35" s="89"/>
      <c r="I35" s="429"/>
      <c r="J35" s="89"/>
      <c r="K35" s="89"/>
    </row>
    <row r="36" spans="1:11" s="285" customFormat="1" hidden="1" x14ac:dyDescent="0.25">
      <c r="A36" s="344"/>
      <c r="B36" s="151"/>
      <c r="C36" s="93" t="s">
        <v>52</v>
      </c>
      <c r="D36" s="85"/>
      <c r="E36" s="86"/>
      <c r="F36" s="86"/>
      <c r="G36" s="86"/>
      <c r="H36" s="86"/>
      <c r="I36" s="86"/>
      <c r="J36" s="86"/>
      <c r="K36" s="86"/>
    </row>
    <row r="37" spans="1:11" s="285" customFormat="1" hidden="1" x14ac:dyDescent="0.25">
      <c r="A37" s="118">
        <v>30</v>
      </c>
      <c r="B37" s="151">
        <v>5190</v>
      </c>
      <c r="C37" s="94" t="s">
        <v>53</v>
      </c>
      <c r="D37" s="85"/>
      <c r="E37" s="108"/>
      <c r="F37" s="85">
        <f>0/8*12</f>
        <v>0</v>
      </c>
      <c r="G37" s="428"/>
      <c r="H37" s="85"/>
      <c r="I37" s="428"/>
      <c r="J37" s="85"/>
      <c r="K37" s="85"/>
    </row>
    <row r="38" spans="1:11" s="285" customFormat="1" hidden="1" x14ac:dyDescent="0.25">
      <c r="A38" s="344"/>
      <c r="B38" s="151"/>
      <c r="C38" s="94"/>
      <c r="D38" s="89"/>
      <c r="E38" s="89">
        <f>E37</f>
        <v>0</v>
      </c>
      <c r="F38" s="89">
        <f>F37</f>
        <v>0</v>
      </c>
      <c r="G38" s="429"/>
      <c r="H38" s="89"/>
      <c r="I38" s="429"/>
      <c r="J38" s="89"/>
      <c r="K38" s="89"/>
    </row>
    <row r="39" spans="1:11" s="285" customFormat="1" x14ac:dyDescent="0.25">
      <c r="A39" s="344"/>
      <c r="B39" s="151"/>
      <c r="C39" s="93" t="s">
        <v>54</v>
      </c>
      <c r="D39" s="85"/>
      <c r="E39" s="86"/>
      <c r="F39" s="86"/>
      <c r="G39" s="86"/>
      <c r="H39" s="86"/>
      <c r="I39" s="86"/>
      <c r="J39" s="86"/>
      <c r="K39" s="86"/>
    </row>
    <row r="40" spans="1:11" s="285" customFormat="1" x14ac:dyDescent="0.25">
      <c r="A40" s="118">
        <v>30</v>
      </c>
      <c r="B40" s="151">
        <v>5200</v>
      </c>
      <c r="C40" s="94" t="s">
        <v>55</v>
      </c>
      <c r="D40" s="85"/>
      <c r="E40" s="108"/>
      <c r="F40" s="85"/>
      <c r="G40" s="428"/>
      <c r="H40" s="85"/>
      <c r="I40" s="428"/>
      <c r="J40" s="85"/>
      <c r="K40" s="85"/>
    </row>
    <row r="41" spans="1:11" s="285" customFormat="1" x14ac:dyDescent="0.25">
      <c r="A41" s="118">
        <v>30</v>
      </c>
      <c r="B41" s="151">
        <v>5205</v>
      </c>
      <c r="C41" s="94" t="s">
        <v>56</v>
      </c>
      <c r="D41" s="85">
        <v>960</v>
      </c>
      <c r="E41" s="85"/>
      <c r="F41" s="85"/>
      <c r="G41" s="428"/>
      <c r="H41" s="85"/>
      <c r="I41" s="428">
        <v>10000</v>
      </c>
      <c r="J41" s="85">
        <f>+I41*1.055</f>
        <v>10550</v>
      </c>
      <c r="K41" s="85">
        <f>+J41*1.053</f>
        <v>11109.15</v>
      </c>
    </row>
    <row r="42" spans="1:11" s="285" customFormat="1" hidden="1" x14ac:dyDescent="0.25">
      <c r="A42" s="118">
        <v>30</v>
      </c>
      <c r="B42" s="151">
        <v>5210</v>
      </c>
      <c r="C42" s="94" t="s">
        <v>57</v>
      </c>
      <c r="D42" s="85"/>
      <c r="E42" s="85"/>
      <c r="F42" s="85"/>
      <c r="G42" s="428"/>
      <c r="H42" s="85"/>
      <c r="I42" s="428"/>
      <c r="J42" s="428">
        <f t="shared" ref="J42:J50" si="4">+I42*1.055</f>
        <v>0</v>
      </c>
      <c r="K42" s="428">
        <f t="shared" ref="K42:K50" si="5">+J42*1.053</f>
        <v>0</v>
      </c>
    </row>
    <row r="43" spans="1:11" s="285" customFormat="1" hidden="1" x14ac:dyDescent="0.25">
      <c r="A43" s="118">
        <v>30</v>
      </c>
      <c r="B43" s="151">
        <v>5215</v>
      </c>
      <c r="C43" s="94" t="s">
        <v>95</v>
      </c>
      <c r="D43" s="85"/>
      <c r="E43" s="85"/>
      <c r="F43" s="85"/>
      <c r="G43" s="428"/>
      <c r="H43" s="85"/>
      <c r="I43" s="428"/>
      <c r="J43" s="428">
        <f t="shared" si="4"/>
        <v>0</v>
      </c>
      <c r="K43" s="428">
        <f t="shared" si="5"/>
        <v>0</v>
      </c>
    </row>
    <row r="44" spans="1:11" s="285" customFormat="1" x14ac:dyDescent="0.25">
      <c r="A44" s="118">
        <v>30</v>
      </c>
      <c r="B44" s="151">
        <v>5220</v>
      </c>
      <c r="C44" s="94" t="s">
        <v>58</v>
      </c>
      <c r="D44" s="85">
        <v>18000</v>
      </c>
      <c r="E44" s="85">
        <v>35000</v>
      </c>
      <c r="F44" s="85">
        <v>95000</v>
      </c>
      <c r="G44" s="428">
        <v>95000</v>
      </c>
      <c r="H44" s="85">
        <v>35000</v>
      </c>
      <c r="I44" s="428">
        <v>50000</v>
      </c>
      <c r="J44" s="428">
        <f t="shared" si="4"/>
        <v>52750</v>
      </c>
      <c r="K44" s="428">
        <f t="shared" si="5"/>
        <v>55545.75</v>
      </c>
    </row>
    <row r="45" spans="1:11" s="285" customFormat="1" hidden="1" x14ac:dyDescent="0.25">
      <c r="A45" s="118">
        <v>30</v>
      </c>
      <c r="B45" s="151">
        <v>5225</v>
      </c>
      <c r="C45" s="94" t="s">
        <v>92</v>
      </c>
      <c r="D45" s="85"/>
      <c r="E45" s="85"/>
      <c r="F45" s="85">
        <v>0</v>
      </c>
      <c r="G45" s="428">
        <v>0</v>
      </c>
      <c r="H45" s="85"/>
      <c r="I45" s="428"/>
      <c r="J45" s="428">
        <f t="shared" si="4"/>
        <v>0</v>
      </c>
      <c r="K45" s="428">
        <f t="shared" si="5"/>
        <v>0</v>
      </c>
    </row>
    <row r="46" spans="1:11" s="285" customFormat="1" hidden="1" x14ac:dyDescent="0.25">
      <c r="A46" s="118">
        <v>30</v>
      </c>
      <c r="B46" s="151">
        <v>5230</v>
      </c>
      <c r="C46" s="94" t="s">
        <v>86</v>
      </c>
      <c r="D46" s="85"/>
      <c r="E46" s="85"/>
      <c r="F46" s="85">
        <v>0</v>
      </c>
      <c r="G46" s="428">
        <v>0</v>
      </c>
      <c r="H46" s="85"/>
      <c r="I46" s="428"/>
      <c r="J46" s="428">
        <f t="shared" si="4"/>
        <v>0</v>
      </c>
      <c r="K46" s="428">
        <f t="shared" si="5"/>
        <v>0</v>
      </c>
    </row>
    <row r="47" spans="1:11" s="285" customFormat="1" hidden="1" x14ac:dyDescent="0.25">
      <c r="A47" s="118">
        <v>30</v>
      </c>
      <c r="B47" s="151">
        <v>5235</v>
      </c>
      <c r="C47" s="94" t="s">
        <v>124</v>
      </c>
      <c r="D47" s="85"/>
      <c r="E47" s="85"/>
      <c r="F47" s="85">
        <v>0</v>
      </c>
      <c r="G47" s="428">
        <v>0</v>
      </c>
      <c r="H47" s="85"/>
      <c r="I47" s="428"/>
      <c r="J47" s="428">
        <f t="shared" si="4"/>
        <v>0</v>
      </c>
      <c r="K47" s="428">
        <f t="shared" si="5"/>
        <v>0</v>
      </c>
    </row>
    <row r="48" spans="1:11" s="285" customFormat="1" hidden="1" x14ac:dyDescent="0.25">
      <c r="A48" s="118">
        <v>30</v>
      </c>
      <c r="B48" s="151">
        <v>5240</v>
      </c>
      <c r="C48" s="94" t="s">
        <v>59</v>
      </c>
      <c r="D48" s="85"/>
      <c r="E48" s="85"/>
      <c r="F48" s="85">
        <v>0</v>
      </c>
      <c r="G48" s="428">
        <v>0</v>
      </c>
      <c r="H48" s="85"/>
      <c r="I48" s="428"/>
      <c r="J48" s="428">
        <f t="shared" si="4"/>
        <v>0</v>
      </c>
      <c r="K48" s="428">
        <f t="shared" si="5"/>
        <v>0</v>
      </c>
    </row>
    <row r="49" spans="1:11" s="285" customFormat="1" hidden="1" x14ac:dyDescent="0.25">
      <c r="A49" s="118">
        <v>30</v>
      </c>
      <c r="B49" s="151">
        <v>5245</v>
      </c>
      <c r="C49" s="94" t="s">
        <v>91</v>
      </c>
      <c r="D49" s="85"/>
      <c r="E49" s="85"/>
      <c r="F49" s="85">
        <v>0</v>
      </c>
      <c r="G49" s="428">
        <v>0</v>
      </c>
      <c r="H49" s="85"/>
      <c r="I49" s="428"/>
      <c r="J49" s="428">
        <f t="shared" si="4"/>
        <v>0</v>
      </c>
      <c r="K49" s="428">
        <f t="shared" si="5"/>
        <v>0</v>
      </c>
    </row>
    <row r="50" spans="1:11" s="285" customFormat="1" x14ac:dyDescent="0.25">
      <c r="A50" s="118">
        <v>30</v>
      </c>
      <c r="B50" s="151">
        <v>5250</v>
      </c>
      <c r="C50" s="94" t="s">
        <v>88</v>
      </c>
      <c r="D50" s="85">
        <v>26730</v>
      </c>
      <c r="E50" s="85">
        <v>35000</v>
      </c>
      <c r="F50" s="85">
        <v>35000</v>
      </c>
      <c r="G50" s="428">
        <v>35000</v>
      </c>
      <c r="H50" s="85">
        <v>45000</v>
      </c>
      <c r="I50" s="428">
        <v>57500</v>
      </c>
      <c r="J50" s="428">
        <f t="shared" si="4"/>
        <v>60662.5</v>
      </c>
      <c r="K50" s="428">
        <f t="shared" si="5"/>
        <v>63877.612499999996</v>
      </c>
    </row>
    <row r="51" spans="1:11" s="285" customFormat="1" hidden="1" x14ac:dyDescent="0.25">
      <c r="A51" s="118">
        <v>30</v>
      </c>
      <c r="B51" s="151">
        <v>5255</v>
      </c>
      <c r="C51" s="94" t="s">
        <v>125</v>
      </c>
      <c r="D51" s="85"/>
      <c r="E51" s="108"/>
      <c r="F51" s="85">
        <v>0</v>
      </c>
      <c r="G51" s="428">
        <v>0</v>
      </c>
      <c r="H51" s="85"/>
      <c r="I51" s="428"/>
      <c r="J51" s="85"/>
      <c r="K51" s="85"/>
    </row>
    <row r="52" spans="1:11" s="285" customFormat="1" hidden="1" x14ac:dyDescent="0.25">
      <c r="A52" s="118">
        <v>30</v>
      </c>
      <c r="B52" s="151">
        <v>5260</v>
      </c>
      <c r="C52" s="94" t="s">
        <v>90</v>
      </c>
      <c r="D52" s="85"/>
      <c r="E52" s="108"/>
      <c r="F52" s="85">
        <v>0</v>
      </c>
      <c r="G52" s="428">
        <v>0</v>
      </c>
      <c r="H52" s="85"/>
      <c r="I52" s="428"/>
      <c r="J52" s="85"/>
      <c r="K52" s="85"/>
    </row>
    <row r="53" spans="1:11" s="285" customFormat="1" hidden="1" x14ac:dyDescent="0.25">
      <c r="A53" s="118">
        <v>30</v>
      </c>
      <c r="B53" s="151">
        <v>5265</v>
      </c>
      <c r="C53" s="94" t="s">
        <v>87</v>
      </c>
      <c r="D53" s="85"/>
      <c r="E53" s="108"/>
      <c r="F53" s="85">
        <v>0</v>
      </c>
      <c r="G53" s="428">
        <v>0</v>
      </c>
      <c r="H53" s="85"/>
      <c r="I53" s="428"/>
      <c r="J53" s="85"/>
      <c r="K53" s="85"/>
    </row>
    <row r="54" spans="1:11" s="285" customFormat="1" hidden="1" x14ac:dyDescent="0.25">
      <c r="A54" s="118">
        <v>30</v>
      </c>
      <c r="B54" s="151">
        <v>5270</v>
      </c>
      <c r="C54" s="94" t="s">
        <v>89</v>
      </c>
      <c r="D54" s="85"/>
      <c r="E54" s="108"/>
      <c r="F54" s="85">
        <v>0</v>
      </c>
      <c r="G54" s="428">
        <v>0</v>
      </c>
      <c r="H54" s="85"/>
      <c r="I54" s="428"/>
      <c r="J54" s="85"/>
      <c r="K54" s="85"/>
    </row>
    <row r="55" spans="1:11" s="285" customFormat="1" hidden="1" x14ac:dyDescent="0.25">
      <c r="A55" s="118">
        <v>30</v>
      </c>
      <c r="B55" s="151">
        <v>5275</v>
      </c>
      <c r="C55" s="94" t="s">
        <v>93</v>
      </c>
      <c r="D55" s="85"/>
      <c r="E55" s="108"/>
      <c r="F55" s="85">
        <v>0</v>
      </c>
      <c r="G55" s="428">
        <v>0</v>
      </c>
      <c r="H55" s="85"/>
      <c r="I55" s="428"/>
      <c r="J55" s="85"/>
      <c r="K55" s="85"/>
    </row>
    <row r="56" spans="1:11" s="285" customFormat="1" hidden="1" x14ac:dyDescent="0.25">
      <c r="A56" s="118">
        <v>30</v>
      </c>
      <c r="B56" s="151">
        <v>5280</v>
      </c>
      <c r="C56" s="94" t="s">
        <v>94</v>
      </c>
      <c r="D56" s="85"/>
      <c r="E56" s="108"/>
      <c r="F56" s="85">
        <v>0</v>
      </c>
      <c r="G56" s="428">
        <v>0</v>
      </c>
      <c r="H56" s="85"/>
      <c r="I56" s="428"/>
      <c r="J56" s="85"/>
      <c r="K56" s="85"/>
    </row>
    <row r="57" spans="1:11" s="285" customFormat="1" hidden="1" x14ac:dyDescent="0.25">
      <c r="A57" s="118">
        <v>30</v>
      </c>
      <c r="B57" s="151">
        <v>5285</v>
      </c>
      <c r="C57" s="94" t="s">
        <v>60</v>
      </c>
      <c r="D57" s="85"/>
      <c r="E57" s="85"/>
      <c r="F57" s="85">
        <v>0</v>
      </c>
      <c r="G57" s="428">
        <v>0</v>
      </c>
      <c r="H57" s="85"/>
      <c r="I57" s="428"/>
      <c r="J57" s="85"/>
      <c r="K57" s="85"/>
    </row>
    <row r="58" spans="1:11" s="285" customFormat="1" hidden="1" x14ac:dyDescent="0.25">
      <c r="A58" s="118">
        <v>30</v>
      </c>
      <c r="B58" s="151">
        <v>5290</v>
      </c>
      <c r="C58" s="94" t="s">
        <v>186</v>
      </c>
      <c r="D58" s="85"/>
      <c r="E58" s="108"/>
      <c r="F58" s="85">
        <v>0</v>
      </c>
      <c r="G58" s="428">
        <v>0</v>
      </c>
      <c r="H58" s="85"/>
      <c r="I58" s="428"/>
      <c r="J58" s="85"/>
      <c r="K58" s="85"/>
    </row>
    <row r="59" spans="1:11" s="285" customFormat="1" x14ac:dyDescent="0.25">
      <c r="A59" s="344"/>
      <c r="B59" s="151"/>
      <c r="C59" s="94"/>
      <c r="D59" s="439">
        <f t="shared" ref="D59:K59" si="6">SUM(D40:D58)</f>
        <v>45690</v>
      </c>
      <c r="E59" s="110">
        <f t="shared" si="6"/>
        <v>70000</v>
      </c>
      <c r="F59" s="110">
        <f t="shared" si="6"/>
        <v>130000</v>
      </c>
      <c r="G59" s="439">
        <f t="shared" si="6"/>
        <v>130000</v>
      </c>
      <c r="H59" s="110">
        <f t="shared" si="6"/>
        <v>80000</v>
      </c>
      <c r="I59" s="439">
        <f t="shared" si="6"/>
        <v>117500</v>
      </c>
      <c r="J59" s="439">
        <f t="shared" si="6"/>
        <v>123962.5</v>
      </c>
      <c r="K59" s="439">
        <f t="shared" si="6"/>
        <v>130532.51249999998</v>
      </c>
    </row>
    <row r="60" spans="1:11" s="285" customFormat="1" hidden="1" x14ac:dyDescent="0.25">
      <c r="A60" s="344"/>
      <c r="B60" s="151"/>
      <c r="C60" s="93" t="s">
        <v>198</v>
      </c>
      <c r="D60" s="85"/>
      <c r="E60" s="112"/>
      <c r="F60" s="112"/>
      <c r="G60" s="112"/>
      <c r="H60" s="112"/>
      <c r="I60" s="112"/>
      <c r="J60" s="112"/>
      <c r="K60" s="112"/>
    </row>
    <row r="61" spans="1:11" s="285" customFormat="1" hidden="1" x14ac:dyDescent="0.25">
      <c r="A61" s="118">
        <v>30</v>
      </c>
      <c r="B61" s="151">
        <v>5400</v>
      </c>
      <c r="C61" s="94" t="s">
        <v>334</v>
      </c>
      <c r="D61" s="85"/>
      <c r="E61" s="86"/>
      <c r="F61" s="85">
        <f>0/8*12</f>
        <v>0</v>
      </c>
      <c r="G61" s="86"/>
      <c r="H61" s="86"/>
      <c r="I61" s="86"/>
      <c r="J61" s="86"/>
      <c r="K61" s="86"/>
    </row>
    <row r="62" spans="1:11" s="285" customFormat="1" hidden="1" x14ac:dyDescent="0.25">
      <c r="A62" s="118">
        <v>30</v>
      </c>
      <c r="B62" s="151">
        <v>5405</v>
      </c>
      <c r="C62" s="94" t="s">
        <v>335</v>
      </c>
      <c r="D62" s="85"/>
      <c r="E62" s="108"/>
      <c r="F62" s="85">
        <f>0/8*12</f>
        <v>0</v>
      </c>
      <c r="G62" s="428"/>
      <c r="H62" s="85"/>
      <c r="I62" s="428"/>
      <c r="J62" s="85"/>
      <c r="K62" s="108"/>
    </row>
    <row r="63" spans="1:11" s="285" customFormat="1" hidden="1" x14ac:dyDescent="0.25">
      <c r="A63" s="344"/>
      <c r="B63" s="151"/>
      <c r="C63" s="94"/>
      <c r="D63" s="89"/>
      <c r="E63" s="89">
        <f>SUM(E61:E62)</f>
        <v>0</v>
      </c>
      <c r="F63" s="89">
        <f>SUM(F61:F62)</f>
        <v>0</v>
      </c>
      <c r="G63" s="429"/>
      <c r="H63" s="89"/>
      <c r="I63" s="429"/>
      <c r="J63" s="89"/>
      <c r="K63" s="89"/>
    </row>
    <row r="64" spans="1:11" s="285" customFormat="1" hidden="1" x14ac:dyDescent="0.25">
      <c r="A64" s="344"/>
      <c r="B64" s="151"/>
      <c r="C64" s="93" t="s">
        <v>61</v>
      </c>
      <c r="D64" s="85"/>
      <c r="E64" s="86"/>
      <c r="F64" s="86"/>
      <c r="G64" s="86"/>
      <c r="H64" s="86"/>
      <c r="I64" s="86"/>
      <c r="J64" s="86"/>
      <c r="K64" s="86"/>
    </row>
    <row r="65" spans="1:11" s="285" customFormat="1" hidden="1" x14ac:dyDescent="0.25">
      <c r="A65" s="118">
        <v>30</v>
      </c>
      <c r="B65" s="151">
        <v>5450</v>
      </c>
      <c r="C65" s="94" t="s">
        <v>351</v>
      </c>
      <c r="D65" s="85"/>
      <c r="E65" s="108"/>
      <c r="F65" s="85">
        <f>0/8*12</f>
        <v>0</v>
      </c>
      <c r="G65" s="428"/>
      <c r="H65" s="85"/>
      <c r="I65" s="428"/>
      <c r="J65" s="85"/>
      <c r="K65" s="108"/>
    </row>
    <row r="66" spans="1:11" s="285" customFormat="1" hidden="1" x14ac:dyDescent="0.25">
      <c r="A66" s="344"/>
      <c r="B66" s="151"/>
      <c r="C66" s="94"/>
      <c r="D66" s="89"/>
      <c r="E66" s="89">
        <f>E65</f>
        <v>0</v>
      </c>
      <c r="F66" s="89">
        <f>F65</f>
        <v>0</v>
      </c>
      <c r="G66" s="429"/>
      <c r="H66" s="89"/>
      <c r="I66" s="429"/>
      <c r="J66" s="89"/>
      <c r="K66" s="89"/>
    </row>
    <row r="67" spans="1:11" s="285" customFormat="1" hidden="1" x14ac:dyDescent="0.25">
      <c r="A67" s="344"/>
      <c r="B67" s="151"/>
      <c r="C67" s="93" t="s">
        <v>96</v>
      </c>
      <c r="D67" s="85"/>
      <c r="E67" s="86"/>
      <c r="F67" s="86"/>
      <c r="G67" s="86"/>
      <c r="H67" s="86"/>
      <c r="I67" s="86"/>
      <c r="J67" s="86"/>
      <c r="K67" s="86"/>
    </row>
    <row r="68" spans="1:11" s="285" customFormat="1" hidden="1" x14ac:dyDescent="0.25">
      <c r="A68" s="118">
        <v>30</v>
      </c>
      <c r="B68" s="151">
        <v>5470</v>
      </c>
      <c r="C68" s="94" t="s">
        <v>97</v>
      </c>
      <c r="D68" s="85"/>
      <c r="E68" s="86"/>
      <c r="F68" s="85">
        <f>0/8*12</f>
        <v>0</v>
      </c>
      <c r="G68" s="428"/>
      <c r="H68" s="85"/>
      <c r="I68" s="428"/>
      <c r="J68" s="85"/>
      <c r="K68" s="85"/>
    </row>
    <row r="69" spans="1:11" s="285" customFormat="1" hidden="1" x14ac:dyDescent="0.25">
      <c r="A69" s="118">
        <v>30</v>
      </c>
      <c r="B69" s="151">
        <v>5475</v>
      </c>
      <c r="C69" s="94" t="s">
        <v>134</v>
      </c>
      <c r="D69" s="85"/>
      <c r="E69" s="86"/>
      <c r="F69" s="85">
        <f>0/8*12</f>
        <v>0</v>
      </c>
      <c r="G69" s="428"/>
      <c r="H69" s="85"/>
      <c r="I69" s="428"/>
      <c r="J69" s="85"/>
      <c r="K69" s="85"/>
    </row>
    <row r="70" spans="1:11" s="285" customFormat="1" hidden="1" x14ac:dyDescent="0.25">
      <c r="A70" s="344"/>
      <c r="B70" s="151"/>
      <c r="C70" s="94"/>
      <c r="D70" s="110"/>
      <c r="E70" s="110">
        <f>SUM(E68:E69)</f>
        <v>0</v>
      </c>
      <c r="F70" s="110">
        <f>SUM(F68:F69)</f>
        <v>0</v>
      </c>
      <c r="G70" s="439"/>
      <c r="H70" s="110"/>
      <c r="I70" s="439"/>
      <c r="J70" s="110"/>
      <c r="K70" s="110"/>
    </row>
    <row r="71" spans="1:11" s="285" customFormat="1" x14ac:dyDescent="0.25">
      <c r="A71" s="344"/>
      <c r="B71" s="151"/>
      <c r="C71" s="93" t="s">
        <v>62</v>
      </c>
      <c r="D71" s="88"/>
      <c r="E71" s="113"/>
      <c r="F71" s="113"/>
      <c r="G71" s="113"/>
      <c r="H71" s="113"/>
      <c r="I71" s="113"/>
      <c r="J71" s="113"/>
      <c r="K71" s="113"/>
    </row>
    <row r="72" spans="1:11" s="285" customFormat="1" x14ac:dyDescent="0.25">
      <c r="A72" s="118">
        <v>30</v>
      </c>
      <c r="B72" s="151">
        <v>5505</v>
      </c>
      <c r="C72" s="94" t="s">
        <v>259</v>
      </c>
      <c r="D72" s="85"/>
      <c r="E72" s="85">
        <v>26000</v>
      </c>
      <c r="F72" s="85">
        <v>26000</v>
      </c>
      <c r="G72" s="428">
        <v>26000</v>
      </c>
      <c r="H72" s="85"/>
      <c r="I72" s="428">
        <v>4437</v>
      </c>
      <c r="J72" s="85">
        <f t="shared" ref="J72:J133" si="7">+I72*1.055</f>
        <v>4681.0349999999999</v>
      </c>
      <c r="K72" s="85">
        <f t="shared" ref="K72:K133" si="8">+J72*1.053</f>
        <v>4929.1298549999992</v>
      </c>
    </row>
    <row r="73" spans="1:11" s="285" customFormat="1" x14ac:dyDescent="0.25">
      <c r="A73" s="118">
        <v>30</v>
      </c>
      <c r="B73" s="151">
        <v>5510</v>
      </c>
      <c r="C73" s="94" t="s">
        <v>63</v>
      </c>
      <c r="D73" s="85"/>
      <c r="E73" s="85">
        <v>0</v>
      </c>
      <c r="F73" s="85">
        <v>0</v>
      </c>
      <c r="G73" s="428">
        <v>0</v>
      </c>
      <c r="H73" s="85"/>
      <c r="I73" s="428"/>
      <c r="J73" s="428">
        <f t="shared" si="7"/>
        <v>0</v>
      </c>
      <c r="K73" s="428">
        <f t="shared" si="8"/>
        <v>0</v>
      </c>
    </row>
    <row r="74" spans="1:11" s="285" customFormat="1" x14ac:dyDescent="0.25">
      <c r="A74" s="118">
        <v>30</v>
      </c>
      <c r="B74" s="151">
        <v>5520</v>
      </c>
      <c r="C74" s="94" t="s">
        <v>260</v>
      </c>
      <c r="D74" s="85">
        <v>63938</v>
      </c>
      <c r="E74" s="85">
        <v>64553</v>
      </c>
      <c r="F74" s="85">
        <v>64553</v>
      </c>
      <c r="G74" s="428">
        <v>64553</v>
      </c>
      <c r="H74" s="85">
        <v>86070</v>
      </c>
      <c r="I74" s="428">
        <v>86070</v>
      </c>
      <c r="J74" s="428">
        <f t="shared" si="7"/>
        <v>90803.849999999991</v>
      </c>
      <c r="K74" s="428">
        <f t="shared" si="8"/>
        <v>95616.454049999986</v>
      </c>
    </row>
    <row r="75" spans="1:11" s="285" customFormat="1" hidden="1" x14ac:dyDescent="0.25">
      <c r="A75" s="118">
        <v>30</v>
      </c>
      <c r="B75" s="151">
        <v>5525</v>
      </c>
      <c r="C75" s="94" t="s">
        <v>261</v>
      </c>
      <c r="D75" s="85"/>
      <c r="E75" s="85"/>
      <c r="F75" s="85">
        <v>0</v>
      </c>
      <c r="G75" s="428">
        <v>0</v>
      </c>
      <c r="H75" s="85"/>
      <c r="I75" s="428"/>
      <c r="J75" s="428">
        <f t="shared" si="7"/>
        <v>0</v>
      </c>
      <c r="K75" s="428">
        <f t="shared" si="8"/>
        <v>0</v>
      </c>
    </row>
    <row r="76" spans="1:11" s="285" customFormat="1" hidden="1" x14ac:dyDescent="0.25">
      <c r="A76" s="118">
        <v>30</v>
      </c>
      <c r="B76" s="151">
        <v>5530</v>
      </c>
      <c r="C76" s="94" t="s">
        <v>262</v>
      </c>
      <c r="D76" s="85"/>
      <c r="E76" s="85"/>
      <c r="F76" s="85">
        <v>0</v>
      </c>
      <c r="G76" s="428">
        <v>0</v>
      </c>
      <c r="H76" s="85"/>
      <c r="I76" s="428"/>
      <c r="J76" s="428">
        <f t="shared" si="7"/>
        <v>0</v>
      </c>
      <c r="K76" s="428">
        <f t="shared" si="8"/>
        <v>0</v>
      </c>
    </row>
    <row r="77" spans="1:11" s="285" customFormat="1" hidden="1" x14ac:dyDescent="0.25">
      <c r="A77" s="118">
        <v>30</v>
      </c>
      <c r="B77" s="151">
        <v>5535</v>
      </c>
      <c r="C77" s="94" t="s">
        <v>263</v>
      </c>
      <c r="D77" s="85"/>
      <c r="E77" s="85"/>
      <c r="F77" s="85">
        <v>0</v>
      </c>
      <c r="G77" s="428">
        <v>0</v>
      </c>
      <c r="H77" s="85"/>
      <c r="I77" s="428"/>
      <c r="J77" s="428">
        <f t="shared" si="7"/>
        <v>0</v>
      </c>
      <c r="K77" s="428">
        <f t="shared" si="8"/>
        <v>0</v>
      </c>
    </row>
    <row r="78" spans="1:11" s="285" customFormat="1" hidden="1" x14ac:dyDescent="0.25">
      <c r="A78" s="118">
        <v>30</v>
      </c>
      <c r="B78" s="151">
        <v>5540</v>
      </c>
      <c r="C78" s="94" t="s">
        <v>264</v>
      </c>
      <c r="D78" s="85"/>
      <c r="E78" s="85"/>
      <c r="F78" s="85">
        <v>0</v>
      </c>
      <c r="G78" s="428">
        <v>0</v>
      </c>
      <c r="H78" s="85"/>
      <c r="I78" s="428"/>
      <c r="J78" s="428">
        <f t="shared" si="7"/>
        <v>0</v>
      </c>
      <c r="K78" s="428">
        <f t="shared" si="8"/>
        <v>0</v>
      </c>
    </row>
    <row r="79" spans="1:11" s="285" customFormat="1" ht="13.5" hidden="1" customHeight="1" x14ac:dyDescent="0.25">
      <c r="A79" s="118">
        <v>30</v>
      </c>
      <c r="B79" s="151">
        <v>5545</v>
      </c>
      <c r="C79" s="94" t="s">
        <v>265</v>
      </c>
      <c r="D79" s="85"/>
      <c r="E79" s="85"/>
      <c r="F79" s="85">
        <v>0</v>
      </c>
      <c r="G79" s="428">
        <v>0</v>
      </c>
      <c r="H79" s="85"/>
      <c r="I79" s="428"/>
      <c r="J79" s="428">
        <f t="shared" si="7"/>
        <v>0</v>
      </c>
      <c r="K79" s="428">
        <f t="shared" si="8"/>
        <v>0</v>
      </c>
    </row>
    <row r="80" spans="1:11" s="285" customFormat="1" hidden="1" x14ac:dyDescent="0.25">
      <c r="A80" s="118">
        <v>30</v>
      </c>
      <c r="B80" s="151">
        <v>5550</v>
      </c>
      <c r="C80" s="94" t="s">
        <v>267</v>
      </c>
      <c r="D80" s="85"/>
      <c r="E80" s="85"/>
      <c r="F80" s="85">
        <v>0</v>
      </c>
      <c r="G80" s="428">
        <v>0</v>
      </c>
      <c r="H80" s="85"/>
      <c r="I80" s="428"/>
      <c r="J80" s="428">
        <f t="shared" si="7"/>
        <v>0</v>
      </c>
      <c r="K80" s="428">
        <f t="shared" si="8"/>
        <v>0</v>
      </c>
    </row>
    <row r="81" spans="1:11" s="285" customFormat="1" hidden="1" x14ac:dyDescent="0.25">
      <c r="A81" s="118">
        <v>30</v>
      </c>
      <c r="B81" s="151">
        <v>5555</v>
      </c>
      <c r="C81" s="94" t="s">
        <v>268</v>
      </c>
      <c r="D81" s="85"/>
      <c r="E81" s="85"/>
      <c r="F81" s="85">
        <v>0</v>
      </c>
      <c r="G81" s="428">
        <v>0</v>
      </c>
      <c r="H81" s="85"/>
      <c r="I81" s="428"/>
      <c r="J81" s="428">
        <f t="shared" si="7"/>
        <v>0</v>
      </c>
      <c r="K81" s="428">
        <f t="shared" si="8"/>
        <v>0</v>
      </c>
    </row>
    <row r="82" spans="1:11" s="285" customFormat="1" hidden="1" x14ac:dyDescent="0.25">
      <c r="A82" s="118">
        <v>30</v>
      </c>
      <c r="B82" s="151">
        <v>5560</v>
      </c>
      <c r="C82" s="94" t="s">
        <v>269</v>
      </c>
      <c r="D82" s="85"/>
      <c r="E82" s="85"/>
      <c r="F82" s="85">
        <v>0</v>
      </c>
      <c r="G82" s="428">
        <v>0</v>
      </c>
      <c r="H82" s="85"/>
      <c r="I82" s="428"/>
      <c r="J82" s="428">
        <f t="shared" si="7"/>
        <v>0</v>
      </c>
      <c r="K82" s="428">
        <f t="shared" si="8"/>
        <v>0</v>
      </c>
    </row>
    <row r="83" spans="1:11" s="285" customFormat="1" hidden="1" x14ac:dyDescent="0.25">
      <c r="A83" s="118">
        <v>30</v>
      </c>
      <c r="B83" s="151">
        <v>5565</v>
      </c>
      <c r="C83" s="94" t="s">
        <v>246</v>
      </c>
      <c r="D83" s="85"/>
      <c r="E83" s="85"/>
      <c r="F83" s="85">
        <v>0</v>
      </c>
      <c r="G83" s="428">
        <v>0</v>
      </c>
      <c r="H83" s="85"/>
      <c r="I83" s="428"/>
      <c r="J83" s="428">
        <f t="shared" si="7"/>
        <v>0</v>
      </c>
      <c r="K83" s="428">
        <f t="shared" si="8"/>
        <v>0</v>
      </c>
    </row>
    <row r="84" spans="1:11" s="285" customFormat="1" x14ac:dyDescent="0.25">
      <c r="A84" s="118">
        <v>30</v>
      </c>
      <c r="B84" s="151">
        <v>5570</v>
      </c>
      <c r="C84" s="94" t="s">
        <v>270</v>
      </c>
      <c r="D84" s="85">
        <v>3866</v>
      </c>
      <c r="E84" s="85">
        <v>3418.2</v>
      </c>
      <c r="F84" s="85">
        <v>3418.2</v>
      </c>
      <c r="G84" s="428">
        <v>3418.2</v>
      </c>
      <c r="H84" s="85"/>
      <c r="I84" s="428"/>
      <c r="J84" s="428">
        <f t="shared" si="7"/>
        <v>0</v>
      </c>
      <c r="K84" s="428">
        <f t="shared" si="8"/>
        <v>0</v>
      </c>
    </row>
    <row r="85" spans="1:11" s="285" customFormat="1" hidden="1" x14ac:dyDescent="0.25">
      <c r="A85" s="118">
        <v>30</v>
      </c>
      <c r="B85" s="151">
        <v>5575</v>
      </c>
      <c r="C85" s="94" t="s">
        <v>271</v>
      </c>
      <c r="D85" s="85"/>
      <c r="E85" s="85"/>
      <c r="F85" s="85">
        <v>0</v>
      </c>
      <c r="G85" s="428"/>
      <c r="H85" s="85"/>
      <c r="I85" s="428"/>
      <c r="J85" s="428">
        <f t="shared" si="7"/>
        <v>0</v>
      </c>
      <c r="K85" s="428">
        <f t="shared" si="8"/>
        <v>0</v>
      </c>
    </row>
    <row r="86" spans="1:11" s="285" customFormat="1" hidden="1" x14ac:dyDescent="0.25">
      <c r="A86" s="118">
        <v>30</v>
      </c>
      <c r="B86" s="151">
        <v>5580</v>
      </c>
      <c r="C86" s="94" t="s">
        <v>272</v>
      </c>
      <c r="D86" s="85"/>
      <c r="E86" s="85"/>
      <c r="F86" s="85">
        <f t="shared" ref="F86:F109" si="9">E86-D86</f>
        <v>0</v>
      </c>
      <c r="G86" s="428"/>
      <c r="H86" s="85"/>
      <c r="I86" s="428"/>
      <c r="J86" s="428">
        <f t="shared" si="7"/>
        <v>0</v>
      </c>
      <c r="K86" s="428">
        <f t="shared" si="8"/>
        <v>0</v>
      </c>
    </row>
    <row r="87" spans="1:11" s="285" customFormat="1" hidden="1" x14ac:dyDescent="0.25">
      <c r="A87" s="118">
        <v>30</v>
      </c>
      <c r="B87" s="151">
        <v>5585</v>
      </c>
      <c r="C87" s="94" t="s">
        <v>273</v>
      </c>
      <c r="D87" s="86"/>
      <c r="E87" s="85"/>
      <c r="F87" s="85">
        <f t="shared" si="9"/>
        <v>0</v>
      </c>
      <c r="G87" s="428"/>
      <c r="H87" s="85"/>
      <c r="I87" s="428"/>
      <c r="J87" s="428">
        <f t="shared" si="7"/>
        <v>0</v>
      </c>
      <c r="K87" s="428">
        <f t="shared" si="8"/>
        <v>0</v>
      </c>
    </row>
    <row r="88" spans="1:11" s="285" customFormat="1" hidden="1" x14ac:dyDescent="0.25">
      <c r="A88" s="118">
        <v>30</v>
      </c>
      <c r="B88" s="151">
        <v>5590</v>
      </c>
      <c r="C88" s="94" t="s">
        <v>274</v>
      </c>
      <c r="D88" s="86"/>
      <c r="E88" s="85"/>
      <c r="F88" s="85">
        <f t="shared" si="9"/>
        <v>0</v>
      </c>
      <c r="G88" s="428"/>
      <c r="H88" s="85"/>
      <c r="I88" s="428"/>
      <c r="J88" s="428">
        <f t="shared" si="7"/>
        <v>0</v>
      </c>
      <c r="K88" s="428">
        <f t="shared" si="8"/>
        <v>0</v>
      </c>
    </row>
    <row r="89" spans="1:11" s="285" customFormat="1" hidden="1" x14ac:dyDescent="0.25">
      <c r="A89" s="118">
        <v>30</v>
      </c>
      <c r="B89" s="151">
        <v>5595</v>
      </c>
      <c r="C89" s="94" t="s">
        <v>275</v>
      </c>
      <c r="D89" s="85"/>
      <c r="E89" s="85"/>
      <c r="F89" s="85">
        <f t="shared" si="9"/>
        <v>0</v>
      </c>
      <c r="G89" s="428"/>
      <c r="H89" s="85"/>
      <c r="I89" s="428"/>
      <c r="J89" s="428">
        <f t="shared" si="7"/>
        <v>0</v>
      </c>
      <c r="K89" s="428">
        <f t="shared" si="8"/>
        <v>0</v>
      </c>
    </row>
    <row r="90" spans="1:11" s="285" customFormat="1" hidden="1" x14ac:dyDescent="0.25">
      <c r="A90" s="118">
        <v>30</v>
      </c>
      <c r="B90" s="151">
        <v>5600</v>
      </c>
      <c r="C90" s="159" t="s">
        <v>276</v>
      </c>
      <c r="D90" s="85"/>
      <c r="E90" s="85"/>
      <c r="F90" s="85">
        <f t="shared" si="9"/>
        <v>0</v>
      </c>
      <c r="G90" s="428"/>
      <c r="H90" s="85"/>
      <c r="I90" s="428"/>
      <c r="J90" s="428">
        <f t="shared" si="7"/>
        <v>0</v>
      </c>
      <c r="K90" s="428">
        <f t="shared" si="8"/>
        <v>0</v>
      </c>
    </row>
    <row r="91" spans="1:11" s="285" customFormat="1" hidden="1" x14ac:dyDescent="0.25">
      <c r="A91" s="118">
        <v>30</v>
      </c>
      <c r="B91" s="151">
        <v>5605</v>
      </c>
      <c r="C91" s="159" t="s">
        <v>277</v>
      </c>
      <c r="D91" s="85"/>
      <c r="E91" s="85"/>
      <c r="F91" s="85">
        <f t="shared" si="9"/>
        <v>0</v>
      </c>
      <c r="G91" s="428"/>
      <c r="H91" s="85"/>
      <c r="I91" s="428"/>
      <c r="J91" s="428">
        <f t="shared" si="7"/>
        <v>0</v>
      </c>
      <c r="K91" s="428">
        <f t="shared" si="8"/>
        <v>0</v>
      </c>
    </row>
    <row r="92" spans="1:11" s="285" customFormat="1" hidden="1" x14ac:dyDescent="0.25">
      <c r="A92" s="118">
        <v>30</v>
      </c>
      <c r="B92" s="151">
        <v>5610</v>
      </c>
      <c r="C92" s="159" t="s">
        <v>278</v>
      </c>
      <c r="D92" s="85"/>
      <c r="E92" s="85"/>
      <c r="F92" s="85">
        <f t="shared" si="9"/>
        <v>0</v>
      </c>
      <c r="G92" s="428"/>
      <c r="H92" s="85"/>
      <c r="I92" s="428"/>
      <c r="J92" s="428">
        <f t="shared" si="7"/>
        <v>0</v>
      </c>
      <c r="K92" s="428">
        <f t="shared" si="8"/>
        <v>0</v>
      </c>
    </row>
    <row r="93" spans="1:11" s="285" customFormat="1" hidden="1" x14ac:dyDescent="0.25">
      <c r="A93" s="118">
        <v>30</v>
      </c>
      <c r="B93" s="151">
        <v>5615</v>
      </c>
      <c r="C93" s="159" t="s">
        <v>279</v>
      </c>
      <c r="D93" s="85"/>
      <c r="E93" s="85"/>
      <c r="F93" s="85">
        <f t="shared" si="9"/>
        <v>0</v>
      </c>
      <c r="G93" s="428"/>
      <c r="H93" s="85"/>
      <c r="I93" s="428"/>
      <c r="J93" s="428">
        <f t="shared" si="7"/>
        <v>0</v>
      </c>
      <c r="K93" s="428">
        <f t="shared" si="8"/>
        <v>0</v>
      </c>
    </row>
    <row r="94" spans="1:11" s="285" customFormat="1" hidden="1" x14ac:dyDescent="0.25">
      <c r="A94" s="118">
        <v>30</v>
      </c>
      <c r="B94" s="151">
        <v>5620</v>
      </c>
      <c r="C94" s="159" t="s">
        <v>280</v>
      </c>
      <c r="D94" s="85"/>
      <c r="E94" s="85"/>
      <c r="F94" s="85">
        <f t="shared" si="9"/>
        <v>0</v>
      </c>
      <c r="G94" s="428"/>
      <c r="H94" s="85"/>
      <c r="I94" s="428"/>
      <c r="J94" s="428">
        <f t="shared" si="7"/>
        <v>0</v>
      </c>
      <c r="K94" s="428">
        <f t="shared" si="8"/>
        <v>0</v>
      </c>
    </row>
    <row r="95" spans="1:11" s="285" customFormat="1" hidden="1" x14ac:dyDescent="0.25">
      <c r="A95" s="118">
        <v>30</v>
      </c>
      <c r="B95" s="151">
        <v>5625</v>
      </c>
      <c r="C95" s="159" t="s">
        <v>281</v>
      </c>
      <c r="D95" s="85"/>
      <c r="E95" s="85"/>
      <c r="F95" s="85">
        <f t="shared" si="9"/>
        <v>0</v>
      </c>
      <c r="G95" s="428"/>
      <c r="H95" s="85"/>
      <c r="I95" s="428"/>
      <c r="J95" s="428">
        <f t="shared" si="7"/>
        <v>0</v>
      </c>
      <c r="K95" s="428">
        <f t="shared" si="8"/>
        <v>0</v>
      </c>
    </row>
    <row r="96" spans="1:11" s="285" customFormat="1" hidden="1" x14ac:dyDescent="0.25">
      <c r="A96" s="118">
        <v>30</v>
      </c>
      <c r="B96" s="151">
        <v>5630</v>
      </c>
      <c r="C96" s="159" t="s">
        <v>282</v>
      </c>
      <c r="D96" s="85"/>
      <c r="E96" s="85"/>
      <c r="F96" s="85">
        <f t="shared" si="9"/>
        <v>0</v>
      </c>
      <c r="G96" s="428"/>
      <c r="H96" s="85"/>
      <c r="I96" s="428"/>
      <c r="J96" s="428">
        <f t="shared" si="7"/>
        <v>0</v>
      </c>
      <c r="K96" s="428">
        <f t="shared" si="8"/>
        <v>0</v>
      </c>
    </row>
    <row r="97" spans="1:11" s="285" customFormat="1" hidden="1" x14ac:dyDescent="0.25">
      <c r="A97" s="118">
        <v>30</v>
      </c>
      <c r="B97" s="151">
        <v>5635</v>
      </c>
      <c r="C97" s="159" t="s">
        <v>283</v>
      </c>
      <c r="D97" s="85"/>
      <c r="E97" s="85"/>
      <c r="F97" s="85">
        <f t="shared" si="9"/>
        <v>0</v>
      </c>
      <c r="G97" s="428"/>
      <c r="H97" s="85"/>
      <c r="I97" s="428"/>
      <c r="J97" s="428">
        <f t="shared" si="7"/>
        <v>0</v>
      </c>
      <c r="K97" s="428">
        <f t="shared" si="8"/>
        <v>0</v>
      </c>
    </row>
    <row r="98" spans="1:11" s="285" customFormat="1" hidden="1" x14ac:dyDescent="0.25">
      <c r="A98" s="118">
        <v>30</v>
      </c>
      <c r="B98" s="151">
        <v>5640</v>
      </c>
      <c r="C98" s="159" t="s">
        <v>284</v>
      </c>
      <c r="D98" s="85"/>
      <c r="E98" s="85"/>
      <c r="F98" s="85">
        <f t="shared" si="9"/>
        <v>0</v>
      </c>
      <c r="G98" s="428"/>
      <c r="H98" s="85"/>
      <c r="I98" s="428"/>
      <c r="J98" s="428">
        <f t="shared" si="7"/>
        <v>0</v>
      </c>
      <c r="K98" s="428">
        <f t="shared" si="8"/>
        <v>0</v>
      </c>
    </row>
    <row r="99" spans="1:11" s="285" customFormat="1" hidden="1" x14ac:dyDescent="0.25">
      <c r="A99" s="118">
        <v>30</v>
      </c>
      <c r="B99" s="151">
        <v>5645</v>
      </c>
      <c r="C99" s="159" t="s">
        <v>285</v>
      </c>
      <c r="D99" s="85"/>
      <c r="E99" s="85"/>
      <c r="F99" s="85">
        <f t="shared" si="9"/>
        <v>0</v>
      </c>
      <c r="G99" s="428"/>
      <c r="H99" s="85"/>
      <c r="I99" s="428"/>
      <c r="J99" s="428">
        <f t="shared" si="7"/>
        <v>0</v>
      </c>
      <c r="K99" s="428">
        <f t="shared" si="8"/>
        <v>0</v>
      </c>
    </row>
    <row r="100" spans="1:11" s="285" customFormat="1" hidden="1" x14ac:dyDescent="0.25">
      <c r="A100" s="118">
        <v>30</v>
      </c>
      <c r="B100" s="151">
        <v>5650</v>
      </c>
      <c r="C100" s="159" t="s">
        <v>286</v>
      </c>
      <c r="D100" s="85"/>
      <c r="E100" s="85"/>
      <c r="F100" s="85">
        <f t="shared" si="9"/>
        <v>0</v>
      </c>
      <c r="G100" s="428"/>
      <c r="H100" s="85"/>
      <c r="I100" s="428"/>
      <c r="J100" s="428">
        <f t="shared" si="7"/>
        <v>0</v>
      </c>
      <c r="K100" s="428">
        <f t="shared" si="8"/>
        <v>0</v>
      </c>
    </row>
    <row r="101" spans="1:11" s="285" customFormat="1" hidden="1" x14ac:dyDescent="0.25">
      <c r="A101" s="118">
        <v>30</v>
      </c>
      <c r="B101" s="151">
        <v>5655</v>
      </c>
      <c r="C101" s="159" t="s">
        <v>287</v>
      </c>
      <c r="D101" s="85"/>
      <c r="E101" s="85"/>
      <c r="F101" s="85">
        <f t="shared" si="9"/>
        <v>0</v>
      </c>
      <c r="G101" s="428"/>
      <c r="H101" s="85"/>
      <c r="I101" s="428"/>
      <c r="J101" s="428">
        <f t="shared" si="7"/>
        <v>0</v>
      </c>
      <c r="K101" s="428">
        <f t="shared" si="8"/>
        <v>0</v>
      </c>
    </row>
    <row r="102" spans="1:11" s="285" customFormat="1" hidden="1" x14ac:dyDescent="0.25">
      <c r="A102" s="118">
        <v>30</v>
      </c>
      <c r="B102" s="151">
        <v>5660</v>
      </c>
      <c r="C102" s="159" t="s">
        <v>288</v>
      </c>
      <c r="D102" s="85"/>
      <c r="E102" s="85"/>
      <c r="F102" s="85">
        <f t="shared" si="9"/>
        <v>0</v>
      </c>
      <c r="G102" s="428"/>
      <c r="H102" s="85"/>
      <c r="I102" s="428"/>
      <c r="J102" s="428">
        <f t="shared" si="7"/>
        <v>0</v>
      </c>
      <c r="K102" s="428">
        <f t="shared" si="8"/>
        <v>0</v>
      </c>
    </row>
    <row r="103" spans="1:11" s="285" customFormat="1" hidden="1" x14ac:dyDescent="0.25">
      <c r="A103" s="118">
        <v>30</v>
      </c>
      <c r="B103" s="151">
        <v>5665</v>
      </c>
      <c r="C103" s="94" t="s">
        <v>289</v>
      </c>
      <c r="D103" s="85"/>
      <c r="E103" s="85"/>
      <c r="F103" s="85">
        <f t="shared" si="9"/>
        <v>0</v>
      </c>
      <c r="G103" s="428"/>
      <c r="H103" s="85"/>
      <c r="I103" s="428"/>
      <c r="J103" s="428">
        <f t="shared" si="7"/>
        <v>0</v>
      </c>
      <c r="K103" s="428">
        <f t="shared" si="8"/>
        <v>0</v>
      </c>
    </row>
    <row r="104" spans="1:11" s="285" customFormat="1" hidden="1" x14ac:dyDescent="0.25">
      <c r="A104" s="118">
        <v>30</v>
      </c>
      <c r="B104" s="151">
        <v>5670</v>
      </c>
      <c r="C104" s="94" t="s">
        <v>290</v>
      </c>
      <c r="D104" s="85"/>
      <c r="E104" s="85"/>
      <c r="F104" s="85">
        <f t="shared" si="9"/>
        <v>0</v>
      </c>
      <c r="G104" s="428"/>
      <c r="H104" s="85"/>
      <c r="I104" s="428"/>
      <c r="J104" s="428">
        <f t="shared" si="7"/>
        <v>0</v>
      </c>
      <c r="K104" s="428">
        <f t="shared" si="8"/>
        <v>0</v>
      </c>
    </row>
    <row r="105" spans="1:11" s="285" customFormat="1" hidden="1" x14ac:dyDescent="0.25">
      <c r="A105" s="118">
        <v>30</v>
      </c>
      <c r="B105" s="151">
        <v>5675</v>
      </c>
      <c r="C105" s="94" t="s">
        <v>291</v>
      </c>
      <c r="D105" s="85"/>
      <c r="E105" s="85"/>
      <c r="F105" s="85">
        <f t="shared" si="9"/>
        <v>0</v>
      </c>
      <c r="G105" s="428"/>
      <c r="H105" s="85"/>
      <c r="I105" s="428"/>
      <c r="J105" s="428">
        <f t="shared" si="7"/>
        <v>0</v>
      </c>
      <c r="K105" s="428">
        <f t="shared" si="8"/>
        <v>0</v>
      </c>
    </row>
    <row r="106" spans="1:11" s="285" customFormat="1" hidden="1" x14ac:dyDescent="0.25">
      <c r="A106" s="118">
        <v>30</v>
      </c>
      <c r="B106" s="151">
        <v>5680</v>
      </c>
      <c r="C106" s="94" t="s">
        <v>292</v>
      </c>
      <c r="D106" s="85"/>
      <c r="E106" s="85"/>
      <c r="F106" s="85">
        <f t="shared" si="9"/>
        <v>0</v>
      </c>
      <c r="G106" s="428"/>
      <c r="H106" s="85"/>
      <c r="I106" s="428"/>
      <c r="J106" s="428">
        <f t="shared" si="7"/>
        <v>0</v>
      </c>
      <c r="K106" s="428">
        <f t="shared" si="8"/>
        <v>0</v>
      </c>
    </row>
    <row r="107" spans="1:11" s="285" customFormat="1" hidden="1" x14ac:dyDescent="0.25">
      <c r="A107" s="118">
        <v>30</v>
      </c>
      <c r="B107" s="151">
        <v>5685</v>
      </c>
      <c r="C107" s="94" t="s">
        <v>293</v>
      </c>
      <c r="D107" s="85"/>
      <c r="E107" s="85"/>
      <c r="F107" s="85">
        <f t="shared" si="9"/>
        <v>0</v>
      </c>
      <c r="G107" s="428"/>
      <c r="H107" s="85"/>
      <c r="I107" s="428"/>
      <c r="J107" s="428">
        <f t="shared" si="7"/>
        <v>0</v>
      </c>
      <c r="K107" s="428">
        <f t="shared" si="8"/>
        <v>0</v>
      </c>
    </row>
    <row r="108" spans="1:11" s="285" customFormat="1" hidden="1" x14ac:dyDescent="0.25">
      <c r="A108" s="118">
        <v>30</v>
      </c>
      <c r="B108" s="151">
        <v>5690</v>
      </c>
      <c r="C108" s="94" t="s">
        <v>247</v>
      </c>
      <c r="D108" s="85"/>
      <c r="E108" s="85"/>
      <c r="F108" s="85">
        <f t="shared" si="9"/>
        <v>0</v>
      </c>
      <c r="G108" s="428"/>
      <c r="H108" s="85"/>
      <c r="I108" s="428"/>
      <c r="J108" s="428">
        <f t="shared" si="7"/>
        <v>0</v>
      </c>
      <c r="K108" s="428">
        <f t="shared" si="8"/>
        <v>0</v>
      </c>
    </row>
    <row r="109" spans="1:11" s="285" customFormat="1" hidden="1" x14ac:dyDescent="0.25">
      <c r="A109" s="118">
        <v>30</v>
      </c>
      <c r="B109" s="151">
        <v>5695</v>
      </c>
      <c r="C109" s="94" t="s">
        <v>294</v>
      </c>
      <c r="D109" s="85"/>
      <c r="E109" s="85"/>
      <c r="F109" s="85">
        <f t="shared" si="9"/>
        <v>0</v>
      </c>
      <c r="G109" s="428"/>
      <c r="H109" s="85"/>
      <c r="I109" s="428"/>
      <c r="J109" s="428">
        <f t="shared" si="7"/>
        <v>0</v>
      </c>
      <c r="K109" s="428">
        <f t="shared" si="8"/>
        <v>0</v>
      </c>
    </row>
    <row r="110" spans="1:11" s="285" customFormat="1" x14ac:dyDescent="0.25">
      <c r="A110" s="118">
        <v>30</v>
      </c>
      <c r="B110" s="151">
        <v>5700</v>
      </c>
      <c r="C110" s="94" t="s">
        <v>295</v>
      </c>
      <c r="D110" s="85">
        <v>69291</v>
      </c>
      <c r="E110" s="85">
        <v>79000</v>
      </c>
      <c r="F110" s="85">
        <v>19000</v>
      </c>
      <c r="G110" s="428">
        <v>19000</v>
      </c>
      <c r="H110" s="85">
        <v>93530</v>
      </c>
      <c r="I110" s="428">
        <v>93530</v>
      </c>
      <c r="J110" s="428">
        <f t="shared" si="7"/>
        <v>98674.15</v>
      </c>
      <c r="K110" s="428">
        <f t="shared" si="8"/>
        <v>103903.87994999999</v>
      </c>
    </row>
    <row r="111" spans="1:11" s="285" customFormat="1" x14ac:dyDescent="0.25">
      <c r="A111" s="118">
        <v>30</v>
      </c>
      <c r="B111" s="151">
        <v>5710</v>
      </c>
      <c r="C111" s="94" t="s">
        <v>297</v>
      </c>
      <c r="D111" s="85"/>
      <c r="E111" s="85"/>
      <c r="F111" s="85">
        <v>0</v>
      </c>
      <c r="G111" s="428">
        <v>0</v>
      </c>
      <c r="H111" s="85"/>
      <c r="I111" s="428"/>
      <c r="J111" s="428">
        <f t="shared" si="7"/>
        <v>0</v>
      </c>
      <c r="K111" s="428">
        <f t="shared" si="8"/>
        <v>0</v>
      </c>
    </row>
    <row r="112" spans="1:11" s="285" customFormat="1" x14ac:dyDescent="0.25">
      <c r="A112" s="118">
        <v>30</v>
      </c>
      <c r="B112" s="151">
        <v>5715</v>
      </c>
      <c r="C112" s="94" t="s">
        <v>298</v>
      </c>
      <c r="D112" s="85">
        <v>7200</v>
      </c>
      <c r="E112" s="85">
        <v>8000</v>
      </c>
      <c r="F112" s="85">
        <v>8000</v>
      </c>
      <c r="G112" s="428">
        <v>8000</v>
      </c>
      <c r="H112" s="85">
        <v>229000</v>
      </c>
      <c r="I112" s="428">
        <v>146000</v>
      </c>
      <c r="J112" s="428">
        <f t="shared" si="7"/>
        <v>154030</v>
      </c>
      <c r="K112" s="428">
        <f t="shared" si="8"/>
        <v>162193.59</v>
      </c>
    </row>
    <row r="113" spans="1:11" s="285" customFormat="1" hidden="1" x14ac:dyDescent="0.25">
      <c r="A113" s="118">
        <v>30</v>
      </c>
      <c r="B113" s="151">
        <v>5720</v>
      </c>
      <c r="C113" s="94" t="s">
        <v>299</v>
      </c>
      <c r="D113" s="85"/>
      <c r="E113" s="85"/>
      <c r="F113" s="85">
        <v>0</v>
      </c>
      <c r="G113" s="428">
        <v>0</v>
      </c>
      <c r="H113" s="85"/>
      <c r="I113" s="428"/>
      <c r="J113" s="428">
        <f t="shared" si="7"/>
        <v>0</v>
      </c>
      <c r="K113" s="428">
        <f t="shared" si="8"/>
        <v>0</v>
      </c>
    </row>
    <row r="114" spans="1:11" s="285" customFormat="1" hidden="1" x14ac:dyDescent="0.25">
      <c r="A114" s="118">
        <v>30</v>
      </c>
      <c r="B114" s="151">
        <v>5730</v>
      </c>
      <c r="C114" s="94" t="s">
        <v>300</v>
      </c>
      <c r="D114" s="85"/>
      <c r="E114" s="85"/>
      <c r="F114" s="85">
        <v>0</v>
      </c>
      <c r="G114" s="428">
        <v>0</v>
      </c>
      <c r="H114" s="85"/>
      <c r="I114" s="428"/>
      <c r="J114" s="428">
        <f t="shared" si="7"/>
        <v>0</v>
      </c>
      <c r="K114" s="428">
        <f t="shared" si="8"/>
        <v>0</v>
      </c>
    </row>
    <row r="115" spans="1:11" s="285" customFormat="1" hidden="1" x14ac:dyDescent="0.25">
      <c r="A115" s="118">
        <v>30</v>
      </c>
      <c r="B115" s="151">
        <v>5735</v>
      </c>
      <c r="C115" s="94" t="s">
        <v>301</v>
      </c>
      <c r="D115" s="85"/>
      <c r="E115" s="85"/>
      <c r="F115" s="85">
        <v>0</v>
      </c>
      <c r="G115" s="428">
        <v>0</v>
      </c>
      <c r="H115" s="85"/>
      <c r="I115" s="428"/>
      <c r="J115" s="428">
        <f t="shared" si="7"/>
        <v>0</v>
      </c>
      <c r="K115" s="428">
        <f t="shared" si="8"/>
        <v>0</v>
      </c>
    </row>
    <row r="116" spans="1:11" s="285" customFormat="1" hidden="1" x14ac:dyDescent="0.25">
      <c r="A116" s="118">
        <v>30</v>
      </c>
      <c r="B116" s="151">
        <v>5740</v>
      </c>
      <c r="C116" s="94" t="s">
        <v>302</v>
      </c>
      <c r="D116" s="85"/>
      <c r="E116" s="85"/>
      <c r="F116" s="85">
        <v>0</v>
      </c>
      <c r="G116" s="428">
        <v>0</v>
      </c>
      <c r="H116" s="85"/>
      <c r="I116" s="428"/>
      <c r="J116" s="428">
        <f t="shared" si="7"/>
        <v>0</v>
      </c>
      <c r="K116" s="428">
        <f t="shared" si="8"/>
        <v>0</v>
      </c>
    </row>
    <row r="117" spans="1:11" s="285" customFormat="1" hidden="1" x14ac:dyDescent="0.25">
      <c r="A117" s="118">
        <v>30</v>
      </c>
      <c r="B117" s="151">
        <v>5745</v>
      </c>
      <c r="C117" s="94" t="s">
        <v>303</v>
      </c>
      <c r="D117" s="85"/>
      <c r="E117" s="85"/>
      <c r="F117" s="85">
        <v>0</v>
      </c>
      <c r="G117" s="428">
        <v>0</v>
      </c>
      <c r="H117" s="85"/>
      <c r="I117" s="428"/>
      <c r="J117" s="428">
        <f t="shared" si="7"/>
        <v>0</v>
      </c>
      <c r="K117" s="428">
        <f t="shared" si="8"/>
        <v>0</v>
      </c>
    </row>
    <row r="118" spans="1:11" s="285" customFormat="1" x14ac:dyDescent="0.25">
      <c r="A118" s="118">
        <v>30</v>
      </c>
      <c r="B118" s="151">
        <v>5750</v>
      </c>
      <c r="C118" s="94" t="s">
        <v>304</v>
      </c>
      <c r="D118" s="85">
        <v>147</v>
      </c>
      <c r="E118" s="85">
        <v>650</v>
      </c>
      <c r="F118" s="85">
        <v>650</v>
      </c>
      <c r="G118" s="428">
        <v>650</v>
      </c>
      <c r="H118" s="85">
        <v>650</v>
      </c>
      <c r="I118" s="428"/>
      <c r="J118" s="428">
        <f t="shared" si="7"/>
        <v>0</v>
      </c>
      <c r="K118" s="428">
        <f t="shared" si="8"/>
        <v>0</v>
      </c>
    </row>
    <row r="119" spans="1:11" s="285" customFormat="1" x14ac:dyDescent="0.25">
      <c r="A119" s="118">
        <v>30</v>
      </c>
      <c r="B119" s="151">
        <v>5755</v>
      </c>
      <c r="C119" s="94" t="s">
        <v>305</v>
      </c>
      <c r="D119" s="85">
        <v>2392</v>
      </c>
      <c r="E119" s="85">
        <v>5500</v>
      </c>
      <c r="F119" s="85">
        <v>5500</v>
      </c>
      <c r="G119" s="428">
        <v>5500</v>
      </c>
      <c r="H119" s="85">
        <v>5500</v>
      </c>
      <c r="I119" s="428"/>
      <c r="J119" s="428">
        <f t="shared" si="7"/>
        <v>0</v>
      </c>
      <c r="K119" s="428">
        <f t="shared" si="8"/>
        <v>0</v>
      </c>
    </row>
    <row r="120" spans="1:11" s="285" customFormat="1" ht="12" hidden="1" customHeight="1" x14ac:dyDescent="0.25">
      <c r="A120" s="118">
        <v>30</v>
      </c>
      <c r="B120" s="151">
        <v>5760</v>
      </c>
      <c r="C120" s="94" t="s">
        <v>306</v>
      </c>
      <c r="D120" s="85"/>
      <c r="E120" s="85"/>
      <c r="F120" s="85">
        <v>0</v>
      </c>
      <c r="G120" s="428"/>
      <c r="H120" s="85"/>
      <c r="I120" s="428"/>
      <c r="J120" s="428">
        <f t="shared" si="7"/>
        <v>0</v>
      </c>
      <c r="K120" s="428">
        <f t="shared" si="8"/>
        <v>0</v>
      </c>
    </row>
    <row r="121" spans="1:11" s="285" customFormat="1" hidden="1" x14ac:dyDescent="0.25">
      <c r="A121" s="118">
        <v>30</v>
      </c>
      <c r="B121" s="151">
        <v>5765</v>
      </c>
      <c r="C121" s="94" t="s">
        <v>307</v>
      </c>
      <c r="D121" s="85"/>
      <c r="E121" s="85"/>
      <c r="F121" s="85">
        <v>0</v>
      </c>
      <c r="G121" s="428"/>
      <c r="H121" s="85"/>
      <c r="I121" s="428"/>
      <c r="J121" s="428">
        <f t="shared" si="7"/>
        <v>0</v>
      </c>
      <c r="K121" s="428">
        <f t="shared" si="8"/>
        <v>0</v>
      </c>
    </row>
    <row r="122" spans="1:11" s="285" customFormat="1" hidden="1" x14ac:dyDescent="0.25">
      <c r="A122" s="118">
        <v>30</v>
      </c>
      <c r="B122" s="151">
        <v>5770</v>
      </c>
      <c r="C122" s="94" t="s">
        <v>308</v>
      </c>
      <c r="D122" s="85"/>
      <c r="E122" s="85"/>
      <c r="F122" s="85">
        <v>0</v>
      </c>
      <c r="G122" s="428"/>
      <c r="H122" s="85"/>
      <c r="I122" s="428"/>
      <c r="J122" s="428">
        <f t="shared" si="7"/>
        <v>0</v>
      </c>
      <c r="K122" s="428">
        <f t="shared" si="8"/>
        <v>0</v>
      </c>
    </row>
    <row r="123" spans="1:11" s="285" customFormat="1" hidden="1" x14ac:dyDescent="0.25">
      <c r="A123" s="118">
        <v>30</v>
      </c>
      <c r="B123" s="151">
        <v>5775</v>
      </c>
      <c r="C123" s="94" t="s">
        <v>309</v>
      </c>
      <c r="D123" s="85"/>
      <c r="E123" s="85"/>
      <c r="F123" s="85">
        <v>0</v>
      </c>
      <c r="G123" s="428"/>
      <c r="H123" s="85"/>
      <c r="I123" s="428"/>
      <c r="J123" s="428">
        <f t="shared" si="7"/>
        <v>0</v>
      </c>
      <c r="K123" s="428">
        <f t="shared" si="8"/>
        <v>0</v>
      </c>
    </row>
    <row r="124" spans="1:11" s="285" customFormat="1" hidden="1" x14ac:dyDescent="0.25">
      <c r="A124" s="118">
        <v>30</v>
      </c>
      <c r="B124" s="151">
        <v>5780</v>
      </c>
      <c r="C124" s="94" t="s">
        <v>310</v>
      </c>
      <c r="D124" s="85"/>
      <c r="E124" s="85"/>
      <c r="F124" s="85">
        <v>0</v>
      </c>
      <c r="G124" s="428"/>
      <c r="H124" s="85"/>
      <c r="I124" s="428"/>
      <c r="J124" s="428">
        <f t="shared" si="7"/>
        <v>0</v>
      </c>
      <c r="K124" s="428">
        <f t="shared" si="8"/>
        <v>0</v>
      </c>
    </row>
    <row r="125" spans="1:11" s="285" customFormat="1" hidden="1" x14ac:dyDescent="0.25">
      <c r="A125" s="118">
        <v>30</v>
      </c>
      <c r="B125" s="151">
        <v>5785</v>
      </c>
      <c r="C125" s="94" t="s">
        <v>311</v>
      </c>
      <c r="D125" s="85"/>
      <c r="E125" s="85"/>
      <c r="F125" s="85">
        <v>0</v>
      </c>
      <c r="G125" s="428"/>
      <c r="H125" s="85"/>
      <c r="I125" s="428"/>
      <c r="J125" s="428">
        <f t="shared" si="7"/>
        <v>0</v>
      </c>
      <c r="K125" s="428">
        <f t="shared" si="8"/>
        <v>0</v>
      </c>
    </row>
    <row r="126" spans="1:11" s="285" customFormat="1" hidden="1" x14ac:dyDescent="0.25">
      <c r="A126" s="118">
        <v>30</v>
      </c>
      <c r="B126" s="151">
        <v>5790</v>
      </c>
      <c r="C126" s="94" t="s">
        <v>312</v>
      </c>
      <c r="D126" s="85"/>
      <c r="E126" s="85"/>
      <c r="F126" s="85">
        <v>0</v>
      </c>
      <c r="G126" s="428"/>
      <c r="H126" s="85"/>
      <c r="I126" s="428"/>
      <c r="J126" s="428">
        <f t="shared" si="7"/>
        <v>0</v>
      </c>
      <c r="K126" s="428">
        <f t="shared" si="8"/>
        <v>0</v>
      </c>
    </row>
    <row r="127" spans="1:11" s="285" customFormat="1" hidden="1" x14ac:dyDescent="0.25">
      <c r="A127" s="118">
        <v>30</v>
      </c>
      <c r="B127" s="151">
        <v>5795</v>
      </c>
      <c r="C127" s="94" t="s">
        <v>313</v>
      </c>
      <c r="D127" s="85"/>
      <c r="E127" s="85"/>
      <c r="F127" s="85">
        <v>0</v>
      </c>
      <c r="G127" s="428"/>
      <c r="H127" s="85"/>
      <c r="I127" s="428"/>
      <c r="J127" s="428">
        <f t="shared" si="7"/>
        <v>0</v>
      </c>
      <c r="K127" s="428">
        <f t="shared" si="8"/>
        <v>0</v>
      </c>
    </row>
    <row r="128" spans="1:11" s="285" customFormat="1" hidden="1" x14ac:dyDescent="0.25">
      <c r="A128" s="118">
        <v>30</v>
      </c>
      <c r="B128" s="151">
        <v>5800</v>
      </c>
      <c r="C128" s="94" t="s">
        <v>314</v>
      </c>
      <c r="D128" s="85"/>
      <c r="E128" s="85"/>
      <c r="F128" s="85">
        <v>0</v>
      </c>
      <c r="G128" s="428"/>
      <c r="H128" s="85"/>
      <c r="I128" s="428"/>
      <c r="J128" s="428">
        <f t="shared" si="7"/>
        <v>0</v>
      </c>
      <c r="K128" s="428">
        <f t="shared" si="8"/>
        <v>0</v>
      </c>
    </row>
    <row r="129" spans="1:11" s="285" customFormat="1" hidden="1" x14ac:dyDescent="0.25">
      <c r="A129" s="118">
        <v>30</v>
      </c>
      <c r="B129" s="151">
        <v>5805</v>
      </c>
      <c r="C129" s="94" t="s">
        <v>315</v>
      </c>
      <c r="D129" s="85"/>
      <c r="E129" s="85"/>
      <c r="F129" s="85">
        <v>0</v>
      </c>
      <c r="G129" s="428"/>
      <c r="H129" s="85"/>
      <c r="I129" s="428"/>
      <c r="J129" s="428">
        <f t="shared" si="7"/>
        <v>0</v>
      </c>
      <c r="K129" s="428">
        <f t="shared" si="8"/>
        <v>0</v>
      </c>
    </row>
    <row r="130" spans="1:11" s="285" customFormat="1" hidden="1" x14ac:dyDescent="0.25">
      <c r="A130" s="118">
        <v>30</v>
      </c>
      <c r="B130" s="151">
        <v>5810</v>
      </c>
      <c r="C130" s="94" t="s">
        <v>316</v>
      </c>
      <c r="D130" s="85"/>
      <c r="E130" s="85"/>
      <c r="F130" s="85">
        <v>0</v>
      </c>
      <c r="G130" s="428"/>
      <c r="H130" s="85"/>
      <c r="I130" s="428"/>
      <c r="J130" s="428">
        <f t="shared" si="7"/>
        <v>0</v>
      </c>
      <c r="K130" s="428">
        <f t="shared" si="8"/>
        <v>0</v>
      </c>
    </row>
    <row r="131" spans="1:11" s="285" customFormat="1" hidden="1" x14ac:dyDescent="0.25">
      <c r="A131" s="118">
        <v>30</v>
      </c>
      <c r="B131" s="151">
        <v>5815</v>
      </c>
      <c r="C131" s="94" t="s">
        <v>99</v>
      </c>
      <c r="D131" s="85"/>
      <c r="E131" s="85"/>
      <c r="F131" s="85">
        <v>0</v>
      </c>
      <c r="G131" s="428"/>
      <c r="H131" s="85"/>
      <c r="I131" s="428"/>
      <c r="J131" s="428">
        <f t="shared" si="7"/>
        <v>0</v>
      </c>
      <c r="K131" s="428">
        <f t="shared" si="8"/>
        <v>0</v>
      </c>
    </row>
    <row r="132" spans="1:11" s="285" customFormat="1" hidden="1" x14ac:dyDescent="0.25">
      <c r="A132" s="118">
        <v>30</v>
      </c>
      <c r="B132" s="151">
        <v>5820</v>
      </c>
      <c r="C132" s="94" t="s">
        <v>114</v>
      </c>
      <c r="D132" s="86"/>
      <c r="E132" s="85"/>
      <c r="F132" s="85">
        <v>0</v>
      </c>
      <c r="G132" s="428"/>
      <c r="H132" s="85"/>
      <c r="I132" s="428"/>
      <c r="J132" s="428">
        <f t="shared" si="7"/>
        <v>0</v>
      </c>
      <c r="K132" s="428">
        <f t="shared" si="8"/>
        <v>0</v>
      </c>
    </row>
    <row r="133" spans="1:11" s="285" customFormat="1" x14ac:dyDescent="0.25">
      <c r="A133" s="118">
        <v>30</v>
      </c>
      <c r="B133" s="151">
        <v>5825</v>
      </c>
      <c r="C133" s="94" t="s">
        <v>317</v>
      </c>
      <c r="D133" s="86">
        <v>60480</v>
      </c>
      <c r="E133" s="85">
        <v>98400</v>
      </c>
      <c r="F133" s="85">
        <v>98400</v>
      </c>
      <c r="G133" s="428">
        <v>98400</v>
      </c>
      <c r="H133" s="85">
        <v>98400</v>
      </c>
      <c r="I133" s="428">
        <v>98400</v>
      </c>
      <c r="J133" s="428">
        <f t="shared" si="7"/>
        <v>103812</v>
      </c>
      <c r="K133" s="428">
        <f t="shared" si="8"/>
        <v>109314.03599999999</v>
      </c>
    </row>
    <row r="134" spans="1:11" s="285" customFormat="1" hidden="1" x14ac:dyDescent="0.25">
      <c r="A134" s="118">
        <v>30</v>
      </c>
      <c r="B134" s="151">
        <v>5830</v>
      </c>
      <c r="C134" s="94" t="s">
        <v>318</v>
      </c>
      <c r="D134" s="86"/>
      <c r="E134" s="85"/>
      <c r="F134" s="85">
        <v>0</v>
      </c>
      <c r="G134" s="428"/>
      <c r="H134" s="85"/>
      <c r="I134" s="428"/>
      <c r="J134" s="85"/>
      <c r="K134" s="85"/>
    </row>
    <row r="135" spans="1:11" s="285" customFormat="1" hidden="1" x14ac:dyDescent="0.25">
      <c r="A135" s="118">
        <v>30</v>
      </c>
      <c r="B135" s="151">
        <v>5835</v>
      </c>
      <c r="C135" s="94" t="s">
        <v>319</v>
      </c>
      <c r="D135" s="86"/>
      <c r="E135" s="85"/>
      <c r="F135" s="85">
        <f t="shared" ref="F135:F147" si="10">0/8*12</f>
        <v>0</v>
      </c>
      <c r="G135" s="428"/>
      <c r="H135" s="85"/>
      <c r="I135" s="428"/>
      <c r="J135" s="85"/>
      <c r="K135" s="85"/>
    </row>
    <row r="136" spans="1:11" s="285" customFormat="1" hidden="1" x14ac:dyDescent="0.25">
      <c r="A136" s="118">
        <v>30</v>
      </c>
      <c r="B136" s="151">
        <v>5840</v>
      </c>
      <c r="C136" s="94" t="s">
        <v>332</v>
      </c>
      <c r="D136" s="115"/>
      <c r="E136" s="85"/>
      <c r="F136" s="85">
        <f t="shared" si="10"/>
        <v>0</v>
      </c>
      <c r="G136" s="428"/>
      <c r="H136" s="85"/>
      <c r="I136" s="428"/>
      <c r="J136" s="85"/>
      <c r="K136" s="85"/>
    </row>
    <row r="137" spans="1:11" s="285" customFormat="1" hidden="1" x14ac:dyDescent="0.25">
      <c r="A137" s="118">
        <v>30</v>
      </c>
      <c r="B137" s="151">
        <v>5845</v>
      </c>
      <c r="C137" s="94" t="s">
        <v>320</v>
      </c>
      <c r="D137" s="86"/>
      <c r="E137" s="85"/>
      <c r="F137" s="85">
        <f t="shared" si="10"/>
        <v>0</v>
      </c>
      <c r="G137" s="428"/>
      <c r="H137" s="85"/>
      <c r="I137" s="428"/>
      <c r="J137" s="85"/>
      <c r="K137" s="85"/>
    </row>
    <row r="138" spans="1:11" s="285" customFormat="1" hidden="1" x14ac:dyDescent="0.25">
      <c r="A138" s="118">
        <v>30</v>
      </c>
      <c r="B138" s="151">
        <v>5855</v>
      </c>
      <c r="C138" s="94" t="s">
        <v>321</v>
      </c>
      <c r="D138" s="85"/>
      <c r="E138" s="85"/>
      <c r="F138" s="85">
        <f t="shared" si="10"/>
        <v>0</v>
      </c>
      <c r="G138" s="428"/>
      <c r="H138" s="85"/>
      <c r="I138" s="428"/>
      <c r="J138" s="85"/>
      <c r="K138" s="85"/>
    </row>
    <row r="139" spans="1:11" s="285" customFormat="1" hidden="1" x14ac:dyDescent="0.25">
      <c r="A139" s="118">
        <v>30</v>
      </c>
      <c r="B139" s="151">
        <v>5860</v>
      </c>
      <c r="C139" s="94" t="s">
        <v>322</v>
      </c>
      <c r="D139" s="85"/>
      <c r="E139" s="85"/>
      <c r="F139" s="85">
        <f t="shared" si="10"/>
        <v>0</v>
      </c>
      <c r="G139" s="428"/>
      <c r="H139" s="85"/>
      <c r="I139" s="428"/>
      <c r="J139" s="85"/>
      <c r="K139" s="85"/>
    </row>
    <row r="140" spans="1:11" s="285" customFormat="1" hidden="1" x14ac:dyDescent="0.25">
      <c r="A140" s="118">
        <v>30</v>
      </c>
      <c r="B140" s="151">
        <v>5865</v>
      </c>
      <c r="C140" s="94" t="s">
        <v>323</v>
      </c>
      <c r="D140" s="85"/>
      <c r="E140" s="85"/>
      <c r="F140" s="85">
        <f t="shared" si="10"/>
        <v>0</v>
      </c>
      <c r="G140" s="428"/>
      <c r="H140" s="85"/>
      <c r="I140" s="428"/>
      <c r="J140" s="85"/>
      <c r="K140" s="85"/>
    </row>
    <row r="141" spans="1:11" s="285" customFormat="1" hidden="1" x14ac:dyDescent="0.25">
      <c r="A141" s="118">
        <v>30</v>
      </c>
      <c r="B141" s="151">
        <v>5870</v>
      </c>
      <c r="C141" s="94" t="s">
        <v>324</v>
      </c>
      <c r="D141" s="85"/>
      <c r="E141" s="85"/>
      <c r="F141" s="85">
        <f t="shared" si="10"/>
        <v>0</v>
      </c>
      <c r="G141" s="428"/>
      <c r="H141" s="85"/>
      <c r="I141" s="428"/>
      <c r="J141" s="85"/>
      <c r="K141" s="85"/>
    </row>
    <row r="142" spans="1:11" s="285" customFormat="1" hidden="1" x14ac:dyDescent="0.25">
      <c r="A142" s="118">
        <v>30</v>
      </c>
      <c r="B142" s="151">
        <v>5875</v>
      </c>
      <c r="C142" s="94" t="s">
        <v>325</v>
      </c>
      <c r="D142" s="85"/>
      <c r="E142" s="85"/>
      <c r="F142" s="85">
        <f t="shared" si="10"/>
        <v>0</v>
      </c>
      <c r="G142" s="428"/>
      <c r="H142" s="85"/>
      <c r="I142" s="428"/>
      <c r="J142" s="85"/>
      <c r="K142" s="85"/>
    </row>
    <row r="143" spans="1:11" s="285" customFormat="1" hidden="1" x14ac:dyDescent="0.25">
      <c r="A143" s="118">
        <v>30</v>
      </c>
      <c r="B143" s="151">
        <v>5880</v>
      </c>
      <c r="C143" s="94" t="s">
        <v>326</v>
      </c>
      <c r="D143" s="85"/>
      <c r="E143" s="85"/>
      <c r="F143" s="85">
        <f t="shared" si="10"/>
        <v>0</v>
      </c>
      <c r="G143" s="428"/>
      <c r="H143" s="85"/>
      <c r="I143" s="428"/>
      <c r="J143" s="85"/>
      <c r="K143" s="85"/>
    </row>
    <row r="144" spans="1:11" s="285" customFormat="1" hidden="1" x14ac:dyDescent="0.25">
      <c r="A144" s="118">
        <v>30</v>
      </c>
      <c r="B144" s="151">
        <v>5885</v>
      </c>
      <c r="C144" s="94" t="s">
        <v>331</v>
      </c>
      <c r="D144" s="85"/>
      <c r="E144" s="85"/>
      <c r="F144" s="85">
        <f t="shared" si="10"/>
        <v>0</v>
      </c>
      <c r="G144" s="428"/>
      <c r="H144" s="85"/>
      <c r="I144" s="428"/>
      <c r="J144" s="85"/>
      <c r="K144" s="85"/>
    </row>
    <row r="145" spans="1:11" s="285" customFormat="1" hidden="1" x14ac:dyDescent="0.25">
      <c r="A145" s="118">
        <v>30</v>
      </c>
      <c r="B145" s="151">
        <v>5890</v>
      </c>
      <c r="C145" s="94" t="s">
        <v>327</v>
      </c>
      <c r="D145" s="85"/>
      <c r="E145" s="85"/>
      <c r="F145" s="85">
        <f t="shared" si="10"/>
        <v>0</v>
      </c>
      <c r="G145" s="428"/>
      <c r="H145" s="85"/>
      <c r="I145" s="428"/>
      <c r="J145" s="85"/>
      <c r="K145" s="85"/>
    </row>
    <row r="146" spans="1:11" s="285" customFormat="1" hidden="1" x14ac:dyDescent="0.25">
      <c r="A146" s="118">
        <v>30</v>
      </c>
      <c r="B146" s="151">
        <v>5895</v>
      </c>
      <c r="C146" s="94" t="s">
        <v>328</v>
      </c>
      <c r="D146" s="85"/>
      <c r="E146" s="85"/>
      <c r="F146" s="85">
        <f t="shared" si="10"/>
        <v>0</v>
      </c>
      <c r="G146" s="428"/>
      <c r="H146" s="85"/>
      <c r="I146" s="428"/>
      <c r="J146" s="85"/>
      <c r="K146" s="85"/>
    </row>
    <row r="147" spans="1:11" s="285" customFormat="1" hidden="1" x14ac:dyDescent="0.25">
      <c r="A147" s="118">
        <v>30</v>
      </c>
      <c r="B147" s="151">
        <v>5910</v>
      </c>
      <c r="C147" s="94" t="s">
        <v>330</v>
      </c>
      <c r="D147" s="85"/>
      <c r="E147" s="85"/>
      <c r="F147" s="85">
        <f t="shared" si="10"/>
        <v>0</v>
      </c>
      <c r="G147" s="428"/>
      <c r="H147" s="85"/>
      <c r="I147" s="428"/>
      <c r="J147" s="85"/>
      <c r="K147" s="85"/>
    </row>
    <row r="148" spans="1:11" s="285" customFormat="1" x14ac:dyDescent="0.25">
      <c r="A148" s="344"/>
      <c r="B148" s="151"/>
      <c r="C148" s="94"/>
      <c r="D148" s="429">
        <f t="shared" ref="D148:K148" si="11">SUM(D72:D147)</f>
        <v>207314</v>
      </c>
      <c r="E148" s="89">
        <f t="shared" si="11"/>
        <v>285521.2</v>
      </c>
      <c r="F148" s="89">
        <f t="shared" si="11"/>
        <v>225521.2</v>
      </c>
      <c r="G148" s="429">
        <f t="shared" si="11"/>
        <v>225521.2</v>
      </c>
      <c r="H148" s="89">
        <f t="shared" si="11"/>
        <v>513150</v>
      </c>
      <c r="I148" s="429">
        <f t="shared" si="11"/>
        <v>428437</v>
      </c>
      <c r="J148" s="429">
        <f t="shared" si="11"/>
        <v>452001.03499999997</v>
      </c>
      <c r="K148" s="429">
        <f t="shared" si="11"/>
        <v>475957.08985499991</v>
      </c>
    </row>
    <row r="149" spans="1:11" s="285" customFormat="1" hidden="1" x14ac:dyDescent="0.25">
      <c r="A149" s="344"/>
      <c r="B149" s="151"/>
      <c r="C149" s="93" t="s">
        <v>187</v>
      </c>
      <c r="D149" s="85"/>
      <c r="E149" s="108"/>
      <c r="F149" s="108"/>
      <c r="G149" s="425"/>
      <c r="H149" s="108"/>
      <c r="I149" s="425"/>
      <c r="J149" s="108"/>
      <c r="K149" s="108"/>
    </row>
    <row r="150" spans="1:11" s="285" customFormat="1" hidden="1" x14ac:dyDescent="0.25">
      <c r="A150" s="118">
        <v>30</v>
      </c>
      <c r="B150" s="151">
        <v>6005</v>
      </c>
      <c r="C150" s="94" t="s">
        <v>188</v>
      </c>
      <c r="D150" s="85"/>
      <c r="E150" s="108"/>
      <c r="F150" s="85">
        <f>0/8*12</f>
        <v>0</v>
      </c>
      <c r="G150" s="428"/>
      <c r="H150" s="85"/>
      <c r="I150" s="428"/>
      <c r="J150" s="85"/>
      <c r="K150" s="108"/>
    </row>
    <row r="151" spans="1:11" s="285" customFormat="1" hidden="1" x14ac:dyDescent="0.25">
      <c r="A151" s="344"/>
      <c r="B151" s="151"/>
      <c r="C151" s="94"/>
      <c r="D151" s="89"/>
      <c r="E151" s="89">
        <f>SUM(E150)</f>
        <v>0</v>
      </c>
      <c r="F151" s="89">
        <f>SUM(F150)</f>
        <v>0</v>
      </c>
      <c r="G151" s="429"/>
      <c r="H151" s="89"/>
      <c r="I151" s="429"/>
      <c r="J151" s="89"/>
      <c r="K151" s="89"/>
    </row>
    <row r="152" spans="1:11" s="285" customFormat="1" x14ac:dyDescent="0.25">
      <c r="A152" s="344"/>
      <c r="B152" s="151"/>
      <c r="C152" s="93" t="s">
        <v>64</v>
      </c>
      <c r="D152" s="88"/>
      <c r="E152" s="113"/>
      <c r="F152" s="113"/>
      <c r="G152" s="113"/>
      <c r="H152" s="113"/>
      <c r="I152" s="113"/>
      <c r="J152" s="113"/>
      <c r="K152" s="113"/>
    </row>
    <row r="153" spans="1:11" s="285" customFormat="1" x14ac:dyDescent="0.25">
      <c r="A153" s="118">
        <v>30</v>
      </c>
      <c r="B153" s="151">
        <v>6105</v>
      </c>
      <c r="C153" s="94" t="s">
        <v>336</v>
      </c>
      <c r="D153" s="85"/>
      <c r="E153" s="108"/>
      <c r="F153" s="85">
        <f>0/8*12</f>
        <v>0</v>
      </c>
      <c r="G153" s="428"/>
      <c r="H153" s="85"/>
      <c r="I153" s="428"/>
      <c r="J153" s="85"/>
      <c r="K153" s="108"/>
    </row>
    <row r="154" spans="1:11" s="285" customFormat="1" x14ac:dyDescent="0.25">
      <c r="A154" s="118">
        <v>30</v>
      </c>
      <c r="B154" s="151">
        <v>6110</v>
      </c>
      <c r="C154" s="94" t="s">
        <v>337</v>
      </c>
      <c r="D154" s="85">
        <v>0</v>
      </c>
      <c r="E154" s="108">
        <v>1231113</v>
      </c>
      <c r="F154" s="85">
        <v>1231113</v>
      </c>
      <c r="G154" s="428">
        <v>1231114</v>
      </c>
      <c r="H154" s="85"/>
      <c r="I154" s="428"/>
      <c r="J154" s="85"/>
      <c r="K154" s="108"/>
    </row>
    <row r="155" spans="1:11" s="285" customFormat="1" x14ac:dyDescent="0.25">
      <c r="A155" s="118">
        <v>30</v>
      </c>
      <c r="B155" s="151">
        <v>6115</v>
      </c>
      <c r="C155" s="94" t="s">
        <v>60</v>
      </c>
      <c r="D155" s="85"/>
      <c r="E155" s="108"/>
      <c r="F155" s="85"/>
      <c r="G155" s="428"/>
      <c r="H155" s="85">
        <v>2455000</v>
      </c>
      <c r="I155" s="428"/>
      <c r="J155" s="85"/>
      <c r="K155" s="108"/>
    </row>
    <row r="156" spans="1:11" s="285" customFormat="1" x14ac:dyDescent="0.25">
      <c r="A156" s="344"/>
      <c r="B156" s="151"/>
      <c r="C156" s="94"/>
      <c r="D156" s="89">
        <v>0</v>
      </c>
      <c r="E156" s="89">
        <f>SUM(E153:E155)</f>
        <v>1231113</v>
      </c>
      <c r="F156" s="89">
        <f>SUM(F153:F155)</f>
        <v>1231113</v>
      </c>
      <c r="G156" s="429">
        <v>1231114</v>
      </c>
      <c r="H156" s="89">
        <f>SUM(H153:H155)</f>
        <v>2455000</v>
      </c>
      <c r="I156" s="429">
        <f>SUM(I153:I155)</f>
        <v>0</v>
      </c>
      <c r="J156" s="429">
        <f>SUM(J153:J155)</f>
        <v>0</v>
      </c>
      <c r="K156" s="429">
        <f>SUM(K153:K155)</f>
        <v>0</v>
      </c>
    </row>
    <row r="157" spans="1:11" s="285" customFormat="1" hidden="1" x14ac:dyDescent="0.25">
      <c r="A157" s="344"/>
      <c r="B157" s="151"/>
      <c r="C157" s="184" t="s">
        <v>65</v>
      </c>
      <c r="D157" s="88"/>
      <c r="E157" s="113"/>
      <c r="F157" s="113"/>
      <c r="G157" s="113"/>
      <c r="H157" s="113"/>
      <c r="I157" s="113"/>
      <c r="J157" s="113"/>
      <c r="K157" s="113"/>
    </row>
    <row r="158" spans="1:11" s="285" customFormat="1" hidden="1" x14ac:dyDescent="0.25">
      <c r="A158" s="118">
        <v>30</v>
      </c>
      <c r="B158" s="151">
        <v>6205</v>
      </c>
      <c r="C158" s="94" t="s">
        <v>338</v>
      </c>
      <c r="D158" s="85">
        <v>0</v>
      </c>
      <c r="E158" s="108"/>
      <c r="F158" s="85">
        <f>0/8*12</f>
        <v>0</v>
      </c>
      <c r="G158" s="428">
        <v>0</v>
      </c>
      <c r="H158" s="85"/>
      <c r="I158" s="428"/>
      <c r="J158" s="428"/>
      <c r="K158" s="428"/>
    </row>
    <row r="159" spans="1:11" s="285" customFormat="1" hidden="1" x14ac:dyDescent="0.25">
      <c r="A159" s="118">
        <v>30</v>
      </c>
      <c r="B159" s="151">
        <v>6210</v>
      </c>
      <c r="C159" s="94" t="s">
        <v>339</v>
      </c>
      <c r="D159" s="85">
        <v>0</v>
      </c>
      <c r="E159" s="85"/>
      <c r="F159" s="85">
        <f>0/8*12</f>
        <v>0</v>
      </c>
      <c r="G159" s="428">
        <v>0</v>
      </c>
      <c r="H159" s="85"/>
      <c r="I159" s="428"/>
      <c r="J159" s="428"/>
      <c r="K159" s="428"/>
    </row>
    <row r="160" spans="1:11" s="285" customFormat="1" hidden="1" x14ac:dyDescent="0.25">
      <c r="A160" s="344"/>
      <c r="B160" s="346"/>
      <c r="C160" s="347"/>
      <c r="D160" s="116">
        <v>0</v>
      </c>
      <c r="E160" s="116">
        <f>SUM(E158:E159)</f>
        <v>0</v>
      </c>
      <c r="F160" s="116">
        <f>SUM(F158:F159)</f>
        <v>0</v>
      </c>
      <c r="G160" s="441">
        <v>0</v>
      </c>
      <c r="H160" s="116"/>
      <c r="I160" s="441"/>
      <c r="J160" s="441"/>
      <c r="K160" s="441"/>
    </row>
    <row r="161" spans="1:11" s="285" customFormat="1" x14ac:dyDescent="0.25">
      <c r="A161" s="344"/>
      <c r="B161" s="346"/>
      <c r="C161" s="93" t="s">
        <v>189</v>
      </c>
      <c r="D161" s="116">
        <v>688521.8</v>
      </c>
      <c r="E161" s="116">
        <f>E160+E156+E151+E148+E70+E66+E63+E59+E38+E35+E32+E29+E25+E18</f>
        <v>2293034.2000000002</v>
      </c>
      <c r="F161" s="116">
        <f>F160+F156+F151+F148+F70+F66+F63+F59+F38+F35+F32+F29+F25+F18</f>
        <v>2293034.2000000002</v>
      </c>
      <c r="G161" s="441">
        <v>2293035.2000000002</v>
      </c>
      <c r="H161" s="116">
        <f>H160+H156+H151+H148+H70+H66+H63+H59+H38+H35+H32+H29+H25+H18</f>
        <v>3802585.2</v>
      </c>
      <c r="I161" s="441">
        <f>I160+I156+I151+I148+I70+I66+I63+I59+I38+I35+I32+I29+I25+I18</f>
        <v>1344129.4416</v>
      </c>
      <c r="J161" s="441">
        <f>J160+J156+J151+J148+J70+J66+J63+J59+J38+J35+J32+J29+J25+J18</f>
        <v>1418056.5608879998</v>
      </c>
      <c r="K161" s="441">
        <f>K160+K156+K151+K148+K70+K66+K63+K59+K38+K35+K32+K29+K25+K18</f>
        <v>1493213.5586150638</v>
      </c>
    </row>
    <row r="162" spans="1:11" s="285" customFormat="1" hidden="1" x14ac:dyDescent="0.25">
      <c r="A162" s="344"/>
      <c r="B162" s="151"/>
      <c r="C162" s="93" t="s">
        <v>258</v>
      </c>
      <c r="D162" s="117"/>
      <c r="E162" s="117"/>
      <c r="F162" s="117"/>
      <c r="G162" s="442"/>
      <c r="H162" s="117"/>
      <c r="I162" s="442"/>
      <c r="J162" s="442"/>
      <c r="K162" s="442"/>
    </row>
    <row r="163" spans="1:11" s="285" customFormat="1" hidden="1" x14ac:dyDescent="0.25">
      <c r="A163" s="118">
        <v>30</v>
      </c>
      <c r="B163" s="151">
        <v>6305</v>
      </c>
      <c r="C163" s="94" t="s">
        <v>190</v>
      </c>
      <c r="D163" s="85">
        <v>0</v>
      </c>
      <c r="E163" s="85"/>
      <c r="F163" s="85">
        <f>0/8*12</f>
        <v>0</v>
      </c>
      <c r="G163" s="428">
        <v>0</v>
      </c>
      <c r="H163" s="85"/>
      <c r="I163" s="428"/>
      <c r="J163" s="428"/>
      <c r="K163" s="428"/>
    </row>
    <row r="164" spans="1:11" s="285" customFormat="1" hidden="1" x14ac:dyDescent="0.25">
      <c r="A164" s="344"/>
      <c r="B164" s="151"/>
      <c r="C164" s="94"/>
      <c r="D164" s="116">
        <v>0</v>
      </c>
      <c r="E164" s="116">
        <f>E163</f>
        <v>0</v>
      </c>
      <c r="F164" s="116">
        <f>F163</f>
        <v>0</v>
      </c>
      <c r="G164" s="441">
        <v>0</v>
      </c>
      <c r="H164" s="116"/>
      <c r="I164" s="441"/>
      <c r="J164" s="441"/>
      <c r="K164" s="441"/>
    </row>
    <row r="165" spans="1:11" s="285" customFormat="1" x14ac:dyDescent="0.25">
      <c r="A165" s="348"/>
      <c r="B165" s="152"/>
      <c r="C165" s="119" t="s">
        <v>191</v>
      </c>
      <c r="D165" s="448">
        <f t="shared" ref="D165:K165" si="12">SUM(D161+D164)</f>
        <v>688521.8</v>
      </c>
      <c r="E165" s="160">
        <f t="shared" si="12"/>
        <v>2293034.2000000002</v>
      </c>
      <c r="F165" s="160">
        <f t="shared" si="12"/>
        <v>2293034.2000000002</v>
      </c>
      <c r="G165" s="448">
        <f t="shared" si="12"/>
        <v>2293035.2000000002</v>
      </c>
      <c r="H165" s="160">
        <f t="shared" si="12"/>
        <v>3802585.2</v>
      </c>
      <c r="I165" s="448">
        <f t="shared" si="12"/>
        <v>1344129.4416</v>
      </c>
      <c r="J165" s="448">
        <f t="shared" si="12"/>
        <v>1418056.5608879998</v>
      </c>
      <c r="K165" s="448">
        <f t="shared" si="12"/>
        <v>1493213.5586150638</v>
      </c>
    </row>
    <row r="166" spans="1:11" s="285" customFormat="1" x14ac:dyDescent="0.25">
      <c r="A166" s="344"/>
      <c r="B166" s="130"/>
      <c r="C166" s="115"/>
      <c r="D166" s="111"/>
      <c r="E166" s="120"/>
      <c r="F166" s="120"/>
      <c r="G166" s="120"/>
      <c r="H166" s="120"/>
      <c r="I166" s="120"/>
      <c r="J166" s="120"/>
      <c r="K166" s="120"/>
    </row>
    <row r="167" spans="1:11" s="285" customFormat="1" x14ac:dyDescent="0.25">
      <c r="A167" s="344"/>
      <c r="B167" s="130"/>
      <c r="C167" s="115"/>
      <c r="D167" s="111"/>
      <c r="E167" s="111"/>
      <c r="F167" s="111"/>
      <c r="G167" s="111"/>
      <c r="H167" s="111"/>
      <c r="I167" s="111"/>
      <c r="J167" s="111"/>
      <c r="K167" s="111"/>
    </row>
    <row r="168" spans="1:11" s="285" customFormat="1" x14ac:dyDescent="0.25">
      <c r="A168" s="349"/>
      <c r="B168" s="546" t="s">
        <v>416</v>
      </c>
      <c r="C168" s="546"/>
      <c r="D168" s="547"/>
      <c r="E168" s="338"/>
      <c r="F168" s="338"/>
      <c r="G168" s="563"/>
      <c r="H168" s="421"/>
      <c r="I168" s="581"/>
      <c r="J168" s="338"/>
      <c r="K168" s="338"/>
    </row>
    <row r="169" spans="1:11" s="285" customFormat="1" x14ac:dyDescent="0.25">
      <c r="A169" s="944" t="s">
        <v>21</v>
      </c>
      <c r="B169" s="945"/>
      <c r="C169" s="150" t="s">
        <v>22</v>
      </c>
      <c r="D169" s="103" t="s">
        <v>880</v>
      </c>
      <c r="E169" s="104" t="s">
        <v>24</v>
      </c>
      <c r="F169" s="103" t="s">
        <v>535</v>
      </c>
      <c r="G169" s="103" t="s">
        <v>413</v>
      </c>
      <c r="H169" s="104" t="s">
        <v>24</v>
      </c>
      <c r="I169" s="583" t="s">
        <v>24</v>
      </c>
      <c r="J169" s="583" t="s">
        <v>24</v>
      </c>
      <c r="K169" s="583" t="s">
        <v>24</v>
      </c>
    </row>
    <row r="170" spans="1:11" s="285" customFormat="1" x14ac:dyDescent="0.25">
      <c r="A170" s="946"/>
      <c r="B170" s="947"/>
      <c r="C170" s="106"/>
      <c r="D170" s="333" t="s">
        <v>257</v>
      </c>
      <c r="E170" s="107" t="s">
        <v>382</v>
      </c>
      <c r="F170" s="107" t="s">
        <v>382</v>
      </c>
      <c r="G170" s="107" t="s">
        <v>382</v>
      </c>
      <c r="H170" s="107" t="s">
        <v>407</v>
      </c>
      <c r="I170" s="586" t="s">
        <v>414</v>
      </c>
      <c r="J170" s="586" t="s">
        <v>530</v>
      </c>
      <c r="K170" s="586" t="s">
        <v>886</v>
      </c>
    </row>
    <row r="171" spans="1:11" s="285" customFormat="1" hidden="1" x14ac:dyDescent="0.25">
      <c r="A171" s="350"/>
      <c r="B171" s="153"/>
      <c r="C171" s="93" t="s">
        <v>98</v>
      </c>
      <c r="D171" s="122"/>
      <c r="E171" s="98"/>
      <c r="F171" s="98"/>
      <c r="G171" s="435"/>
      <c r="H171" s="98"/>
      <c r="I171" s="435"/>
      <c r="J171" s="98"/>
      <c r="K171" s="98"/>
    </row>
    <row r="172" spans="1:11" s="285" customFormat="1" hidden="1" x14ac:dyDescent="0.25">
      <c r="A172" s="118">
        <v>30</v>
      </c>
      <c r="B172" s="151">
        <v>1237</v>
      </c>
      <c r="C172" s="94" t="s">
        <v>99</v>
      </c>
      <c r="D172" s="122"/>
      <c r="E172" s="108"/>
      <c r="F172" s="98">
        <f>E172/8*12</f>
        <v>0</v>
      </c>
      <c r="G172" s="435"/>
      <c r="H172" s="98"/>
      <c r="I172" s="435"/>
      <c r="J172" s="98"/>
      <c r="K172" s="108">
        <f>F172*(1+[1]INPUT!C15)</f>
        <v>0</v>
      </c>
    </row>
    <row r="173" spans="1:11" s="285" customFormat="1" hidden="1" x14ac:dyDescent="0.25">
      <c r="A173" s="118">
        <v>30</v>
      </c>
      <c r="B173" s="151">
        <v>5725</v>
      </c>
      <c r="C173" s="94" t="s">
        <v>400</v>
      </c>
      <c r="D173" s="85"/>
      <c r="E173" s="85">
        <v>0</v>
      </c>
      <c r="F173" s="85">
        <f>(0/8*12)*-1</f>
        <v>0</v>
      </c>
      <c r="G173" s="428"/>
      <c r="H173" s="85"/>
      <c r="I173" s="428"/>
      <c r="J173" s="85"/>
      <c r="K173" s="85">
        <f>F173*(1+[1]INPUT!C$10)</f>
        <v>0</v>
      </c>
    </row>
    <row r="174" spans="1:11" s="285" customFormat="1" hidden="1" x14ac:dyDescent="0.25">
      <c r="A174" s="344"/>
      <c r="B174" s="151"/>
      <c r="C174" s="94"/>
      <c r="D174" s="99"/>
      <c r="E174" s="99">
        <f>SUM(E172)</f>
        <v>0</v>
      </c>
      <c r="F174" s="99">
        <f>SUM(F172)</f>
        <v>0</v>
      </c>
      <c r="G174" s="436"/>
      <c r="H174" s="99"/>
      <c r="I174" s="436"/>
      <c r="J174" s="99"/>
      <c r="K174" s="99">
        <f>SUM(K172)</f>
        <v>0</v>
      </c>
    </row>
    <row r="175" spans="1:11" s="285" customFormat="1" x14ac:dyDescent="0.25">
      <c r="A175" s="344"/>
      <c r="B175" s="151"/>
      <c r="C175" s="93" t="s">
        <v>100</v>
      </c>
      <c r="D175" s="122"/>
      <c r="E175" s="98"/>
      <c r="F175" s="98"/>
      <c r="G175" s="435"/>
      <c r="H175" s="98"/>
      <c r="I175" s="435"/>
      <c r="J175" s="98"/>
      <c r="K175" s="98"/>
    </row>
    <row r="176" spans="1:11" s="285" customFormat="1" hidden="1" x14ac:dyDescent="0.25">
      <c r="A176" s="118">
        <v>30</v>
      </c>
      <c r="B176" s="151">
        <v>1147</v>
      </c>
      <c r="C176" s="94" t="s">
        <v>102</v>
      </c>
      <c r="D176" s="122"/>
      <c r="E176" s="98"/>
      <c r="F176" s="98"/>
      <c r="G176" s="435"/>
      <c r="H176" s="98"/>
      <c r="I176" s="435"/>
      <c r="J176" s="98"/>
      <c r="K176" s="98">
        <f>F176*(1+[1]INPUT!C18)</f>
        <v>0</v>
      </c>
    </row>
    <row r="177" spans="1:11" s="285" customFormat="1" x14ac:dyDescent="0.25">
      <c r="A177" s="118">
        <v>30</v>
      </c>
      <c r="B177" s="151">
        <v>1202</v>
      </c>
      <c r="C177" s="94" t="s">
        <v>343</v>
      </c>
      <c r="D177" s="122">
        <v>73236</v>
      </c>
      <c r="E177" s="98">
        <v>77630.16</v>
      </c>
      <c r="F177" s="85">
        <v>77630.16</v>
      </c>
      <c r="G177" s="86">
        <v>77630.16</v>
      </c>
      <c r="H177" s="86">
        <f t="shared" ref="H177:H200" si="13">(F177*0.1)+F177</f>
        <v>85393.176000000007</v>
      </c>
      <c r="I177" s="86">
        <f>79105*1.5*1.058</f>
        <v>125539.63500000001</v>
      </c>
      <c r="J177" s="86">
        <f>+I177*1.055</f>
        <v>132444.31492500001</v>
      </c>
      <c r="K177" s="86">
        <f>+J177*1.053</f>
        <v>139463.86361602502</v>
      </c>
    </row>
    <row r="178" spans="1:11" s="285" customFormat="1" hidden="1" x14ac:dyDescent="0.25">
      <c r="A178" s="118">
        <v>30</v>
      </c>
      <c r="B178" s="151">
        <v>1207</v>
      </c>
      <c r="C178" s="94" t="s">
        <v>104</v>
      </c>
      <c r="D178" s="122"/>
      <c r="E178" s="98"/>
      <c r="F178" s="85">
        <v>0</v>
      </c>
      <c r="G178" s="86">
        <v>0</v>
      </c>
      <c r="H178" s="86">
        <f t="shared" si="13"/>
        <v>0</v>
      </c>
      <c r="I178" s="86"/>
      <c r="J178" s="86">
        <f t="shared" ref="J178:J205" si="14">+I178*1.055</f>
        <v>0</v>
      </c>
      <c r="K178" s="86">
        <f t="shared" ref="K178:K205" si="15">+J178*1.053</f>
        <v>0</v>
      </c>
    </row>
    <row r="179" spans="1:11" s="285" customFormat="1" hidden="1" x14ac:dyDescent="0.25">
      <c r="A179" s="118">
        <v>30</v>
      </c>
      <c r="B179" s="151">
        <v>1153</v>
      </c>
      <c r="C179" s="94" t="s">
        <v>115</v>
      </c>
      <c r="D179" s="122"/>
      <c r="E179" s="98"/>
      <c r="F179" s="85">
        <v>0</v>
      </c>
      <c r="G179" s="86">
        <v>0</v>
      </c>
      <c r="H179" s="86">
        <f t="shared" si="13"/>
        <v>0</v>
      </c>
      <c r="I179" s="86"/>
      <c r="J179" s="86">
        <f t="shared" si="14"/>
        <v>0</v>
      </c>
      <c r="K179" s="86">
        <f t="shared" si="15"/>
        <v>0</v>
      </c>
    </row>
    <row r="180" spans="1:11" s="285" customFormat="1" hidden="1" x14ac:dyDescent="0.25">
      <c r="A180" s="118">
        <v>30</v>
      </c>
      <c r="B180" s="151">
        <v>1143</v>
      </c>
      <c r="C180" s="94" t="s">
        <v>109</v>
      </c>
      <c r="D180" s="122"/>
      <c r="E180" s="98"/>
      <c r="F180" s="85">
        <v>0</v>
      </c>
      <c r="G180" s="86">
        <v>0</v>
      </c>
      <c r="H180" s="86">
        <f t="shared" si="13"/>
        <v>0</v>
      </c>
      <c r="I180" s="86"/>
      <c r="J180" s="86">
        <f t="shared" si="14"/>
        <v>0</v>
      </c>
      <c r="K180" s="86">
        <f t="shared" si="15"/>
        <v>0</v>
      </c>
    </row>
    <row r="181" spans="1:11" s="285" customFormat="1" x14ac:dyDescent="0.25">
      <c r="A181" s="118">
        <v>30</v>
      </c>
      <c r="B181" s="151">
        <v>5500</v>
      </c>
      <c r="C181" s="94" t="s">
        <v>266</v>
      </c>
      <c r="D181" s="85">
        <v>-10631</v>
      </c>
      <c r="E181" s="85">
        <v>-11226.336000000001</v>
      </c>
      <c r="F181" s="85">
        <v>-11226.336000000001</v>
      </c>
      <c r="G181" s="86">
        <v>-11226.336000000001</v>
      </c>
      <c r="H181" s="86">
        <f t="shared" si="13"/>
        <v>-12348.9696</v>
      </c>
      <c r="I181" s="86">
        <f>+H181*1.058</f>
        <v>-13065.209836800001</v>
      </c>
      <c r="J181" s="86">
        <f t="shared" si="14"/>
        <v>-13783.796377823999</v>
      </c>
      <c r="K181" s="86">
        <f t="shared" si="15"/>
        <v>-14514.337585848671</v>
      </c>
    </row>
    <row r="182" spans="1:11" s="285" customFormat="1" hidden="1" x14ac:dyDescent="0.25">
      <c r="A182" s="118">
        <v>30</v>
      </c>
      <c r="B182" s="151">
        <v>5705</v>
      </c>
      <c r="C182" s="94" t="s">
        <v>296</v>
      </c>
      <c r="D182" s="85"/>
      <c r="E182" s="85">
        <v>0</v>
      </c>
      <c r="F182" s="85">
        <v>0</v>
      </c>
      <c r="G182" s="86">
        <v>0</v>
      </c>
      <c r="H182" s="86">
        <f t="shared" si="13"/>
        <v>0</v>
      </c>
      <c r="I182" s="86">
        <f t="shared" ref="I182:I200" si="16">+H182*1.058</f>
        <v>0</v>
      </c>
      <c r="J182" s="86">
        <f t="shared" si="14"/>
        <v>0</v>
      </c>
      <c r="K182" s="86">
        <f t="shared" si="15"/>
        <v>0</v>
      </c>
    </row>
    <row r="183" spans="1:11" s="285" customFormat="1" hidden="1" x14ac:dyDescent="0.25">
      <c r="A183" s="118">
        <v>30</v>
      </c>
      <c r="B183" s="151">
        <v>1140</v>
      </c>
      <c r="C183" s="94" t="s">
        <v>113</v>
      </c>
      <c r="D183" s="122"/>
      <c r="E183" s="98">
        <v>0</v>
      </c>
      <c r="F183" s="85">
        <v>0</v>
      </c>
      <c r="G183" s="86">
        <v>0</v>
      </c>
      <c r="H183" s="86">
        <f t="shared" si="13"/>
        <v>0</v>
      </c>
      <c r="I183" s="86">
        <f t="shared" si="16"/>
        <v>0</v>
      </c>
      <c r="J183" s="86">
        <f t="shared" si="14"/>
        <v>0</v>
      </c>
      <c r="K183" s="86">
        <f t="shared" si="15"/>
        <v>0</v>
      </c>
    </row>
    <row r="184" spans="1:11" s="285" customFormat="1" hidden="1" x14ac:dyDescent="0.25">
      <c r="A184" s="118">
        <v>30</v>
      </c>
      <c r="B184" s="151">
        <v>1145</v>
      </c>
      <c r="C184" s="94" t="s">
        <v>132</v>
      </c>
      <c r="D184" s="122"/>
      <c r="E184" s="98">
        <v>0</v>
      </c>
      <c r="F184" s="85">
        <v>0</v>
      </c>
      <c r="G184" s="86">
        <v>0</v>
      </c>
      <c r="H184" s="86">
        <f t="shared" si="13"/>
        <v>0</v>
      </c>
      <c r="I184" s="86">
        <f t="shared" si="16"/>
        <v>0</v>
      </c>
      <c r="J184" s="86">
        <f t="shared" si="14"/>
        <v>0</v>
      </c>
      <c r="K184" s="86">
        <f t="shared" si="15"/>
        <v>0</v>
      </c>
    </row>
    <row r="185" spans="1:11" s="285" customFormat="1" hidden="1" x14ac:dyDescent="0.25">
      <c r="A185" s="118">
        <v>30</v>
      </c>
      <c r="B185" s="151">
        <v>1150</v>
      </c>
      <c r="C185" s="94" t="s">
        <v>120</v>
      </c>
      <c r="D185" s="122"/>
      <c r="E185" s="98">
        <v>0</v>
      </c>
      <c r="F185" s="85">
        <v>0</v>
      </c>
      <c r="G185" s="86">
        <v>0</v>
      </c>
      <c r="H185" s="86">
        <f t="shared" si="13"/>
        <v>0</v>
      </c>
      <c r="I185" s="86">
        <f t="shared" si="16"/>
        <v>0</v>
      </c>
      <c r="J185" s="86">
        <f t="shared" si="14"/>
        <v>0</v>
      </c>
      <c r="K185" s="86">
        <f t="shared" si="15"/>
        <v>0</v>
      </c>
    </row>
    <row r="186" spans="1:11" s="285" customFormat="1" hidden="1" x14ac:dyDescent="0.25">
      <c r="A186" s="118">
        <v>30</v>
      </c>
      <c r="B186" s="151">
        <v>1155</v>
      </c>
      <c r="C186" s="94" t="s">
        <v>116</v>
      </c>
      <c r="D186" s="122"/>
      <c r="E186" s="98">
        <v>0</v>
      </c>
      <c r="F186" s="85">
        <v>0</v>
      </c>
      <c r="G186" s="86">
        <v>0</v>
      </c>
      <c r="H186" s="86">
        <f t="shared" si="13"/>
        <v>0</v>
      </c>
      <c r="I186" s="86">
        <f t="shared" si="16"/>
        <v>0</v>
      </c>
      <c r="J186" s="86">
        <f t="shared" si="14"/>
        <v>0</v>
      </c>
      <c r="K186" s="86">
        <f t="shared" si="15"/>
        <v>0</v>
      </c>
    </row>
    <row r="187" spans="1:11" s="285" customFormat="1" hidden="1" x14ac:dyDescent="0.25">
      <c r="A187" s="118">
        <v>30</v>
      </c>
      <c r="B187" s="151">
        <v>1160</v>
      </c>
      <c r="C187" s="94" t="s">
        <v>101</v>
      </c>
      <c r="D187" s="122"/>
      <c r="E187" s="98">
        <v>0</v>
      </c>
      <c r="F187" s="85">
        <v>0</v>
      </c>
      <c r="G187" s="86">
        <v>0</v>
      </c>
      <c r="H187" s="86">
        <f t="shared" si="13"/>
        <v>0</v>
      </c>
      <c r="I187" s="86">
        <f t="shared" si="16"/>
        <v>0</v>
      </c>
      <c r="J187" s="86">
        <f t="shared" si="14"/>
        <v>0</v>
      </c>
      <c r="K187" s="86">
        <f t="shared" si="15"/>
        <v>0</v>
      </c>
    </row>
    <row r="188" spans="1:11" s="285" customFormat="1" hidden="1" x14ac:dyDescent="0.25">
      <c r="A188" s="118">
        <v>30</v>
      </c>
      <c r="B188" s="151">
        <v>1165</v>
      </c>
      <c r="C188" s="94" t="s">
        <v>114</v>
      </c>
      <c r="D188" s="122"/>
      <c r="E188" s="98">
        <v>0</v>
      </c>
      <c r="F188" s="85">
        <v>0</v>
      </c>
      <c r="G188" s="86">
        <v>0</v>
      </c>
      <c r="H188" s="86">
        <f t="shared" si="13"/>
        <v>0</v>
      </c>
      <c r="I188" s="86">
        <f t="shared" si="16"/>
        <v>0</v>
      </c>
      <c r="J188" s="86">
        <f t="shared" si="14"/>
        <v>0</v>
      </c>
      <c r="K188" s="86">
        <f t="shared" si="15"/>
        <v>0</v>
      </c>
    </row>
    <row r="189" spans="1:11" s="285" customFormat="1" hidden="1" x14ac:dyDescent="0.25">
      <c r="A189" s="118"/>
      <c r="B189" s="151"/>
      <c r="C189" s="94" t="s">
        <v>401</v>
      </c>
      <c r="D189" s="122"/>
      <c r="E189" s="98">
        <v>0</v>
      </c>
      <c r="F189" s="85">
        <v>0</v>
      </c>
      <c r="G189" s="86">
        <v>0</v>
      </c>
      <c r="H189" s="86">
        <f t="shared" si="13"/>
        <v>0</v>
      </c>
      <c r="I189" s="86">
        <f t="shared" si="16"/>
        <v>0</v>
      </c>
      <c r="J189" s="86">
        <f t="shared" si="14"/>
        <v>0</v>
      </c>
      <c r="K189" s="86">
        <f t="shared" si="15"/>
        <v>0</v>
      </c>
    </row>
    <row r="190" spans="1:11" s="285" customFormat="1" hidden="1" x14ac:dyDescent="0.25">
      <c r="A190" s="118">
        <v>30</v>
      </c>
      <c r="B190" s="151">
        <v>1180</v>
      </c>
      <c r="C190" s="94" t="s">
        <v>402</v>
      </c>
      <c r="D190" s="122"/>
      <c r="E190" s="98">
        <v>0</v>
      </c>
      <c r="F190" s="85">
        <v>0</v>
      </c>
      <c r="G190" s="86">
        <v>0</v>
      </c>
      <c r="H190" s="86">
        <f t="shared" si="13"/>
        <v>0</v>
      </c>
      <c r="I190" s="86">
        <f t="shared" si="16"/>
        <v>0</v>
      </c>
      <c r="J190" s="86">
        <f t="shared" si="14"/>
        <v>0</v>
      </c>
      <c r="K190" s="86">
        <f t="shared" si="15"/>
        <v>0</v>
      </c>
    </row>
    <row r="191" spans="1:11" s="285" customFormat="1" hidden="1" x14ac:dyDescent="0.25">
      <c r="A191" s="118">
        <v>30</v>
      </c>
      <c r="B191" s="151">
        <v>1185</v>
      </c>
      <c r="C191" s="94" t="s">
        <v>403</v>
      </c>
      <c r="D191" s="122"/>
      <c r="E191" s="98">
        <v>0</v>
      </c>
      <c r="F191" s="85">
        <v>0</v>
      </c>
      <c r="G191" s="86">
        <v>0</v>
      </c>
      <c r="H191" s="86">
        <f t="shared" si="13"/>
        <v>0</v>
      </c>
      <c r="I191" s="86">
        <f t="shared" si="16"/>
        <v>0</v>
      </c>
      <c r="J191" s="86">
        <f t="shared" si="14"/>
        <v>0</v>
      </c>
      <c r="K191" s="86">
        <f t="shared" si="15"/>
        <v>0</v>
      </c>
    </row>
    <row r="192" spans="1:11" s="285" customFormat="1" hidden="1" x14ac:dyDescent="0.25">
      <c r="A192" s="118">
        <v>30</v>
      </c>
      <c r="B192" s="151">
        <v>1190</v>
      </c>
      <c r="C192" s="94" t="s">
        <v>404</v>
      </c>
      <c r="D192" s="122"/>
      <c r="E192" s="98">
        <v>0</v>
      </c>
      <c r="F192" s="85">
        <v>0</v>
      </c>
      <c r="G192" s="86">
        <v>0</v>
      </c>
      <c r="H192" s="86">
        <f t="shared" si="13"/>
        <v>0</v>
      </c>
      <c r="I192" s="86">
        <f t="shared" si="16"/>
        <v>0</v>
      </c>
      <c r="J192" s="86">
        <f t="shared" si="14"/>
        <v>0</v>
      </c>
      <c r="K192" s="86">
        <f t="shared" si="15"/>
        <v>0</v>
      </c>
    </row>
    <row r="193" spans="1:11" s="285" customFormat="1" hidden="1" x14ac:dyDescent="0.25">
      <c r="A193" s="118"/>
      <c r="B193" s="151"/>
      <c r="C193" s="94" t="s">
        <v>405</v>
      </c>
      <c r="D193" s="122"/>
      <c r="E193" s="98">
        <v>0</v>
      </c>
      <c r="F193" s="85">
        <v>0</v>
      </c>
      <c r="G193" s="86">
        <v>0</v>
      </c>
      <c r="H193" s="86">
        <f t="shared" si="13"/>
        <v>0</v>
      </c>
      <c r="I193" s="86">
        <f t="shared" si="16"/>
        <v>0</v>
      </c>
      <c r="J193" s="86">
        <f t="shared" si="14"/>
        <v>0</v>
      </c>
      <c r="K193" s="86">
        <f t="shared" si="15"/>
        <v>0</v>
      </c>
    </row>
    <row r="194" spans="1:11" s="285" customFormat="1" hidden="1" x14ac:dyDescent="0.25">
      <c r="A194" s="118">
        <v>30</v>
      </c>
      <c r="B194" s="151">
        <v>1195</v>
      </c>
      <c r="C194" s="94" t="s">
        <v>199</v>
      </c>
      <c r="D194" s="122"/>
      <c r="E194" s="98">
        <v>0</v>
      </c>
      <c r="F194" s="85">
        <v>0</v>
      </c>
      <c r="G194" s="86">
        <v>0</v>
      </c>
      <c r="H194" s="86">
        <f t="shared" si="13"/>
        <v>0</v>
      </c>
      <c r="I194" s="86">
        <f t="shared" si="16"/>
        <v>0</v>
      </c>
      <c r="J194" s="86">
        <f t="shared" si="14"/>
        <v>0</v>
      </c>
      <c r="K194" s="86">
        <f t="shared" si="15"/>
        <v>0</v>
      </c>
    </row>
    <row r="195" spans="1:11" s="285" customFormat="1" hidden="1" x14ac:dyDescent="0.25">
      <c r="A195" s="118">
        <v>30</v>
      </c>
      <c r="B195" s="151">
        <v>1200</v>
      </c>
      <c r="C195" s="94" t="s">
        <v>117</v>
      </c>
      <c r="D195" s="122"/>
      <c r="E195" s="98">
        <v>0</v>
      </c>
      <c r="F195" s="85">
        <v>0</v>
      </c>
      <c r="G195" s="86">
        <v>0</v>
      </c>
      <c r="H195" s="86">
        <f t="shared" si="13"/>
        <v>0</v>
      </c>
      <c r="I195" s="86">
        <f t="shared" si="16"/>
        <v>0</v>
      </c>
      <c r="J195" s="86">
        <f t="shared" si="14"/>
        <v>0</v>
      </c>
      <c r="K195" s="86">
        <f t="shared" si="15"/>
        <v>0</v>
      </c>
    </row>
    <row r="196" spans="1:11" s="285" customFormat="1" hidden="1" x14ac:dyDescent="0.25">
      <c r="A196" s="118">
        <v>30</v>
      </c>
      <c r="B196" s="151">
        <v>1205</v>
      </c>
      <c r="C196" s="115" t="s">
        <v>105</v>
      </c>
      <c r="D196" s="122"/>
      <c r="E196" s="98">
        <v>0</v>
      </c>
      <c r="F196" s="85">
        <v>0</v>
      </c>
      <c r="G196" s="86">
        <v>0</v>
      </c>
      <c r="H196" s="86">
        <f t="shared" si="13"/>
        <v>0</v>
      </c>
      <c r="I196" s="86">
        <f t="shared" si="16"/>
        <v>0</v>
      </c>
      <c r="J196" s="86">
        <f t="shared" si="14"/>
        <v>0</v>
      </c>
      <c r="K196" s="86">
        <f t="shared" si="15"/>
        <v>0</v>
      </c>
    </row>
    <row r="197" spans="1:11" s="285" customFormat="1" hidden="1" x14ac:dyDescent="0.25">
      <c r="A197" s="118">
        <v>30</v>
      </c>
      <c r="B197" s="151">
        <v>1210</v>
      </c>
      <c r="C197" s="94" t="s">
        <v>118</v>
      </c>
      <c r="D197" s="122"/>
      <c r="E197" s="98">
        <v>0</v>
      </c>
      <c r="F197" s="85">
        <v>0</v>
      </c>
      <c r="G197" s="86">
        <v>0</v>
      </c>
      <c r="H197" s="86">
        <f t="shared" si="13"/>
        <v>0</v>
      </c>
      <c r="I197" s="86">
        <f t="shared" si="16"/>
        <v>0</v>
      </c>
      <c r="J197" s="86">
        <f t="shared" si="14"/>
        <v>0</v>
      </c>
      <c r="K197" s="86">
        <f t="shared" si="15"/>
        <v>0</v>
      </c>
    </row>
    <row r="198" spans="1:11" s="285" customFormat="1" hidden="1" x14ac:dyDescent="0.25">
      <c r="A198" s="118">
        <v>30</v>
      </c>
      <c r="B198" s="151">
        <v>1215</v>
      </c>
      <c r="C198" s="94" t="s">
        <v>133</v>
      </c>
      <c r="D198" s="122"/>
      <c r="E198" s="98">
        <v>0</v>
      </c>
      <c r="F198" s="85">
        <v>0</v>
      </c>
      <c r="G198" s="86">
        <v>0</v>
      </c>
      <c r="H198" s="86">
        <f t="shared" si="13"/>
        <v>0</v>
      </c>
      <c r="I198" s="86">
        <f t="shared" si="16"/>
        <v>0</v>
      </c>
      <c r="J198" s="86">
        <f t="shared" si="14"/>
        <v>0</v>
      </c>
      <c r="K198" s="86">
        <f t="shared" si="15"/>
        <v>0</v>
      </c>
    </row>
    <row r="199" spans="1:11" s="285" customFormat="1" hidden="1" x14ac:dyDescent="0.25">
      <c r="A199" s="118">
        <v>30</v>
      </c>
      <c r="B199" s="151">
        <v>5905</v>
      </c>
      <c r="C199" s="94" t="s">
        <v>329</v>
      </c>
      <c r="D199" s="85"/>
      <c r="E199" s="85">
        <v>0</v>
      </c>
      <c r="F199" s="85">
        <v>0</v>
      </c>
      <c r="G199" s="86">
        <v>0</v>
      </c>
      <c r="H199" s="86">
        <f t="shared" si="13"/>
        <v>0</v>
      </c>
      <c r="I199" s="86">
        <f t="shared" si="16"/>
        <v>0</v>
      </c>
      <c r="J199" s="86">
        <f t="shared" si="14"/>
        <v>0</v>
      </c>
      <c r="K199" s="86">
        <f t="shared" si="15"/>
        <v>0</v>
      </c>
    </row>
    <row r="200" spans="1:11" s="285" customFormat="1" x14ac:dyDescent="0.25">
      <c r="A200" s="118">
        <v>30</v>
      </c>
      <c r="B200" s="151">
        <v>5900</v>
      </c>
      <c r="C200" s="94" t="s">
        <v>333</v>
      </c>
      <c r="D200" s="85">
        <v>-53750</v>
      </c>
      <c r="E200" s="85">
        <v>-56760</v>
      </c>
      <c r="F200" s="85">
        <v>-56760</v>
      </c>
      <c r="G200" s="86">
        <v>-56760</v>
      </c>
      <c r="H200" s="86">
        <f t="shared" si="13"/>
        <v>-62436</v>
      </c>
      <c r="I200" s="86">
        <f t="shared" si="16"/>
        <v>-66057.288</v>
      </c>
      <c r="J200" s="86">
        <f t="shared" si="14"/>
        <v>-69690.438840000003</v>
      </c>
      <c r="K200" s="86">
        <f t="shared" si="15"/>
        <v>-73384.032098519994</v>
      </c>
    </row>
    <row r="201" spans="1:11" s="285" customFormat="1" hidden="1" x14ac:dyDescent="0.25">
      <c r="A201" s="118">
        <v>30</v>
      </c>
      <c r="B201" s="151">
        <v>1220</v>
      </c>
      <c r="C201" s="94" t="s">
        <v>340</v>
      </c>
      <c r="D201" s="122"/>
      <c r="E201" s="98"/>
      <c r="F201" s="98">
        <f>E201/8*12</f>
        <v>0</v>
      </c>
      <c r="G201" s="435">
        <v>0</v>
      </c>
      <c r="H201" s="98"/>
      <c r="I201" s="435"/>
      <c r="J201" s="86">
        <f t="shared" si="14"/>
        <v>0</v>
      </c>
      <c r="K201" s="86">
        <f t="shared" si="15"/>
        <v>0</v>
      </c>
    </row>
    <row r="202" spans="1:11" s="285" customFormat="1" hidden="1" x14ac:dyDescent="0.25">
      <c r="A202" s="118">
        <v>30</v>
      </c>
      <c r="B202" s="151">
        <v>1225</v>
      </c>
      <c r="C202" s="94" t="s">
        <v>370</v>
      </c>
      <c r="D202" s="122"/>
      <c r="E202" s="98"/>
      <c r="F202" s="98">
        <f>E202/8*12</f>
        <v>0</v>
      </c>
      <c r="G202" s="435">
        <v>0</v>
      </c>
      <c r="H202" s="98"/>
      <c r="I202" s="435"/>
      <c r="J202" s="86">
        <f t="shared" si="14"/>
        <v>0</v>
      </c>
      <c r="K202" s="86">
        <f t="shared" si="15"/>
        <v>0</v>
      </c>
    </row>
    <row r="203" spans="1:11" s="285" customFormat="1" hidden="1" x14ac:dyDescent="0.25">
      <c r="A203" s="118">
        <v>30</v>
      </c>
      <c r="B203" s="151">
        <v>1230</v>
      </c>
      <c r="C203" s="94" t="s">
        <v>119</v>
      </c>
      <c r="D203" s="122"/>
      <c r="E203" s="98"/>
      <c r="F203" s="98">
        <f>E203/8*12</f>
        <v>0</v>
      </c>
      <c r="G203" s="435">
        <v>0</v>
      </c>
      <c r="H203" s="98"/>
      <c r="I203" s="435"/>
      <c r="J203" s="86">
        <f t="shared" si="14"/>
        <v>0</v>
      </c>
      <c r="K203" s="86">
        <f t="shared" si="15"/>
        <v>0</v>
      </c>
    </row>
    <row r="204" spans="1:11" s="285" customFormat="1" hidden="1" x14ac:dyDescent="0.25">
      <c r="A204" s="118">
        <v>30</v>
      </c>
      <c r="B204" s="151">
        <v>1235</v>
      </c>
      <c r="C204" s="94" t="s">
        <v>347</v>
      </c>
      <c r="D204" s="122"/>
      <c r="E204" s="98"/>
      <c r="F204" s="98">
        <f>E204/8*12</f>
        <v>0</v>
      </c>
      <c r="G204" s="435">
        <v>0</v>
      </c>
      <c r="H204" s="98"/>
      <c r="I204" s="435"/>
      <c r="J204" s="86">
        <f t="shared" si="14"/>
        <v>0</v>
      </c>
      <c r="K204" s="86">
        <f t="shared" si="15"/>
        <v>0</v>
      </c>
    </row>
    <row r="205" spans="1:11" s="285" customFormat="1" hidden="1" x14ac:dyDescent="0.25">
      <c r="A205" s="118"/>
      <c r="B205" s="151"/>
      <c r="C205" s="94" t="s">
        <v>510</v>
      </c>
      <c r="D205" s="225"/>
      <c r="E205" s="85"/>
      <c r="F205" s="85"/>
      <c r="G205" s="428"/>
      <c r="H205" s="85"/>
      <c r="I205" s="428"/>
      <c r="J205" s="86">
        <f t="shared" si="14"/>
        <v>0</v>
      </c>
      <c r="K205" s="86">
        <f t="shared" si="15"/>
        <v>0</v>
      </c>
    </row>
    <row r="206" spans="1:11" s="285" customFormat="1" x14ac:dyDescent="0.25">
      <c r="A206" s="344"/>
      <c r="B206" s="151"/>
      <c r="C206" s="94"/>
      <c r="D206" s="437">
        <f t="shared" ref="D206:K206" si="17">SUM(D176:D204)</f>
        <v>8855</v>
      </c>
      <c r="E206" s="437">
        <f t="shared" si="17"/>
        <v>9643.8240000000078</v>
      </c>
      <c r="F206" s="437">
        <f t="shared" si="17"/>
        <v>9643.8240000000078</v>
      </c>
      <c r="G206" s="437">
        <f t="shared" si="17"/>
        <v>9643.8240000000078</v>
      </c>
      <c r="H206" s="100">
        <f t="shared" si="17"/>
        <v>10608.20640000001</v>
      </c>
      <c r="I206" s="437">
        <f t="shared" si="17"/>
        <v>46417.137163200008</v>
      </c>
      <c r="J206" s="437">
        <f t="shared" si="17"/>
        <v>48970.079707176017</v>
      </c>
      <c r="K206" s="437">
        <f t="shared" si="17"/>
        <v>51565.493931656354</v>
      </c>
    </row>
    <row r="207" spans="1:11" s="285" customFormat="1" hidden="1" x14ac:dyDescent="0.25">
      <c r="A207" s="344"/>
      <c r="B207" s="151"/>
      <c r="C207" s="93" t="s">
        <v>66</v>
      </c>
      <c r="D207" s="122"/>
      <c r="E207" s="98"/>
      <c r="F207" s="98"/>
      <c r="G207" s="435"/>
      <c r="H207" s="98"/>
      <c r="I207" s="435"/>
      <c r="J207" s="435"/>
      <c r="K207" s="435"/>
    </row>
    <row r="208" spans="1:11" s="285" customFormat="1" hidden="1" x14ac:dyDescent="0.25">
      <c r="A208" s="118">
        <v>30</v>
      </c>
      <c r="B208" s="151">
        <v>1305</v>
      </c>
      <c r="C208" s="94" t="s">
        <v>342</v>
      </c>
      <c r="D208" s="122">
        <v>0</v>
      </c>
      <c r="E208" s="98"/>
      <c r="F208" s="98">
        <f>E208/8*12</f>
        <v>0</v>
      </c>
      <c r="G208" s="435">
        <v>0</v>
      </c>
      <c r="H208" s="98">
        <f>F208/8*12</f>
        <v>0</v>
      </c>
      <c r="I208" s="435">
        <f t="shared" ref="I208:K211" si="18">G208/8*12</f>
        <v>0</v>
      </c>
      <c r="J208" s="435">
        <f t="shared" si="18"/>
        <v>0</v>
      </c>
      <c r="K208" s="435">
        <f t="shared" si="18"/>
        <v>0</v>
      </c>
    </row>
    <row r="209" spans="1:11" s="285" customFormat="1" hidden="1" x14ac:dyDescent="0.25">
      <c r="A209" s="118">
        <v>30</v>
      </c>
      <c r="B209" s="151">
        <v>1310</v>
      </c>
      <c r="C209" s="94" t="s">
        <v>344</v>
      </c>
      <c r="D209" s="122">
        <v>0</v>
      </c>
      <c r="E209" s="98"/>
      <c r="F209" s="98">
        <f>E209/8*12</f>
        <v>0</v>
      </c>
      <c r="G209" s="435">
        <v>0</v>
      </c>
      <c r="H209" s="98">
        <f>F209/8*12</f>
        <v>0</v>
      </c>
      <c r="I209" s="435">
        <f t="shared" si="18"/>
        <v>0</v>
      </c>
      <c r="J209" s="435">
        <f t="shared" si="18"/>
        <v>0</v>
      </c>
      <c r="K209" s="435">
        <f t="shared" si="18"/>
        <v>0</v>
      </c>
    </row>
    <row r="210" spans="1:11" s="285" customFormat="1" hidden="1" x14ac:dyDescent="0.25">
      <c r="A210" s="118">
        <v>30</v>
      </c>
      <c r="B210" s="151">
        <v>1320</v>
      </c>
      <c r="C210" s="94" t="s">
        <v>345</v>
      </c>
      <c r="D210" s="122">
        <v>0</v>
      </c>
      <c r="E210" s="98"/>
      <c r="F210" s="98">
        <f>E210/8*12</f>
        <v>0</v>
      </c>
      <c r="G210" s="435">
        <v>0</v>
      </c>
      <c r="H210" s="98">
        <f>F210/8*12</f>
        <v>0</v>
      </c>
      <c r="I210" s="435">
        <f t="shared" si="18"/>
        <v>0</v>
      </c>
      <c r="J210" s="435">
        <f t="shared" si="18"/>
        <v>0</v>
      </c>
      <c r="K210" s="435">
        <f t="shared" si="18"/>
        <v>0</v>
      </c>
    </row>
    <row r="211" spans="1:11" s="285" customFormat="1" hidden="1" x14ac:dyDescent="0.25">
      <c r="A211" s="118">
        <v>30</v>
      </c>
      <c r="B211" s="151">
        <v>1315</v>
      </c>
      <c r="C211" s="94" t="s">
        <v>346</v>
      </c>
      <c r="D211" s="122">
        <v>0</v>
      </c>
      <c r="E211" s="108"/>
      <c r="F211" s="98">
        <f>E211/8*12</f>
        <v>0</v>
      </c>
      <c r="G211" s="435">
        <v>0</v>
      </c>
      <c r="H211" s="98">
        <f>F211/8*12</f>
        <v>0</v>
      </c>
      <c r="I211" s="435">
        <f t="shared" si="18"/>
        <v>0</v>
      </c>
      <c r="J211" s="435">
        <f t="shared" si="18"/>
        <v>0</v>
      </c>
      <c r="K211" s="435">
        <f t="shared" si="18"/>
        <v>0</v>
      </c>
    </row>
    <row r="212" spans="1:11" s="285" customFormat="1" hidden="1" x14ac:dyDescent="0.25">
      <c r="A212" s="344"/>
      <c r="B212" s="151"/>
      <c r="C212" s="94"/>
      <c r="D212" s="99">
        <v>0</v>
      </c>
      <c r="E212" s="99">
        <f>SUM(E208:E211)</f>
        <v>0</v>
      </c>
      <c r="F212" s="99">
        <f>SUM(F208:F211)</f>
        <v>0</v>
      </c>
      <c r="G212" s="436">
        <v>0</v>
      </c>
      <c r="H212" s="99">
        <f>SUM(H208:H211)</f>
        <v>0</v>
      </c>
      <c r="I212" s="436">
        <f>SUM(I208:I211)</f>
        <v>0</v>
      </c>
      <c r="J212" s="436">
        <f>SUM(J208:J211)</f>
        <v>0</v>
      </c>
      <c r="K212" s="436">
        <f>SUM(K208:K211)</f>
        <v>0</v>
      </c>
    </row>
    <row r="213" spans="1:11" s="285" customFormat="1" hidden="1" x14ac:dyDescent="0.25">
      <c r="A213" s="344"/>
      <c r="B213" s="151"/>
      <c r="C213" s="93" t="s">
        <v>67</v>
      </c>
      <c r="D213" s="122"/>
      <c r="E213" s="98"/>
      <c r="F213" s="98"/>
      <c r="G213" s="435"/>
      <c r="H213" s="98"/>
      <c r="I213" s="435"/>
      <c r="J213" s="435"/>
      <c r="K213" s="435"/>
    </row>
    <row r="214" spans="1:11" s="285" customFormat="1" hidden="1" x14ac:dyDescent="0.25">
      <c r="A214" s="118">
        <v>30</v>
      </c>
      <c r="B214" s="151">
        <v>1400</v>
      </c>
      <c r="C214" s="94" t="s">
        <v>68</v>
      </c>
      <c r="D214" s="122">
        <v>0</v>
      </c>
      <c r="E214" s="108"/>
      <c r="F214" s="98">
        <f>E214/8*12</f>
        <v>0</v>
      </c>
      <c r="G214" s="435">
        <v>0</v>
      </c>
      <c r="H214" s="98">
        <f>F214/8*12</f>
        <v>0</v>
      </c>
      <c r="I214" s="435">
        <f t="shared" ref="I214:K215" si="19">G214/8*12</f>
        <v>0</v>
      </c>
      <c r="J214" s="435">
        <f t="shared" si="19"/>
        <v>0</v>
      </c>
      <c r="K214" s="435">
        <f t="shared" si="19"/>
        <v>0</v>
      </c>
    </row>
    <row r="215" spans="1:11" s="285" customFormat="1" hidden="1" x14ac:dyDescent="0.25">
      <c r="A215" s="118">
        <v>30</v>
      </c>
      <c r="B215" s="151">
        <v>1405</v>
      </c>
      <c r="C215" s="94" t="s">
        <v>69</v>
      </c>
      <c r="D215" s="122">
        <v>0</v>
      </c>
      <c r="E215" s="108"/>
      <c r="F215" s="98">
        <f>E215/8*12</f>
        <v>0</v>
      </c>
      <c r="G215" s="435">
        <v>0</v>
      </c>
      <c r="H215" s="98">
        <f>F215/8*12</f>
        <v>0</v>
      </c>
      <c r="I215" s="435">
        <f t="shared" si="19"/>
        <v>0</v>
      </c>
      <c r="J215" s="435">
        <f t="shared" si="19"/>
        <v>0</v>
      </c>
      <c r="K215" s="435">
        <f t="shared" si="19"/>
        <v>0</v>
      </c>
    </row>
    <row r="216" spans="1:11" s="285" customFormat="1" hidden="1" x14ac:dyDescent="0.25">
      <c r="A216" s="344"/>
      <c r="B216" s="151"/>
      <c r="C216" s="94"/>
      <c r="D216" s="99">
        <v>0</v>
      </c>
      <c r="E216" s="99">
        <f>SUM(E214:E215)</f>
        <v>0</v>
      </c>
      <c r="F216" s="99">
        <f>SUM(F214:F215)</f>
        <v>0</v>
      </c>
      <c r="G216" s="436">
        <v>0</v>
      </c>
      <c r="H216" s="99">
        <f>SUM(H214:H215)</f>
        <v>0</v>
      </c>
      <c r="I216" s="436">
        <f>SUM(I214:I215)</f>
        <v>0</v>
      </c>
      <c r="J216" s="436">
        <f>SUM(J214:J215)</f>
        <v>0</v>
      </c>
      <c r="K216" s="436">
        <f>SUM(K214:K215)</f>
        <v>0</v>
      </c>
    </row>
    <row r="217" spans="1:11" s="285" customFormat="1" hidden="1" x14ac:dyDescent="0.25">
      <c r="A217" s="344"/>
      <c r="B217" s="151"/>
      <c r="C217" s="93" t="s">
        <v>70</v>
      </c>
      <c r="D217" s="122"/>
      <c r="E217" s="98"/>
      <c r="F217" s="98"/>
      <c r="G217" s="435"/>
      <c r="H217" s="98"/>
      <c r="I217" s="435"/>
      <c r="J217" s="435"/>
      <c r="K217" s="435"/>
    </row>
    <row r="218" spans="1:11" s="285" customFormat="1" hidden="1" x14ac:dyDescent="0.25">
      <c r="A218" s="118">
        <v>30</v>
      </c>
      <c r="B218" s="151">
        <v>1500</v>
      </c>
      <c r="C218" s="94" t="s">
        <v>106</v>
      </c>
      <c r="D218" s="122">
        <v>0</v>
      </c>
      <c r="E218" s="108"/>
      <c r="F218" s="98">
        <f>E218/8*12</f>
        <v>0</v>
      </c>
      <c r="G218" s="435">
        <v>0</v>
      </c>
      <c r="H218" s="98">
        <f>F218/8*12</f>
        <v>0</v>
      </c>
      <c r="I218" s="435">
        <f t="shared" ref="I218:K220" si="20">G218/8*12</f>
        <v>0</v>
      </c>
      <c r="J218" s="435">
        <f t="shared" si="20"/>
        <v>0</v>
      </c>
      <c r="K218" s="435">
        <f t="shared" si="20"/>
        <v>0</v>
      </c>
    </row>
    <row r="219" spans="1:11" s="285" customFormat="1" hidden="1" x14ac:dyDescent="0.25">
      <c r="A219" s="118">
        <v>30</v>
      </c>
      <c r="B219" s="151">
        <v>1505</v>
      </c>
      <c r="C219" s="94" t="s">
        <v>71</v>
      </c>
      <c r="D219" s="122">
        <v>0</v>
      </c>
      <c r="E219" s="108"/>
      <c r="F219" s="98">
        <f>E219/8*12</f>
        <v>0</v>
      </c>
      <c r="G219" s="435">
        <v>0</v>
      </c>
      <c r="H219" s="98">
        <f>F219/8*12</f>
        <v>0</v>
      </c>
      <c r="I219" s="435">
        <f t="shared" si="20"/>
        <v>0</v>
      </c>
      <c r="J219" s="435">
        <f t="shared" si="20"/>
        <v>0</v>
      </c>
      <c r="K219" s="435">
        <f t="shared" si="20"/>
        <v>0</v>
      </c>
    </row>
    <row r="220" spans="1:11" s="285" customFormat="1" hidden="1" x14ac:dyDescent="0.25">
      <c r="A220" s="118">
        <v>30</v>
      </c>
      <c r="B220" s="151">
        <v>1510</v>
      </c>
      <c r="C220" s="94" t="s">
        <v>72</v>
      </c>
      <c r="D220" s="122">
        <v>0</v>
      </c>
      <c r="E220" s="108"/>
      <c r="F220" s="98">
        <f>E220/8*12</f>
        <v>0</v>
      </c>
      <c r="G220" s="435">
        <v>0</v>
      </c>
      <c r="H220" s="98">
        <f>F220/8*12</f>
        <v>0</v>
      </c>
      <c r="I220" s="435">
        <f t="shared" si="20"/>
        <v>0</v>
      </c>
      <c r="J220" s="435">
        <f t="shared" si="20"/>
        <v>0</v>
      </c>
      <c r="K220" s="435">
        <f t="shared" si="20"/>
        <v>0</v>
      </c>
    </row>
    <row r="221" spans="1:11" s="285" customFormat="1" hidden="1" x14ac:dyDescent="0.25">
      <c r="A221" s="344"/>
      <c r="B221" s="151"/>
      <c r="C221" s="94"/>
      <c r="D221" s="99">
        <v>0</v>
      </c>
      <c r="E221" s="99">
        <f>SUM(E218:E220)</f>
        <v>0</v>
      </c>
      <c r="F221" s="99">
        <f>SUM(F218:F220)</f>
        <v>0</v>
      </c>
      <c r="G221" s="436">
        <v>0</v>
      </c>
      <c r="H221" s="99">
        <f>SUM(H218:H220)</f>
        <v>0</v>
      </c>
      <c r="I221" s="436">
        <f>SUM(I218:I220)</f>
        <v>0</v>
      </c>
      <c r="J221" s="436">
        <f>SUM(J218:J220)</f>
        <v>0</v>
      </c>
      <c r="K221" s="436">
        <f>SUM(K218:K220)</f>
        <v>0</v>
      </c>
    </row>
    <row r="222" spans="1:11" s="285" customFormat="1" hidden="1" x14ac:dyDescent="0.25">
      <c r="A222" s="344"/>
      <c r="B222" s="151"/>
      <c r="C222" s="93" t="s">
        <v>73</v>
      </c>
      <c r="D222" s="122"/>
      <c r="E222" s="98"/>
      <c r="F222" s="98"/>
      <c r="G222" s="435"/>
      <c r="H222" s="98"/>
      <c r="I222" s="435"/>
      <c r="J222" s="435"/>
      <c r="K222" s="435"/>
    </row>
    <row r="223" spans="1:11" s="285" customFormat="1" hidden="1" x14ac:dyDescent="0.25">
      <c r="A223" s="118">
        <v>30</v>
      </c>
      <c r="B223" s="151">
        <v>1550</v>
      </c>
      <c r="C223" s="94" t="s">
        <v>349</v>
      </c>
      <c r="D223" s="122">
        <v>0</v>
      </c>
      <c r="E223" s="98"/>
      <c r="F223" s="98">
        <f>E223/8*12</f>
        <v>0</v>
      </c>
      <c r="G223" s="435">
        <v>0</v>
      </c>
      <c r="H223" s="98">
        <f>F223/8*12</f>
        <v>0</v>
      </c>
      <c r="I223" s="435">
        <f t="shared" ref="I223:K224" si="21">G223/8*12</f>
        <v>0</v>
      </c>
      <c r="J223" s="435">
        <f t="shared" si="21"/>
        <v>0</v>
      </c>
      <c r="K223" s="435">
        <f t="shared" si="21"/>
        <v>0</v>
      </c>
    </row>
    <row r="224" spans="1:11" s="285" customFormat="1" hidden="1" x14ac:dyDescent="0.25">
      <c r="A224" s="118">
        <v>30</v>
      </c>
      <c r="B224" s="151">
        <v>1555</v>
      </c>
      <c r="C224" s="94" t="s">
        <v>348</v>
      </c>
      <c r="D224" s="122">
        <v>0</v>
      </c>
      <c r="E224" s="98"/>
      <c r="F224" s="98">
        <f>E224/8*12</f>
        <v>0</v>
      </c>
      <c r="G224" s="435">
        <v>0</v>
      </c>
      <c r="H224" s="98">
        <f>F224/8*12</f>
        <v>0</v>
      </c>
      <c r="I224" s="435">
        <f t="shared" si="21"/>
        <v>0</v>
      </c>
      <c r="J224" s="435">
        <f t="shared" si="21"/>
        <v>0</v>
      </c>
      <c r="K224" s="435">
        <f t="shared" si="21"/>
        <v>0</v>
      </c>
    </row>
    <row r="225" spans="1:11" s="285" customFormat="1" hidden="1" x14ac:dyDescent="0.25">
      <c r="A225" s="344"/>
      <c r="B225" s="151"/>
      <c r="C225" s="94"/>
      <c r="D225" s="100">
        <v>0</v>
      </c>
      <c r="E225" s="100">
        <f>SUM(E223:E224)</f>
        <v>0</v>
      </c>
      <c r="F225" s="100">
        <f>SUM(F223:F224)</f>
        <v>0</v>
      </c>
      <c r="G225" s="437">
        <v>0</v>
      </c>
      <c r="H225" s="100">
        <f>SUM(H223:H224)</f>
        <v>0</v>
      </c>
      <c r="I225" s="437">
        <f>SUM(I223:I224)</f>
        <v>0</v>
      </c>
      <c r="J225" s="437">
        <f>SUM(J223:J224)</f>
        <v>0</v>
      </c>
      <c r="K225" s="437">
        <f>SUM(K223:K224)</f>
        <v>0</v>
      </c>
    </row>
    <row r="226" spans="1:11" s="285" customFormat="1" ht="13.5" hidden="1" customHeight="1" x14ac:dyDescent="0.25">
      <c r="A226" s="344"/>
      <c r="B226" s="151"/>
      <c r="C226" s="93" t="s">
        <v>74</v>
      </c>
      <c r="D226" s="122"/>
      <c r="E226" s="98"/>
      <c r="F226" s="98"/>
      <c r="G226" s="435"/>
      <c r="H226" s="98"/>
      <c r="I226" s="435"/>
      <c r="J226" s="435"/>
      <c r="K226" s="435"/>
    </row>
    <row r="227" spans="1:11" s="285" customFormat="1" hidden="1" x14ac:dyDescent="0.25">
      <c r="A227" s="118">
        <v>30</v>
      </c>
      <c r="B227" s="151">
        <v>1605</v>
      </c>
      <c r="C227" s="94" t="s">
        <v>75</v>
      </c>
      <c r="D227" s="122">
        <v>0</v>
      </c>
      <c r="E227" s="98"/>
      <c r="F227" s="98">
        <f t="shared" ref="F227:F239" si="22">E227/8*12</f>
        <v>0</v>
      </c>
      <c r="G227" s="435">
        <v>0</v>
      </c>
      <c r="H227" s="98">
        <f t="shared" ref="H227:H239" si="23">F227/8*12</f>
        <v>0</v>
      </c>
      <c r="I227" s="435">
        <f t="shared" ref="I227:I239" si="24">G227/8*12</f>
        <v>0</v>
      </c>
      <c r="J227" s="435">
        <f t="shared" ref="J227:J239" si="25">H227/8*12</f>
        <v>0</v>
      </c>
      <c r="K227" s="435">
        <f t="shared" ref="K227:K239" si="26">I227/8*12</f>
        <v>0</v>
      </c>
    </row>
    <row r="228" spans="1:11" s="285" customFormat="1" hidden="1" x14ac:dyDescent="0.25">
      <c r="A228" s="118">
        <v>30</v>
      </c>
      <c r="B228" s="151">
        <v>1610</v>
      </c>
      <c r="C228" s="94" t="s">
        <v>131</v>
      </c>
      <c r="D228" s="122">
        <v>0</v>
      </c>
      <c r="E228" s="108"/>
      <c r="F228" s="98">
        <f t="shared" si="22"/>
        <v>0</v>
      </c>
      <c r="G228" s="435">
        <v>0</v>
      </c>
      <c r="H228" s="98">
        <f t="shared" si="23"/>
        <v>0</v>
      </c>
      <c r="I228" s="435">
        <f t="shared" si="24"/>
        <v>0</v>
      </c>
      <c r="J228" s="435">
        <f t="shared" si="25"/>
        <v>0</v>
      </c>
      <c r="K228" s="435">
        <f t="shared" si="26"/>
        <v>0</v>
      </c>
    </row>
    <row r="229" spans="1:11" s="285" customFormat="1" hidden="1" x14ac:dyDescent="0.25">
      <c r="A229" s="118">
        <v>30</v>
      </c>
      <c r="B229" s="151">
        <v>1615</v>
      </c>
      <c r="C229" s="94" t="s">
        <v>182</v>
      </c>
      <c r="D229" s="122">
        <v>0</v>
      </c>
      <c r="E229" s="108"/>
      <c r="F229" s="98">
        <f t="shared" si="22"/>
        <v>0</v>
      </c>
      <c r="G229" s="435">
        <v>0</v>
      </c>
      <c r="H229" s="98">
        <f t="shared" si="23"/>
        <v>0</v>
      </c>
      <c r="I229" s="435">
        <f t="shared" si="24"/>
        <v>0</v>
      </c>
      <c r="J229" s="435">
        <f t="shared" si="25"/>
        <v>0</v>
      </c>
      <c r="K229" s="435">
        <f t="shared" si="26"/>
        <v>0</v>
      </c>
    </row>
    <row r="230" spans="1:11" s="285" customFormat="1" hidden="1" x14ac:dyDescent="0.25">
      <c r="A230" s="118">
        <v>30</v>
      </c>
      <c r="B230" s="151">
        <v>1620</v>
      </c>
      <c r="C230" s="94" t="s">
        <v>255</v>
      </c>
      <c r="D230" s="122">
        <v>0</v>
      </c>
      <c r="E230" s="108"/>
      <c r="F230" s="98">
        <f t="shared" si="22"/>
        <v>0</v>
      </c>
      <c r="G230" s="435">
        <v>0</v>
      </c>
      <c r="H230" s="98">
        <f t="shared" si="23"/>
        <v>0</v>
      </c>
      <c r="I230" s="435">
        <f t="shared" si="24"/>
        <v>0</v>
      </c>
      <c r="J230" s="435">
        <f t="shared" si="25"/>
        <v>0</v>
      </c>
      <c r="K230" s="435">
        <f t="shared" si="26"/>
        <v>0</v>
      </c>
    </row>
    <row r="231" spans="1:11" s="285" customFormat="1" hidden="1" x14ac:dyDescent="0.25">
      <c r="A231" s="118">
        <v>30</v>
      </c>
      <c r="B231" s="151">
        <v>1625</v>
      </c>
      <c r="C231" s="94" t="s">
        <v>108</v>
      </c>
      <c r="D231" s="122">
        <v>0</v>
      </c>
      <c r="E231" s="108"/>
      <c r="F231" s="98">
        <f t="shared" si="22"/>
        <v>0</v>
      </c>
      <c r="G231" s="435">
        <v>0</v>
      </c>
      <c r="H231" s="98">
        <f t="shared" si="23"/>
        <v>0</v>
      </c>
      <c r="I231" s="435">
        <f t="shared" si="24"/>
        <v>0</v>
      </c>
      <c r="J231" s="435">
        <f t="shared" si="25"/>
        <v>0</v>
      </c>
      <c r="K231" s="435">
        <f t="shared" si="26"/>
        <v>0</v>
      </c>
    </row>
    <row r="232" spans="1:11" s="285" customFormat="1" hidden="1" x14ac:dyDescent="0.25">
      <c r="A232" s="118">
        <v>30</v>
      </c>
      <c r="B232" s="151">
        <v>1630</v>
      </c>
      <c r="C232" s="94" t="s">
        <v>76</v>
      </c>
      <c r="D232" s="122">
        <v>0</v>
      </c>
      <c r="E232" s="108"/>
      <c r="F232" s="98">
        <f t="shared" si="22"/>
        <v>0</v>
      </c>
      <c r="G232" s="435">
        <v>0</v>
      </c>
      <c r="H232" s="98">
        <f t="shared" si="23"/>
        <v>0</v>
      </c>
      <c r="I232" s="435">
        <f t="shared" si="24"/>
        <v>0</v>
      </c>
      <c r="J232" s="435">
        <f t="shared" si="25"/>
        <v>0</v>
      </c>
      <c r="K232" s="435">
        <f t="shared" si="26"/>
        <v>0</v>
      </c>
    </row>
    <row r="233" spans="1:11" s="285" customFormat="1" hidden="1" x14ac:dyDescent="0.25">
      <c r="A233" s="118">
        <v>30</v>
      </c>
      <c r="B233" s="151">
        <v>1635</v>
      </c>
      <c r="C233" s="94" t="s">
        <v>180</v>
      </c>
      <c r="D233" s="122">
        <v>0</v>
      </c>
      <c r="E233" s="108"/>
      <c r="F233" s="98">
        <f t="shared" si="22"/>
        <v>0</v>
      </c>
      <c r="G233" s="435">
        <v>0</v>
      </c>
      <c r="H233" s="98">
        <f t="shared" si="23"/>
        <v>0</v>
      </c>
      <c r="I233" s="435">
        <f t="shared" si="24"/>
        <v>0</v>
      </c>
      <c r="J233" s="435">
        <f t="shared" si="25"/>
        <v>0</v>
      </c>
      <c r="K233" s="435">
        <f t="shared" si="26"/>
        <v>0</v>
      </c>
    </row>
    <row r="234" spans="1:11" s="285" customFormat="1" hidden="1" x14ac:dyDescent="0.25">
      <c r="A234" s="118">
        <v>30</v>
      </c>
      <c r="B234" s="151">
        <v>1640</v>
      </c>
      <c r="C234" s="94" t="s">
        <v>184</v>
      </c>
      <c r="D234" s="122">
        <v>0</v>
      </c>
      <c r="E234" s="108"/>
      <c r="F234" s="98">
        <f t="shared" si="22"/>
        <v>0</v>
      </c>
      <c r="G234" s="435">
        <v>0</v>
      </c>
      <c r="H234" s="98">
        <f t="shared" si="23"/>
        <v>0</v>
      </c>
      <c r="I234" s="435">
        <f t="shared" si="24"/>
        <v>0</v>
      </c>
      <c r="J234" s="435">
        <f t="shared" si="25"/>
        <v>0</v>
      </c>
      <c r="K234" s="435">
        <f t="shared" si="26"/>
        <v>0</v>
      </c>
    </row>
    <row r="235" spans="1:11" s="285" customFormat="1" hidden="1" x14ac:dyDescent="0.25">
      <c r="A235" s="118">
        <v>30</v>
      </c>
      <c r="B235" s="151">
        <v>1645</v>
      </c>
      <c r="C235" s="94" t="s">
        <v>77</v>
      </c>
      <c r="D235" s="122">
        <v>0</v>
      </c>
      <c r="E235" s="108"/>
      <c r="F235" s="98">
        <f t="shared" si="22"/>
        <v>0</v>
      </c>
      <c r="G235" s="435">
        <v>0</v>
      </c>
      <c r="H235" s="98">
        <f t="shared" si="23"/>
        <v>0</v>
      </c>
      <c r="I235" s="435">
        <f t="shared" si="24"/>
        <v>0</v>
      </c>
      <c r="J235" s="435">
        <f t="shared" si="25"/>
        <v>0</v>
      </c>
      <c r="K235" s="435">
        <f t="shared" si="26"/>
        <v>0</v>
      </c>
    </row>
    <row r="236" spans="1:11" s="285" customFormat="1" hidden="1" x14ac:dyDescent="0.25">
      <c r="A236" s="118">
        <v>30</v>
      </c>
      <c r="B236" s="151">
        <v>1650</v>
      </c>
      <c r="C236" s="94" t="s">
        <v>78</v>
      </c>
      <c r="D236" s="122">
        <v>0</v>
      </c>
      <c r="E236" s="108"/>
      <c r="F236" s="98">
        <f t="shared" si="22"/>
        <v>0</v>
      </c>
      <c r="G236" s="435">
        <v>0</v>
      </c>
      <c r="H236" s="98">
        <f t="shared" si="23"/>
        <v>0</v>
      </c>
      <c r="I236" s="435">
        <f t="shared" si="24"/>
        <v>0</v>
      </c>
      <c r="J236" s="435">
        <f t="shared" si="25"/>
        <v>0</v>
      </c>
      <c r="K236" s="435">
        <f t="shared" si="26"/>
        <v>0</v>
      </c>
    </row>
    <row r="237" spans="1:11" s="285" customFormat="1" hidden="1" x14ac:dyDescent="0.25">
      <c r="A237" s="118">
        <v>30</v>
      </c>
      <c r="B237" s="151"/>
      <c r="C237" s="94" t="s">
        <v>200</v>
      </c>
      <c r="D237" s="122">
        <v>0</v>
      </c>
      <c r="E237" s="108"/>
      <c r="F237" s="98">
        <f t="shared" si="22"/>
        <v>0</v>
      </c>
      <c r="G237" s="435">
        <v>0</v>
      </c>
      <c r="H237" s="98">
        <f t="shared" si="23"/>
        <v>0</v>
      </c>
      <c r="I237" s="435">
        <f t="shared" si="24"/>
        <v>0</v>
      </c>
      <c r="J237" s="435">
        <f t="shared" si="25"/>
        <v>0</v>
      </c>
      <c r="K237" s="435">
        <f t="shared" si="26"/>
        <v>0</v>
      </c>
    </row>
    <row r="238" spans="1:11" s="285" customFormat="1" hidden="1" x14ac:dyDescent="0.25">
      <c r="A238" s="118">
        <v>30</v>
      </c>
      <c r="B238" s="151">
        <v>1660</v>
      </c>
      <c r="C238" s="94" t="s">
        <v>185</v>
      </c>
      <c r="D238" s="122">
        <v>0</v>
      </c>
      <c r="E238" s="108"/>
      <c r="F238" s="98">
        <f t="shared" si="22"/>
        <v>0</v>
      </c>
      <c r="G238" s="435">
        <v>0</v>
      </c>
      <c r="H238" s="98">
        <f t="shared" si="23"/>
        <v>0</v>
      </c>
      <c r="I238" s="435">
        <f t="shared" si="24"/>
        <v>0</v>
      </c>
      <c r="J238" s="435">
        <f t="shared" si="25"/>
        <v>0</v>
      </c>
      <c r="K238" s="435">
        <f t="shared" si="26"/>
        <v>0</v>
      </c>
    </row>
    <row r="239" spans="1:11" s="285" customFormat="1" hidden="1" x14ac:dyDescent="0.25">
      <c r="A239" s="118">
        <v>30</v>
      </c>
      <c r="B239" s="151">
        <v>1665</v>
      </c>
      <c r="C239" s="94" t="s">
        <v>181</v>
      </c>
      <c r="D239" s="122">
        <v>0</v>
      </c>
      <c r="E239" s="108"/>
      <c r="F239" s="98">
        <f t="shared" si="22"/>
        <v>0</v>
      </c>
      <c r="G239" s="435">
        <v>0</v>
      </c>
      <c r="H239" s="98">
        <f t="shared" si="23"/>
        <v>0</v>
      </c>
      <c r="I239" s="435">
        <f t="shared" si="24"/>
        <v>0</v>
      </c>
      <c r="J239" s="435">
        <f t="shared" si="25"/>
        <v>0</v>
      </c>
      <c r="K239" s="435">
        <f t="shared" si="26"/>
        <v>0</v>
      </c>
    </row>
    <row r="240" spans="1:11" s="285" customFormat="1" hidden="1" x14ac:dyDescent="0.25">
      <c r="A240" s="344"/>
      <c r="B240" s="151"/>
      <c r="C240" s="94"/>
      <c r="D240" s="99">
        <v>0</v>
      </c>
      <c r="E240" s="99">
        <f>SUM(E227:E239)</f>
        <v>0</v>
      </c>
      <c r="F240" s="99">
        <f>SUM(F227:F239)</f>
        <v>0</v>
      </c>
      <c r="G240" s="436">
        <v>0</v>
      </c>
      <c r="H240" s="99">
        <f>SUM(H227:H239)</f>
        <v>0</v>
      </c>
      <c r="I240" s="436">
        <f>SUM(I227:I239)</f>
        <v>0</v>
      </c>
      <c r="J240" s="436">
        <f>SUM(J227:J239)</f>
        <v>0</v>
      </c>
      <c r="K240" s="436">
        <f>SUM(K227:K239)</f>
        <v>0</v>
      </c>
    </row>
    <row r="241" spans="1:11" s="285" customFormat="1" hidden="1" x14ac:dyDescent="0.25">
      <c r="A241" s="344"/>
      <c r="B241" s="151"/>
      <c r="C241" s="93" t="s">
        <v>79</v>
      </c>
      <c r="D241" s="122"/>
      <c r="E241" s="98"/>
      <c r="F241" s="98"/>
      <c r="G241" s="435"/>
      <c r="H241" s="98"/>
      <c r="I241" s="435"/>
      <c r="J241" s="435"/>
      <c r="K241" s="435"/>
    </row>
    <row r="242" spans="1:11" s="285" customFormat="1" hidden="1" x14ac:dyDescent="0.25">
      <c r="A242" s="118">
        <v>30</v>
      </c>
      <c r="B242" s="151">
        <v>1705</v>
      </c>
      <c r="C242" s="94" t="s">
        <v>123</v>
      </c>
      <c r="D242" s="122">
        <v>0</v>
      </c>
      <c r="E242" s="98"/>
      <c r="F242" s="98">
        <f t="shared" ref="F242:F247" si="27">E242/8*12</f>
        <v>0</v>
      </c>
      <c r="G242" s="435">
        <v>0</v>
      </c>
      <c r="H242" s="98">
        <f t="shared" ref="H242:H247" si="28">F242/8*12</f>
        <v>0</v>
      </c>
      <c r="I242" s="435">
        <f t="shared" ref="I242:I247" si="29">G242/8*12</f>
        <v>0</v>
      </c>
      <c r="J242" s="435">
        <f t="shared" ref="J242:J247" si="30">H242/8*12</f>
        <v>0</v>
      </c>
      <c r="K242" s="435">
        <f t="shared" ref="K242:K247" si="31">I242/8*12</f>
        <v>0</v>
      </c>
    </row>
    <row r="243" spans="1:11" s="285" customFormat="1" hidden="1" x14ac:dyDescent="0.25">
      <c r="A243" s="118">
        <v>30</v>
      </c>
      <c r="B243" s="151">
        <v>1710</v>
      </c>
      <c r="C243" s="94" t="s">
        <v>242</v>
      </c>
      <c r="D243" s="122">
        <v>0</v>
      </c>
      <c r="E243" s="98"/>
      <c r="F243" s="98">
        <f t="shared" si="27"/>
        <v>0</v>
      </c>
      <c r="G243" s="435">
        <v>0</v>
      </c>
      <c r="H243" s="98">
        <f t="shared" si="28"/>
        <v>0</v>
      </c>
      <c r="I243" s="435">
        <f t="shared" si="29"/>
        <v>0</v>
      </c>
      <c r="J243" s="435">
        <f t="shared" si="30"/>
        <v>0</v>
      </c>
      <c r="K243" s="435">
        <f t="shared" si="31"/>
        <v>0</v>
      </c>
    </row>
    <row r="244" spans="1:11" s="285" customFormat="1" hidden="1" x14ac:dyDescent="0.25">
      <c r="A244" s="118">
        <v>30</v>
      </c>
      <c r="B244" s="151">
        <v>1715</v>
      </c>
      <c r="C244" s="94" t="s">
        <v>183</v>
      </c>
      <c r="D244" s="122">
        <v>0</v>
      </c>
      <c r="E244" s="98"/>
      <c r="F244" s="98">
        <f t="shared" si="27"/>
        <v>0</v>
      </c>
      <c r="G244" s="435">
        <v>0</v>
      </c>
      <c r="H244" s="98">
        <f t="shared" si="28"/>
        <v>0</v>
      </c>
      <c r="I244" s="435">
        <f t="shared" si="29"/>
        <v>0</v>
      </c>
      <c r="J244" s="435">
        <f t="shared" si="30"/>
        <v>0</v>
      </c>
      <c r="K244" s="435">
        <f t="shared" si="31"/>
        <v>0</v>
      </c>
    </row>
    <row r="245" spans="1:11" s="285" customFormat="1" hidden="1" x14ac:dyDescent="0.25">
      <c r="A245" s="118">
        <v>30</v>
      </c>
      <c r="B245" s="151">
        <v>1720</v>
      </c>
      <c r="C245" s="94" t="s">
        <v>103</v>
      </c>
      <c r="D245" s="122">
        <v>0</v>
      </c>
      <c r="E245" s="98"/>
      <c r="F245" s="98">
        <f t="shared" si="27"/>
        <v>0</v>
      </c>
      <c r="G245" s="435">
        <v>0</v>
      </c>
      <c r="H245" s="98">
        <f t="shared" si="28"/>
        <v>0</v>
      </c>
      <c r="I245" s="435">
        <f t="shared" si="29"/>
        <v>0</v>
      </c>
      <c r="J245" s="435">
        <f t="shared" si="30"/>
        <v>0</v>
      </c>
      <c r="K245" s="435">
        <f t="shared" si="31"/>
        <v>0</v>
      </c>
    </row>
    <row r="246" spans="1:11" s="285" customFormat="1" hidden="1" x14ac:dyDescent="0.25">
      <c r="A246" s="118">
        <v>30</v>
      </c>
      <c r="B246" s="151">
        <v>1725</v>
      </c>
      <c r="C246" s="94" t="s">
        <v>107</v>
      </c>
      <c r="D246" s="122">
        <v>0</v>
      </c>
      <c r="E246" s="98"/>
      <c r="F246" s="98">
        <f t="shared" si="27"/>
        <v>0</v>
      </c>
      <c r="G246" s="435">
        <v>0</v>
      </c>
      <c r="H246" s="98">
        <f t="shared" si="28"/>
        <v>0</v>
      </c>
      <c r="I246" s="435">
        <f t="shared" si="29"/>
        <v>0</v>
      </c>
      <c r="J246" s="435">
        <f t="shared" si="30"/>
        <v>0</v>
      </c>
      <c r="K246" s="435">
        <f t="shared" si="31"/>
        <v>0</v>
      </c>
    </row>
    <row r="247" spans="1:11" s="285" customFormat="1" hidden="1" x14ac:dyDescent="0.25">
      <c r="A247" s="118">
        <v>30</v>
      </c>
      <c r="B247" s="151">
        <v>1730</v>
      </c>
      <c r="C247" s="94" t="s">
        <v>256</v>
      </c>
      <c r="D247" s="122">
        <v>0</v>
      </c>
      <c r="E247" s="98"/>
      <c r="F247" s="98">
        <f t="shared" si="27"/>
        <v>0</v>
      </c>
      <c r="G247" s="435">
        <v>0</v>
      </c>
      <c r="H247" s="98">
        <f t="shared" si="28"/>
        <v>0</v>
      </c>
      <c r="I247" s="435">
        <f t="shared" si="29"/>
        <v>0</v>
      </c>
      <c r="J247" s="435">
        <f t="shared" si="30"/>
        <v>0</v>
      </c>
      <c r="K247" s="435">
        <f t="shared" si="31"/>
        <v>0</v>
      </c>
    </row>
    <row r="248" spans="1:11" s="285" customFormat="1" hidden="1" x14ac:dyDescent="0.25">
      <c r="A248" s="344"/>
      <c r="B248" s="151"/>
      <c r="C248" s="94"/>
      <c r="D248" s="99">
        <v>0</v>
      </c>
      <c r="E248" s="99">
        <f>SUM(E242:E247)</f>
        <v>0</v>
      </c>
      <c r="F248" s="99">
        <f>SUM(F242:F247)</f>
        <v>0</v>
      </c>
      <c r="G248" s="436">
        <v>0</v>
      </c>
      <c r="H248" s="99">
        <f>SUM(H242:H247)</f>
        <v>0</v>
      </c>
      <c r="I248" s="436">
        <f>SUM(I242:I247)</f>
        <v>0</v>
      </c>
      <c r="J248" s="436">
        <f>SUM(J242:J247)</f>
        <v>0</v>
      </c>
      <c r="K248" s="436">
        <f>SUM(K242:K247)</f>
        <v>0</v>
      </c>
    </row>
    <row r="249" spans="1:11" s="285" customFormat="1" hidden="1" x14ac:dyDescent="0.25">
      <c r="A249" s="344"/>
      <c r="B249" s="151"/>
      <c r="C249" s="93" t="s">
        <v>80</v>
      </c>
      <c r="D249" s="122"/>
      <c r="E249" s="98"/>
      <c r="F249" s="98"/>
      <c r="G249" s="435"/>
      <c r="H249" s="98"/>
      <c r="I249" s="435"/>
      <c r="J249" s="435"/>
      <c r="K249" s="435"/>
    </row>
    <row r="250" spans="1:11" s="285" customFormat="1" hidden="1" x14ac:dyDescent="0.25">
      <c r="A250" s="118">
        <v>30</v>
      </c>
      <c r="B250" s="151">
        <v>1805</v>
      </c>
      <c r="C250" s="94" t="s">
        <v>81</v>
      </c>
      <c r="D250" s="122">
        <v>0</v>
      </c>
      <c r="E250" s="108"/>
      <c r="F250" s="98">
        <f>E250/8*12</f>
        <v>0</v>
      </c>
      <c r="G250" s="435">
        <v>0</v>
      </c>
      <c r="H250" s="98">
        <f>F250/8*12</f>
        <v>0</v>
      </c>
      <c r="I250" s="435">
        <f>G250/8*12</f>
        <v>0</v>
      </c>
      <c r="J250" s="435">
        <f>H250/8*12</f>
        <v>0</v>
      </c>
      <c r="K250" s="435">
        <f>I250/8*12</f>
        <v>0</v>
      </c>
    </row>
    <row r="251" spans="1:11" s="285" customFormat="1" hidden="1" x14ac:dyDescent="0.25">
      <c r="A251" s="344"/>
      <c r="B251" s="151"/>
      <c r="C251" s="94"/>
      <c r="D251" s="99">
        <v>0</v>
      </c>
      <c r="E251" s="99">
        <f>E250</f>
        <v>0</v>
      </c>
      <c r="F251" s="99">
        <f>F250</f>
        <v>0</v>
      </c>
      <c r="G251" s="436">
        <v>0</v>
      </c>
      <c r="H251" s="99">
        <f>H250</f>
        <v>0</v>
      </c>
      <c r="I251" s="436">
        <f>I250</f>
        <v>0</v>
      </c>
      <c r="J251" s="436">
        <f>J250</f>
        <v>0</v>
      </c>
      <c r="K251" s="436">
        <f>K250</f>
        <v>0</v>
      </c>
    </row>
    <row r="252" spans="1:11" s="285" customFormat="1" x14ac:dyDescent="0.25">
      <c r="A252" s="344"/>
      <c r="B252" s="346"/>
      <c r="C252" s="93" t="s">
        <v>192</v>
      </c>
      <c r="D252" s="117">
        <v>8855</v>
      </c>
      <c r="E252" s="117">
        <f>SUM(E171:E251)/2</f>
        <v>9643.8240000000078</v>
      </c>
      <c r="F252" s="117">
        <f>SUM(F171:F251)/2</f>
        <v>9643.8240000000078</v>
      </c>
      <c r="G252" s="442">
        <v>9643.8240000000078</v>
      </c>
      <c r="H252" s="117">
        <f>SUM(H171:H251)/2</f>
        <v>10608.20640000001</v>
      </c>
      <c r="I252" s="442">
        <f>SUM(I171:I251)/2</f>
        <v>46417.137163200008</v>
      </c>
      <c r="J252" s="442">
        <f>SUM(J171:J251)/2</f>
        <v>48970.079707176017</v>
      </c>
      <c r="K252" s="442">
        <f>SUM(K171:K251)/2</f>
        <v>51565.493931656354</v>
      </c>
    </row>
    <row r="253" spans="1:11" s="285" customFormat="1" hidden="1" x14ac:dyDescent="0.25">
      <c r="A253" s="344"/>
      <c r="B253" s="151"/>
      <c r="C253" s="94"/>
      <c r="D253" s="117"/>
      <c r="E253" s="117"/>
      <c r="F253" s="117"/>
      <c r="G253" s="442"/>
      <c r="H253" s="117"/>
      <c r="I253" s="442"/>
      <c r="J253" s="442"/>
      <c r="K253" s="442"/>
    </row>
    <row r="254" spans="1:11" s="285" customFormat="1" hidden="1" x14ac:dyDescent="0.25">
      <c r="A254" s="344"/>
      <c r="B254" s="151"/>
      <c r="C254" s="145" t="s">
        <v>193</v>
      </c>
      <c r="D254" s="124"/>
      <c r="E254" s="146"/>
      <c r="F254" s="124"/>
      <c r="G254" s="445"/>
      <c r="H254" s="124"/>
      <c r="I254" s="445"/>
      <c r="J254" s="445"/>
      <c r="K254" s="445"/>
    </row>
    <row r="255" spans="1:11" s="285" customFormat="1" hidden="1" x14ac:dyDescent="0.25">
      <c r="A255" s="118">
        <v>30</v>
      </c>
      <c r="B255" s="151">
        <v>1905</v>
      </c>
      <c r="C255" s="118" t="s">
        <v>194</v>
      </c>
      <c r="D255" s="127">
        <v>0</v>
      </c>
      <c r="E255" s="147"/>
      <c r="F255" s="98">
        <f>E255/8*12</f>
        <v>0</v>
      </c>
      <c r="G255" s="435">
        <v>0</v>
      </c>
      <c r="H255" s="98">
        <f>F255/8*12</f>
        <v>0</v>
      </c>
      <c r="I255" s="435">
        <f>G255/8*12</f>
        <v>0</v>
      </c>
      <c r="J255" s="435">
        <f>H255/8*12</f>
        <v>0</v>
      </c>
      <c r="K255" s="435">
        <f>I255/8*12</f>
        <v>0</v>
      </c>
    </row>
    <row r="256" spans="1:11" s="285" customFormat="1" hidden="1" x14ac:dyDescent="0.25">
      <c r="A256" s="344"/>
      <c r="B256" s="151"/>
      <c r="C256" s="94"/>
      <c r="D256" s="117">
        <v>0</v>
      </c>
      <c r="E256" s="117">
        <f>SUM(E255)</f>
        <v>0</v>
      </c>
      <c r="F256" s="117">
        <f>SUM(F255)</f>
        <v>0</v>
      </c>
      <c r="G256" s="442">
        <v>0</v>
      </c>
      <c r="H256" s="117">
        <f>SUM(H255)</f>
        <v>0</v>
      </c>
      <c r="I256" s="442">
        <f>SUM(I255)</f>
        <v>0</v>
      </c>
      <c r="J256" s="442">
        <f>SUM(J255)</f>
        <v>0</v>
      </c>
      <c r="K256" s="442">
        <f>SUM(K255)</f>
        <v>0</v>
      </c>
    </row>
    <row r="257" spans="1:11" s="285" customFormat="1" x14ac:dyDescent="0.25">
      <c r="A257" s="344"/>
      <c r="B257" s="151"/>
      <c r="C257" s="93" t="s">
        <v>189</v>
      </c>
      <c r="D257" s="117">
        <v>8855</v>
      </c>
      <c r="E257" s="117">
        <f>E252+E256</f>
        <v>9643.8240000000078</v>
      </c>
      <c r="F257" s="117">
        <f>F252+F256</f>
        <v>9643.8240000000078</v>
      </c>
      <c r="G257" s="442">
        <v>9643.8240000000078</v>
      </c>
      <c r="H257" s="117">
        <f>H252+H256</f>
        <v>10608.20640000001</v>
      </c>
      <c r="I257" s="442">
        <f>I252+I256</f>
        <v>46417.137163200008</v>
      </c>
      <c r="J257" s="442">
        <f>J252+J256</f>
        <v>48970.079707176017</v>
      </c>
      <c r="K257" s="442">
        <f>K252+K256</f>
        <v>51565.493931656354</v>
      </c>
    </row>
    <row r="258" spans="1:11" s="285" customFormat="1" hidden="1" x14ac:dyDescent="0.25">
      <c r="A258" s="344"/>
      <c r="B258" s="151"/>
      <c r="C258" s="145" t="s">
        <v>195</v>
      </c>
      <c r="D258" s="124"/>
      <c r="E258" s="148"/>
      <c r="F258" s="125"/>
      <c r="G258" s="446"/>
      <c r="H258" s="125"/>
      <c r="I258" s="446"/>
      <c r="J258" s="446"/>
      <c r="K258" s="446"/>
    </row>
    <row r="259" spans="1:11" s="285" customFormat="1" hidden="1" x14ac:dyDescent="0.25">
      <c r="A259" s="118">
        <v>30</v>
      </c>
      <c r="B259" s="151">
        <v>1950</v>
      </c>
      <c r="C259" s="118" t="s">
        <v>196</v>
      </c>
      <c r="D259" s="127">
        <v>0</v>
      </c>
      <c r="E259" s="147"/>
      <c r="F259" s="98">
        <f>E259/8*12</f>
        <v>0</v>
      </c>
      <c r="G259" s="435">
        <v>0</v>
      </c>
      <c r="H259" s="98">
        <f>F259/8*12</f>
        <v>0</v>
      </c>
      <c r="I259" s="435">
        <f>G259/8*12</f>
        <v>0</v>
      </c>
      <c r="J259" s="435">
        <f>H259/8*12</f>
        <v>0</v>
      </c>
      <c r="K259" s="435">
        <f>I259/8*12</f>
        <v>0</v>
      </c>
    </row>
    <row r="260" spans="1:11" s="285" customFormat="1" hidden="1" x14ac:dyDescent="0.25">
      <c r="A260" s="344"/>
      <c r="B260" s="346"/>
      <c r="C260" s="94"/>
      <c r="D260" s="124">
        <v>0</v>
      </c>
      <c r="E260" s="124">
        <f>E259</f>
        <v>0</v>
      </c>
      <c r="F260" s="124">
        <f>F259</f>
        <v>0</v>
      </c>
      <c r="G260" s="445">
        <v>0</v>
      </c>
      <c r="H260" s="124">
        <f>H259</f>
        <v>0</v>
      </c>
      <c r="I260" s="445">
        <f>I259</f>
        <v>0</v>
      </c>
      <c r="J260" s="445">
        <f>J259</f>
        <v>0</v>
      </c>
      <c r="K260" s="445">
        <f>K259</f>
        <v>0</v>
      </c>
    </row>
    <row r="261" spans="1:11" s="285" customFormat="1" x14ac:dyDescent="0.25">
      <c r="A261" s="348"/>
      <c r="B261" s="351"/>
      <c r="C261" s="93" t="s">
        <v>197</v>
      </c>
      <c r="D261" s="160">
        <v>8855</v>
      </c>
      <c r="E261" s="160">
        <f t="shared" ref="E261:K261" si="32">E257+E260</f>
        <v>9643.8240000000078</v>
      </c>
      <c r="F261" s="160">
        <f t="shared" si="32"/>
        <v>9643.8240000000078</v>
      </c>
      <c r="G261" s="448">
        <f t="shared" si="32"/>
        <v>9643.8240000000078</v>
      </c>
      <c r="H261" s="160">
        <f t="shared" si="32"/>
        <v>10608.20640000001</v>
      </c>
      <c r="I261" s="448">
        <f t="shared" si="32"/>
        <v>46417.137163200008</v>
      </c>
      <c r="J261" s="448">
        <f t="shared" si="32"/>
        <v>48970.079707176017</v>
      </c>
      <c r="K261" s="448">
        <f t="shared" si="32"/>
        <v>51565.493931656354</v>
      </c>
    </row>
    <row r="262" spans="1:11" s="285" customFormat="1" x14ac:dyDescent="0.25">
      <c r="A262" s="349"/>
      <c r="B262" s="154"/>
      <c r="C262" s="126" t="s">
        <v>82</v>
      </c>
      <c r="D262" s="449">
        <f>D261-D165</f>
        <v>-679666.8</v>
      </c>
      <c r="E262" s="161">
        <f>E261-E165</f>
        <v>-2283390.3760000002</v>
      </c>
      <c r="F262" s="161">
        <f>F261-F165</f>
        <v>-2283390.3760000002</v>
      </c>
      <c r="G262" s="449">
        <v>-2283391.3760000002</v>
      </c>
      <c r="H262" s="161">
        <f>H261-H165</f>
        <v>-3791976.9936000002</v>
      </c>
      <c r="I262" s="449">
        <f>I261-I165</f>
        <v>-1297712.3044368001</v>
      </c>
      <c r="J262" s="449">
        <f>J261-J165</f>
        <v>-1369086.4811808239</v>
      </c>
      <c r="K262" s="449">
        <f>K261-K165</f>
        <v>-1441648.0646834075</v>
      </c>
    </row>
    <row r="263" spans="1:11" s="285" customFormat="1" x14ac:dyDescent="0.25">
      <c r="A263" s="284"/>
      <c r="B263" s="352"/>
      <c r="G263" s="468"/>
      <c r="I263" s="468"/>
    </row>
    <row r="264" spans="1:11" s="285" customFormat="1" x14ac:dyDescent="0.25">
      <c r="A264" s="284"/>
      <c r="B264" s="352"/>
      <c r="G264" s="468"/>
      <c r="I264" s="468"/>
    </row>
    <row r="266" spans="1:11" x14ac:dyDescent="0.25">
      <c r="E266" s="128"/>
      <c r="F266" s="128"/>
      <c r="G266" s="128"/>
      <c r="H266" s="128"/>
      <c r="I266" s="128"/>
      <c r="J266" s="128"/>
    </row>
    <row r="267" spans="1:11" x14ac:dyDescent="0.25">
      <c r="E267" s="128"/>
      <c r="F267" s="128"/>
      <c r="G267" s="128"/>
      <c r="H267" s="128"/>
      <c r="I267" s="128"/>
      <c r="J267" s="128"/>
      <c r="K267" s="109"/>
    </row>
    <row r="268" spans="1:11" x14ac:dyDescent="0.25">
      <c r="E268" s="128"/>
      <c r="F268" s="128"/>
      <c r="G268" s="128"/>
      <c r="H268" s="128"/>
      <c r="I268" s="128"/>
      <c r="J268" s="128"/>
    </row>
  </sheetData>
  <mergeCells count="4">
    <mergeCell ref="A3:C3"/>
    <mergeCell ref="A4:B5"/>
    <mergeCell ref="A169:B170"/>
    <mergeCell ref="A1:K1"/>
  </mergeCells>
  <phoneticPr fontId="0" type="noConversion"/>
  <pageMargins left="0.74803149606299213" right="0.74803149606299213" top="0.98425196850393704" bottom="0.98425196850393704" header="0.51181102362204722" footer="0.51181102362204722"/>
  <pageSetup scale="52" orientation="portrait" r:id="rId1"/>
  <headerFooter alignWithMargins="0"/>
  <colBreaks count="1" manualBreakCount="1">
    <brk id="17" max="1048575" man="1"/>
  </col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tabColor rgb="FFFF0000"/>
    <pageSetUpPr fitToPage="1"/>
  </sheetPr>
  <dimension ref="A1:J268"/>
  <sheetViews>
    <sheetView view="pageBreakPreview" zoomScaleSheetLayoutView="100" workbookViewId="0">
      <selection activeCell="I50" sqref="I50"/>
    </sheetView>
  </sheetViews>
  <sheetFormatPr defaultColWidth="9.109375" defaultRowHeight="13.2" x14ac:dyDescent="0.25"/>
  <cols>
    <col min="1" max="1" width="4.6640625" style="96" customWidth="1"/>
    <col min="2" max="2" width="9" style="131" customWidth="1"/>
    <col min="3" max="3" width="38.109375" style="96" customWidth="1"/>
    <col min="4" max="4" width="15" style="96" customWidth="1"/>
    <col min="5" max="5" width="15.88671875" style="96" customWidth="1"/>
    <col min="6" max="6" width="16.33203125" style="96" customWidth="1"/>
    <col min="7" max="7" width="15" style="434" customWidth="1"/>
    <col min="8" max="8" width="16.33203125" style="96" customWidth="1"/>
    <col min="9" max="10" width="12.88671875" style="96" customWidth="1"/>
    <col min="11" max="16384" width="9.109375" style="96"/>
  </cols>
  <sheetData>
    <row r="1" spans="1:10" ht="12.75" customHeight="1" x14ac:dyDescent="0.25">
      <c r="A1" s="937" t="s">
        <v>359</v>
      </c>
      <c r="B1" s="938"/>
      <c r="C1" s="938"/>
      <c r="D1" s="938"/>
      <c r="E1" s="938"/>
      <c r="F1" s="938"/>
      <c r="G1" s="938"/>
      <c r="H1" s="938"/>
      <c r="I1" s="938"/>
      <c r="J1" s="938"/>
    </row>
    <row r="2" spans="1:10" ht="12.75" customHeight="1" x14ac:dyDescent="0.25">
      <c r="A2" s="552"/>
      <c r="B2" s="553"/>
      <c r="C2" s="553"/>
      <c r="D2" s="553"/>
      <c r="E2" s="553"/>
      <c r="F2" s="553"/>
      <c r="G2" s="553"/>
      <c r="H2" s="553"/>
      <c r="I2" s="553"/>
      <c r="J2" s="553"/>
    </row>
    <row r="3" spans="1:10" s="285" customFormat="1" x14ac:dyDescent="0.25">
      <c r="A3" s="941" t="s">
        <v>415</v>
      </c>
      <c r="B3" s="942"/>
      <c r="C3" s="943"/>
      <c r="D3" s="149"/>
      <c r="E3" s="338"/>
      <c r="F3" s="338"/>
      <c r="G3" s="149"/>
      <c r="H3" s="421"/>
      <c r="I3" s="338"/>
      <c r="J3" s="338"/>
    </row>
    <row r="4" spans="1:10" s="285" customFormat="1" x14ac:dyDescent="0.25">
      <c r="A4" s="944" t="s">
        <v>21</v>
      </c>
      <c r="B4" s="945"/>
      <c r="C4" s="150" t="s">
        <v>22</v>
      </c>
      <c r="D4" s="103" t="s">
        <v>23</v>
      </c>
      <c r="E4" s="104" t="s">
        <v>24</v>
      </c>
      <c r="F4" s="103" t="s">
        <v>535</v>
      </c>
      <c r="G4" s="103" t="s">
        <v>413</v>
      </c>
      <c r="H4" s="104" t="s">
        <v>24</v>
      </c>
      <c r="I4" s="104" t="s">
        <v>24</v>
      </c>
      <c r="J4" s="104" t="s">
        <v>24</v>
      </c>
    </row>
    <row r="5" spans="1:10" s="285" customFormat="1" x14ac:dyDescent="0.25">
      <c r="A5" s="946"/>
      <c r="B5" s="947"/>
      <c r="C5" s="106"/>
      <c r="D5" s="333" t="s">
        <v>257</v>
      </c>
      <c r="E5" s="107" t="s">
        <v>382</v>
      </c>
      <c r="F5" s="107" t="s">
        <v>382</v>
      </c>
      <c r="G5" s="333" t="s">
        <v>382</v>
      </c>
      <c r="H5" s="107" t="s">
        <v>407</v>
      </c>
      <c r="I5" s="107" t="s">
        <v>414</v>
      </c>
      <c r="J5" s="107" t="s">
        <v>530</v>
      </c>
    </row>
    <row r="6" spans="1:10" s="285" customFormat="1" x14ac:dyDescent="0.25">
      <c r="A6" s="344"/>
      <c r="B6" s="151"/>
      <c r="C6" s="93" t="s">
        <v>33</v>
      </c>
      <c r="D6" s="85"/>
      <c r="E6" s="85"/>
      <c r="F6" s="85"/>
      <c r="G6" s="428"/>
    </row>
    <row r="7" spans="1:10" s="285" customFormat="1" hidden="1" x14ac:dyDescent="0.25">
      <c r="A7" s="118">
        <v>32</v>
      </c>
      <c r="B7" s="155">
        <v>5005</v>
      </c>
      <c r="C7" s="94" t="s">
        <v>241</v>
      </c>
      <c r="D7" s="85"/>
      <c r="E7" s="85"/>
      <c r="F7" s="85">
        <f>0/8*12</f>
        <v>0</v>
      </c>
      <c r="G7" s="428"/>
      <c r="H7" s="85"/>
      <c r="I7" s="85"/>
      <c r="J7" s="85"/>
    </row>
    <row r="8" spans="1:10" s="285" customFormat="1" hidden="1" x14ac:dyDescent="0.25">
      <c r="A8" s="118">
        <v>32</v>
      </c>
      <c r="B8" s="151">
        <v>5010</v>
      </c>
      <c r="C8" s="94" t="s">
        <v>34</v>
      </c>
      <c r="D8" s="85"/>
      <c r="E8" s="85"/>
      <c r="F8" s="85">
        <f>0/8*12</f>
        <v>0</v>
      </c>
      <c r="G8" s="428"/>
      <c r="H8" s="428"/>
      <c r="I8" s="428"/>
      <c r="J8" s="428"/>
    </row>
    <row r="9" spans="1:10" s="285" customFormat="1" hidden="1" x14ac:dyDescent="0.25">
      <c r="A9" s="118">
        <v>32</v>
      </c>
      <c r="B9" s="151">
        <v>5015</v>
      </c>
      <c r="C9" s="94" t="s">
        <v>35</v>
      </c>
      <c r="D9" s="556"/>
      <c r="E9" s="345"/>
      <c r="F9" s="85">
        <f>E9-D9</f>
        <v>0</v>
      </c>
      <c r="G9" s="556"/>
      <c r="H9" s="428"/>
      <c r="I9" s="428"/>
      <c r="J9" s="428"/>
    </row>
    <row r="10" spans="1:10" s="285" customFormat="1" x14ac:dyDescent="0.25">
      <c r="A10" s="118">
        <v>32</v>
      </c>
      <c r="B10" s="151">
        <v>5020</v>
      </c>
      <c r="C10" s="94" t="s">
        <v>350</v>
      </c>
      <c r="D10" s="85">
        <v>5400</v>
      </c>
      <c r="E10" s="85"/>
      <c r="F10" s="85">
        <v>5400</v>
      </c>
      <c r="G10" s="428">
        <v>5400</v>
      </c>
      <c r="H10" s="428"/>
      <c r="I10" s="428">
        <f>+H10*1.055</f>
        <v>0</v>
      </c>
      <c r="J10" s="428">
        <f>+I10*1.053</f>
        <v>0</v>
      </c>
    </row>
    <row r="11" spans="1:10" s="285" customFormat="1" hidden="1" x14ac:dyDescent="0.25">
      <c r="A11" s="118">
        <v>32</v>
      </c>
      <c r="B11" s="151">
        <v>5025</v>
      </c>
      <c r="C11" s="94" t="s">
        <v>36</v>
      </c>
      <c r="D11" s="85">
        <v>0</v>
      </c>
      <c r="E11" s="85"/>
      <c r="F11" s="85">
        <f>E11-D11</f>
        <v>0</v>
      </c>
      <c r="G11" s="428">
        <v>0</v>
      </c>
      <c r="H11" s="428"/>
      <c r="I11" s="428">
        <f t="shared" ref="I11:I17" si="0">+H11*1.055</f>
        <v>0</v>
      </c>
      <c r="J11" s="428">
        <f t="shared" ref="J11:J17" si="1">+I11*1.053</f>
        <v>0</v>
      </c>
    </row>
    <row r="12" spans="1:10" s="285" customFormat="1" hidden="1" x14ac:dyDescent="0.25">
      <c r="A12" s="118">
        <v>32</v>
      </c>
      <c r="B12" s="151">
        <v>5030</v>
      </c>
      <c r="C12" s="94" t="s">
        <v>85</v>
      </c>
      <c r="D12" s="85">
        <v>0</v>
      </c>
      <c r="E12" s="85"/>
      <c r="F12" s="85">
        <f>E12-D12</f>
        <v>0</v>
      </c>
      <c r="G12" s="428">
        <v>0</v>
      </c>
      <c r="H12" s="428"/>
      <c r="I12" s="428">
        <f t="shared" si="0"/>
        <v>0</v>
      </c>
      <c r="J12" s="428">
        <f t="shared" si="1"/>
        <v>0</v>
      </c>
    </row>
    <row r="13" spans="1:10" s="285" customFormat="1" hidden="1" x14ac:dyDescent="0.25">
      <c r="A13" s="118">
        <v>32</v>
      </c>
      <c r="B13" s="151">
        <v>5035</v>
      </c>
      <c r="C13" s="94" t="s">
        <v>84</v>
      </c>
      <c r="D13" s="85">
        <v>0</v>
      </c>
      <c r="E13" s="85"/>
      <c r="F13" s="85">
        <f>E13-D13</f>
        <v>0</v>
      </c>
      <c r="G13" s="428">
        <v>0</v>
      </c>
      <c r="H13" s="428"/>
      <c r="I13" s="428">
        <f t="shared" si="0"/>
        <v>0</v>
      </c>
      <c r="J13" s="428">
        <f t="shared" si="1"/>
        <v>0</v>
      </c>
    </row>
    <row r="14" spans="1:10" s="285" customFormat="1" x14ac:dyDescent="0.25">
      <c r="A14" s="118">
        <v>32</v>
      </c>
      <c r="B14" s="151">
        <v>5040</v>
      </c>
      <c r="C14" s="94" t="s">
        <v>37</v>
      </c>
      <c r="D14" s="85">
        <v>80300</v>
      </c>
      <c r="E14" s="85">
        <v>69000</v>
      </c>
      <c r="F14" s="85">
        <v>69000</v>
      </c>
      <c r="G14" s="428">
        <v>69000</v>
      </c>
      <c r="H14" s="428"/>
      <c r="I14" s="428">
        <f t="shared" si="0"/>
        <v>0</v>
      </c>
      <c r="J14" s="428">
        <f t="shared" si="1"/>
        <v>0</v>
      </c>
    </row>
    <row r="15" spans="1:10" s="285" customFormat="1" hidden="1" x14ac:dyDescent="0.25">
      <c r="A15" s="118">
        <v>32</v>
      </c>
      <c r="B15" s="151">
        <v>5045</v>
      </c>
      <c r="C15" s="94" t="s">
        <v>38</v>
      </c>
      <c r="D15" s="85">
        <v>0</v>
      </c>
      <c r="E15" s="85"/>
      <c r="F15" s="85">
        <v>0</v>
      </c>
      <c r="G15" s="428">
        <v>0</v>
      </c>
      <c r="H15" s="428"/>
      <c r="I15" s="428">
        <f t="shared" si="0"/>
        <v>0</v>
      </c>
      <c r="J15" s="428">
        <f t="shared" si="1"/>
        <v>0</v>
      </c>
    </row>
    <row r="16" spans="1:10" s="285" customFormat="1" x14ac:dyDescent="0.25">
      <c r="A16" s="118">
        <v>32</v>
      </c>
      <c r="B16" s="151">
        <v>5050</v>
      </c>
      <c r="C16" s="94" t="s">
        <v>83</v>
      </c>
      <c r="D16" s="85">
        <v>0</v>
      </c>
      <c r="E16" s="85"/>
      <c r="F16" s="85">
        <v>0</v>
      </c>
      <c r="G16" s="428">
        <v>0</v>
      </c>
      <c r="H16" s="428"/>
      <c r="I16" s="428">
        <f t="shared" si="0"/>
        <v>0</v>
      </c>
      <c r="J16" s="428">
        <f t="shared" si="1"/>
        <v>0</v>
      </c>
    </row>
    <row r="17" spans="1:10" s="285" customFormat="1" x14ac:dyDescent="0.25">
      <c r="A17" s="118">
        <v>32</v>
      </c>
      <c r="B17" s="151">
        <v>5055</v>
      </c>
      <c r="C17" s="94" t="s">
        <v>39</v>
      </c>
      <c r="D17" s="85">
        <v>994700</v>
      </c>
      <c r="E17" s="85">
        <v>824000</v>
      </c>
      <c r="F17" s="85">
        <v>824000</v>
      </c>
      <c r="G17" s="428">
        <v>824000</v>
      </c>
      <c r="H17" s="428"/>
      <c r="I17" s="428">
        <f t="shared" si="0"/>
        <v>0</v>
      </c>
      <c r="J17" s="428">
        <f t="shared" si="1"/>
        <v>0</v>
      </c>
    </row>
    <row r="18" spans="1:10" s="285" customFormat="1" x14ac:dyDescent="0.25">
      <c r="A18" s="344"/>
      <c r="B18" s="151"/>
      <c r="C18" s="94"/>
      <c r="D18" s="429">
        <f t="shared" ref="D18:J18" si="2">SUM(D7:D17)</f>
        <v>1080400</v>
      </c>
      <c r="E18" s="89">
        <f t="shared" si="2"/>
        <v>893000</v>
      </c>
      <c r="F18" s="89">
        <f t="shared" si="2"/>
        <v>898400</v>
      </c>
      <c r="G18" s="429">
        <f t="shared" si="2"/>
        <v>898400</v>
      </c>
      <c r="H18" s="429">
        <f t="shared" si="2"/>
        <v>0</v>
      </c>
      <c r="I18" s="429">
        <f t="shared" si="2"/>
        <v>0</v>
      </c>
      <c r="J18" s="429">
        <f t="shared" si="2"/>
        <v>0</v>
      </c>
    </row>
    <row r="19" spans="1:10" s="285" customFormat="1" x14ac:dyDescent="0.25">
      <c r="A19" s="344"/>
      <c r="B19" s="151"/>
      <c r="C19" s="93" t="s">
        <v>40</v>
      </c>
      <c r="D19" s="85"/>
      <c r="E19" s="86"/>
      <c r="F19" s="86"/>
      <c r="G19" s="428"/>
      <c r="H19" s="88"/>
      <c r="I19" s="88"/>
      <c r="J19" s="88"/>
    </row>
    <row r="20" spans="1:10" s="285" customFormat="1" x14ac:dyDescent="0.25">
      <c r="A20" s="118">
        <v>32</v>
      </c>
      <c r="B20" s="151">
        <v>5105</v>
      </c>
      <c r="C20" s="94" t="s">
        <v>41</v>
      </c>
      <c r="D20" s="85">
        <v>106100</v>
      </c>
      <c r="E20" s="85">
        <v>101000</v>
      </c>
      <c r="F20" s="85">
        <v>101000</v>
      </c>
      <c r="G20" s="428">
        <v>101000</v>
      </c>
      <c r="H20" s="428"/>
      <c r="I20" s="428">
        <f>+H20*1.055</f>
        <v>0</v>
      </c>
      <c r="J20" s="428">
        <f>+I20*1.053</f>
        <v>0</v>
      </c>
    </row>
    <row r="21" spans="1:10" s="285" customFormat="1" x14ac:dyDescent="0.25">
      <c r="A21" s="118">
        <v>32</v>
      </c>
      <c r="B21" s="151">
        <v>5115</v>
      </c>
      <c r="C21" s="94" t="s">
        <v>42</v>
      </c>
      <c r="D21" s="85">
        <v>153650</v>
      </c>
      <c r="E21" s="85">
        <v>122000</v>
      </c>
      <c r="F21" s="85">
        <v>122000</v>
      </c>
      <c r="G21" s="428">
        <v>122000</v>
      </c>
      <c r="H21" s="428"/>
      <c r="I21" s="428">
        <f>+H21*1.055</f>
        <v>0</v>
      </c>
      <c r="J21" s="428">
        <f>+I21*1.053</f>
        <v>0</v>
      </c>
    </row>
    <row r="22" spans="1:10" s="285" customFormat="1" x14ac:dyDescent="0.25">
      <c r="A22" s="118">
        <v>32</v>
      </c>
      <c r="B22" s="151">
        <v>5120</v>
      </c>
      <c r="C22" s="94" t="s">
        <v>43</v>
      </c>
      <c r="D22" s="85">
        <v>40600</v>
      </c>
      <c r="E22" s="85">
        <v>43000</v>
      </c>
      <c r="F22" s="85">
        <v>43000</v>
      </c>
      <c r="G22" s="428">
        <v>43000</v>
      </c>
      <c r="H22" s="428"/>
      <c r="I22" s="428">
        <f>+H22*1.055</f>
        <v>0</v>
      </c>
      <c r="J22" s="428">
        <f>+I22*1.053</f>
        <v>0</v>
      </c>
    </row>
    <row r="23" spans="1:10" s="285" customFormat="1" x14ac:dyDescent="0.25">
      <c r="A23" s="118">
        <v>32</v>
      </c>
      <c r="B23" s="151">
        <v>5125</v>
      </c>
      <c r="C23" s="94" t="s">
        <v>44</v>
      </c>
      <c r="D23" s="85">
        <v>0</v>
      </c>
      <c r="E23" s="85"/>
      <c r="F23" s="85">
        <v>0</v>
      </c>
      <c r="G23" s="428">
        <v>0</v>
      </c>
      <c r="H23" s="428"/>
      <c r="I23" s="428">
        <f>+H23*1.055</f>
        <v>0</v>
      </c>
      <c r="J23" s="428">
        <f>+I23*1.053</f>
        <v>0</v>
      </c>
    </row>
    <row r="24" spans="1:10" s="285" customFormat="1" x14ac:dyDescent="0.25">
      <c r="A24" s="118">
        <v>32</v>
      </c>
      <c r="B24" s="151">
        <v>5130</v>
      </c>
      <c r="C24" s="94" t="s">
        <v>45</v>
      </c>
      <c r="D24" s="85">
        <v>12500</v>
      </c>
      <c r="E24" s="85">
        <v>11100</v>
      </c>
      <c r="F24" s="85">
        <v>11100</v>
      </c>
      <c r="G24" s="428">
        <v>11100</v>
      </c>
      <c r="H24" s="428"/>
      <c r="I24" s="428">
        <f>+H24*1.055</f>
        <v>0</v>
      </c>
      <c r="J24" s="428">
        <f>+I24*1.053</f>
        <v>0</v>
      </c>
    </row>
    <row r="25" spans="1:10" s="285" customFormat="1" x14ac:dyDescent="0.25">
      <c r="A25" s="344"/>
      <c r="B25" s="151"/>
      <c r="C25" s="94"/>
      <c r="D25" s="429">
        <f t="shared" ref="D25:J25" si="3">SUM(D20:D24)</f>
        <v>312850</v>
      </c>
      <c r="E25" s="89">
        <f t="shared" si="3"/>
        <v>277100</v>
      </c>
      <c r="F25" s="89">
        <f t="shared" si="3"/>
        <v>277100</v>
      </c>
      <c r="G25" s="429">
        <f t="shared" si="3"/>
        <v>277100</v>
      </c>
      <c r="H25" s="429">
        <f t="shared" si="3"/>
        <v>0</v>
      </c>
      <c r="I25" s="429">
        <f t="shared" si="3"/>
        <v>0</v>
      </c>
      <c r="J25" s="429">
        <f t="shared" si="3"/>
        <v>0</v>
      </c>
    </row>
    <row r="26" spans="1:10" s="285" customFormat="1" x14ac:dyDescent="0.25">
      <c r="A26" s="344"/>
      <c r="B26" s="151"/>
      <c r="C26" s="93" t="s">
        <v>46</v>
      </c>
      <c r="D26" s="85"/>
      <c r="E26" s="86"/>
      <c r="F26" s="86"/>
      <c r="G26" s="428"/>
      <c r="H26" s="86"/>
      <c r="I26" s="86"/>
      <c r="J26" s="86"/>
    </row>
    <row r="27" spans="1:10" s="285" customFormat="1" x14ac:dyDescent="0.25">
      <c r="A27" s="344"/>
      <c r="B27" s="151"/>
      <c r="C27" s="93" t="s">
        <v>47</v>
      </c>
      <c r="D27" s="85"/>
      <c r="E27" s="86"/>
      <c r="F27" s="86"/>
      <c r="G27" s="428"/>
      <c r="H27" s="86"/>
      <c r="I27" s="86"/>
      <c r="J27" s="86"/>
    </row>
    <row r="28" spans="1:10" s="285" customFormat="1" x14ac:dyDescent="0.25">
      <c r="A28" s="118">
        <v>32</v>
      </c>
      <c r="B28" s="151">
        <v>5150</v>
      </c>
      <c r="C28" s="94" t="s">
        <v>48</v>
      </c>
      <c r="D28" s="85"/>
      <c r="E28" s="85"/>
      <c r="F28" s="85">
        <f>0/8*12</f>
        <v>0</v>
      </c>
      <c r="G28" s="428"/>
      <c r="H28" s="85"/>
      <c r="I28" s="85"/>
      <c r="J28" s="85">
        <f>E28*(1+[1]INPUT!C$8)</f>
        <v>0</v>
      </c>
    </row>
    <row r="29" spans="1:10" s="285" customFormat="1" x14ac:dyDescent="0.25">
      <c r="A29" s="344"/>
      <c r="B29" s="151"/>
      <c r="C29" s="94"/>
      <c r="D29" s="89"/>
      <c r="E29" s="89">
        <f t="shared" ref="E29:J29" si="4">E28</f>
        <v>0</v>
      </c>
      <c r="F29" s="89">
        <f t="shared" si="4"/>
        <v>0</v>
      </c>
      <c r="G29" s="429"/>
      <c r="H29" s="89"/>
      <c r="I29" s="89"/>
      <c r="J29" s="89">
        <f t="shared" si="4"/>
        <v>0</v>
      </c>
    </row>
    <row r="30" spans="1:10" s="285" customFormat="1" x14ac:dyDescent="0.25">
      <c r="A30" s="344"/>
      <c r="B30" s="151"/>
      <c r="C30" s="93" t="s">
        <v>49</v>
      </c>
      <c r="D30" s="85"/>
      <c r="E30" s="86"/>
      <c r="F30" s="86"/>
      <c r="G30" s="428"/>
      <c r="H30" s="86"/>
      <c r="I30" s="86"/>
      <c r="J30" s="86"/>
    </row>
    <row r="31" spans="1:10" s="285" customFormat="1" x14ac:dyDescent="0.25">
      <c r="A31" s="118">
        <v>32</v>
      </c>
      <c r="B31" s="151">
        <v>5170</v>
      </c>
      <c r="C31" s="94" t="s">
        <v>341</v>
      </c>
      <c r="D31" s="85"/>
      <c r="E31" s="108"/>
      <c r="F31" s="85">
        <f>0/8*12</f>
        <v>0</v>
      </c>
      <c r="G31" s="428"/>
      <c r="H31" s="85"/>
      <c r="I31" s="85"/>
      <c r="J31" s="85"/>
    </row>
    <row r="32" spans="1:10" s="285" customFormat="1" x14ac:dyDescent="0.25">
      <c r="A32" s="344"/>
      <c r="B32" s="151"/>
      <c r="C32" s="94"/>
      <c r="D32" s="89"/>
      <c r="E32" s="89">
        <f t="shared" ref="E32:J32" si="5">SUM(E31)</f>
        <v>0</v>
      </c>
      <c r="F32" s="89">
        <f t="shared" si="5"/>
        <v>0</v>
      </c>
      <c r="G32" s="429"/>
      <c r="H32" s="89"/>
      <c r="I32" s="89"/>
      <c r="J32" s="89">
        <f t="shared" si="5"/>
        <v>0</v>
      </c>
    </row>
    <row r="33" spans="1:10" s="285" customFormat="1" x14ac:dyDescent="0.25">
      <c r="A33" s="344"/>
      <c r="B33" s="151"/>
      <c r="C33" s="93" t="s">
        <v>50</v>
      </c>
      <c r="D33" s="85"/>
      <c r="E33" s="86"/>
      <c r="F33" s="86"/>
      <c r="G33" s="428"/>
      <c r="H33" s="86"/>
      <c r="I33" s="86"/>
      <c r="J33" s="86"/>
    </row>
    <row r="34" spans="1:10" s="285" customFormat="1" x14ac:dyDescent="0.25">
      <c r="A34" s="118">
        <v>32</v>
      </c>
      <c r="B34" s="151">
        <v>5180</v>
      </c>
      <c r="C34" s="94" t="s">
        <v>51</v>
      </c>
      <c r="D34" s="85"/>
      <c r="E34" s="108"/>
      <c r="F34" s="85">
        <f>0/8*12</f>
        <v>0</v>
      </c>
      <c r="G34" s="428"/>
      <c r="H34" s="85"/>
      <c r="I34" s="85"/>
      <c r="J34" s="108"/>
    </row>
    <row r="35" spans="1:10" s="285" customFormat="1" x14ac:dyDescent="0.25">
      <c r="A35" s="344"/>
      <c r="B35" s="151"/>
      <c r="C35" s="94"/>
      <c r="D35" s="89"/>
      <c r="E35" s="89">
        <f t="shared" ref="E35:J35" si="6">SUM(E34)</f>
        <v>0</v>
      </c>
      <c r="F35" s="89">
        <f t="shared" si="6"/>
        <v>0</v>
      </c>
      <c r="G35" s="429"/>
      <c r="H35" s="89"/>
      <c r="I35" s="89"/>
      <c r="J35" s="89">
        <f t="shared" si="6"/>
        <v>0</v>
      </c>
    </row>
    <row r="36" spans="1:10" s="285" customFormat="1" x14ac:dyDescent="0.25">
      <c r="A36" s="344"/>
      <c r="B36" s="151"/>
      <c r="C36" s="93" t="s">
        <v>52</v>
      </c>
      <c r="D36" s="85"/>
      <c r="E36" s="86"/>
      <c r="F36" s="86"/>
      <c r="G36" s="428"/>
      <c r="H36" s="86"/>
      <c r="I36" s="86"/>
      <c r="J36" s="86"/>
    </row>
    <row r="37" spans="1:10" s="285" customFormat="1" x14ac:dyDescent="0.25">
      <c r="A37" s="118">
        <v>32</v>
      </c>
      <c r="B37" s="151">
        <v>5190</v>
      </c>
      <c r="C37" s="94" t="s">
        <v>53</v>
      </c>
      <c r="D37" s="85"/>
      <c r="E37" s="108"/>
      <c r="F37" s="85">
        <f>0/8*12</f>
        <v>0</v>
      </c>
      <c r="G37" s="428"/>
      <c r="H37" s="85"/>
      <c r="I37" s="85"/>
      <c r="J37" s="85"/>
    </row>
    <row r="38" spans="1:10" s="285" customFormat="1" x14ac:dyDescent="0.25">
      <c r="A38" s="344"/>
      <c r="B38" s="151"/>
      <c r="C38" s="94"/>
      <c r="D38" s="89"/>
      <c r="E38" s="89">
        <f t="shared" ref="E38:J38" si="7">E37</f>
        <v>0</v>
      </c>
      <c r="F38" s="89">
        <f t="shared" si="7"/>
        <v>0</v>
      </c>
      <c r="G38" s="429"/>
      <c r="H38" s="89"/>
      <c r="I38" s="89"/>
      <c r="J38" s="89">
        <f t="shared" si="7"/>
        <v>0</v>
      </c>
    </row>
    <row r="39" spans="1:10" s="285" customFormat="1" x14ac:dyDescent="0.25">
      <c r="A39" s="344"/>
      <c r="B39" s="151"/>
      <c r="C39" s="93" t="s">
        <v>54</v>
      </c>
      <c r="D39" s="85"/>
      <c r="E39" s="86"/>
      <c r="F39" s="86"/>
      <c r="G39" s="428"/>
      <c r="H39" s="86"/>
      <c r="I39" s="86"/>
      <c r="J39" s="86"/>
    </row>
    <row r="40" spans="1:10" s="285" customFormat="1" x14ac:dyDescent="0.25">
      <c r="A40" s="118">
        <v>32</v>
      </c>
      <c r="B40" s="151">
        <v>5200</v>
      </c>
      <c r="C40" s="94" t="s">
        <v>55</v>
      </c>
      <c r="D40" s="85"/>
      <c r="E40" s="108"/>
      <c r="F40" s="85">
        <f t="shared" ref="F40:F58" si="8">0/8*12</f>
        <v>0</v>
      </c>
      <c r="G40" s="428"/>
      <c r="H40" s="85"/>
      <c r="I40" s="85"/>
      <c r="J40" s="85">
        <f>F40*(1+[1]INPUT!C$10)</f>
        <v>0</v>
      </c>
    </row>
    <row r="41" spans="1:10" s="285" customFormat="1" x14ac:dyDescent="0.25">
      <c r="A41" s="118">
        <v>32</v>
      </c>
      <c r="B41" s="151">
        <v>5205</v>
      </c>
      <c r="C41" s="94" t="s">
        <v>56</v>
      </c>
      <c r="D41" s="85"/>
      <c r="E41" s="108"/>
      <c r="F41" s="85"/>
      <c r="G41" s="428"/>
      <c r="H41" s="85"/>
      <c r="I41" s="85"/>
      <c r="J41" s="85"/>
    </row>
    <row r="42" spans="1:10" s="285" customFormat="1" x14ac:dyDescent="0.25">
      <c r="A42" s="118">
        <v>32</v>
      </c>
      <c r="B42" s="151">
        <v>5210</v>
      </c>
      <c r="C42" s="94" t="s">
        <v>57</v>
      </c>
      <c r="D42" s="85"/>
      <c r="E42" s="108"/>
      <c r="F42" s="85">
        <f t="shared" si="8"/>
        <v>0</v>
      </c>
      <c r="G42" s="428"/>
      <c r="H42" s="85"/>
      <c r="I42" s="85"/>
      <c r="J42" s="85"/>
    </row>
    <row r="43" spans="1:10" s="285" customFormat="1" x14ac:dyDescent="0.25">
      <c r="A43" s="118">
        <v>32</v>
      </c>
      <c r="B43" s="151">
        <v>5215</v>
      </c>
      <c r="C43" s="94" t="s">
        <v>95</v>
      </c>
      <c r="D43" s="85"/>
      <c r="E43" s="108"/>
      <c r="F43" s="85">
        <f t="shared" si="8"/>
        <v>0</v>
      </c>
      <c r="G43" s="428"/>
      <c r="H43" s="85"/>
      <c r="I43" s="85"/>
      <c r="J43" s="85"/>
    </row>
    <row r="44" spans="1:10" s="285" customFormat="1" x14ac:dyDescent="0.25">
      <c r="A44" s="118">
        <v>32</v>
      </c>
      <c r="B44" s="151">
        <v>5220</v>
      </c>
      <c r="C44" s="94" t="s">
        <v>58</v>
      </c>
      <c r="D44" s="85"/>
      <c r="E44" s="108"/>
      <c r="F44" s="85">
        <f t="shared" si="8"/>
        <v>0</v>
      </c>
      <c r="G44" s="428"/>
      <c r="H44" s="85"/>
      <c r="I44" s="85"/>
      <c r="J44" s="85"/>
    </row>
    <row r="45" spans="1:10" s="285" customFormat="1" x14ac:dyDescent="0.25">
      <c r="A45" s="118">
        <v>32</v>
      </c>
      <c r="B45" s="151">
        <v>5225</v>
      </c>
      <c r="C45" s="94" t="s">
        <v>92</v>
      </c>
      <c r="D45" s="85"/>
      <c r="E45" s="108"/>
      <c r="F45" s="85">
        <f t="shared" si="8"/>
        <v>0</v>
      </c>
      <c r="G45" s="428"/>
      <c r="H45" s="85"/>
      <c r="I45" s="85"/>
      <c r="J45" s="85"/>
    </row>
    <row r="46" spans="1:10" s="285" customFormat="1" x14ac:dyDescent="0.25">
      <c r="A46" s="118">
        <v>32</v>
      </c>
      <c r="B46" s="151">
        <v>5230</v>
      </c>
      <c r="C46" s="94" t="s">
        <v>86</v>
      </c>
      <c r="D46" s="85"/>
      <c r="E46" s="108"/>
      <c r="F46" s="85">
        <f t="shared" si="8"/>
        <v>0</v>
      </c>
      <c r="G46" s="428"/>
      <c r="H46" s="85"/>
      <c r="I46" s="85"/>
      <c r="J46" s="85"/>
    </row>
    <row r="47" spans="1:10" s="285" customFormat="1" x14ac:dyDescent="0.25">
      <c r="A47" s="118">
        <v>32</v>
      </c>
      <c r="B47" s="151">
        <v>5235</v>
      </c>
      <c r="C47" s="94" t="s">
        <v>124</v>
      </c>
      <c r="D47" s="85"/>
      <c r="E47" s="108"/>
      <c r="F47" s="85">
        <f t="shared" si="8"/>
        <v>0</v>
      </c>
      <c r="G47" s="428"/>
      <c r="H47" s="85"/>
      <c r="I47" s="85"/>
      <c r="J47" s="85"/>
    </row>
    <row r="48" spans="1:10" s="285" customFormat="1" x14ac:dyDescent="0.25">
      <c r="A48" s="118">
        <v>32</v>
      </c>
      <c r="B48" s="151">
        <v>5240</v>
      </c>
      <c r="C48" s="94" t="s">
        <v>59</v>
      </c>
      <c r="D48" s="85"/>
      <c r="E48" s="108"/>
      <c r="F48" s="85">
        <f t="shared" si="8"/>
        <v>0</v>
      </c>
      <c r="G48" s="428"/>
      <c r="H48" s="85"/>
      <c r="I48" s="85"/>
      <c r="J48" s="85"/>
    </row>
    <row r="49" spans="1:10" s="285" customFormat="1" x14ac:dyDescent="0.25">
      <c r="A49" s="118">
        <v>32</v>
      </c>
      <c r="B49" s="151">
        <v>5245</v>
      </c>
      <c r="C49" s="94" t="s">
        <v>91</v>
      </c>
      <c r="D49" s="85"/>
      <c r="E49" s="108"/>
      <c r="F49" s="85">
        <f t="shared" si="8"/>
        <v>0</v>
      </c>
      <c r="G49" s="428"/>
      <c r="H49" s="85"/>
      <c r="I49" s="85"/>
      <c r="J49" s="85"/>
    </row>
    <row r="50" spans="1:10" s="285" customFormat="1" x14ac:dyDescent="0.25">
      <c r="A50" s="118">
        <v>32</v>
      </c>
      <c r="B50" s="151">
        <v>5250</v>
      </c>
      <c r="C50" s="94" t="s">
        <v>88</v>
      </c>
      <c r="D50" s="85"/>
      <c r="E50" s="108"/>
      <c r="F50" s="85">
        <f t="shared" si="8"/>
        <v>0</v>
      </c>
      <c r="G50" s="428"/>
      <c r="H50" s="85"/>
      <c r="I50" s="85"/>
      <c r="J50" s="85"/>
    </row>
    <row r="51" spans="1:10" s="285" customFormat="1" x14ac:dyDescent="0.25">
      <c r="A51" s="118">
        <v>32</v>
      </c>
      <c r="B51" s="151">
        <v>5255</v>
      </c>
      <c r="C51" s="94" t="s">
        <v>125</v>
      </c>
      <c r="D51" s="85"/>
      <c r="E51" s="108"/>
      <c r="F51" s="85">
        <f t="shared" si="8"/>
        <v>0</v>
      </c>
      <c r="G51" s="428"/>
      <c r="H51" s="85"/>
      <c r="I51" s="85"/>
      <c r="J51" s="85">
        <f>F51*(1+[1]INPUT!C$10)</f>
        <v>0</v>
      </c>
    </row>
    <row r="52" spans="1:10" s="285" customFormat="1" x14ac:dyDescent="0.25">
      <c r="A52" s="118">
        <v>32</v>
      </c>
      <c r="B52" s="151">
        <v>5260</v>
      </c>
      <c r="C52" s="94" t="s">
        <v>90</v>
      </c>
      <c r="D52" s="85"/>
      <c r="E52" s="108"/>
      <c r="F52" s="85">
        <f t="shared" si="8"/>
        <v>0</v>
      </c>
      <c r="G52" s="428"/>
      <c r="H52" s="85"/>
      <c r="I52" s="85"/>
      <c r="J52" s="85">
        <f>F52*(1+[1]INPUT!C$10)</f>
        <v>0</v>
      </c>
    </row>
    <row r="53" spans="1:10" s="285" customFormat="1" x14ac:dyDescent="0.25">
      <c r="A53" s="118">
        <v>32</v>
      </c>
      <c r="B53" s="151">
        <v>5265</v>
      </c>
      <c r="C53" s="94" t="s">
        <v>87</v>
      </c>
      <c r="D53" s="85"/>
      <c r="E53" s="108"/>
      <c r="F53" s="85">
        <f t="shared" si="8"/>
        <v>0</v>
      </c>
      <c r="G53" s="428"/>
      <c r="H53" s="85"/>
      <c r="I53" s="85"/>
      <c r="J53" s="85">
        <f>F53*(1+[1]INPUT!C$10)</f>
        <v>0</v>
      </c>
    </row>
    <row r="54" spans="1:10" s="285" customFormat="1" x14ac:dyDescent="0.25">
      <c r="A54" s="118">
        <v>32</v>
      </c>
      <c r="B54" s="151">
        <v>5270</v>
      </c>
      <c r="C54" s="94" t="s">
        <v>89</v>
      </c>
      <c r="D54" s="85"/>
      <c r="E54" s="108"/>
      <c r="F54" s="85">
        <f t="shared" si="8"/>
        <v>0</v>
      </c>
      <c r="G54" s="428"/>
      <c r="H54" s="85"/>
      <c r="I54" s="85"/>
      <c r="J54" s="85">
        <f>F54*(1+[1]INPUT!C$10)</f>
        <v>0</v>
      </c>
    </row>
    <row r="55" spans="1:10" s="285" customFormat="1" x14ac:dyDescent="0.25">
      <c r="A55" s="118">
        <v>32</v>
      </c>
      <c r="B55" s="151">
        <v>5275</v>
      </c>
      <c r="C55" s="94" t="s">
        <v>93</v>
      </c>
      <c r="D55" s="85"/>
      <c r="E55" s="108"/>
      <c r="F55" s="85">
        <f t="shared" si="8"/>
        <v>0</v>
      </c>
      <c r="G55" s="428"/>
      <c r="H55" s="85"/>
      <c r="I55" s="85"/>
      <c r="J55" s="85">
        <f>F55*(1+[1]INPUT!C$10)</f>
        <v>0</v>
      </c>
    </row>
    <row r="56" spans="1:10" s="285" customFormat="1" x14ac:dyDescent="0.25">
      <c r="A56" s="118">
        <v>32</v>
      </c>
      <c r="B56" s="151">
        <v>5280</v>
      </c>
      <c r="C56" s="94" t="s">
        <v>94</v>
      </c>
      <c r="D56" s="85"/>
      <c r="E56" s="108"/>
      <c r="F56" s="85">
        <f t="shared" si="8"/>
        <v>0</v>
      </c>
      <c r="G56" s="428"/>
      <c r="H56" s="85"/>
      <c r="I56" s="85"/>
      <c r="J56" s="85">
        <f>F56*(1+[1]INPUT!C$10)</f>
        <v>0</v>
      </c>
    </row>
    <row r="57" spans="1:10" s="285" customFormat="1" x14ac:dyDescent="0.25">
      <c r="A57" s="118">
        <v>32</v>
      </c>
      <c r="B57" s="151">
        <v>5285</v>
      </c>
      <c r="C57" s="94" t="s">
        <v>60</v>
      </c>
      <c r="D57" s="85"/>
      <c r="E57" s="85"/>
      <c r="F57" s="85">
        <f t="shared" si="8"/>
        <v>0</v>
      </c>
      <c r="G57" s="428"/>
      <c r="H57" s="85"/>
      <c r="I57" s="85"/>
      <c r="J57" s="85">
        <f>F57*(1+[1]INPUT!C$10)</f>
        <v>0</v>
      </c>
    </row>
    <row r="58" spans="1:10" s="285" customFormat="1" x14ac:dyDescent="0.25">
      <c r="A58" s="118">
        <v>32</v>
      </c>
      <c r="B58" s="151">
        <v>5290</v>
      </c>
      <c r="C58" s="94" t="s">
        <v>186</v>
      </c>
      <c r="D58" s="85"/>
      <c r="E58" s="108"/>
      <c r="F58" s="85">
        <f t="shared" si="8"/>
        <v>0</v>
      </c>
      <c r="G58" s="428"/>
      <c r="H58" s="85"/>
      <c r="I58" s="85"/>
      <c r="J58" s="85">
        <f>F58*(1+[1]INPUT!C$10)</f>
        <v>0</v>
      </c>
    </row>
    <row r="59" spans="1:10" s="285" customFormat="1" x14ac:dyDescent="0.25">
      <c r="A59" s="344"/>
      <c r="B59" s="151"/>
      <c r="C59" s="94"/>
      <c r="D59" s="110"/>
      <c r="E59" s="110">
        <f t="shared" ref="E59:J59" si="9">SUM(E40:E58)</f>
        <v>0</v>
      </c>
      <c r="F59" s="110">
        <f t="shared" si="9"/>
        <v>0</v>
      </c>
      <c r="G59" s="439"/>
      <c r="H59" s="439">
        <f t="shared" si="9"/>
        <v>0</v>
      </c>
      <c r="I59" s="439">
        <f t="shared" si="9"/>
        <v>0</v>
      </c>
      <c r="J59" s="439">
        <f t="shared" si="9"/>
        <v>0</v>
      </c>
    </row>
    <row r="60" spans="1:10" s="285" customFormat="1" x14ac:dyDescent="0.25">
      <c r="A60" s="344"/>
      <c r="B60" s="151"/>
      <c r="C60" s="93" t="s">
        <v>198</v>
      </c>
      <c r="D60" s="85"/>
      <c r="E60" s="112"/>
      <c r="F60" s="112"/>
      <c r="G60" s="428"/>
      <c r="H60" s="112"/>
      <c r="I60" s="112"/>
      <c r="J60" s="112"/>
    </row>
    <row r="61" spans="1:10" s="285" customFormat="1" x14ac:dyDescent="0.25">
      <c r="A61" s="118">
        <v>32</v>
      </c>
      <c r="B61" s="151">
        <v>5400</v>
      </c>
      <c r="C61" s="94" t="s">
        <v>334</v>
      </c>
      <c r="D61" s="85"/>
      <c r="E61" s="86"/>
      <c r="F61" s="85">
        <f>0/8*12</f>
        <v>0</v>
      </c>
      <c r="G61" s="428"/>
      <c r="H61" s="86"/>
      <c r="I61" s="86"/>
      <c r="J61" s="86"/>
    </row>
    <row r="62" spans="1:10" s="285" customFormat="1" x14ac:dyDescent="0.25">
      <c r="A62" s="118">
        <v>32</v>
      </c>
      <c r="B62" s="151">
        <v>5405</v>
      </c>
      <c r="C62" s="94" t="s">
        <v>335</v>
      </c>
      <c r="D62" s="85"/>
      <c r="E62" s="108"/>
      <c r="F62" s="85">
        <f>0/8*12</f>
        <v>0</v>
      </c>
      <c r="G62" s="428"/>
      <c r="H62" s="85"/>
      <c r="I62" s="85"/>
      <c r="J62" s="108"/>
    </row>
    <row r="63" spans="1:10" s="285" customFormat="1" x14ac:dyDescent="0.25">
      <c r="A63" s="344"/>
      <c r="B63" s="151"/>
      <c r="C63" s="94"/>
      <c r="D63" s="89"/>
      <c r="E63" s="89">
        <f>SUM(E61:E62)</f>
        <v>0</v>
      </c>
      <c r="F63" s="89">
        <f>SUM(F61:F62)</f>
        <v>0</v>
      </c>
      <c r="G63" s="429"/>
      <c r="H63" s="429">
        <f>SUM(H61:H62)</f>
        <v>0</v>
      </c>
      <c r="I63" s="429">
        <f>SUM(I61:I62)</f>
        <v>0</v>
      </c>
      <c r="J63" s="429">
        <f>SUM(J61:J62)</f>
        <v>0</v>
      </c>
    </row>
    <row r="64" spans="1:10" s="285" customFormat="1" x14ac:dyDescent="0.25">
      <c r="A64" s="344"/>
      <c r="B64" s="151"/>
      <c r="C64" s="93" t="s">
        <v>61</v>
      </c>
      <c r="D64" s="85"/>
      <c r="E64" s="86"/>
      <c r="F64" s="86"/>
      <c r="G64" s="428"/>
      <c r="H64" s="86"/>
      <c r="I64" s="86"/>
      <c r="J64" s="86"/>
    </row>
    <row r="65" spans="1:10" s="285" customFormat="1" x14ac:dyDescent="0.25">
      <c r="A65" s="118">
        <v>32</v>
      </c>
      <c r="B65" s="151">
        <v>5450</v>
      </c>
      <c r="C65" s="94" t="s">
        <v>351</v>
      </c>
      <c r="D65" s="85"/>
      <c r="E65" s="108"/>
      <c r="F65" s="85">
        <f>0/8*12</f>
        <v>0</v>
      </c>
      <c r="G65" s="428"/>
      <c r="H65" s="85"/>
      <c r="I65" s="85"/>
      <c r="J65" s="108"/>
    </row>
    <row r="66" spans="1:10" s="285" customFormat="1" x14ac:dyDescent="0.25">
      <c r="A66" s="344"/>
      <c r="B66" s="151"/>
      <c r="C66" s="94"/>
      <c r="D66" s="89"/>
      <c r="E66" s="89">
        <f t="shared" ref="E66:J66" si="10">E65</f>
        <v>0</v>
      </c>
      <c r="F66" s="89">
        <f t="shared" si="10"/>
        <v>0</v>
      </c>
      <c r="G66" s="429"/>
      <c r="H66" s="429">
        <f t="shared" si="10"/>
        <v>0</v>
      </c>
      <c r="I66" s="429">
        <f t="shared" si="10"/>
        <v>0</v>
      </c>
      <c r="J66" s="429">
        <f t="shared" si="10"/>
        <v>0</v>
      </c>
    </row>
    <row r="67" spans="1:10" s="285" customFormat="1" x14ac:dyDescent="0.25">
      <c r="A67" s="344"/>
      <c r="B67" s="151"/>
      <c r="C67" s="93" t="s">
        <v>96</v>
      </c>
      <c r="D67" s="85"/>
      <c r="E67" s="86"/>
      <c r="F67" s="86"/>
      <c r="G67" s="428"/>
      <c r="H67" s="86"/>
      <c r="I67" s="86"/>
      <c r="J67" s="86"/>
    </row>
    <row r="68" spans="1:10" s="285" customFormat="1" x14ac:dyDescent="0.25">
      <c r="A68" s="118">
        <v>32</v>
      </c>
      <c r="B68" s="151">
        <v>5470</v>
      </c>
      <c r="C68" s="94" t="s">
        <v>97</v>
      </c>
      <c r="D68" s="85"/>
      <c r="E68" s="86"/>
      <c r="F68" s="85">
        <f>0/8*12</f>
        <v>0</v>
      </c>
      <c r="G68" s="428"/>
      <c r="H68" s="85"/>
      <c r="I68" s="85"/>
      <c r="J68" s="85">
        <f>F68*(1+[1]INPUT!C11)</f>
        <v>0</v>
      </c>
    </row>
    <row r="69" spans="1:10" s="285" customFormat="1" x14ac:dyDescent="0.25">
      <c r="A69" s="118">
        <v>32</v>
      </c>
      <c r="B69" s="151">
        <v>5475</v>
      </c>
      <c r="C69" s="94" t="s">
        <v>134</v>
      </c>
      <c r="D69" s="85"/>
      <c r="E69" s="86"/>
      <c r="F69" s="85">
        <f>0/8*12</f>
        <v>0</v>
      </c>
      <c r="G69" s="428"/>
      <c r="H69" s="85"/>
      <c r="I69" s="85"/>
      <c r="J69" s="85">
        <f>F69*(1+[1]INPUT!C12)</f>
        <v>0</v>
      </c>
    </row>
    <row r="70" spans="1:10" s="285" customFormat="1" x14ac:dyDescent="0.25">
      <c r="A70" s="344"/>
      <c r="B70" s="151"/>
      <c r="C70" s="94"/>
      <c r="D70" s="110"/>
      <c r="E70" s="110">
        <f t="shared" ref="E70:J70" si="11">SUM(E68:E69)</f>
        <v>0</v>
      </c>
      <c r="F70" s="110">
        <f t="shared" si="11"/>
        <v>0</v>
      </c>
      <c r="G70" s="439"/>
      <c r="H70" s="439">
        <f t="shared" si="11"/>
        <v>0</v>
      </c>
      <c r="I70" s="439">
        <f t="shared" si="11"/>
        <v>0</v>
      </c>
      <c r="J70" s="439">
        <f t="shared" si="11"/>
        <v>0</v>
      </c>
    </row>
    <row r="71" spans="1:10" s="285" customFormat="1" x14ac:dyDescent="0.25">
      <c r="A71" s="344"/>
      <c r="B71" s="151"/>
      <c r="C71" s="93" t="s">
        <v>62</v>
      </c>
      <c r="D71" s="88"/>
      <c r="E71" s="113"/>
      <c r="F71" s="113"/>
      <c r="G71" s="88"/>
      <c r="H71" s="113"/>
      <c r="I71" s="113"/>
      <c r="J71" s="113"/>
    </row>
    <row r="72" spans="1:10" s="285" customFormat="1" hidden="1" x14ac:dyDescent="0.25">
      <c r="A72" s="118">
        <v>32</v>
      </c>
      <c r="B72" s="151">
        <v>5505</v>
      </c>
      <c r="C72" s="94" t="s">
        <v>259</v>
      </c>
      <c r="D72" s="85"/>
      <c r="E72" s="85"/>
      <c r="F72" s="85">
        <f t="shared" ref="F72:F77" si="12">0/8*12</f>
        <v>0</v>
      </c>
      <c r="G72" s="428"/>
      <c r="H72" s="85"/>
      <c r="I72" s="85"/>
      <c r="J72" s="85">
        <f>F72*(1+[1]INPUT!C$10)</f>
        <v>0</v>
      </c>
    </row>
    <row r="73" spans="1:10" s="285" customFormat="1" hidden="1" x14ac:dyDescent="0.25">
      <c r="A73" s="118">
        <v>32</v>
      </c>
      <c r="B73" s="151">
        <v>5510</v>
      </c>
      <c r="C73" s="94" t="s">
        <v>63</v>
      </c>
      <c r="D73" s="85"/>
      <c r="E73" s="85"/>
      <c r="F73" s="85">
        <f t="shared" si="12"/>
        <v>0</v>
      </c>
      <c r="G73" s="428"/>
      <c r="H73" s="85"/>
      <c r="I73" s="85"/>
      <c r="J73" s="85">
        <f>F73*(1+[1]INPUT!C$10)</f>
        <v>0</v>
      </c>
    </row>
    <row r="74" spans="1:10" s="285" customFormat="1" hidden="1" x14ac:dyDescent="0.25">
      <c r="A74" s="118">
        <v>32</v>
      </c>
      <c r="B74" s="151">
        <v>5520</v>
      </c>
      <c r="C74" s="94" t="s">
        <v>260</v>
      </c>
      <c r="D74" s="85"/>
      <c r="E74" s="85"/>
      <c r="F74" s="85">
        <f t="shared" si="12"/>
        <v>0</v>
      </c>
      <c r="G74" s="428"/>
      <c r="H74" s="85"/>
      <c r="I74" s="85"/>
      <c r="J74" s="85">
        <f>F74*(1+[1]INPUT!C$10)</f>
        <v>0</v>
      </c>
    </row>
    <row r="75" spans="1:10" s="285" customFormat="1" hidden="1" x14ac:dyDescent="0.25">
      <c r="A75" s="118">
        <v>32</v>
      </c>
      <c r="B75" s="151">
        <v>5525</v>
      </c>
      <c r="C75" s="94" t="s">
        <v>261</v>
      </c>
      <c r="D75" s="85"/>
      <c r="E75" s="85"/>
      <c r="F75" s="85">
        <f t="shared" si="12"/>
        <v>0</v>
      </c>
      <c r="G75" s="428"/>
      <c r="H75" s="85"/>
      <c r="I75" s="85"/>
      <c r="J75" s="85">
        <f>F75*(1+[1]INPUT!C$10)</f>
        <v>0</v>
      </c>
    </row>
    <row r="76" spans="1:10" s="285" customFormat="1" hidden="1" x14ac:dyDescent="0.25">
      <c r="A76" s="118">
        <v>32</v>
      </c>
      <c r="B76" s="151">
        <v>5530</v>
      </c>
      <c r="C76" s="94" t="s">
        <v>262</v>
      </c>
      <c r="D76" s="85"/>
      <c r="E76" s="85"/>
      <c r="F76" s="85">
        <f t="shared" si="12"/>
        <v>0</v>
      </c>
      <c r="G76" s="428"/>
      <c r="H76" s="85"/>
      <c r="I76" s="85"/>
      <c r="J76" s="85">
        <f>F76*(1+[1]INPUT!C$10)</f>
        <v>0</v>
      </c>
    </row>
    <row r="77" spans="1:10" s="285" customFormat="1" hidden="1" x14ac:dyDescent="0.25">
      <c r="A77" s="118">
        <v>32</v>
      </c>
      <c r="B77" s="151">
        <v>5535</v>
      </c>
      <c r="C77" s="94" t="s">
        <v>263</v>
      </c>
      <c r="D77" s="85"/>
      <c r="E77" s="85"/>
      <c r="F77" s="85">
        <f t="shared" si="12"/>
        <v>0</v>
      </c>
      <c r="G77" s="428"/>
      <c r="H77" s="85"/>
      <c r="I77" s="85"/>
      <c r="J77" s="85">
        <f>F77*(1+[1]INPUT!C$10)</f>
        <v>0</v>
      </c>
    </row>
    <row r="78" spans="1:10" s="285" customFormat="1" x14ac:dyDescent="0.25">
      <c r="A78" s="118">
        <v>5607</v>
      </c>
      <c r="B78" s="151">
        <v>5540</v>
      </c>
      <c r="C78" s="94" t="s">
        <v>264</v>
      </c>
      <c r="D78" s="85">
        <v>4500</v>
      </c>
      <c r="E78" s="85">
        <v>7271</v>
      </c>
      <c r="F78" s="85">
        <v>7271</v>
      </c>
      <c r="G78" s="428">
        <v>7271</v>
      </c>
      <c r="H78" s="85"/>
      <c r="I78" s="85"/>
      <c r="J78" s="85"/>
    </row>
    <row r="79" spans="1:10" s="285" customFormat="1" ht="13.5" customHeight="1" x14ac:dyDescent="0.25">
      <c r="A79" s="118">
        <v>32</v>
      </c>
      <c r="B79" s="151">
        <v>5545</v>
      </c>
      <c r="C79" s="94" t="s">
        <v>265</v>
      </c>
      <c r="D79" s="85"/>
      <c r="E79" s="85">
        <v>11394</v>
      </c>
      <c r="F79" s="85">
        <v>11394</v>
      </c>
      <c r="G79" s="428">
        <v>11394</v>
      </c>
      <c r="H79" s="85"/>
      <c r="I79" s="85"/>
      <c r="J79" s="85"/>
    </row>
    <row r="80" spans="1:10" s="285" customFormat="1" hidden="1" x14ac:dyDescent="0.25">
      <c r="A80" s="118">
        <v>32</v>
      </c>
      <c r="B80" s="151">
        <v>5550</v>
      </c>
      <c r="C80" s="94" t="s">
        <v>267</v>
      </c>
      <c r="D80" s="85"/>
      <c r="E80" s="85"/>
      <c r="F80" s="85">
        <f t="shared" ref="F80:F117" si="13">E80-D80</f>
        <v>0</v>
      </c>
      <c r="G80" s="428"/>
      <c r="H80" s="85"/>
      <c r="I80" s="85"/>
      <c r="J80" s="85"/>
    </row>
    <row r="81" spans="1:10" s="285" customFormat="1" hidden="1" x14ac:dyDescent="0.25">
      <c r="A81" s="118">
        <v>32</v>
      </c>
      <c r="B81" s="151">
        <v>5555</v>
      </c>
      <c r="C81" s="94" t="s">
        <v>268</v>
      </c>
      <c r="D81" s="85"/>
      <c r="E81" s="85"/>
      <c r="F81" s="85">
        <f t="shared" si="13"/>
        <v>0</v>
      </c>
      <c r="G81" s="428"/>
      <c r="H81" s="85"/>
      <c r="I81" s="85"/>
      <c r="J81" s="85"/>
    </row>
    <row r="82" spans="1:10" s="285" customFormat="1" hidden="1" x14ac:dyDescent="0.25">
      <c r="A82" s="118">
        <v>32</v>
      </c>
      <c r="B82" s="151">
        <v>5560</v>
      </c>
      <c r="C82" s="94" t="s">
        <v>269</v>
      </c>
      <c r="D82" s="85"/>
      <c r="E82" s="85"/>
      <c r="F82" s="85">
        <f t="shared" si="13"/>
        <v>0</v>
      </c>
      <c r="G82" s="428"/>
      <c r="H82" s="85"/>
      <c r="I82" s="85"/>
      <c r="J82" s="85"/>
    </row>
    <row r="83" spans="1:10" s="285" customFormat="1" hidden="1" x14ac:dyDescent="0.25">
      <c r="A83" s="118">
        <v>32</v>
      </c>
      <c r="B83" s="151">
        <v>5565</v>
      </c>
      <c r="C83" s="94" t="s">
        <v>246</v>
      </c>
      <c r="D83" s="85"/>
      <c r="E83" s="85"/>
      <c r="F83" s="85">
        <f t="shared" si="13"/>
        <v>0</v>
      </c>
      <c r="G83" s="428"/>
      <c r="H83" s="85"/>
      <c r="I83" s="85"/>
      <c r="J83" s="85">
        <f>E83+I83</f>
        <v>0</v>
      </c>
    </row>
    <row r="84" spans="1:10" s="285" customFormat="1" hidden="1" x14ac:dyDescent="0.25">
      <c r="A84" s="118">
        <v>32</v>
      </c>
      <c r="B84" s="151">
        <v>5570</v>
      </c>
      <c r="C84" s="94" t="s">
        <v>270</v>
      </c>
      <c r="D84" s="85"/>
      <c r="E84" s="85"/>
      <c r="F84" s="85">
        <f t="shared" si="13"/>
        <v>0</v>
      </c>
      <c r="G84" s="428"/>
      <c r="H84" s="85"/>
      <c r="I84" s="85"/>
      <c r="J84" s="85"/>
    </row>
    <row r="85" spans="1:10" s="285" customFormat="1" hidden="1" x14ac:dyDescent="0.25">
      <c r="A85" s="118">
        <v>32</v>
      </c>
      <c r="B85" s="151">
        <v>5575</v>
      </c>
      <c r="C85" s="94" t="s">
        <v>271</v>
      </c>
      <c r="D85" s="85"/>
      <c r="E85" s="85"/>
      <c r="F85" s="85">
        <f t="shared" si="13"/>
        <v>0</v>
      </c>
      <c r="G85" s="428"/>
      <c r="H85" s="85"/>
      <c r="I85" s="85"/>
      <c r="J85" s="85"/>
    </row>
    <row r="86" spans="1:10" s="285" customFormat="1" hidden="1" x14ac:dyDescent="0.25">
      <c r="A86" s="118">
        <v>32</v>
      </c>
      <c r="B86" s="151">
        <v>5580</v>
      </c>
      <c r="C86" s="94" t="s">
        <v>272</v>
      </c>
      <c r="D86" s="85"/>
      <c r="E86" s="85"/>
      <c r="F86" s="85">
        <f t="shared" si="13"/>
        <v>0</v>
      </c>
      <c r="G86" s="428"/>
      <c r="H86" s="85"/>
      <c r="I86" s="85"/>
      <c r="J86" s="85"/>
    </row>
    <row r="87" spans="1:10" s="285" customFormat="1" hidden="1" x14ac:dyDescent="0.25">
      <c r="A87" s="118">
        <v>32</v>
      </c>
      <c r="B87" s="151">
        <v>5585</v>
      </c>
      <c r="C87" s="94" t="s">
        <v>273</v>
      </c>
      <c r="D87" s="86"/>
      <c r="E87" s="85"/>
      <c r="F87" s="85">
        <f t="shared" si="13"/>
        <v>0</v>
      </c>
      <c r="G87" s="86"/>
      <c r="H87" s="85"/>
      <c r="I87" s="85"/>
      <c r="J87" s="85"/>
    </row>
    <row r="88" spans="1:10" s="285" customFormat="1" hidden="1" x14ac:dyDescent="0.25">
      <c r="A88" s="118">
        <v>32</v>
      </c>
      <c r="B88" s="151">
        <v>5590</v>
      </c>
      <c r="C88" s="94" t="s">
        <v>274</v>
      </c>
      <c r="D88" s="86"/>
      <c r="E88" s="85"/>
      <c r="F88" s="85">
        <f t="shared" si="13"/>
        <v>0</v>
      </c>
      <c r="G88" s="86"/>
      <c r="H88" s="85"/>
      <c r="I88" s="85"/>
      <c r="J88" s="85"/>
    </row>
    <row r="89" spans="1:10" s="285" customFormat="1" hidden="1" x14ac:dyDescent="0.25">
      <c r="A89" s="118">
        <v>32</v>
      </c>
      <c r="B89" s="151">
        <v>5595</v>
      </c>
      <c r="C89" s="94" t="s">
        <v>275</v>
      </c>
      <c r="D89" s="85"/>
      <c r="E89" s="85"/>
      <c r="F89" s="85">
        <f t="shared" si="13"/>
        <v>0</v>
      </c>
      <c r="G89" s="428"/>
      <c r="H89" s="85"/>
      <c r="I89" s="85"/>
      <c r="J89" s="85"/>
    </row>
    <row r="90" spans="1:10" s="285" customFormat="1" hidden="1" x14ac:dyDescent="0.25">
      <c r="A90" s="118">
        <v>32</v>
      </c>
      <c r="B90" s="151">
        <v>5600</v>
      </c>
      <c r="C90" s="159" t="s">
        <v>276</v>
      </c>
      <c r="D90" s="85"/>
      <c r="E90" s="85"/>
      <c r="F90" s="85">
        <f t="shared" si="13"/>
        <v>0</v>
      </c>
      <c r="G90" s="428"/>
      <c r="H90" s="85"/>
      <c r="I90" s="85"/>
      <c r="J90" s="85"/>
    </row>
    <row r="91" spans="1:10" s="285" customFormat="1" hidden="1" x14ac:dyDescent="0.25">
      <c r="A91" s="118">
        <v>32</v>
      </c>
      <c r="B91" s="151">
        <v>5605</v>
      </c>
      <c r="C91" s="159" t="s">
        <v>277</v>
      </c>
      <c r="D91" s="85"/>
      <c r="E91" s="85"/>
      <c r="F91" s="85">
        <f t="shared" si="13"/>
        <v>0</v>
      </c>
      <c r="G91" s="428"/>
      <c r="H91" s="85"/>
      <c r="I91" s="85"/>
      <c r="J91" s="85"/>
    </row>
    <row r="92" spans="1:10" s="285" customFormat="1" hidden="1" x14ac:dyDescent="0.25">
      <c r="A92" s="118">
        <v>32</v>
      </c>
      <c r="B92" s="151">
        <v>5610</v>
      </c>
      <c r="C92" s="159" t="s">
        <v>278</v>
      </c>
      <c r="D92" s="85"/>
      <c r="E92" s="85"/>
      <c r="F92" s="85">
        <f t="shared" si="13"/>
        <v>0</v>
      </c>
      <c r="G92" s="428"/>
      <c r="H92" s="85"/>
      <c r="I92" s="85"/>
      <c r="J92" s="85"/>
    </row>
    <row r="93" spans="1:10" s="285" customFormat="1" hidden="1" x14ac:dyDescent="0.25">
      <c r="A93" s="118">
        <v>32</v>
      </c>
      <c r="B93" s="151">
        <v>5615</v>
      </c>
      <c r="C93" s="159" t="s">
        <v>279</v>
      </c>
      <c r="D93" s="85"/>
      <c r="E93" s="85"/>
      <c r="F93" s="85">
        <f t="shared" si="13"/>
        <v>0</v>
      </c>
      <c r="G93" s="428"/>
      <c r="H93" s="85"/>
      <c r="I93" s="85"/>
      <c r="J93" s="85"/>
    </row>
    <row r="94" spans="1:10" s="285" customFormat="1" hidden="1" x14ac:dyDescent="0.25">
      <c r="A94" s="118">
        <v>32</v>
      </c>
      <c r="B94" s="151">
        <v>5620</v>
      </c>
      <c r="C94" s="159" t="s">
        <v>280</v>
      </c>
      <c r="D94" s="85"/>
      <c r="E94" s="85"/>
      <c r="F94" s="85">
        <f t="shared" si="13"/>
        <v>0</v>
      </c>
      <c r="G94" s="428"/>
      <c r="H94" s="85"/>
      <c r="I94" s="85"/>
      <c r="J94" s="85"/>
    </row>
    <row r="95" spans="1:10" s="285" customFormat="1" hidden="1" x14ac:dyDescent="0.25">
      <c r="A95" s="118">
        <v>32</v>
      </c>
      <c r="B95" s="151">
        <v>5625</v>
      </c>
      <c r="C95" s="159" t="s">
        <v>281</v>
      </c>
      <c r="D95" s="85"/>
      <c r="E95" s="85"/>
      <c r="F95" s="85">
        <f t="shared" si="13"/>
        <v>0</v>
      </c>
      <c r="G95" s="428"/>
      <c r="H95" s="85"/>
      <c r="I95" s="85"/>
      <c r="J95" s="85"/>
    </row>
    <row r="96" spans="1:10" s="285" customFormat="1" hidden="1" x14ac:dyDescent="0.25">
      <c r="A96" s="118">
        <v>32</v>
      </c>
      <c r="B96" s="151">
        <v>5630</v>
      </c>
      <c r="C96" s="159" t="s">
        <v>282</v>
      </c>
      <c r="D96" s="85"/>
      <c r="E96" s="85"/>
      <c r="F96" s="85">
        <f t="shared" si="13"/>
        <v>0</v>
      </c>
      <c r="G96" s="428"/>
      <c r="H96" s="85"/>
      <c r="I96" s="85"/>
      <c r="J96" s="85"/>
    </row>
    <row r="97" spans="1:10" s="285" customFormat="1" hidden="1" x14ac:dyDescent="0.25">
      <c r="A97" s="118">
        <v>32</v>
      </c>
      <c r="B97" s="151">
        <v>5635</v>
      </c>
      <c r="C97" s="159" t="s">
        <v>283</v>
      </c>
      <c r="D97" s="85"/>
      <c r="E97" s="85"/>
      <c r="F97" s="85">
        <f t="shared" si="13"/>
        <v>0</v>
      </c>
      <c r="G97" s="428"/>
      <c r="H97" s="85"/>
      <c r="I97" s="85"/>
      <c r="J97" s="85"/>
    </row>
    <row r="98" spans="1:10" s="285" customFormat="1" hidden="1" x14ac:dyDescent="0.25">
      <c r="A98" s="118">
        <v>32</v>
      </c>
      <c r="B98" s="151">
        <v>5640</v>
      </c>
      <c r="C98" s="159" t="s">
        <v>284</v>
      </c>
      <c r="D98" s="85"/>
      <c r="E98" s="85"/>
      <c r="F98" s="85">
        <f t="shared" si="13"/>
        <v>0</v>
      </c>
      <c r="G98" s="428"/>
      <c r="H98" s="85"/>
      <c r="I98" s="85"/>
      <c r="J98" s="85"/>
    </row>
    <row r="99" spans="1:10" s="285" customFormat="1" hidden="1" x14ac:dyDescent="0.25">
      <c r="A99" s="118">
        <v>32</v>
      </c>
      <c r="B99" s="151">
        <v>5645</v>
      </c>
      <c r="C99" s="159" t="s">
        <v>285</v>
      </c>
      <c r="D99" s="85"/>
      <c r="E99" s="85"/>
      <c r="F99" s="85">
        <f t="shared" si="13"/>
        <v>0</v>
      </c>
      <c r="G99" s="428"/>
      <c r="H99" s="85"/>
      <c r="I99" s="85"/>
      <c r="J99" s="85"/>
    </row>
    <row r="100" spans="1:10" s="285" customFormat="1" hidden="1" x14ac:dyDescent="0.25">
      <c r="A100" s="118">
        <v>32</v>
      </c>
      <c r="B100" s="151">
        <v>5650</v>
      </c>
      <c r="C100" s="159" t="s">
        <v>286</v>
      </c>
      <c r="D100" s="85"/>
      <c r="E100" s="85"/>
      <c r="F100" s="85">
        <f t="shared" si="13"/>
        <v>0</v>
      </c>
      <c r="G100" s="428"/>
      <c r="H100" s="85"/>
      <c r="I100" s="85"/>
      <c r="J100" s="85"/>
    </row>
    <row r="101" spans="1:10" s="285" customFormat="1" hidden="1" x14ac:dyDescent="0.25">
      <c r="A101" s="118">
        <v>32</v>
      </c>
      <c r="B101" s="151">
        <v>5655</v>
      </c>
      <c r="C101" s="159" t="s">
        <v>287</v>
      </c>
      <c r="D101" s="85"/>
      <c r="E101" s="85"/>
      <c r="F101" s="85">
        <f t="shared" si="13"/>
        <v>0</v>
      </c>
      <c r="G101" s="428"/>
      <c r="H101" s="85"/>
      <c r="I101" s="85"/>
      <c r="J101" s="85"/>
    </row>
    <row r="102" spans="1:10" s="285" customFormat="1" hidden="1" x14ac:dyDescent="0.25">
      <c r="A102" s="118">
        <v>32</v>
      </c>
      <c r="B102" s="151">
        <v>5660</v>
      </c>
      <c r="C102" s="159" t="s">
        <v>288</v>
      </c>
      <c r="D102" s="85"/>
      <c r="E102" s="85"/>
      <c r="F102" s="85">
        <f t="shared" si="13"/>
        <v>0</v>
      </c>
      <c r="G102" s="428"/>
      <c r="H102" s="85"/>
      <c r="I102" s="85"/>
      <c r="J102" s="85"/>
    </row>
    <row r="103" spans="1:10" s="285" customFormat="1" hidden="1" x14ac:dyDescent="0.25">
      <c r="A103" s="118">
        <v>32</v>
      </c>
      <c r="B103" s="151">
        <v>5665</v>
      </c>
      <c r="C103" s="94" t="s">
        <v>289</v>
      </c>
      <c r="D103" s="85"/>
      <c r="E103" s="85"/>
      <c r="F103" s="85">
        <f t="shared" si="13"/>
        <v>0</v>
      </c>
      <c r="G103" s="428"/>
      <c r="H103" s="85"/>
      <c r="I103" s="85"/>
      <c r="J103" s="85"/>
    </row>
    <row r="104" spans="1:10" s="285" customFormat="1" hidden="1" x14ac:dyDescent="0.25">
      <c r="A104" s="118">
        <v>32</v>
      </c>
      <c r="B104" s="151">
        <v>5670</v>
      </c>
      <c r="C104" s="94" t="s">
        <v>290</v>
      </c>
      <c r="D104" s="85"/>
      <c r="E104" s="85"/>
      <c r="F104" s="85">
        <f t="shared" si="13"/>
        <v>0</v>
      </c>
      <c r="G104" s="428"/>
      <c r="H104" s="85"/>
      <c r="I104" s="85"/>
      <c r="J104" s="85"/>
    </row>
    <row r="105" spans="1:10" s="285" customFormat="1" hidden="1" x14ac:dyDescent="0.25">
      <c r="A105" s="118">
        <v>32</v>
      </c>
      <c r="B105" s="151">
        <v>5675</v>
      </c>
      <c r="C105" s="94" t="s">
        <v>291</v>
      </c>
      <c r="D105" s="85"/>
      <c r="E105" s="85"/>
      <c r="F105" s="85">
        <f t="shared" si="13"/>
        <v>0</v>
      </c>
      <c r="G105" s="428"/>
      <c r="H105" s="85"/>
      <c r="I105" s="85"/>
      <c r="J105" s="85"/>
    </row>
    <row r="106" spans="1:10" s="285" customFormat="1" hidden="1" x14ac:dyDescent="0.25">
      <c r="A106" s="118">
        <v>32</v>
      </c>
      <c r="B106" s="151">
        <v>5680</v>
      </c>
      <c r="C106" s="94" t="s">
        <v>292</v>
      </c>
      <c r="D106" s="85"/>
      <c r="E106" s="85"/>
      <c r="F106" s="85">
        <f t="shared" si="13"/>
        <v>0</v>
      </c>
      <c r="G106" s="428"/>
      <c r="H106" s="85"/>
      <c r="I106" s="85"/>
      <c r="J106" s="85"/>
    </row>
    <row r="107" spans="1:10" s="285" customFormat="1" hidden="1" x14ac:dyDescent="0.25">
      <c r="A107" s="118">
        <v>32</v>
      </c>
      <c r="B107" s="151">
        <v>5685</v>
      </c>
      <c r="C107" s="94" t="s">
        <v>293</v>
      </c>
      <c r="D107" s="85"/>
      <c r="E107" s="85"/>
      <c r="F107" s="85">
        <f t="shared" si="13"/>
        <v>0</v>
      </c>
      <c r="G107" s="428"/>
      <c r="H107" s="85"/>
      <c r="I107" s="85"/>
      <c r="J107" s="85"/>
    </row>
    <row r="108" spans="1:10" s="285" customFormat="1" hidden="1" x14ac:dyDescent="0.25">
      <c r="A108" s="118">
        <v>32</v>
      </c>
      <c r="B108" s="151">
        <v>5690</v>
      </c>
      <c r="C108" s="94" t="s">
        <v>247</v>
      </c>
      <c r="D108" s="85"/>
      <c r="E108" s="85"/>
      <c r="F108" s="85">
        <f t="shared" si="13"/>
        <v>0</v>
      </c>
      <c r="G108" s="428"/>
      <c r="H108" s="85"/>
      <c r="I108" s="85"/>
      <c r="J108" s="85"/>
    </row>
    <row r="109" spans="1:10" s="285" customFormat="1" hidden="1" x14ac:dyDescent="0.25">
      <c r="A109" s="118">
        <v>32</v>
      </c>
      <c r="B109" s="151">
        <v>5695</v>
      </c>
      <c r="C109" s="94" t="s">
        <v>294</v>
      </c>
      <c r="D109" s="85"/>
      <c r="E109" s="85"/>
      <c r="F109" s="85">
        <f t="shared" si="13"/>
        <v>0</v>
      </c>
      <c r="G109" s="428"/>
      <c r="H109" s="85"/>
      <c r="I109" s="85"/>
      <c r="J109" s="85"/>
    </row>
    <row r="110" spans="1:10" s="285" customFormat="1" hidden="1" x14ac:dyDescent="0.25">
      <c r="A110" s="118">
        <v>32</v>
      </c>
      <c r="B110" s="151">
        <v>5700</v>
      </c>
      <c r="C110" s="94" t="s">
        <v>295</v>
      </c>
      <c r="D110" s="85"/>
      <c r="E110" s="85"/>
      <c r="F110" s="85">
        <f t="shared" si="13"/>
        <v>0</v>
      </c>
      <c r="G110" s="428"/>
      <c r="H110" s="85"/>
      <c r="I110" s="85"/>
      <c r="J110" s="85"/>
    </row>
    <row r="111" spans="1:10" s="285" customFormat="1" hidden="1" x14ac:dyDescent="0.25">
      <c r="A111" s="118">
        <v>32</v>
      </c>
      <c r="B111" s="151">
        <v>5710</v>
      </c>
      <c r="C111" s="94" t="s">
        <v>297</v>
      </c>
      <c r="D111" s="85"/>
      <c r="E111" s="85"/>
      <c r="F111" s="85">
        <f t="shared" si="13"/>
        <v>0</v>
      </c>
      <c r="G111" s="428"/>
      <c r="H111" s="85"/>
      <c r="I111" s="85"/>
      <c r="J111" s="85"/>
    </row>
    <row r="112" spans="1:10" s="285" customFormat="1" hidden="1" x14ac:dyDescent="0.25">
      <c r="A112" s="118">
        <v>32</v>
      </c>
      <c r="B112" s="151">
        <v>5715</v>
      </c>
      <c r="C112" s="94" t="s">
        <v>298</v>
      </c>
      <c r="D112" s="85"/>
      <c r="E112" s="85"/>
      <c r="F112" s="85">
        <f t="shared" si="13"/>
        <v>0</v>
      </c>
      <c r="G112" s="428"/>
      <c r="H112" s="85"/>
      <c r="I112" s="85"/>
      <c r="J112" s="85"/>
    </row>
    <row r="113" spans="1:10" s="285" customFormat="1" hidden="1" x14ac:dyDescent="0.25">
      <c r="A113" s="118">
        <v>32</v>
      </c>
      <c r="B113" s="151">
        <v>5720</v>
      </c>
      <c r="C113" s="94" t="s">
        <v>299</v>
      </c>
      <c r="D113" s="85"/>
      <c r="E113" s="85"/>
      <c r="F113" s="85">
        <f t="shared" si="13"/>
        <v>0</v>
      </c>
      <c r="G113" s="428"/>
      <c r="H113" s="85"/>
      <c r="I113" s="85"/>
      <c r="J113" s="85"/>
    </row>
    <row r="114" spans="1:10" s="285" customFormat="1" hidden="1" x14ac:dyDescent="0.25">
      <c r="A114" s="118">
        <v>32</v>
      </c>
      <c r="B114" s="151">
        <v>5730</v>
      </c>
      <c r="C114" s="94" t="s">
        <v>300</v>
      </c>
      <c r="D114" s="85"/>
      <c r="E114" s="85"/>
      <c r="F114" s="85">
        <f t="shared" si="13"/>
        <v>0</v>
      </c>
      <c r="G114" s="428"/>
      <c r="H114" s="85"/>
      <c r="I114" s="85"/>
      <c r="J114" s="85"/>
    </row>
    <row r="115" spans="1:10" s="285" customFormat="1" hidden="1" x14ac:dyDescent="0.25">
      <c r="A115" s="118">
        <v>32</v>
      </c>
      <c r="B115" s="151">
        <v>5735</v>
      </c>
      <c r="C115" s="94" t="s">
        <v>301</v>
      </c>
      <c r="D115" s="85"/>
      <c r="E115" s="85"/>
      <c r="F115" s="85">
        <f t="shared" si="13"/>
        <v>0</v>
      </c>
      <c r="G115" s="428"/>
      <c r="H115" s="85"/>
      <c r="I115" s="85"/>
      <c r="J115" s="85"/>
    </row>
    <row r="116" spans="1:10" s="285" customFormat="1" hidden="1" x14ac:dyDescent="0.25">
      <c r="A116" s="118">
        <v>32</v>
      </c>
      <c r="B116" s="151">
        <v>5740</v>
      </c>
      <c r="C116" s="94" t="s">
        <v>302</v>
      </c>
      <c r="D116" s="85"/>
      <c r="E116" s="85"/>
      <c r="F116" s="85">
        <f t="shared" si="13"/>
        <v>0</v>
      </c>
      <c r="G116" s="428"/>
      <c r="H116" s="85"/>
      <c r="I116" s="85"/>
      <c r="J116" s="85"/>
    </row>
    <row r="117" spans="1:10" s="285" customFormat="1" hidden="1" x14ac:dyDescent="0.25">
      <c r="A117" s="118">
        <v>32</v>
      </c>
      <c r="B117" s="151">
        <v>5745</v>
      </c>
      <c r="C117" s="94" t="s">
        <v>303</v>
      </c>
      <c r="D117" s="85"/>
      <c r="E117" s="85"/>
      <c r="F117" s="85">
        <f t="shared" si="13"/>
        <v>0</v>
      </c>
      <c r="G117" s="428"/>
      <c r="H117" s="85"/>
      <c r="I117" s="85"/>
      <c r="J117" s="85"/>
    </row>
    <row r="118" spans="1:10" s="285" customFormat="1" x14ac:dyDescent="0.25">
      <c r="A118" s="118">
        <v>32</v>
      </c>
      <c r="B118" s="151">
        <v>5750</v>
      </c>
      <c r="C118" s="94" t="s">
        <v>304</v>
      </c>
      <c r="D118" s="85">
        <v>444</v>
      </c>
      <c r="E118" s="85">
        <v>780</v>
      </c>
      <c r="F118" s="85">
        <v>780</v>
      </c>
      <c r="G118" s="428">
        <v>780</v>
      </c>
      <c r="H118" s="85"/>
      <c r="I118" s="85"/>
      <c r="J118" s="85"/>
    </row>
    <row r="119" spans="1:10" s="285" customFormat="1" x14ac:dyDescent="0.25">
      <c r="A119" s="118">
        <v>32</v>
      </c>
      <c r="B119" s="151">
        <v>5755</v>
      </c>
      <c r="C119" s="94" t="s">
        <v>305</v>
      </c>
      <c r="D119" s="85">
        <v>6938</v>
      </c>
      <c r="E119" s="85">
        <v>10600</v>
      </c>
      <c r="F119" s="85">
        <v>10600</v>
      </c>
      <c r="G119" s="428">
        <v>10600</v>
      </c>
      <c r="H119" s="85"/>
      <c r="I119" s="85"/>
      <c r="J119" s="85"/>
    </row>
    <row r="120" spans="1:10" s="285" customFormat="1" ht="12" hidden="1" customHeight="1" x14ac:dyDescent="0.25">
      <c r="A120" s="118">
        <v>32</v>
      </c>
      <c r="B120" s="151">
        <v>5760</v>
      </c>
      <c r="C120" s="94" t="s">
        <v>306</v>
      </c>
      <c r="D120" s="85"/>
      <c r="E120" s="85"/>
      <c r="F120" s="85"/>
      <c r="G120" s="428"/>
      <c r="H120" s="85"/>
      <c r="I120" s="85"/>
      <c r="J120" s="85">
        <f>F120*(1+[1]INPUT!C$10)</f>
        <v>0</v>
      </c>
    </row>
    <row r="121" spans="1:10" s="285" customFormat="1" hidden="1" x14ac:dyDescent="0.25">
      <c r="A121" s="118">
        <v>32</v>
      </c>
      <c r="B121" s="151">
        <v>5765</v>
      </c>
      <c r="C121" s="94" t="s">
        <v>307</v>
      </c>
      <c r="D121" s="85"/>
      <c r="E121" s="85"/>
      <c r="F121" s="85"/>
      <c r="G121" s="428"/>
      <c r="H121" s="85"/>
      <c r="I121" s="85"/>
      <c r="J121" s="85">
        <f>F121*(1+[1]INPUT!C$10)</f>
        <v>0</v>
      </c>
    </row>
    <row r="122" spans="1:10" s="285" customFormat="1" hidden="1" x14ac:dyDescent="0.25">
      <c r="A122" s="118">
        <v>32</v>
      </c>
      <c r="B122" s="151">
        <v>5770</v>
      </c>
      <c r="C122" s="94" t="s">
        <v>308</v>
      </c>
      <c r="D122" s="85"/>
      <c r="E122" s="85"/>
      <c r="F122" s="85"/>
      <c r="G122" s="428"/>
      <c r="H122" s="85"/>
      <c r="I122" s="85"/>
      <c r="J122" s="85">
        <f>F122*(1+[1]INPUT!C$10)</f>
        <v>0</v>
      </c>
    </row>
    <row r="123" spans="1:10" s="285" customFormat="1" hidden="1" x14ac:dyDescent="0.25">
      <c r="A123" s="118">
        <v>32</v>
      </c>
      <c r="B123" s="151">
        <v>5775</v>
      </c>
      <c r="C123" s="94" t="s">
        <v>309</v>
      </c>
      <c r="D123" s="85"/>
      <c r="E123" s="85"/>
      <c r="F123" s="85"/>
      <c r="G123" s="428"/>
      <c r="H123" s="85"/>
      <c r="I123" s="85"/>
      <c r="J123" s="85">
        <f>F123*(1+[1]INPUT!C$10)</f>
        <v>0</v>
      </c>
    </row>
    <row r="124" spans="1:10" s="285" customFormat="1" hidden="1" x14ac:dyDescent="0.25">
      <c r="A124" s="118">
        <v>32</v>
      </c>
      <c r="B124" s="151">
        <v>5780</v>
      </c>
      <c r="C124" s="94" t="s">
        <v>310</v>
      </c>
      <c r="D124" s="85"/>
      <c r="E124" s="85"/>
      <c r="F124" s="85"/>
      <c r="G124" s="428"/>
      <c r="H124" s="85"/>
      <c r="I124" s="85"/>
      <c r="J124" s="85">
        <f>F124*(1+[1]INPUT!C$10)</f>
        <v>0</v>
      </c>
    </row>
    <row r="125" spans="1:10" s="285" customFormat="1" hidden="1" x14ac:dyDescent="0.25">
      <c r="A125" s="118">
        <v>32</v>
      </c>
      <c r="B125" s="151">
        <v>5785</v>
      </c>
      <c r="C125" s="94" t="s">
        <v>311</v>
      </c>
      <c r="D125" s="85"/>
      <c r="E125" s="85"/>
      <c r="F125" s="85"/>
      <c r="G125" s="428"/>
      <c r="H125" s="85"/>
      <c r="I125" s="85"/>
      <c r="J125" s="85">
        <f>F125*(1+[1]INPUT!C$10)</f>
        <v>0</v>
      </c>
    </row>
    <row r="126" spans="1:10" s="285" customFormat="1" hidden="1" x14ac:dyDescent="0.25">
      <c r="A126" s="118">
        <v>32</v>
      </c>
      <c r="B126" s="151">
        <v>5790</v>
      </c>
      <c r="C126" s="94" t="s">
        <v>312</v>
      </c>
      <c r="D126" s="85"/>
      <c r="E126" s="85"/>
      <c r="F126" s="85"/>
      <c r="G126" s="428"/>
      <c r="H126" s="85"/>
      <c r="I126" s="85"/>
      <c r="J126" s="85">
        <f>F126*(1+[1]INPUT!C$10)</f>
        <v>0</v>
      </c>
    </row>
    <row r="127" spans="1:10" s="285" customFormat="1" hidden="1" x14ac:dyDescent="0.25">
      <c r="A127" s="118">
        <v>32</v>
      </c>
      <c r="B127" s="151">
        <v>5795</v>
      </c>
      <c r="C127" s="94" t="s">
        <v>313</v>
      </c>
      <c r="D127" s="85"/>
      <c r="E127" s="85"/>
      <c r="F127" s="85"/>
      <c r="G127" s="428"/>
      <c r="H127" s="85"/>
      <c r="I127" s="85"/>
      <c r="J127" s="85">
        <f>F127*(1+[1]INPUT!C$10)</f>
        <v>0</v>
      </c>
    </row>
    <row r="128" spans="1:10" s="285" customFormat="1" hidden="1" x14ac:dyDescent="0.25">
      <c r="A128" s="118">
        <v>32</v>
      </c>
      <c r="B128" s="151">
        <v>5800</v>
      </c>
      <c r="C128" s="94" t="s">
        <v>314</v>
      </c>
      <c r="D128" s="85"/>
      <c r="E128" s="85"/>
      <c r="F128" s="85"/>
      <c r="G128" s="428"/>
      <c r="H128" s="85"/>
      <c r="I128" s="85"/>
      <c r="J128" s="85">
        <f>F128*(1+[1]INPUT!C$10)</f>
        <v>0</v>
      </c>
    </row>
    <row r="129" spans="1:10" s="285" customFormat="1" hidden="1" x14ac:dyDescent="0.25">
      <c r="A129" s="118">
        <v>32</v>
      </c>
      <c r="B129" s="151">
        <v>5805</v>
      </c>
      <c r="C129" s="94" t="s">
        <v>315</v>
      </c>
      <c r="D129" s="85"/>
      <c r="E129" s="85"/>
      <c r="F129" s="85"/>
      <c r="G129" s="428"/>
      <c r="H129" s="85"/>
      <c r="I129" s="85"/>
      <c r="J129" s="85">
        <f>F129*(1+[1]INPUT!C$10)</f>
        <v>0</v>
      </c>
    </row>
    <row r="130" spans="1:10" s="285" customFormat="1" hidden="1" x14ac:dyDescent="0.25">
      <c r="A130" s="118">
        <v>32</v>
      </c>
      <c r="B130" s="151">
        <v>5810</v>
      </c>
      <c r="C130" s="94" t="s">
        <v>316</v>
      </c>
      <c r="D130" s="85"/>
      <c r="E130" s="85"/>
      <c r="F130" s="85"/>
      <c r="G130" s="428"/>
      <c r="H130" s="85"/>
      <c r="I130" s="85"/>
      <c r="J130" s="85">
        <f>F130*(1+[1]INPUT!C$10)</f>
        <v>0</v>
      </c>
    </row>
    <row r="131" spans="1:10" s="285" customFormat="1" hidden="1" x14ac:dyDescent="0.25">
      <c r="A131" s="118">
        <v>32</v>
      </c>
      <c r="B131" s="151">
        <v>5815</v>
      </c>
      <c r="C131" s="94" t="s">
        <v>99</v>
      </c>
      <c r="D131" s="85"/>
      <c r="E131" s="85"/>
      <c r="F131" s="85"/>
      <c r="G131" s="428"/>
      <c r="H131" s="85"/>
      <c r="I131" s="85"/>
      <c r="J131" s="85">
        <f>F131*(1+[1]INPUT!C$10)</f>
        <v>0</v>
      </c>
    </row>
    <row r="132" spans="1:10" s="285" customFormat="1" hidden="1" x14ac:dyDescent="0.25">
      <c r="A132" s="118">
        <v>32</v>
      </c>
      <c r="B132" s="151">
        <v>5820</v>
      </c>
      <c r="C132" s="94" t="s">
        <v>114</v>
      </c>
      <c r="D132" s="86"/>
      <c r="E132" s="85"/>
      <c r="F132" s="85"/>
      <c r="G132" s="86"/>
      <c r="H132" s="85"/>
      <c r="I132" s="85"/>
      <c r="J132" s="85">
        <f>F132*(1+[1]INPUT!C$10)</f>
        <v>0</v>
      </c>
    </row>
    <row r="133" spans="1:10" s="285" customFormat="1" hidden="1" x14ac:dyDescent="0.25">
      <c r="A133" s="118">
        <v>32</v>
      </c>
      <c r="B133" s="151">
        <v>5825</v>
      </c>
      <c r="C133" s="94" t="s">
        <v>317</v>
      </c>
      <c r="D133" s="86"/>
      <c r="E133" s="85"/>
      <c r="F133" s="85"/>
      <c r="G133" s="86"/>
      <c r="H133" s="85"/>
      <c r="I133" s="85"/>
      <c r="J133" s="85">
        <f>F133*(1+[1]INPUT!C$10)</f>
        <v>0</v>
      </c>
    </row>
    <row r="134" spans="1:10" s="285" customFormat="1" hidden="1" x14ac:dyDescent="0.25">
      <c r="A134" s="118">
        <v>32</v>
      </c>
      <c r="B134" s="151">
        <v>5830</v>
      </c>
      <c r="C134" s="94" t="s">
        <v>318</v>
      </c>
      <c r="D134" s="86"/>
      <c r="E134" s="85"/>
      <c r="F134" s="85"/>
      <c r="G134" s="86"/>
      <c r="H134" s="85"/>
      <c r="I134" s="85"/>
      <c r="J134" s="85">
        <f>F134*(1+[1]INPUT!C$10)</f>
        <v>0</v>
      </c>
    </row>
    <row r="135" spans="1:10" s="285" customFormat="1" hidden="1" x14ac:dyDescent="0.25">
      <c r="A135" s="118">
        <v>32</v>
      </c>
      <c r="B135" s="151">
        <v>5835</v>
      </c>
      <c r="C135" s="94" t="s">
        <v>319</v>
      </c>
      <c r="D135" s="86"/>
      <c r="E135" s="85"/>
      <c r="F135" s="85"/>
      <c r="G135" s="86"/>
      <c r="H135" s="85"/>
      <c r="I135" s="85"/>
      <c r="J135" s="85">
        <f>F135*(1+[1]INPUT!C$10)</f>
        <v>0</v>
      </c>
    </row>
    <row r="136" spans="1:10" s="285" customFormat="1" hidden="1" x14ac:dyDescent="0.25">
      <c r="A136" s="118">
        <v>32</v>
      </c>
      <c r="B136" s="151">
        <v>5840</v>
      </c>
      <c r="C136" s="94" t="s">
        <v>332</v>
      </c>
      <c r="D136" s="115"/>
      <c r="E136" s="85"/>
      <c r="F136" s="85"/>
      <c r="G136" s="440"/>
      <c r="H136" s="85"/>
      <c r="I136" s="85"/>
      <c r="J136" s="85">
        <f>F136*(1+[1]INPUT!C$10)</f>
        <v>0</v>
      </c>
    </row>
    <row r="137" spans="1:10" s="285" customFormat="1" hidden="1" x14ac:dyDescent="0.25">
      <c r="A137" s="118">
        <v>32</v>
      </c>
      <c r="B137" s="151">
        <v>5845</v>
      </c>
      <c r="C137" s="94" t="s">
        <v>320</v>
      </c>
      <c r="D137" s="86"/>
      <c r="E137" s="85"/>
      <c r="F137" s="85"/>
      <c r="G137" s="86"/>
      <c r="H137" s="85"/>
      <c r="I137" s="85"/>
      <c r="J137" s="85">
        <f>F137*(1+[1]INPUT!C$10)</f>
        <v>0</v>
      </c>
    </row>
    <row r="138" spans="1:10" s="285" customFormat="1" hidden="1" x14ac:dyDescent="0.25">
      <c r="A138" s="118">
        <v>32</v>
      </c>
      <c r="B138" s="151">
        <v>5855</v>
      </c>
      <c r="C138" s="94" t="s">
        <v>321</v>
      </c>
      <c r="D138" s="85"/>
      <c r="E138" s="85"/>
      <c r="F138" s="85"/>
      <c r="G138" s="428"/>
      <c r="H138" s="85"/>
      <c r="I138" s="85"/>
      <c r="J138" s="85">
        <f>F138*(1+[1]INPUT!C$10)</f>
        <v>0</v>
      </c>
    </row>
    <row r="139" spans="1:10" s="285" customFormat="1" hidden="1" x14ac:dyDescent="0.25">
      <c r="A139" s="118">
        <v>32</v>
      </c>
      <c r="B139" s="151">
        <v>5860</v>
      </c>
      <c r="C139" s="94" t="s">
        <v>322</v>
      </c>
      <c r="D139" s="85"/>
      <c r="E139" s="85"/>
      <c r="F139" s="85"/>
      <c r="G139" s="428"/>
      <c r="H139" s="85"/>
      <c r="I139" s="85"/>
      <c r="J139" s="85">
        <f>F139*(1+[1]INPUT!C$10)</f>
        <v>0</v>
      </c>
    </row>
    <row r="140" spans="1:10" s="285" customFormat="1" hidden="1" x14ac:dyDescent="0.25">
      <c r="A140" s="118">
        <v>32</v>
      </c>
      <c r="B140" s="151">
        <v>5865</v>
      </c>
      <c r="C140" s="94" t="s">
        <v>323</v>
      </c>
      <c r="D140" s="85"/>
      <c r="E140" s="85"/>
      <c r="F140" s="85"/>
      <c r="G140" s="428"/>
      <c r="H140" s="85"/>
      <c r="I140" s="85"/>
      <c r="J140" s="85">
        <f>F140*(1+[1]INPUT!C$10)</f>
        <v>0</v>
      </c>
    </row>
    <row r="141" spans="1:10" s="285" customFormat="1" hidden="1" x14ac:dyDescent="0.25">
      <c r="A141" s="118">
        <v>32</v>
      </c>
      <c r="B141" s="151">
        <v>5870</v>
      </c>
      <c r="C141" s="94" t="s">
        <v>324</v>
      </c>
      <c r="D141" s="85"/>
      <c r="E141" s="85"/>
      <c r="F141" s="85"/>
      <c r="G141" s="428"/>
      <c r="H141" s="85"/>
      <c r="I141" s="85"/>
      <c r="J141" s="85">
        <f>F141*(1+[1]INPUT!C$10)</f>
        <v>0</v>
      </c>
    </row>
    <row r="142" spans="1:10" s="285" customFormat="1" hidden="1" x14ac:dyDescent="0.25">
      <c r="A142" s="118">
        <v>32</v>
      </c>
      <c r="B142" s="151">
        <v>5875</v>
      </c>
      <c r="C142" s="94" t="s">
        <v>325</v>
      </c>
      <c r="D142" s="85"/>
      <c r="E142" s="85"/>
      <c r="F142" s="85"/>
      <c r="G142" s="428"/>
      <c r="H142" s="85"/>
      <c r="I142" s="85"/>
      <c r="J142" s="85">
        <f>F142*(1+[1]INPUT!C$10)</f>
        <v>0</v>
      </c>
    </row>
    <row r="143" spans="1:10" s="285" customFormat="1" hidden="1" x14ac:dyDescent="0.25">
      <c r="A143" s="118">
        <v>32</v>
      </c>
      <c r="B143" s="151">
        <v>5880</v>
      </c>
      <c r="C143" s="94" t="s">
        <v>326</v>
      </c>
      <c r="D143" s="85"/>
      <c r="E143" s="85"/>
      <c r="F143" s="85"/>
      <c r="G143" s="428"/>
      <c r="H143" s="85"/>
      <c r="I143" s="85"/>
      <c r="J143" s="85">
        <f>F143*(1+[1]INPUT!C$10)</f>
        <v>0</v>
      </c>
    </row>
    <row r="144" spans="1:10" s="285" customFormat="1" hidden="1" x14ac:dyDescent="0.25">
      <c r="A144" s="118">
        <v>32</v>
      </c>
      <c r="B144" s="151">
        <v>5885</v>
      </c>
      <c r="C144" s="94" t="s">
        <v>331</v>
      </c>
      <c r="D144" s="85"/>
      <c r="E144" s="85">
        <v>0</v>
      </c>
      <c r="F144" s="85"/>
      <c r="G144" s="428"/>
      <c r="H144" s="85"/>
      <c r="I144" s="85"/>
      <c r="J144" s="85">
        <v>0</v>
      </c>
    </row>
    <row r="145" spans="1:10" s="285" customFormat="1" hidden="1" x14ac:dyDescent="0.25">
      <c r="A145" s="118">
        <v>32</v>
      </c>
      <c r="B145" s="151">
        <v>5890</v>
      </c>
      <c r="C145" s="94" t="s">
        <v>327</v>
      </c>
      <c r="D145" s="85"/>
      <c r="E145" s="85"/>
      <c r="F145" s="85">
        <f>0/8*12</f>
        <v>0</v>
      </c>
      <c r="G145" s="428"/>
      <c r="H145" s="85"/>
      <c r="I145" s="85"/>
      <c r="J145" s="85">
        <f>F145*(1+[1]INPUT!C$10)</f>
        <v>0</v>
      </c>
    </row>
    <row r="146" spans="1:10" s="285" customFormat="1" hidden="1" x14ac:dyDescent="0.25">
      <c r="A146" s="118">
        <v>32</v>
      </c>
      <c r="B146" s="151">
        <v>5895</v>
      </c>
      <c r="C146" s="94" t="s">
        <v>328</v>
      </c>
      <c r="D146" s="85"/>
      <c r="E146" s="85"/>
      <c r="F146" s="85">
        <f>0/8*12</f>
        <v>0</v>
      </c>
      <c r="G146" s="428"/>
      <c r="H146" s="85"/>
      <c r="I146" s="85"/>
      <c r="J146" s="85">
        <f>F146*(1+[1]INPUT!C$10)</f>
        <v>0</v>
      </c>
    </row>
    <row r="147" spans="1:10" s="285" customFormat="1" hidden="1" x14ac:dyDescent="0.25">
      <c r="A147" s="118">
        <v>32</v>
      </c>
      <c r="B147" s="151">
        <v>5910</v>
      </c>
      <c r="C147" s="94" t="s">
        <v>330</v>
      </c>
      <c r="D147" s="85"/>
      <c r="E147" s="85"/>
      <c r="F147" s="85">
        <f>0/8*12</f>
        <v>0</v>
      </c>
      <c r="G147" s="428"/>
      <c r="H147" s="85"/>
      <c r="I147" s="85"/>
      <c r="J147" s="85">
        <f>F147*(1+[1]INPUT!C$10)</f>
        <v>0</v>
      </c>
    </row>
    <row r="148" spans="1:10" s="285" customFormat="1" x14ac:dyDescent="0.25">
      <c r="A148" s="344"/>
      <c r="B148" s="151"/>
      <c r="C148" s="94"/>
      <c r="D148" s="429">
        <f>SUM(D72:D147)</f>
        <v>11882</v>
      </c>
      <c r="E148" s="89">
        <f>SUM(E72:E147)</f>
        <v>30045</v>
      </c>
      <c r="F148" s="89">
        <f>SUM(F72:F147)</f>
        <v>30045</v>
      </c>
      <c r="G148" s="429">
        <f>SUM(G72:G147)</f>
        <v>30045</v>
      </c>
      <c r="H148" s="89"/>
      <c r="I148" s="89"/>
      <c r="J148" s="89"/>
    </row>
    <row r="149" spans="1:10" s="285" customFormat="1" hidden="1" x14ac:dyDescent="0.25">
      <c r="A149" s="344"/>
      <c r="B149" s="151"/>
      <c r="C149" s="93" t="s">
        <v>187</v>
      </c>
      <c r="D149" s="85"/>
      <c r="E149" s="108"/>
      <c r="F149" s="108"/>
      <c r="G149" s="428"/>
      <c r="H149" s="108"/>
      <c r="I149" s="108"/>
      <c r="J149" s="108"/>
    </row>
    <row r="150" spans="1:10" s="285" customFormat="1" hidden="1" x14ac:dyDescent="0.25">
      <c r="A150" s="118">
        <v>32</v>
      </c>
      <c r="B150" s="151">
        <v>6005</v>
      </c>
      <c r="C150" s="94" t="s">
        <v>188</v>
      </c>
      <c r="D150" s="85">
        <v>0</v>
      </c>
      <c r="E150" s="108"/>
      <c r="F150" s="85">
        <f>0/8*12</f>
        <v>0</v>
      </c>
      <c r="G150" s="428"/>
      <c r="H150" s="85"/>
      <c r="I150" s="85"/>
      <c r="J150" s="108"/>
    </row>
    <row r="151" spans="1:10" s="285" customFormat="1" hidden="1" x14ac:dyDescent="0.25">
      <c r="A151" s="344"/>
      <c r="B151" s="151"/>
      <c r="C151" s="94"/>
      <c r="D151" s="89">
        <v>0</v>
      </c>
      <c r="E151" s="89">
        <f>SUM(E150)</f>
        <v>0</v>
      </c>
      <c r="F151" s="89">
        <f>SUM(F150)</f>
        <v>0</v>
      </c>
      <c r="G151" s="429"/>
      <c r="H151" s="429"/>
      <c r="I151" s="429"/>
      <c r="J151" s="429"/>
    </row>
    <row r="152" spans="1:10" s="285" customFormat="1" hidden="1" x14ac:dyDescent="0.25">
      <c r="A152" s="344"/>
      <c r="B152" s="151"/>
      <c r="C152" s="93" t="s">
        <v>64</v>
      </c>
      <c r="D152" s="88"/>
      <c r="E152" s="113"/>
      <c r="F152" s="113"/>
      <c r="G152" s="88"/>
      <c r="H152" s="113"/>
      <c r="I152" s="113"/>
      <c r="J152" s="113"/>
    </row>
    <row r="153" spans="1:10" s="285" customFormat="1" hidden="1" x14ac:dyDescent="0.25">
      <c r="A153" s="118">
        <v>32</v>
      </c>
      <c r="B153" s="151">
        <v>6105</v>
      </c>
      <c r="C153" s="94" t="s">
        <v>336</v>
      </c>
      <c r="D153" s="85">
        <v>0</v>
      </c>
      <c r="E153" s="108"/>
      <c r="F153" s="85">
        <f>0/8*12</f>
        <v>0</v>
      </c>
      <c r="G153" s="428"/>
      <c r="H153" s="85"/>
      <c r="I153" s="85"/>
      <c r="J153" s="108"/>
    </row>
    <row r="154" spans="1:10" s="285" customFormat="1" hidden="1" x14ac:dyDescent="0.25">
      <c r="A154" s="118">
        <v>32</v>
      </c>
      <c r="B154" s="151">
        <v>6110</v>
      </c>
      <c r="C154" s="94" t="s">
        <v>337</v>
      </c>
      <c r="D154" s="85">
        <v>0</v>
      </c>
      <c r="E154" s="108"/>
      <c r="F154" s="85">
        <f>0/8*12</f>
        <v>0</v>
      </c>
      <c r="G154" s="428"/>
      <c r="H154" s="85"/>
      <c r="I154" s="85"/>
      <c r="J154" s="108"/>
    </row>
    <row r="155" spans="1:10" s="285" customFormat="1" hidden="1" x14ac:dyDescent="0.25">
      <c r="A155" s="118">
        <v>32</v>
      </c>
      <c r="B155" s="151">
        <v>6115</v>
      </c>
      <c r="C155" s="94" t="s">
        <v>60</v>
      </c>
      <c r="D155" s="85">
        <v>0</v>
      </c>
      <c r="E155" s="108"/>
      <c r="F155" s="85">
        <f>0/8*12</f>
        <v>0</v>
      </c>
      <c r="G155" s="428"/>
      <c r="H155" s="85"/>
      <c r="I155" s="85"/>
      <c r="J155" s="108"/>
    </row>
    <row r="156" spans="1:10" s="285" customFormat="1" hidden="1" x14ac:dyDescent="0.25">
      <c r="A156" s="344"/>
      <c r="B156" s="151"/>
      <c r="C156" s="94"/>
      <c r="D156" s="89">
        <v>0</v>
      </c>
      <c r="E156" s="89">
        <f>SUM(E153:E155)</f>
        <v>0</v>
      </c>
      <c r="F156" s="89">
        <f>SUM(F153:F155)</f>
        <v>0</v>
      </c>
      <c r="G156" s="429"/>
      <c r="H156" s="429"/>
      <c r="I156" s="429"/>
      <c r="J156" s="429"/>
    </row>
    <row r="157" spans="1:10" s="285" customFormat="1" hidden="1" x14ac:dyDescent="0.25">
      <c r="A157" s="344"/>
      <c r="B157" s="151"/>
      <c r="C157" s="184" t="s">
        <v>65</v>
      </c>
      <c r="D157" s="88"/>
      <c r="E157" s="113"/>
      <c r="F157" s="113"/>
      <c r="G157" s="88"/>
      <c r="H157" s="113"/>
      <c r="I157" s="113"/>
      <c r="J157" s="113"/>
    </row>
    <row r="158" spans="1:10" s="285" customFormat="1" hidden="1" x14ac:dyDescent="0.25">
      <c r="A158" s="118">
        <v>32</v>
      </c>
      <c r="B158" s="151">
        <v>6205</v>
      </c>
      <c r="C158" s="94" t="s">
        <v>338</v>
      </c>
      <c r="D158" s="85">
        <v>0</v>
      </c>
      <c r="E158" s="108"/>
      <c r="F158" s="85">
        <f>0/8*12</f>
        <v>0</v>
      </c>
      <c r="G158" s="428"/>
      <c r="H158" s="85"/>
      <c r="I158" s="85"/>
      <c r="J158" s="85"/>
    </row>
    <row r="159" spans="1:10" s="285" customFormat="1" hidden="1" x14ac:dyDescent="0.25">
      <c r="A159" s="118">
        <v>32</v>
      </c>
      <c r="B159" s="151">
        <v>6210</v>
      </c>
      <c r="C159" s="94" t="s">
        <v>339</v>
      </c>
      <c r="D159" s="85">
        <v>0</v>
      </c>
      <c r="E159" s="85"/>
      <c r="F159" s="85">
        <f>0/8*12</f>
        <v>0</v>
      </c>
      <c r="G159" s="428"/>
      <c r="H159" s="85"/>
      <c r="I159" s="85"/>
      <c r="J159" s="85"/>
    </row>
    <row r="160" spans="1:10" s="285" customFormat="1" hidden="1" x14ac:dyDescent="0.25">
      <c r="A160" s="344"/>
      <c r="B160" s="346"/>
      <c r="C160" s="347"/>
      <c r="D160" s="116">
        <v>0</v>
      </c>
      <c r="E160" s="116">
        <f>SUM(E158:E159)</f>
        <v>0</v>
      </c>
      <c r="F160" s="116">
        <f>SUM(F158:F159)</f>
        <v>0</v>
      </c>
      <c r="G160" s="441"/>
      <c r="H160" s="116"/>
      <c r="I160" s="116"/>
      <c r="J160" s="116"/>
    </row>
    <row r="161" spans="1:10" s="285" customFormat="1" x14ac:dyDescent="0.25">
      <c r="A161" s="344"/>
      <c r="B161" s="346"/>
      <c r="C161" s="93" t="s">
        <v>189</v>
      </c>
      <c r="D161" s="441">
        <f>D160+D156+D151+D148+D70+D66+D63+D59+D38+D35+D32+D29+D25+D18</f>
        <v>1405132</v>
      </c>
      <c r="E161" s="116">
        <f>E160+E156+E151+E148+E70+E66+E63+E59+E38+E35+E32+E29+E25+E18</f>
        <v>1200145</v>
      </c>
      <c r="F161" s="116">
        <f>F160+F156+F151+F148+F70+F66+F63+F59+F38+F35+F32+F29+F25+F18</f>
        <v>1205545</v>
      </c>
      <c r="G161" s="441">
        <f>G160+G156+G151+G148+G70+G66+G63+G59+G38+G35+G32+G29+G25+G18</f>
        <v>1205545</v>
      </c>
      <c r="H161" s="116"/>
      <c r="I161" s="116"/>
      <c r="J161" s="116"/>
    </row>
    <row r="162" spans="1:10" s="285" customFormat="1" hidden="1" x14ac:dyDescent="0.25">
      <c r="A162" s="344"/>
      <c r="B162" s="151"/>
      <c r="C162" s="93" t="s">
        <v>258</v>
      </c>
      <c r="D162" s="117"/>
      <c r="E162" s="117"/>
      <c r="F162" s="117"/>
      <c r="G162" s="442"/>
      <c r="H162" s="117"/>
      <c r="I162" s="117"/>
      <c r="J162" s="117"/>
    </row>
    <row r="163" spans="1:10" s="285" customFormat="1" hidden="1" x14ac:dyDescent="0.25">
      <c r="A163" s="118">
        <v>32</v>
      </c>
      <c r="B163" s="151">
        <v>6305</v>
      </c>
      <c r="C163" s="94" t="s">
        <v>190</v>
      </c>
      <c r="D163" s="85">
        <v>0</v>
      </c>
      <c r="E163" s="85"/>
      <c r="F163" s="85">
        <f>0/8*12</f>
        <v>0</v>
      </c>
      <c r="G163" s="428">
        <v>0</v>
      </c>
      <c r="H163" s="428"/>
      <c r="I163" s="428"/>
      <c r="J163" s="428"/>
    </row>
    <row r="164" spans="1:10" s="285" customFormat="1" hidden="1" x14ac:dyDescent="0.25">
      <c r="A164" s="344"/>
      <c r="B164" s="151"/>
      <c r="C164" s="94"/>
      <c r="D164" s="116">
        <v>0</v>
      </c>
      <c r="E164" s="116">
        <f>E163</f>
        <v>0</v>
      </c>
      <c r="F164" s="116">
        <f>F163</f>
        <v>0</v>
      </c>
      <c r="G164" s="441">
        <v>0</v>
      </c>
      <c r="H164" s="441"/>
      <c r="I164" s="441"/>
      <c r="J164" s="441"/>
    </row>
    <row r="165" spans="1:10" s="285" customFormat="1" x14ac:dyDescent="0.25">
      <c r="A165" s="348"/>
      <c r="B165" s="152"/>
      <c r="C165" s="119" t="s">
        <v>191</v>
      </c>
      <c r="D165" s="448">
        <f>SUM(D161+D164)</f>
        <v>1405132</v>
      </c>
      <c r="E165" s="160">
        <f>SUM(E161+E164)</f>
        <v>1200145</v>
      </c>
      <c r="F165" s="160">
        <f>SUM(F161+F164)</f>
        <v>1205545</v>
      </c>
      <c r="G165" s="448">
        <f>SUM(G161+G164)</f>
        <v>1205545</v>
      </c>
      <c r="H165" s="160"/>
      <c r="I165" s="160"/>
      <c r="J165" s="160"/>
    </row>
    <row r="166" spans="1:10" s="285" customFormat="1" x14ac:dyDescent="0.25">
      <c r="A166" s="344"/>
      <c r="B166" s="130"/>
      <c r="C166" s="115"/>
      <c r="D166" s="111"/>
      <c r="E166" s="120"/>
      <c r="F166" s="120"/>
      <c r="G166" s="111"/>
      <c r="H166" s="120"/>
      <c r="I166" s="120"/>
      <c r="J166" s="120"/>
    </row>
    <row r="167" spans="1:10" s="285" customFormat="1" x14ac:dyDescent="0.25">
      <c r="A167" s="344"/>
      <c r="B167" s="130"/>
      <c r="C167" s="115"/>
      <c r="D167" s="111"/>
      <c r="E167" s="111"/>
      <c r="F167" s="111"/>
      <c r="G167" s="111"/>
      <c r="H167" s="111"/>
      <c r="I167" s="111"/>
      <c r="J167" s="111"/>
    </row>
    <row r="168" spans="1:10" s="285" customFormat="1" x14ac:dyDescent="0.25">
      <c r="A168" s="349"/>
      <c r="B168" s="546" t="s">
        <v>416</v>
      </c>
      <c r="C168" s="546"/>
      <c r="D168" s="547"/>
      <c r="E168" s="338"/>
      <c r="F168" s="338"/>
      <c r="G168" s="547"/>
      <c r="H168" s="421"/>
      <c r="I168" s="338"/>
      <c r="J168" s="338"/>
    </row>
    <row r="169" spans="1:10" s="285" customFormat="1" x14ac:dyDescent="0.25">
      <c r="A169" s="944" t="s">
        <v>21</v>
      </c>
      <c r="B169" s="945"/>
      <c r="C169" s="150" t="s">
        <v>22</v>
      </c>
      <c r="D169" s="103" t="s">
        <v>880</v>
      </c>
      <c r="E169" s="104" t="s">
        <v>24</v>
      </c>
      <c r="F169" s="103" t="s">
        <v>535</v>
      </c>
      <c r="G169" s="103" t="s">
        <v>413</v>
      </c>
      <c r="H169" s="104" t="s">
        <v>24</v>
      </c>
      <c r="I169" s="104" t="s">
        <v>24</v>
      </c>
      <c r="J169" s="104" t="s">
        <v>24</v>
      </c>
    </row>
    <row r="170" spans="1:10" s="285" customFormat="1" x14ac:dyDescent="0.25">
      <c r="A170" s="946"/>
      <c r="B170" s="947"/>
      <c r="C170" s="106"/>
      <c r="D170" s="333" t="s">
        <v>257</v>
      </c>
      <c r="E170" s="107" t="s">
        <v>382</v>
      </c>
      <c r="F170" s="107" t="s">
        <v>382</v>
      </c>
      <c r="G170" s="333" t="s">
        <v>382</v>
      </c>
      <c r="H170" s="107" t="s">
        <v>407</v>
      </c>
      <c r="I170" s="107" t="s">
        <v>414</v>
      </c>
      <c r="J170" s="107" t="s">
        <v>530</v>
      </c>
    </row>
    <row r="171" spans="1:10" s="285" customFormat="1" hidden="1" x14ac:dyDescent="0.25">
      <c r="A171" s="350"/>
      <c r="B171" s="153"/>
      <c r="C171" s="93" t="s">
        <v>98</v>
      </c>
      <c r="D171" s="122"/>
      <c r="E171" s="98"/>
      <c r="F171" s="98"/>
      <c r="G171" s="444"/>
      <c r="H171" s="98"/>
      <c r="I171" s="98"/>
      <c r="J171" s="98"/>
    </row>
    <row r="172" spans="1:10" s="285" customFormat="1" hidden="1" x14ac:dyDescent="0.25">
      <c r="A172" s="118">
        <v>32</v>
      </c>
      <c r="B172" s="151">
        <v>1237</v>
      </c>
      <c r="C172" s="94" t="s">
        <v>99</v>
      </c>
      <c r="D172" s="122"/>
      <c r="E172" s="108"/>
      <c r="F172" s="98">
        <f>E172/8*12</f>
        <v>0</v>
      </c>
      <c r="G172" s="444"/>
      <c r="H172" s="98"/>
      <c r="I172" s="98"/>
      <c r="J172" s="108">
        <f>F172*(1+[1]INPUT!C15)</f>
        <v>0</v>
      </c>
    </row>
    <row r="173" spans="1:10" s="285" customFormat="1" hidden="1" x14ac:dyDescent="0.25">
      <c r="A173" s="118">
        <v>32</v>
      </c>
      <c r="B173" s="151">
        <v>5725</v>
      </c>
      <c r="C173" s="94" t="s">
        <v>400</v>
      </c>
      <c r="D173" s="85"/>
      <c r="E173" s="85">
        <v>0</v>
      </c>
      <c r="F173" s="85">
        <f>(0/8*12)*-1</f>
        <v>0</v>
      </c>
      <c r="G173" s="428"/>
      <c r="H173" s="85"/>
      <c r="I173" s="85"/>
      <c r="J173" s="85">
        <f>F173*(1+[1]INPUT!C$10)</f>
        <v>0</v>
      </c>
    </row>
    <row r="174" spans="1:10" s="285" customFormat="1" hidden="1" x14ac:dyDescent="0.25">
      <c r="A174" s="344"/>
      <c r="B174" s="151"/>
      <c r="C174" s="94"/>
      <c r="D174" s="99"/>
      <c r="E174" s="99">
        <f>SUM(E172)</f>
        <v>0</v>
      </c>
      <c r="F174" s="99">
        <f>SUM(F172)</f>
        <v>0</v>
      </c>
      <c r="G174" s="436"/>
      <c r="H174" s="99"/>
      <c r="I174" s="99"/>
      <c r="J174" s="99">
        <f>SUM(J172)</f>
        <v>0</v>
      </c>
    </row>
    <row r="175" spans="1:10" s="285" customFormat="1" x14ac:dyDescent="0.25">
      <c r="A175" s="344"/>
      <c r="B175" s="151"/>
      <c r="C175" s="93" t="s">
        <v>100</v>
      </c>
      <c r="D175" s="122"/>
      <c r="E175" s="98"/>
      <c r="F175" s="98"/>
      <c r="G175" s="444"/>
      <c r="H175" s="98"/>
      <c r="I175" s="98"/>
      <c r="J175" s="98"/>
    </row>
    <row r="176" spans="1:10" s="285" customFormat="1" hidden="1" x14ac:dyDescent="0.25">
      <c r="A176" s="118">
        <v>32</v>
      </c>
      <c r="B176" s="151">
        <v>1147</v>
      </c>
      <c r="C176" s="94" t="s">
        <v>102</v>
      </c>
      <c r="D176" s="122"/>
      <c r="E176" s="98"/>
      <c r="F176" s="98">
        <f>E176/8*12</f>
        <v>0</v>
      </c>
      <c r="G176" s="444"/>
      <c r="H176" s="98"/>
      <c r="I176" s="98"/>
      <c r="J176" s="98">
        <f>F176*(1+[1]INPUT!C18)</f>
        <v>0</v>
      </c>
    </row>
    <row r="177" spans="1:10" s="285" customFormat="1" hidden="1" x14ac:dyDescent="0.25">
      <c r="A177" s="118">
        <v>32</v>
      </c>
      <c r="B177" s="151">
        <v>1202</v>
      </c>
      <c r="C177" s="94" t="s">
        <v>343</v>
      </c>
      <c r="D177" s="122"/>
      <c r="E177" s="98"/>
      <c r="F177" s="98">
        <f>E177/8*12</f>
        <v>0</v>
      </c>
      <c r="G177" s="444"/>
      <c r="H177" s="98"/>
      <c r="I177" s="98"/>
      <c r="J177" s="98">
        <f>F177*(1+[1]INPUT!C19)</f>
        <v>0</v>
      </c>
    </row>
    <row r="178" spans="1:10" s="285" customFormat="1" hidden="1" x14ac:dyDescent="0.25">
      <c r="A178" s="118">
        <v>32</v>
      </c>
      <c r="B178" s="151">
        <v>1207</v>
      </c>
      <c r="C178" s="94" t="s">
        <v>104</v>
      </c>
      <c r="D178" s="122"/>
      <c r="E178" s="98"/>
      <c r="F178" s="98">
        <f>E178/8*12</f>
        <v>0</v>
      </c>
      <c r="G178" s="444"/>
      <c r="H178" s="98"/>
      <c r="I178" s="98"/>
      <c r="J178" s="98">
        <f>F178*(1+[1]INPUT!C20)</f>
        <v>0</v>
      </c>
    </row>
    <row r="179" spans="1:10" s="285" customFormat="1" hidden="1" x14ac:dyDescent="0.25">
      <c r="A179" s="118">
        <v>32</v>
      </c>
      <c r="B179" s="151">
        <v>1153</v>
      </c>
      <c r="C179" s="94" t="s">
        <v>115</v>
      </c>
      <c r="D179" s="122"/>
      <c r="E179" s="98"/>
      <c r="F179" s="98">
        <f>E179/8*12</f>
        <v>0</v>
      </c>
      <c r="G179" s="444"/>
      <c r="H179" s="98"/>
      <c r="I179" s="98"/>
      <c r="J179" s="98">
        <f>F179*(1+[1]INPUT!C21)</f>
        <v>0</v>
      </c>
    </row>
    <row r="180" spans="1:10" s="285" customFormat="1" hidden="1" x14ac:dyDescent="0.25">
      <c r="A180" s="118">
        <v>32</v>
      </c>
      <c r="B180" s="151">
        <v>1143</v>
      </c>
      <c r="C180" s="94" t="s">
        <v>109</v>
      </c>
      <c r="D180" s="122"/>
      <c r="E180" s="98"/>
      <c r="F180" s="98">
        <f>E180/8*12</f>
        <v>0</v>
      </c>
      <c r="G180" s="444"/>
      <c r="H180" s="98"/>
      <c r="I180" s="98"/>
      <c r="J180" s="98">
        <f>F180*(1+[1]INPUT!C22)</f>
        <v>0</v>
      </c>
    </row>
    <row r="181" spans="1:10" s="285" customFormat="1" x14ac:dyDescent="0.25">
      <c r="A181" s="118">
        <v>32</v>
      </c>
      <c r="B181" s="151">
        <v>5500</v>
      </c>
      <c r="C181" s="94" t="s">
        <v>266</v>
      </c>
      <c r="D181" s="85">
        <v>-31895</v>
      </c>
      <c r="E181" s="85">
        <v>-48020</v>
      </c>
      <c r="F181" s="85">
        <f t="shared" ref="F181:F200" si="14">E181-D181</f>
        <v>-16125</v>
      </c>
      <c r="G181" s="428">
        <v>-16125</v>
      </c>
      <c r="H181" s="85"/>
      <c r="I181" s="85"/>
      <c r="J181" s="85"/>
    </row>
    <row r="182" spans="1:10" s="285" customFormat="1" hidden="1" x14ac:dyDescent="0.25">
      <c r="A182" s="118">
        <v>32</v>
      </c>
      <c r="B182" s="151">
        <v>5705</v>
      </c>
      <c r="C182" s="94" t="s">
        <v>296</v>
      </c>
      <c r="D182" s="85"/>
      <c r="E182" s="85"/>
      <c r="F182" s="85">
        <f t="shared" si="14"/>
        <v>0</v>
      </c>
      <c r="G182" s="428">
        <v>0</v>
      </c>
      <c r="H182" s="85"/>
      <c r="I182" s="85"/>
      <c r="J182" s="85"/>
    </row>
    <row r="183" spans="1:10" s="285" customFormat="1" hidden="1" x14ac:dyDescent="0.25">
      <c r="A183" s="118">
        <v>32</v>
      </c>
      <c r="B183" s="151">
        <v>1140</v>
      </c>
      <c r="C183" s="94" t="s">
        <v>113</v>
      </c>
      <c r="D183" s="122"/>
      <c r="E183" s="98"/>
      <c r="F183" s="85">
        <f t="shared" si="14"/>
        <v>0</v>
      </c>
      <c r="G183" s="444">
        <v>0</v>
      </c>
      <c r="H183" s="85"/>
      <c r="I183" s="85"/>
      <c r="J183" s="85"/>
    </row>
    <row r="184" spans="1:10" s="285" customFormat="1" hidden="1" x14ac:dyDescent="0.25">
      <c r="A184" s="118">
        <v>32</v>
      </c>
      <c r="B184" s="151">
        <v>1145</v>
      </c>
      <c r="C184" s="94" t="s">
        <v>132</v>
      </c>
      <c r="D184" s="122"/>
      <c r="E184" s="98"/>
      <c r="F184" s="85">
        <f t="shared" si="14"/>
        <v>0</v>
      </c>
      <c r="G184" s="444">
        <v>0</v>
      </c>
      <c r="H184" s="85"/>
      <c r="I184" s="85"/>
      <c r="J184" s="85"/>
    </row>
    <row r="185" spans="1:10" s="285" customFormat="1" hidden="1" x14ac:dyDescent="0.25">
      <c r="A185" s="118">
        <v>32</v>
      </c>
      <c r="B185" s="151">
        <v>1150</v>
      </c>
      <c r="C185" s="94" t="s">
        <v>120</v>
      </c>
      <c r="D185" s="122"/>
      <c r="E185" s="98"/>
      <c r="F185" s="85">
        <f t="shared" si="14"/>
        <v>0</v>
      </c>
      <c r="G185" s="444">
        <v>0</v>
      </c>
      <c r="H185" s="85"/>
      <c r="I185" s="85"/>
      <c r="J185" s="85"/>
    </row>
    <row r="186" spans="1:10" s="285" customFormat="1" hidden="1" x14ac:dyDescent="0.25">
      <c r="A186" s="118">
        <v>32</v>
      </c>
      <c r="B186" s="151">
        <v>1155</v>
      </c>
      <c r="C186" s="94" t="s">
        <v>116</v>
      </c>
      <c r="D186" s="122"/>
      <c r="E186" s="98"/>
      <c r="F186" s="85">
        <f t="shared" si="14"/>
        <v>0</v>
      </c>
      <c r="G186" s="444">
        <v>0</v>
      </c>
      <c r="H186" s="85"/>
      <c r="I186" s="85"/>
      <c r="J186" s="85"/>
    </row>
    <row r="187" spans="1:10" s="285" customFormat="1" hidden="1" x14ac:dyDescent="0.25">
      <c r="A187" s="118">
        <v>32</v>
      </c>
      <c r="B187" s="151">
        <v>1160</v>
      </c>
      <c r="C187" s="94" t="s">
        <v>101</v>
      </c>
      <c r="D187" s="122"/>
      <c r="E187" s="98"/>
      <c r="F187" s="85">
        <f t="shared" si="14"/>
        <v>0</v>
      </c>
      <c r="G187" s="444">
        <v>0</v>
      </c>
      <c r="H187" s="85"/>
      <c r="I187" s="85"/>
      <c r="J187" s="85"/>
    </row>
    <row r="188" spans="1:10" s="285" customFormat="1" hidden="1" x14ac:dyDescent="0.25">
      <c r="A188" s="118">
        <v>32</v>
      </c>
      <c r="B188" s="151">
        <v>1165</v>
      </c>
      <c r="C188" s="94" t="s">
        <v>114</v>
      </c>
      <c r="D188" s="122"/>
      <c r="E188" s="98"/>
      <c r="F188" s="85">
        <f t="shared" si="14"/>
        <v>0</v>
      </c>
      <c r="G188" s="444">
        <v>0</v>
      </c>
      <c r="H188" s="85"/>
      <c r="I188" s="85"/>
      <c r="J188" s="85"/>
    </row>
    <row r="189" spans="1:10" s="285" customFormat="1" hidden="1" x14ac:dyDescent="0.25">
      <c r="A189" s="118"/>
      <c r="B189" s="151"/>
      <c r="C189" s="94" t="s">
        <v>401</v>
      </c>
      <c r="D189" s="122"/>
      <c r="E189" s="98"/>
      <c r="F189" s="85">
        <f t="shared" si="14"/>
        <v>0</v>
      </c>
      <c r="G189" s="444">
        <v>0</v>
      </c>
      <c r="H189" s="85"/>
      <c r="I189" s="85"/>
      <c r="J189" s="85"/>
    </row>
    <row r="190" spans="1:10" s="285" customFormat="1" hidden="1" x14ac:dyDescent="0.25">
      <c r="A190" s="118">
        <v>32</v>
      </c>
      <c r="B190" s="151">
        <v>1180</v>
      </c>
      <c r="C190" s="94" t="s">
        <v>402</v>
      </c>
      <c r="D190" s="122"/>
      <c r="E190" s="98"/>
      <c r="F190" s="85">
        <f t="shared" si="14"/>
        <v>0</v>
      </c>
      <c r="G190" s="444">
        <v>0</v>
      </c>
      <c r="H190" s="85"/>
      <c r="I190" s="85"/>
      <c r="J190" s="85"/>
    </row>
    <row r="191" spans="1:10" s="285" customFormat="1" hidden="1" x14ac:dyDescent="0.25">
      <c r="A191" s="118">
        <v>32</v>
      </c>
      <c r="B191" s="151">
        <v>1185</v>
      </c>
      <c r="C191" s="94" t="s">
        <v>403</v>
      </c>
      <c r="D191" s="122"/>
      <c r="E191" s="98"/>
      <c r="F191" s="85">
        <f t="shared" si="14"/>
        <v>0</v>
      </c>
      <c r="G191" s="444">
        <v>0</v>
      </c>
      <c r="H191" s="85"/>
      <c r="I191" s="85"/>
      <c r="J191" s="85"/>
    </row>
    <row r="192" spans="1:10" s="285" customFormat="1" hidden="1" x14ac:dyDescent="0.25">
      <c r="A192" s="118">
        <v>32</v>
      </c>
      <c r="B192" s="151">
        <v>1190</v>
      </c>
      <c r="C192" s="94" t="s">
        <v>404</v>
      </c>
      <c r="D192" s="122"/>
      <c r="E192" s="98"/>
      <c r="F192" s="85">
        <f t="shared" si="14"/>
        <v>0</v>
      </c>
      <c r="G192" s="444">
        <v>0</v>
      </c>
      <c r="H192" s="85"/>
      <c r="I192" s="85"/>
      <c r="J192" s="85"/>
    </row>
    <row r="193" spans="1:10" s="285" customFormat="1" hidden="1" x14ac:dyDescent="0.25">
      <c r="A193" s="118"/>
      <c r="B193" s="151"/>
      <c r="C193" s="94" t="s">
        <v>405</v>
      </c>
      <c r="D193" s="122"/>
      <c r="E193" s="98"/>
      <c r="F193" s="85">
        <f t="shared" si="14"/>
        <v>0</v>
      </c>
      <c r="G193" s="444">
        <v>0</v>
      </c>
      <c r="H193" s="85"/>
      <c r="I193" s="85"/>
      <c r="J193" s="85"/>
    </row>
    <row r="194" spans="1:10" s="285" customFormat="1" hidden="1" x14ac:dyDescent="0.25">
      <c r="A194" s="118">
        <v>32</v>
      </c>
      <c r="B194" s="151">
        <v>1195</v>
      </c>
      <c r="C194" s="94" t="s">
        <v>199</v>
      </c>
      <c r="D194" s="122"/>
      <c r="E194" s="98"/>
      <c r="F194" s="85">
        <f t="shared" si="14"/>
        <v>0</v>
      </c>
      <c r="G194" s="444">
        <v>0</v>
      </c>
      <c r="H194" s="85"/>
      <c r="I194" s="85"/>
      <c r="J194" s="85"/>
    </row>
    <row r="195" spans="1:10" s="285" customFormat="1" hidden="1" x14ac:dyDescent="0.25">
      <c r="A195" s="118">
        <v>32</v>
      </c>
      <c r="B195" s="151">
        <v>1200</v>
      </c>
      <c r="C195" s="94" t="s">
        <v>117</v>
      </c>
      <c r="D195" s="122"/>
      <c r="E195" s="98"/>
      <c r="F195" s="85">
        <f t="shared" si="14"/>
        <v>0</v>
      </c>
      <c r="G195" s="444">
        <v>0</v>
      </c>
      <c r="H195" s="85"/>
      <c r="I195" s="85"/>
      <c r="J195" s="85"/>
    </row>
    <row r="196" spans="1:10" s="285" customFormat="1" hidden="1" x14ac:dyDescent="0.25">
      <c r="A196" s="118">
        <v>32</v>
      </c>
      <c r="B196" s="151">
        <v>1205</v>
      </c>
      <c r="C196" s="115" t="s">
        <v>105</v>
      </c>
      <c r="D196" s="122"/>
      <c r="E196" s="98"/>
      <c r="F196" s="85">
        <f t="shared" si="14"/>
        <v>0</v>
      </c>
      <c r="G196" s="444">
        <v>0</v>
      </c>
      <c r="H196" s="85"/>
      <c r="I196" s="85"/>
      <c r="J196" s="85"/>
    </row>
    <row r="197" spans="1:10" s="285" customFormat="1" hidden="1" x14ac:dyDescent="0.25">
      <c r="A197" s="118">
        <v>32</v>
      </c>
      <c r="B197" s="151">
        <v>1210</v>
      </c>
      <c r="C197" s="94" t="s">
        <v>118</v>
      </c>
      <c r="D197" s="122"/>
      <c r="E197" s="98"/>
      <c r="F197" s="85">
        <f t="shared" si="14"/>
        <v>0</v>
      </c>
      <c r="G197" s="444">
        <v>0</v>
      </c>
      <c r="H197" s="85"/>
      <c r="I197" s="85"/>
      <c r="J197" s="85"/>
    </row>
    <row r="198" spans="1:10" s="285" customFormat="1" hidden="1" x14ac:dyDescent="0.25">
      <c r="A198" s="118">
        <v>32</v>
      </c>
      <c r="B198" s="151">
        <v>1215</v>
      </c>
      <c r="C198" s="94" t="s">
        <v>133</v>
      </c>
      <c r="D198" s="122"/>
      <c r="E198" s="98"/>
      <c r="F198" s="85">
        <f t="shared" si="14"/>
        <v>0</v>
      </c>
      <c r="G198" s="444">
        <v>0</v>
      </c>
      <c r="H198" s="85"/>
      <c r="I198" s="85"/>
      <c r="J198" s="85"/>
    </row>
    <row r="199" spans="1:10" s="285" customFormat="1" hidden="1" x14ac:dyDescent="0.25">
      <c r="A199" s="118">
        <v>32</v>
      </c>
      <c r="B199" s="151">
        <v>5905</v>
      </c>
      <c r="C199" s="94" t="s">
        <v>329</v>
      </c>
      <c r="D199" s="85"/>
      <c r="E199" s="85"/>
      <c r="F199" s="85">
        <f t="shared" si="14"/>
        <v>0</v>
      </c>
      <c r="G199" s="428">
        <v>0</v>
      </c>
      <c r="H199" s="85"/>
      <c r="I199" s="85"/>
      <c r="J199" s="85"/>
    </row>
    <row r="200" spans="1:10" s="285" customFormat="1" x14ac:dyDescent="0.25">
      <c r="A200" s="118">
        <v>32</v>
      </c>
      <c r="B200" s="151">
        <v>5900</v>
      </c>
      <c r="C200" s="94" t="s">
        <v>333</v>
      </c>
      <c r="D200" s="85">
        <v>-16125</v>
      </c>
      <c r="E200" s="85">
        <v>-16125</v>
      </c>
      <c r="F200" s="85">
        <f t="shared" si="14"/>
        <v>0</v>
      </c>
      <c r="G200" s="428">
        <v>-16125</v>
      </c>
      <c r="H200" s="85"/>
      <c r="I200" s="85"/>
      <c r="J200" s="85"/>
    </row>
    <row r="201" spans="1:10" s="285" customFormat="1" hidden="1" x14ac:dyDescent="0.25">
      <c r="A201" s="118">
        <v>32</v>
      </c>
      <c r="B201" s="151">
        <v>1220</v>
      </c>
      <c r="C201" s="94" t="s">
        <v>340</v>
      </c>
      <c r="D201" s="122"/>
      <c r="E201" s="98"/>
      <c r="F201" s="98">
        <f>E201/8*12</f>
        <v>0</v>
      </c>
      <c r="G201" s="444">
        <v>0</v>
      </c>
      <c r="H201" s="98"/>
      <c r="I201" s="98"/>
      <c r="J201" s="98"/>
    </row>
    <row r="202" spans="1:10" s="285" customFormat="1" hidden="1" x14ac:dyDescent="0.25">
      <c r="A202" s="118">
        <v>32</v>
      </c>
      <c r="B202" s="151">
        <v>1225</v>
      </c>
      <c r="C202" s="94" t="s">
        <v>370</v>
      </c>
      <c r="D202" s="122"/>
      <c r="E202" s="98"/>
      <c r="F202" s="98">
        <f>E202/8*12</f>
        <v>0</v>
      </c>
      <c r="G202" s="444">
        <v>0</v>
      </c>
      <c r="H202" s="98"/>
      <c r="I202" s="98"/>
      <c r="J202" s="98"/>
    </row>
    <row r="203" spans="1:10" s="285" customFormat="1" hidden="1" x14ac:dyDescent="0.25">
      <c r="A203" s="118">
        <v>32</v>
      </c>
      <c r="B203" s="151">
        <v>1230</v>
      </c>
      <c r="C203" s="94" t="s">
        <v>119</v>
      </c>
      <c r="D203" s="122"/>
      <c r="E203" s="98"/>
      <c r="F203" s="98">
        <f>E203/8*12</f>
        <v>0</v>
      </c>
      <c r="G203" s="444">
        <v>0</v>
      </c>
      <c r="H203" s="98"/>
      <c r="I203" s="98"/>
      <c r="J203" s="98"/>
    </row>
    <row r="204" spans="1:10" s="285" customFormat="1" hidden="1" x14ac:dyDescent="0.25">
      <c r="A204" s="118">
        <v>32</v>
      </c>
      <c r="B204" s="151">
        <v>1235</v>
      </c>
      <c r="C204" s="94" t="s">
        <v>347</v>
      </c>
      <c r="D204" s="122"/>
      <c r="E204" s="98"/>
      <c r="F204" s="98">
        <f>E204/8*12</f>
        <v>0</v>
      </c>
      <c r="G204" s="444">
        <v>0</v>
      </c>
      <c r="H204" s="98"/>
      <c r="I204" s="98"/>
      <c r="J204" s="98"/>
    </row>
    <row r="205" spans="1:10" s="285" customFormat="1" hidden="1" x14ac:dyDescent="0.25">
      <c r="A205" s="118"/>
      <c r="B205" s="151"/>
      <c r="C205" s="94" t="s">
        <v>510</v>
      </c>
      <c r="D205" s="225"/>
      <c r="E205" s="85"/>
      <c r="F205" s="85"/>
      <c r="G205" s="225"/>
      <c r="H205" s="85"/>
      <c r="I205" s="85"/>
      <c r="J205" s="85"/>
    </row>
    <row r="206" spans="1:10" s="285" customFormat="1" x14ac:dyDescent="0.25">
      <c r="A206" s="344"/>
      <c r="B206" s="151"/>
      <c r="C206" s="94"/>
      <c r="D206" s="100">
        <v>-48020</v>
      </c>
      <c r="E206" s="100">
        <f>SUM(E176:E204)</f>
        <v>-64145</v>
      </c>
      <c r="F206" s="100">
        <f>SUM(F176:F204)</f>
        <v>-16125</v>
      </c>
      <c r="G206" s="437">
        <v>-32250</v>
      </c>
      <c r="H206" s="100"/>
      <c r="I206" s="100"/>
      <c r="J206" s="100"/>
    </row>
    <row r="207" spans="1:10" s="285" customFormat="1" hidden="1" x14ac:dyDescent="0.25">
      <c r="A207" s="344"/>
      <c r="B207" s="151"/>
      <c r="C207" s="93" t="s">
        <v>66</v>
      </c>
      <c r="D207" s="122"/>
      <c r="E207" s="98"/>
      <c r="F207" s="98"/>
      <c r="G207" s="444"/>
      <c r="H207" s="98"/>
      <c r="I207" s="98"/>
      <c r="J207" s="98"/>
    </row>
    <row r="208" spans="1:10" s="285" customFormat="1" hidden="1" x14ac:dyDescent="0.25">
      <c r="A208" s="118">
        <v>32</v>
      </c>
      <c r="B208" s="151">
        <v>1305</v>
      </c>
      <c r="C208" s="94" t="s">
        <v>342</v>
      </c>
      <c r="D208" s="122"/>
      <c r="E208" s="98"/>
      <c r="F208" s="98">
        <f>E208/8*12</f>
        <v>0</v>
      </c>
      <c r="G208" s="444">
        <v>0</v>
      </c>
      <c r="H208" s="98"/>
      <c r="I208" s="98"/>
      <c r="J208" s="98"/>
    </row>
    <row r="209" spans="1:10" s="285" customFormat="1" hidden="1" x14ac:dyDescent="0.25">
      <c r="A209" s="118">
        <v>32</v>
      </c>
      <c r="B209" s="151">
        <v>1310</v>
      </c>
      <c r="C209" s="94" t="s">
        <v>344</v>
      </c>
      <c r="D209" s="122"/>
      <c r="E209" s="98"/>
      <c r="F209" s="98">
        <f>E209/8*12</f>
        <v>0</v>
      </c>
      <c r="G209" s="444">
        <v>0</v>
      </c>
      <c r="H209" s="98"/>
      <c r="I209" s="98"/>
      <c r="J209" s="98"/>
    </row>
    <row r="210" spans="1:10" s="285" customFormat="1" hidden="1" x14ac:dyDescent="0.25">
      <c r="A210" s="118">
        <v>32</v>
      </c>
      <c r="B210" s="151">
        <v>1320</v>
      </c>
      <c r="C210" s="94" t="s">
        <v>345</v>
      </c>
      <c r="D210" s="122"/>
      <c r="E210" s="98"/>
      <c r="F210" s="98">
        <f>E210/8*12</f>
        <v>0</v>
      </c>
      <c r="G210" s="444">
        <v>0</v>
      </c>
      <c r="H210" s="98"/>
      <c r="I210" s="98"/>
      <c r="J210" s="98"/>
    </row>
    <row r="211" spans="1:10" s="285" customFormat="1" hidden="1" x14ac:dyDescent="0.25">
      <c r="A211" s="118">
        <v>32</v>
      </c>
      <c r="B211" s="151">
        <v>1315</v>
      </c>
      <c r="C211" s="94" t="s">
        <v>346</v>
      </c>
      <c r="D211" s="122"/>
      <c r="E211" s="108"/>
      <c r="F211" s="98">
        <f>E211/8*12</f>
        <v>0</v>
      </c>
      <c r="G211" s="444">
        <v>0</v>
      </c>
      <c r="H211" s="98"/>
      <c r="I211" s="98"/>
      <c r="J211" s="108"/>
    </row>
    <row r="212" spans="1:10" s="285" customFormat="1" hidden="1" x14ac:dyDescent="0.25">
      <c r="A212" s="344"/>
      <c r="B212" s="151"/>
      <c r="C212" s="94"/>
      <c r="D212" s="99"/>
      <c r="E212" s="99">
        <f>SUM(E208:E211)</f>
        <v>0</v>
      </c>
      <c r="F212" s="99">
        <f>SUM(F208:F211)</f>
        <v>0</v>
      </c>
      <c r="G212" s="436">
        <v>0</v>
      </c>
      <c r="H212" s="99"/>
      <c r="I212" s="99"/>
      <c r="J212" s="99"/>
    </row>
    <row r="213" spans="1:10" s="285" customFormat="1" hidden="1" x14ac:dyDescent="0.25">
      <c r="A213" s="344"/>
      <c r="B213" s="151"/>
      <c r="C213" s="93" t="s">
        <v>67</v>
      </c>
      <c r="D213" s="122"/>
      <c r="E213" s="98"/>
      <c r="F213" s="98"/>
      <c r="G213" s="444"/>
      <c r="H213" s="98"/>
      <c r="I213" s="98"/>
      <c r="J213" s="98"/>
    </row>
    <row r="214" spans="1:10" s="285" customFormat="1" hidden="1" x14ac:dyDescent="0.25">
      <c r="A214" s="118">
        <v>32</v>
      </c>
      <c r="B214" s="151">
        <v>1400</v>
      </c>
      <c r="C214" s="94" t="s">
        <v>68</v>
      </c>
      <c r="D214" s="122"/>
      <c r="E214" s="108"/>
      <c r="F214" s="98">
        <f>E214/8*12</f>
        <v>0</v>
      </c>
      <c r="G214" s="444">
        <v>0</v>
      </c>
      <c r="H214" s="98"/>
      <c r="I214" s="98"/>
      <c r="J214" s="108"/>
    </row>
    <row r="215" spans="1:10" s="285" customFormat="1" hidden="1" x14ac:dyDescent="0.25">
      <c r="A215" s="118">
        <v>32</v>
      </c>
      <c r="B215" s="151">
        <v>1405</v>
      </c>
      <c r="C215" s="94" t="s">
        <v>69</v>
      </c>
      <c r="D215" s="122"/>
      <c r="E215" s="108"/>
      <c r="F215" s="98">
        <f>E215/8*12</f>
        <v>0</v>
      </c>
      <c r="G215" s="444">
        <v>0</v>
      </c>
      <c r="H215" s="98"/>
      <c r="I215" s="98"/>
      <c r="J215" s="108"/>
    </row>
    <row r="216" spans="1:10" s="285" customFormat="1" hidden="1" x14ac:dyDescent="0.25">
      <c r="A216" s="344"/>
      <c r="B216" s="151"/>
      <c r="C216" s="94"/>
      <c r="D216" s="99"/>
      <c r="E216" s="99">
        <f>SUM(E214:E215)</f>
        <v>0</v>
      </c>
      <c r="F216" s="99">
        <f>SUM(F214:F215)</f>
        <v>0</v>
      </c>
      <c r="G216" s="436">
        <v>0</v>
      </c>
      <c r="H216" s="99"/>
      <c r="I216" s="99"/>
      <c r="J216" s="99"/>
    </row>
    <row r="217" spans="1:10" s="285" customFormat="1" hidden="1" x14ac:dyDescent="0.25">
      <c r="A217" s="344"/>
      <c r="B217" s="151"/>
      <c r="C217" s="93" t="s">
        <v>70</v>
      </c>
      <c r="D217" s="122"/>
      <c r="E217" s="98"/>
      <c r="F217" s="98"/>
      <c r="G217" s="444"/>
      <c r="H217" s="98"/>
      <c r="I217" s="98"/>
      <c r="J217" s="98"/>
    </row>
    <row r="218" spans="1:10" s="285" customFormat="1" hidden="1" x14ac:dyDescent="0.25">
      <c r="A218" s="118">
        <v>32</v>
      </c>
      <c r="B218" s="151">
        <v>1500</v>
      </c>
      <c r="C218" s="94" t="s">
        <v>106</v>
      </c>
      <c r="D218" s="122"/>
      <c r="E218" s="108"/>
      <c r="F218" s="98">
        <f>E218/8*12</f>
        <v>0</v>
      </c>
      <c r="G218" s="444">
        <v>0</v>
      </c>
      <c r="H218" s="98"/>
      <c r="I218" s="98"/>
      <c r="J218" s="108"/>
    </row>
    <row r="219" spans="1:10" s="285" customFormat="1" hidden="1" x14ac:dyDescent="0.25">
      <c r="A219" s="118">
        <v>32</v>
      </c>
      <c r="B219" s="151">
        <v>1505</v>
      </c>
      <c r="C219" s="94" t="s">
        <v>71</v>
      </c>
      <c r="D219" s="122"/>
      <c r="E219" s="108"/>
      <c r="F219" s="98">
        <f>E219/8*12</f>
        <v>0</v>
      </c>
      <c r="G219" s="444">
        <v>0</v>
      </c>
      <c r="H219" s="98"/>
      <c r="I219" s="98"/>
      <c r="J219" s="108"/>
    </row>
    <row r="220" spans="1:10" s="285" customFormat="1" hidden="1" x14ac:dyDescent="0.25">
      <c r="A220" s="118">
        <v>32</v>
      </c>
      <c r="B220" s="151">
        <v>1510</v>
      </c>
      <c r="C220" s="94" t="s">
        <v>72</v>
      </c>
      <c r="D220" s="122"/>
      <c r="E220" s="108"/>
      <c r="F220" s="98">
        <f>E220/8*12</f>
        <v>0</v>
      </c>
      <c r="G220" s="444">
        <v>0</v>
      </c>
      <c r="H220" s="98"/>
      <c r="I220" s="98"/>
      <c r="J220" s="108"/>
    </row>
    <row r="221" spans="1:10" s="285" customFormat="1" hidden="1" x14ac:dyDescent="0.25">
      <c r="A221" s="344"/>
      <c r="B221" s="151"/>
      <c r="C221" s="94"/>
      <c r="D221" s="99"/>
      <c r="E221" s="99">
        <f>SUM(E218:E220)</f>
        <v>0</v>
      </c>
      <c r="F221" s="99">
        <f>SUM(F218:F220)</f>
        <v>0</v>
      </c>
      <c r="G221" s="436">
        <v>0</v>
      </c>
      <c r="H221" s="99"/>
      <c r="I221" s="99"/>
      <c r="J221" s="99"/>
    </row>
    <row r="222" spans="1:10" s="285" customFormat="1" hidden="1" x14ac:dyDescent="0.25">
      <c r="A222" s="344"/>
      <c r="B222" s="151"/>
      <c r="C222" s="93" t="s">
        <v>73</v>
      </c>
      <c r="D222" s="122"/>
      <c r="E222" s="98"/>
      <c r="F222" s="98"/>
      <c r="G222" s="444"/>
      <c r="H222" s="98"/>
      <c r="I222" s="98"/>
      <c r="J222" s="98"/>
    </row>
    <row r="223" spans="1:10" s="285" customFormat="1" hidden="1" x14ac:dyDescent="0.25">
      <c r="A223" s="118">
        <v>32</v>
      </c>
      <c r="B223" s="151">
        <v>1550</v>
      </c>
      <c r="C223" s="94" t="s">
        <v>349</v>
      </c>
      <c r="D223" s="122"/>
      <c r="E223" s="98"/>
      <c r="F223" s="98"/>
      <c r="G223" s="444"/>
      <c r="H223" s="98"/>
      <c r="I223" s="98"/>
      <c r="J223" s="98"/>
    </row>
    <row r="224" spans="1:10" s="285" customFormat="1" hidden="1" x14ac:dyDescent="0.25">
      <c r="A224" s="118">
        <v>32</v>
      </c>
      <c r="B224" s="151">
        <v>1555</v>
      </c>
      <c r="C224" s="94" t="s">
        <v>348</v>
      </c>
      <c r="D224" s="122"/>
      <c r="E224" s="98"/>
      <c r="F224" s="98">
        <f>E224/8*12</f>
        <v>0</v>
      </c>
      <c r="G224" s="444">
        <v>0</v>
      </c>
      <c r="H224" s="98"/>
      <c r="I224" s="98"/>
      <c r="J224" s="108"/>
    </row>
    <row r="225" spans="1:10" s="285" customFormat="1" hidden="1" x14ac:dyDescent="0.25">
      <c r="A225" s="344"/>
      <c r="B225" s="151"/>
      <c r="C225" s="94"/>
      <c r="D225" s="100">
        <v>0</v>
      </c>
      <c r="E225" s="100">
        <f>SUM(E223:E224)</f>
        <v>0</v>
      </c>
      <c r="F225" s="100">
        <f>SUM(F223:F224)</f>
        <v>0</v>
      </c>
      <c r="G225" s="437">
        <v>0</v>
      </c>
      <c r="H225" s="100"/>
      <c r="I225" s="100"/>
      <c r="J225" s="100"/>
    </row>
    <row r="226" spans="1:10" s="285" customFormat="1" ht="13.5" hidden="1" customHeight="1" x14ac:dyDescent="0.25">
      <c r="A226" s="344"/>
      <c r="B226" s="151"/>
      <c r="C226" s="93" t="s">
        <v>74</v>
      </c>
      <c r="D226" s="122"/>
      <c r="E226" s="98"/>
      <c r="F226" s="98"/>
      <c r="G226" s="444"/>
      <c r="H226" s="98"/>
      <c r="I226" s="98"/>
      <c r="J226" s="98"/>
    </row>
    <row r="227" spans="1:10" s="285" customFormat="1" hidden="1" x14ac:dyDescent="0.25">
      <c r="A227" s="118">
        <v>32</v>
      </c>
      <c r="B227" s="151">
        <v>1605</v>
      </c>
      <c r="C227" s="94" t="s">
        <v>75</v>
      </c>
      <c r="D227" s="122">
        <v>0</v>
      </c>
      <c r="E227" s="98"/>
      <c r="F227" s="98">
        <f t="shared" ref="F227:F239" si="15">E227/8*12</f>
        <v>0</v>
      </c>
      <c r="G227" s="444">
        <v>0</v>
      </c>
      <c r="H227" s="98"/>
      <c r="I227" s="98"/>
      <c r="J227" s="98"/>
    </row>
    <row r="228" spans="1:10" s="285" customFormat="1" hidden="1" x14ac:dyDescent="0.25">
      <c r="A228" s="118">
        <v>32</v>
      </c>
      <c r="B228" s="151">
        <v>1610</v>
      </c>
      <c r="C228" s="94" t="s">
        <v>131</v>
      </c>
      <c r="D228" s="122">
        <v>0</v>
      </c>
      <c r="E228" s="108"/>
      <c r="F228" s="98">
        <f t="shared" si="15"/>
        <v>0</v>
      </c>
      <c r="G228" s="444">
        <v>0</v>
      </c>
      <c r="H228" s="98"/>
      <c r="I228" s="98"/>
      <c r="J228" s="98"/>
    </row>
    <row r="229" spans="1:10" s="285" customFormat="1" hidden="1" x14ac:dyDescent="0.25">
      <c r="A229" s="118">
        <v>32</v>
      </c>
      <c r="B229" s="151">
        <v>1615</v>
      </c>
      <c r="C229" s="94" t="s">
        <v>182</v>
      </c>
      <c r="D229" s="122">
        <v>0</v>
      </c>
      <c r="E229" s="108"/>
      <c r="F229" s="98">
        <f t="shared" si="15"/>
        <v>0</v>
      </c>
      <c r="G229" s="444">
        <v>0</v>
      </c>
      <c r="H229" s="98"/>
      <c r="I229" s="98"/>
      <c r="J229" s="98"/>
    </row>
    <row r="230" spans="1:10" s="285" customFormat="1" hidden="1" x14ac:dyDescent="0.25">
      <c r="A230" s="118">
        <v>32</v>
      </c>
      <c r="B230" s="151">
        <v>1620</v>
      </c>
      <c r="C230" s="94" t="s">
        <v>255</v>
      </c>
      <c r="D230" s="122">
        <v>0</v>
      </c>
      <c r="E230" s="108"/>
      <c r="F230" s="98">
        <f t="shared" si="15"/>
        <v>0</v>
      </c>
      <c r="G230" s="444">
        <v>0</v>
      </c>
      <c r="H230" s="98"/>
      <c r="I230" s="98"/>
      <c r="J230" s="98"/>
    </row>
    <row r="231" spans="1:10" s="285" customFormat="1" hidden="1" x14ac:dyDescent="0.25">
      <c r="A231" s="118">
        <v>32</v>
      </c>
      <c r="B231" s="151">
        <v>1625</v>
      </c>
      <c r="C231" s="94" t="s">
        <v>108</v>
      </c>
      <c r="D231" s="122">
        <v>0</v>
      </c>
      <c r="E231" s="108"/>
      <c r="F231" s="98">
        <f t="shared" si="15"/>
        <v>0</v>
      </c>
      <c r="G231" s="444">
        <v>0</v>
      </c>
      <c r="H231" s="98"/>
      <c r="I231" s="98"/>
      <c r="J231" s="98"/>
    </row>
    <row r="232" spans="1:10" s="285" customFormat="1" hidden="1" x14ac:dyDescent="0.25">
      <c r="A232" s="118">
        <v>32</v>
      </c>
      <c r="B232" s="151">
        <v>1630</v>
      </c>
      <c r="C232" s="94" t="s">
        <v>76</v>
      </c>
      <c r="D232" s="122">
        <v>0</v>
      </c>
      <c r="E232" s="108"/>
      <c r="F232" s="98">
        <f t="shared" si="15"/>
        <v>0</v>
      </c>
      <c r="G232" s="444">
        <v>0</v>
      </c>
      <c r="H232" s="98"/>
      <c r="I232" s="98"/>
      <c r="J232" s="98"/>
    </row>
    <row r="233" spans="1:10" s="285" customFormat="1" hidden="1" x14ac:dyDescent="0.25">
      <c r="A233" s="118">
        <v>32</v>
      </c>
      <c r="B233" s="151">
        <v>1635</v>
      </c>
      <c r="C233" s="94" t="s">
        <v>180</v>
      </c>
      <c r="D233" s="122">
        <v>0</v>
      </c>
      <c r="E233" s="98"/>
      <c r="F233" s="98">
        <v>0</v>
      </c>
      <c r="G233" s="444">
        <v>1</v>
      </c>
      <c r="H233" s="98"/>
      <c r="I233" s="98"/>
      <c r="J233" s="98"/>
    </row>
    <row r="234" spans="1:10" s="285" customFormat="1" hidden="1" x14ac:dyDescent="0.25">
      <c r="A234" s="118">
        <v>32</v>
      </c>
      <c r="B234" s="151">
        <v>1640</v>
      </c>
      <c r="C234" s="94" t="s">
        <v>184</v>
      </c>
      <c r="D234" s="122">
        <v>0</v>
      </c>
      <c r="E234" s="108"/>
      <c r="F234" s="98">
        <f t="shared" si="15"/>
        <v>0</v>
      </c>
      <c r="G234" s="444">
        <v>0</v>
      </c>
      <c r="H234" s="98"/>
      <c r="I234" s="98"/>
      <c r="J234" s="98"/>
    </row>
    <row r="235" spans="1:10" s="285" customFormat="1" hidden="1" x14ac:dyDescent="0.25">
      <c r="A235" s="118">
        <v>32</v>
      </c>
      <c r="B235" s="151">
        <v>1645</v>
      </c>
      <c r="C235" s="94" t="s">
        <v>77</v>
      </c>
      <c r="D235" s="122">
        <v>0</v>
      </c>
      <c r="E235" s="108"/>
      <c r="F235" s="98">
        <f t="shared" si="15"/>
        <v>0</v>
      </c>
      <c r="G235" s="444">
        <v>0</v>
      </c>
      <c r="H235" s="98"/>
      <c r="I235" s="98"/>
      <c r="J235" s="98"/>
    </row>
    <row r="236" spans="1:10" s="285" customFormat="1" hidden="1" x14ac:dyDescent="0.25">
      <c r="A236" s="118">
        <v>32</v>
      </c>
      <c r="B236" s="151">
        <v>1650</v>
      </c>
      <c r="C236" s="94" t="s">
        <v>78</v>
      </c>
      <c r="D236" s="122">
        <v>0</v>
      </c>
      <c r="E236" s="108"/>
      <c r="F236" s="98">
        <f t="shared" si="15"/>
        <v>0</v>
      </c>
      <c r="G236" s="444">
        <v>0</v>
      </c>
      <c r="H236" s="98"/>
      <c r="I236" s="98"/>
      <c r="J236" s="98"/>
    </row>
    <row r="237" spans="1:10" s="285" customFormat="1" hidden="1" x14ac:dyDescent="0.25">
      <c r="A237" s="118">
        <v>32</v>
      </c>
      <c r="B237" s="151"/>
      <c r="C237" s="94" t="s">
        <v>200</v>
      </c>
      <c r="D237" s="122">
        <v>0</v>
      </c>
      <c r="E237" s="108"/>
      <c r="F237" s="98">
        <f t="shared" si="15"/>
        <v>0</v>
      </c>
      <c r="G237" s="444">
        <v>0</v>
      </c>
      <c r="H237" s="98"/>
      <c r="I237" s="98"/>
      <c r="J237" s="98"/>
    </row>
    <row r="238" spans="1:10" s="285" customFormat="1" hidden="1" x14ac:dyDescent="0.25">
      <c r="A238" s="118">
        <v>32</v>
      </c>
      <c r="B238" s="151">
        <v>1660</v>
      </c>
      <c r="C238" s="94" t="s">
        <v>185</v>
      </c>
      <c r="D238" s="122">
        <v>0</v>
      </c>
      <c r="E238" s="108"/>
      <c r="F238" s="98">
        <f t="shared" si="15"/>
        <v>0</v>
      </c>
      <c r="G238" s="444">
        <v>0</v>
      </c>
      <c r="H238" s="98"/>
      <c r="I238" s="98"/>
      <c r="J238" s="98"/>
    </row>
    <row r="239" spans="1:10" s="285" customFormat="1" hidden="1" x14ac:dyDescent="0.25">
      <c r="A239" s="118">
        <v>32</v>
      </c>
      <c r="B239" s="151">
        <v>1665</v>
      </c>
      <c r="C239" s="94" t="s">
        <v>181</v>
      </c>
      <c r="D239" s="122">
        <v>0</v>
      </c>
      <c r="E239" s="108"/>
      <c r="F239" s="98">
        <f t="shared" si="15"/>
        <v>0</v>
      </c>
      <c r="G239" s="444">
        <v>0</v>
      </c>
      <c r="H239" s="98"/>
      <c r="I239" s="98"/>
      <c r="J239" s="98"/>
    </row>
    <row r="240" spans="1:10" s="285" customFormat="1" hidden="1" x14ac:dyDescent="0.25">
      <c r="A240" s="344"/>
      <c r="B240" s="151"/>
      <c r="C240" s="94"/>
      <c r="D240" s="99">
        <v>0</v>
      </c>
      <c r="E240" s="99">
        <f>SUM(E227:E239)</f>
        <v>0</v>
      </c>
      <c r="F240" s="99">
        <f>SUM(F227:F239)</f>
        <v>0</v>
      </c>
      <c r="G240" s="436">
        <v>1</v>
      </c>
      <c r="H240" s="99"/>
      <c r="I240" s="99"/>
      <c r="J240" s="99"/>
    </row>
    <row r="241" spans="1:10" s="285" customFormat="1" hidden="1" x14ac:dyDescent="0.25">
      <c r="A241" s="344"/>
      <c r="B241" s="151"/>
      <c r="C241" s="93" t="s">
        <v>79</v>
      </c>
      <c r="D241" s="122"/>
      <c r="E241" s="98"/>
      <c r="F241" s="98"/>
      <c r="G241" s="444"/>
      <c r="H241" s="98"/>
      <c r="I241" s="98"/>
      <c r="J241" s="98"/>
    </row>
    <row r="242" spans="1:10" s="285" customFormat="1" hidden="1" x14ac:dyDescent="0.25">
      <c r="A242" s="118">
        <v>32</v>
      </c>
      <c r="B242" s="151">
        <v>1705</v>
      </c>
      <c r="C242" s="94" t="s">
        <v>123</v>
      </c>
      <c r="D242" s="122">
        <v>0</v>
      </c>
      <c r="E242" s="98"/>
      <c r="F242" s="98">
        <f t="shared" ref="F242:F247" si="16">E242/8*12</f>
        <v>0</v>
      </c>
      <c r="G242" s="444">
        <v>0</v>
      </c>
      <c r="H242" s="98"/>
      <c r="I242" s="98"/>
      <c r="J242" s="98"/>
    </row>
    <row r="243" spans="1:10" s="285" customFormat="1" hidden="1" x14ac:dyDescent="0.25">
      <c r="A243" s="118">
        <v>32</v>
      </c>
      <c r="B243" s="151">
        <v>1710</v>
      </c>
      <c r="C243" s="94" t="s">
        <v>242</v>
      </c>
      <c r="D243" s="122">
        <v>0</v>
      </c>
      <c r="E243" s="98"/>
      <c r="F243" s="98">
        <f t="shared" si="16"/>
        <v>0</v>
      </c>
      <c r="G243" s="444">
        <v>0</v>
      </c>
      <c r="H243" s="98"/>
      <c r="I243" s="98"/>
      <c r="J243" s="98"/>
    </row>
    <row r="244" spans="1:10" s="285" customFormat="1" hidden="1" x14ac:dyDescent="0.25">
      <c r="A244" s="118">
        <v>32</v>
      </c>
      <c r="B244" s="151">
        <v>1715</v>
      </c>
      <c r="C244" s="94" t="s">
        <v>183</v>
      </c>
      <c r="D244" s="122">
        <v>0</v>
      </c>
      <c r="E244" s="98"/>
      <c r="F244" s="98">
        <f t="shared" si="16"/>
        <v>0</v>
      </c>
      <c r="G244" s="444">
        <v>0</v>
      </c>
      <c r="H244" s="98"/>
      <c r="I244" s="98"/>
      <c r="J244" s="98"/>
    </row>
    <row r="245" spans="1:10" s="285" customFormat="1" hidden="1" x14ac:dyDescent="0.25">
      <c r="A245" s="118">
        <v>32</v>
      </c>
      <c r="B245" s="151">
        <v>1720</v>
      </c>
      <c r="C245" s="94" t="s">
        <v>103</v>
      </c>
      <c r="D245" s="122">
        <v>0</v>
      </c>
      <c r="E245" s="98"/>
      <c r="F245" s="98">
        <f t="shared" si="16"/>
        <v>0</v>
      </c>
      <c r="G245" s="444">
        <v>0</v>
      </c>
      <c r="H245" s="98"/>
      <c r="I245" s="98"/>
      <c r="J245" s="98"/>
    </row>
    <row r="246" spans="1:10" s="285" customFormat="1" hidden="1" x14ac:dyDescent="0.25">
      <c r="A246" s="118">
        <v>32</v>
      </c>
      <c r="B246" s="151">
        <v>1725</v>
      </c>
      <c r="C246" s="94" t="s">
        <v>107</v>
      </c>
      <c r="D246" s="122">
        <v>0</v>
      </c>
      <c r="E246" s="98"/>
      <c r="F246" s="98">
        <f t="shared" si="16"/>
        <v>0</v>
      </c>
      <c r="G246" s="444">
        <v>0</v>
      </c>
      <c r="H246" s="98"/>
      <c r="I246" s="98"/>
      <c r="J246" s="98"/>
    </row>
    <row r="247" spans="1:10" s="285" customFormat="1" hidden="1" x14ac:dyDescent="0.25">
      <c r="A247" s="118">
        <v>32</v>
      </c>
      <c r="B247" s="151">
        <v>1730</v>
      </c>
      <c r="C247" s="94" t="s">
        <v>256</v>
      </c>
      <c r="D247" s="122">
        <v>0</v>
      </c>
      <c r="E247" s="98"/>
      <c r="F247" s="98">
        <f t="shared" si="16"/>
        <v>0</v>
      </c>
      <c r="G247" s="444">
        <v>0</v>
      </c>
      <c r="H247" s="98"/>
      <c r="I247" s="98"/>
      <c r="J247" s="98"/>
    </row>
    <row r="248" spans="1:10" s="285" customFormat="1" hidden="1" x14ac:dyDescent="0.25">
      <c r="A248" s="344"/>
      <c r="B248" s="151"/>
      <c r="C248" s="94"/>
      <c r="D248" s="99">
        <v>0</v>
      </c>
      <c r="E248" s="99">
        <f>SUM(E242:E247)</f>
        <v>0</v>
      </c>
      <c r="F248" s="99">
        <f>SUM(F242:F247)</f>
        <v>0</v>
      </c>
      <c r="G248" s="436">
        <v>0</v>
      </c>
      <c r="H248" s="99"/>
      <c r="I248" s="99"/>
      <c r="J248" s="99"/>
    </row>
    <row r="249" spans="1:10" s="285" customFormat="1" hidden="1" x14ac:dyDescent="0.25">
      <c r="A249" s="344"/>
      <c r="B249" s="151"/>
      <c r="C249" s="93" t="s">
        <v>80</v>
      </c>
      <c r="D249" s="122"/>
      <c r="E249" s="98"/>
      <c r="F249" s="98"/>
      <c r="G249" s="444"/>
      <c r="H249" s="98"/>
      <c r="I249" s="98"/>
      <c r="J249" s="98"/>
    </row>
    <row r="250" spans="1:10" s="285" customFormat="1" hidden="1" x14ac:dyDescent="0.25">
      <c r="A250" s="118">
        <v>32</v>
      </c>
      <c r="B250" s="151">
        <v>1805</v>
      </c>
      <c r="C250" s="94" t="s">
        <v>81</v>
      </c>
      <c r="D250" s="122">
        <v>0</v>
      </c>
      <c r="E250" s="108"/>
      <c r="F250" s="98">
        <f>E250/8*12</f>
        <v>0</v>
      </c>
      <c r="G250" s="444">
        <v>0</v>
      </c>
      <c r="H250" s="98"/>
      <c r="I250" s="98"/>
      <c r="J250" s="108"/>
    </row>
    <row r="251" spans="1:10" s="285" customFormat="1" hidden="1" x14ac:dyDescent="0.25">
      <c r="A251" s="344"/>
      <c r="B251" s="151"/>
      <c r="C251" s="94"/>
      <c r="D251" s="99">
        <v>0</v>
      </c>
      <c r="E251" s="99">
        <f>E250</f>
        <v>0</v>
      </c>
      <c r="F251" s="99">
        <f>F250</f>
        <v>0</v>
      </c>
      <c r="G251" s="436">
        <v>0</v>
      </c>
      <c r="H251" s="99"/>
      <c r="I251" s="99"/>
      <c r="J251" s="99"/>
    </row>
    <row r="252" spans="1:10" s="285" customFormat="1" x14ac:dyDescent="0.25">
      <c r="A252" s="344"/>
      <c r="B252" s="346"/>
      <c r="C252" s="93" t="s">
        <v>192</v>
      </c>
      <c r="D252" s="117">
        <v>-48020</v>
      </c>
      <c r="E252" s="117">
        <f>SUM(E171:E251)/2</f>
        <v>-64145</v>
      </c>
      <c r="F252" s="117">
        <f>SUM(F171:F251)/2</f>
        <v>-16125</v>
      </c>
      <c r="G252" s="442">
        <v>-32249</v>
      </c>
      <c r="H252" s="117"/>
      <c r="I252" s="117"/>
      <c r="J252" s="117"/>
    </row>
    <row r="253" spans="1:10" s="285" customFormat="1" hidden="1" x14ac:dyDescent="0.25">
      <c r="A253" s="344"/>
      <c r="B253" s="151"/>
      <c r="C253" s="94"/>
      <c r="D253" s="117"/>
      <c r="E253" s="117"/>
      <c r="F253" s="117"/>
      <c r="G253" s="442"/>
      <c r="H253" s="117"/>
      <c r="I253" s="117"/>
      <c r="J253" s="117"/>
    </row>
    <row r="254" spans="1:10" s="285" customFormat="1" hidden="1" x14ac:dyDescent="0.25">
      <c r="A254" s="344"/>
      <c r="B254" s="151"/>
      <c r="C254" s="145" t="s">
        <v>193</v>
      </c>
      <c r="D254" s="124"/>
      <c r="E254" s="146"/>
      <c r="F254" s="124"/>
      <c r="G254" s="445"/>
      <c r="H254" s="124"/>
      <c r="I254" s="124"/>
      <c r="J254" s="124"/>
    </row>
    <row r="255" spans="1:10" s="285" customFormat="1" hidden="1" x14ac:dyDescent="0.25">
      <c r="A255" s="118">
        <v>32</v>
      </c>
      <c r="B255" s="151">
        <v>1905</v>
      </c>
      <c r="C255" s="118" t="s">
        <v>194</v>
      </c>
      <c r="D255" s="127">
        <v>0</v>
      </c>
      <c r="E255" s="147"/>
      <c r="F255" s="98">
        <f>E255/8*12</f>
        <v>0</v>
      </c>
      <c r="G255" s="127">
        <v>0</v>
      </c>
      <c r="H255" s="98"/>
      <c r="I255" s="98"/>
      <c r="J255" s="98"/>
    </row>
    <row r="256" spans="1:10" s="285" customFormat="1" hidden="1" x14ac:dyDescent="0.25">
      <c r="A256" s="344"/>
      <c r="B256" s="151"/>
      <c r="C256" s="94"/>
      <c r="D256" s="117">
        <v>0</v>
      </c>
      <c r="E256" s="117">
        <f>SUM(E255)</f>
        <v>0</v>
      </c>
      <c r="F256" s="117">
        <f>SUM(F255)</f>
        <v>0</v>
      </c>
      <c r="G256" s="442">
        <v>0</v>
      </c>
      <c r="H256" s="117"/>
      <c r="I256" s="117"/>
      <c r="J256" s="117"/>
    </row>
    <row r="257" spans="1:10" s="285" customFormat="1" x14ac:dyDescent="0.25">
      <c r="A257" s="344"/>
      <c r="B257" s="151"/>
      <c r="C257" s="93" t="s">
        <v>189</v>
      </c>
      <c r="D257" s="117">
        <v>-48020</v>
      </c>
      <c r="E257" s="117">
        <f>E252+E256</f>
        <v>-64145</v>
      </c>
      <c r="F257" s="117">
        <f>F252+F256</f>
        <v>-16125</v>
      </c>
      <c r="G257" s="442">
        <v>-32249</v>
      </c>
      <c r="H257" s="117"/>
      <c r="I257" s="117"/>
      <c r="J257" s="117"/>
    </row>
    <row r="258" spans="1:10" s="285" customFormat="1" hidden="1" x14ac:dyDescent="0.25">
      <c r="A258" s="344"/>
      <c r="B258" s="151"/>
      <c r="C258" s="145" t="s">
        <v>195</v>
      </c>
      <c r="D258" s="124"/>
      <c r="E258" s="148"/>
      <c r="F258" s="125"/>
      <c r="G258" s="445"/>
      <c r="H258" s="125"/>
      <c r="I258" s="125"/>
      <c r="J258" s="125"/>
    </row>
    <row r="259" spans="1:10" s="285" customFormat="1" hidden="1" x14ac:dyDescent="0.25">
      <c r="A259" s="118">
        <v>32</v>
      </c>
      <c r="B259" s="151">
        <v>1950</v>
      </c>
      <c r="C259" s="118" t="s">
        <v>196</v>
      </c>
      <c r="D259" s="127">
        <v>0</v>
      </c>
      <c r="E259" s="147"/>
      <c r="F259" s="98">
        <f>E259/8*12</f>
        <v>0</v>
      </c>
      <c r="G259" s="127">
        <v>0</v>
      </c>
      <c r="H259" s="98"/>
      <c r="I259" s="98"/>
      <c r="J259" s="123"/>
    </row>
    <row r="260" spans="1:10" s="285" customFormat="1" hidden="1" x14ac:dyDescent="0.25">
      <c r="A260" s="344"/>
      <c r="B260" s="346"/>
      <c r="C260" s="94"/>
      <c r="D260" s="124">
        <v>0</v>
      </c>
      <c r="E260" s="124">
        <f>E259</f>
        <v>0</v>
      </c>
      <c r="F260" s="124">
        <f>F259</f>
        <v>0</v>
      </c>
      <c r="G260" s="445">
        <v>0</v>
      </c>
      <c r="H260" s="124"/>
      <c r="I260" s="124"/>
      <c r="J260" s="124"/>
    </row>
    <row r="261" spans="1:10" s="285" customFormat="1" x14ac:dyDescent="0.25">
      <c r="A261" s="348"/>
      <c r="B261" s="351"/>
      <c r="C261" s="93" t="s">
        <v>197</v>
      </c>
      <c r="D261" s="448">
        <f>D257+D260</f>
        <v>-48020</v>
      </c>
      <c r="E261" s="160">
        <f>E257+E260</f>
        <v>-64145</v>
      </c>
      <c r="F261" s="160">
        <f>F257+F260</f>
        <v>-16125</v>
      </c>
      <c r="G261" s="448">
        <f>G257+G260</f>
        <v>-32249</v>
      </c>
      <c r="H261" s="160"/>
      <c r="I261" s="160"/>
      <c r="J261" s="160"/>
    </row>
    <row r="262" spans="1:10" s="285" customFormat="1" x14ac:dyDescent="0.25">
      <c r="A262" s="349"/>
      <c r="B262" s="154"/>
      <c r="C262" s="126" t="s">
        <v>82</v>
      </c>
      <c r="D262" s="449">
        <f>D261-D165</f>
        <v>-1453152</v>
      </c>
      <c r="E262" s="161">
        <f>E261-E165</f>
        <v>-1264290</v>
      </c>
      <c r="F262" s="161">
        <f>F261-F165</f>
        <v>-1221670</v>
      </c>
      <c r="G262" s="449">
        <f>G261-G165</f>
        <v>-1237794</v>
      </c>
      <c r="H262" s="161"/>
      <c r="I262" s="161"/>
      <c r="J262" s="161"/>
    </row>
    <row r="263" spans="1:10" s="285" customFormat="1" x14ac:dyDescent="0.25">
      <c r="A263" s="284"/>
      <c r="B263" s="352"/>
      <c r="G263" s="468"/>
    </row>
    <row r="264" spans="1:10" s="285" customFormat="1" x14ac:dyDescent="0.25">
      <c r="A264" s="284"/>
      <c r="B264" s="352"/>
      <c r="G264" s="468"/>
    </row>
    <row r="266" spans="1:10" x14ac:dyDescent="0.25">
      <c r="E266" s="128"/>
      <c r="F266" s="128"/>
      <c r="H266" s="128"/>
      <c r="I266" s="128"/>
    </row>
    <row r="267" spans="1:10" x14ac:dyDescent="0.25">
      <c r="E267" s="128"/>
      <c r="F267" s="128"/>
      <c r="H267" s="128"/>
      <c r="I267" s="128"/>
      <c r="J267" s="109"/>
    </row>
    <row r="268" spans="1:10" x14ac:dyDescent="0.25">
      <c r="E268" s="128"/>
      <c r="F268" s="128"/>
      <c r="H268" s="128"/>
      <c r="I268" s="128"/>
    </row>
  </sheetData>
  <mergeCells count="4">
    <mergeCell ref="A3:C3"/>
    <mergeCell ref="A4:B5"/>
    <mergeCell ref="A169:B170"/>
    <mergeCell ref="A1:J1"/>
  </mergeCells>
  <phoneticPr fontId="0" type="noConversion"/>
  <pageMargins left="0.75" right="0.75" top="1" bottom="1" header="0.5" footer="0.5"/>
  <pageSetup scale="58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>
    <tabColor rgb="FFFF0000"/>
    <pageSetUpPr fitToPage="1"/>
  </sheetPr>
  <dimension ref="A1:K268"/>
  <sheetViews>
    <sheetView view="pageBreakPreview" topLeftCell="A148" zoomScaleSheetLayoutView="100" workbookViewId="0">
      <selection activeCell="I161" sqref="I161:K161"/>
    </sheetView>
  </sheetViews>
  <sheetFormatPr defaultColWidth="9.109375" defaultRowHeight="13.2" x14ac:dyDescent="0.25"/>
  <cols>
    <col min="1" max="1" width="3.33203125" style="96" customWidth="1"/>
    <col min="2" max="2" width="9" style="131" customWidth="1"/>
    <col min="3" max="3" width="38.109375" style="96" customWidth="1"/>
    <col min="4" max="4" width="15" style="96" customWidth="1"/>
    <col min="5" max="5" width="14" style="96" customWidth="1"/>
    <col min="6" max="6" width="12.5546875" style="96" customWidth="1"/>
    <col min="7" max="8" width="12.5546875" style="434" customWidth="1"/>
    <col min="9" max="9" width="14.44140625" style="96" customWidth="1"/>
    <col min="10" max="11" width="12.88671875" style="96" customWidth="1"/>
    <col min="12" max="16384" width="9.109375" style="96"/>
  </cols>
  <sheetData>
    <row r="1" spans="1:11" ht="12.75" customHeight="1" x14ac:dyDescent="0.25">
      <c r="A1" s="550" t="s">
        <v>360</v>
      </c>
      <c r="B1" s="551"/>
      <c r="C1" s="551"/>
      <c r="D1" s="551"/>
      <c r="E1" s="551"/>
      <c r="F1" s="551"/>
      <c r="G1" s="551"/>
      <c r="H1" s="551"/>
      <c r="I1" s="551"/>
      <c r="J1" s="551"/>
      <c r="K1" s="551"/>
    </row>
    <row r="2" spans="1:11" ht="12.75" customHeight="1" x14ac:dyDescent="0.25">
      <c r="A2" s="552"/>
      <c r="B2" s="553"/>
      <c r="C2" s="553"/>
      <c r="D2" s="553"/>
      <c r="E2" s="553"/>
      <c r="F2" s="553"/>
      <c r="G2" s="553"/>
      <c r="H2" s="553"/>
      <c r="I2" s="553"/>
      <c r="J2" s="553"/>
      <c r="K2" s="553"/>
    </row>
    <row r="3" spans="1:11" s="285" customFormat="1" x14ac:dyDescent="0.25">
      <c r="A3" s="941" t="s">
        <v>415</v>
      </c>
      <c r="B3" s="942"/>
      <c r="C3" s="943"/>
      <c r="D3" s="149"/>
      <c r="E3" s="338"/>
      <c r="F3" s="338"/>
      <c r="G3" s="563"/>
      <c r="H3" s="598"/>
      <c r="I3" s="421"/>
      <c r="J3" s="338"/>
      <c r="K3" s="338"/>
    </row>
    <row r="4" spans="1:11" s="285" customFormat="1" ht="10.5" customHeight="1" x14ac:dyDescent="0.25">
      <c r="A4" s="944" t="s">
        <v>21</v>
      </c>
      <c r="B4" s="945"/>
      <c r="C4" s="150" t="s">
        <v>22</v>
      </c>
      <c r="D4" s="103" t="s">
        <v>23</v>
      </c>
      <c r="E4" s="104" t="s">
        <v>24</v>
      </c>
      <c r="F4" s="103" t="s">
        <v>535</v>
      </c>
      <c r="G4" s="103" t="s">
        <v>413</v>
      </c>
      <c r="H4" s="103"/>
      <c r="I4" s="583" t="s">
        <v>24</v>
      </c>
      <c r="J4" s="583" t="s">
        <v>24</v>
      </c>
      <c r="K4" s="583" t="s">
        <v>24</v>
      </c>
    </row>
    <row r="5" spans="1:11" s="285" customFormat="1" ht="11.25" customHeight="1" x14ac:dyDescent="0.25">
      <c r="A5" s="946"/>
      <c r="B5" s="947"/>
      <c r="C5" s="106"/>
      <c r="D5" s="333" t="s">
        <v>257</v>
      </c>
      <c r="E5" s="107" t="s">
        <v>382</v>
      </c>
      <c r="F5" s="107" t="s">
        <v>382</v>
      </c>
      <c r="G5" s="107" t="s">
        <v>382</v>
      </c>
      <c r="H5" s="107"/>
      <c r="I5" s="586" t="s">
        <v>414</v>
      </c>
      <c r="J5" s="586" t="s">
        <v>530</v>
      </c>
      <c r="K5" s="586" t="s">
        <v>886</v>
      </c>
    </row>
    <row r="6" spans="1:11" s="285" customFormat="1" x14ac:dyDescent="0.25">
      <c r="A6" s="344"/>
      <c r="B6" s="151"/>
      <c r="C6" s="93" t="s">
        <v>33</v>
      </c>
      <c r="D6" s="85"/>
      <c r="E6" s="85"/>
      <c r="F6" s="85"/>
      <c r="G6" s="428"/>
      <c r="H6" s="428"/>
      <c r="I6" s="85"/>
      <c r="J6" s="85"/>
      <c r="K6" s="85"/>
    </row>
    <row r="7" spans="1:11" s="285" customFormat="1" hidden="1" x14ac:dyDescent="0.25">
      <c r="A7" s="118">
        <v>34</v>
      </c>
      <c r="B7" s="155">
        <v>5005</v>
      </c>
      <c r="C7" s="94" t="s">
        <v>241</v>
      </c>
      <c r="D7" s="85"/>
      <c r="E7" s="85"/>
      <c r="F7" s="85">
        <v>0</v>
      </c>
      <c r="G7" s="428"/>
      <c r="H7" s="428"/>
      <c r="I7" s="428">
        <f>(F7*0.068)+F7</f>
        <v>0</v>
      </c>
      <c r="J7" s="428">
        <f t="shared" ref="J7:K11" si="0">(I7*0.068)+I7</f>
        <v>0</v>
      </c>
      <c r="K7" s="428">
        <f t="shared" si="0"/>
        <v>0</v>
      </c>
    </row>
    <row r="8" spans="1:11" s="285" customFormat="1" hidden="1" x14ac:dyDescent="0.25">
      <c r="A8" s="118">
        <v>34</v>
      </c>
      <c r="B8" s="151">
        <v>5010</v>
      </c>
      <c r="C8" s="94" t="s">
        <v>34</v>
      </c>
      <c r="D8" s="85"/>
      <c r="E8" s="85"/>
      <c r="F8" s="85">
        <v>0</v>
      </c>
      <c r="G8" s="428"/>
      <c r="H8" s="428"/>
      <c r="I8" s="428">
        <f>(F8*0.068)+F8</f>
        <v>0</v>
      </c>
      <c r="J8" s="428">
        <f t="shared" si="0"/>
        <v>0</v>
      </c>
      <c r="K8" s="428">
        <f t="shared" si="0"/>
        <v>0</v>
      </c>
    </row>
    <row r="9" spans="1:11" s="285" customFormat="1" hidden="1" x14ac:dyDescent="0.25">
      <c r="A9" s="118">
        <v>34</v>
      </c>
      <c r="B9" s="151">
        <v>5015</v>
      </c>
      <c r="C9" s="94" t="s">
        <v>35</v>
      </c>
      <c r="D9" s="85"/>
      <c r="E9" s="85"/>
      <c r="F9" s="85">
        <v>0</v>
      </c>
      <c r="G9" s="428"/>
      <c r="H9" s="428"/>
      <c r="I9" s="428">
        <f>(F9*0.068)+F9</f>
        <v>0</v>
      </c>
      <c r="J9" s="428">
        <f t="shared" si="0"/>
        <v>0</v>
      </c>
      <c r="K9" s="428">
        <f t="shared" si="0"/>
        <v>0</v>
      </c>
    </row>
    <row r="10" spans="1:11" s="285" customFormat="1" hidden="1" x14ac:dyDescent="0.25">
      <c r="A10" s="118">
        <v>34</v>
      </c>
      <c r="B10" s="151">
        <v>5020</v>
      </c>
      <c r="C10" s="94" t="s">
        <v>350</v>
      </c>
      <c r="D10" s="85"/>
      <c r="E10" s="85"/>
      <c r="F10" s="85">
        <v>0</v>
      </c>
      <c r="G10" s="428"/>
      <c r="H10" s="428"/>
      <c r="I10" s="428">
        <f>(F10*0.068)+F10</f>
        <v>0</v>
      </c>
      <c r="J10" s="428">
        <f t="shared" si="0"/>
        <v>0</v>
      </c>
      <c r="K10" s="428">
        <f t="shared" si="0"/>
        <v>0</v>
      </c>
    </row>
    <row r="11" spans="1:11" s="285" customFormat="1" hidden="1" x14ac:dyDescent="0.25">
      <c r="A11" s="118">
        <v>34</v>
      </c>
      <c r="B11" s="151">
        <v>5025</v>
      </c>
      <c r="C11" s="94" t="s">
        <v>36</v>
      </c>
      <c r="D11" s="85"/>
      <c r="E11" s="85"/>
      <c r="F11" s="85">
        <v>0</v>
      </c>
      <c r="G11" s="428"/>
      <c r="H11" s="428"/>
      <c r="I11" s="428">
        <f>(F11*0.068)+F11</f>
        <v>0</v>
      </c>
      <c r="J11" s="428">
        <f t="shared" si="0"/>
        <v>0</v>
      </c>
      <c r="K11" s="428">
        <f t="shared" si="0"/>
        <v>0</v>
      </c>
    </row>
    <row r="12" spans="1:11" s="285" customFormat="1" x14ac:dyDescent="0.25">
      <c r="A12" s="118">
        <v>34</v>
      </c>
      <c r="B12" s="151">
        <v>5030</v>
      </c>
      <c r="C12" s="94" t="s">
        <v>85</v>
      </c>
      <c r="D12" s="85"/>
      <c r="E12" s="85">
        <v>16500</v>
      </c>
      <c r="F12" s="85">
        <v>16500</v>
      </c>
      <c r="G12" s="428">
        <v>16500</v>
      </c>
      <c r="H12" s="428"/>
      <c r="I12" s="428">
        <f t="shared" ref="I12:I17" si="1">+G12*1.058</f>
        <v>17457</v>
      </c>
      <c r="J12" s="446">
        <f t="shared" ref="J12:J17" si="2">+I12*1.055</f>
        <v>18417.134999999998</v>
      </c>
      <c r="K12" s="428">
        <f t="shared" ref="K12:K17" si="3">+J12*1.053</f>
        <v>19393.243154999996</v>
      </c>
    </row>
    <row r="13" spans="1:11" s="285" customFormat="1" x14ac:dyDescent="0.25">
      <c r="A13" s="118">
        <v>34</v>
      </c>
      <c r="B13" s="151">
        <v>5035</v>
      </c>
      <c r="C13" s="94" t="s">
        <v>84</v>
      </c>
      <c r="D13" s="85">
        <v>14280</v>
      </c>
      <c r="E13" s="85"/>
      <c r="F13" s="85">
        <v>0</v>
      </c>
      <c r="G13" s="428">
        <v>0</v>
      </c>
      <c r="H13" s="428"/>
      <c r="I13" s="428">
        <f t="shared" si="1"/>
        <v>0</v>
      </c>
      <c r="J13" s="446">
        <f t="shared" si="2"/>
        <v>0</v>
      </c>
      <c r="K13" s="428">
        <f t="shared" si="3"/>
        <v>0</v>
      </c>
    </row>
    <row r="14" spans="1:11" s="285" customFormat="1" x14ac:dyDescent="0.25">
      <c r="A14" s="118">
        <v>34</v>
      </c>
      <c r="B14" s="151">
        <v>5040</v>
      </c>
      <c r="C14" s="94" t="s">
        <v>37</v>
      </c>
      <c r="D14" s="85">
        <v>41200</v>
      </c>
      <c r="E14" s="85">
        <v>64000</v>
      </c>
      <c r="F14" s="85">
        <v>64000</v>
      </c>
      <c r="G14" s="428">
        <v>64000</v>
      </c>
      <c r="H14" s="428"/>
      <c r="I14" s="428">
        <f t="shared" si="1"/>
        <v>67712</v>
      </c>
      <c r="J14" s="446">
        <f t="shared" si="2"/>
        <v>71436.159999999989</v>
      </c>
      <c r="K14" s="428">
        <f t="shared" si="3"/>
        <v>75222.276479999986</v>
      </c>
    </row>
    <row r="15" spans="1:11" s="285" customFormat="1" hidden="1" x14ac:dyDescent="0.25">
      <c r="A15" s="118">
        <v>34</v>
      </c>
      <c r="B15" s="151">
        <v>5045</v>
      </c>
      <c r="C15" s="94" t="s">
        <v>38</v>
      </c>
      <c r="D15" s="85">
        <v>0</v>
      </c>
      <c r="E15" s="85"/>
      <c r="F15" s="85">
        <v>0</v>
      </c>
      <c r="G15" s="428">
        <v>0</v>
      </c>
      <c r="H15" s="428"/>
      <c r="I15" s="428">
        <f t="shared" si="1"/>
        <v>0</v>
      </c>
      <c r="J15" s="446">
        <f t="shared" si="2"/>
        <v>0</v>
      </c>
      <c r="K15" s="428">
        <f t="shared" si="3"/>
        <v>0</v>
      </c>
    </row>
    <row r="16" spans="1:11" s="285" customFormat="1" x14ac:dyDescent="0.25">
      <c r="A16" s="118">
        <v>34</v>
      </c>
      <c r="B16" s="151">
        <v>5050</v>
      </c>
      <c r="C16" s="94" t="s">
        <v>83</v>
      </c>
      <c r="D16" s="85">
        <v>85000</v>
      </c>
      <c r="E16" s="85">
        <v>12000</v>
      </c>
      <c r="F16" s="85">
        <v>12000</v>
      </c>
      <c r="G16" s="428">
        <v>12000</v>
      </c>
      <c r="H16" s="428"/>
      <c r="I16" s="428">
        <f t="shared" si="1"/>
        <v>12696</v>
      </c>
      <c r="J16" s="446">
        <f t="shared" si="2"/>
        <v>13394.279999999999</v>
      </c>
      <c r="K16" s="428">
        <f t="shared" si="3"/>
        <v>14104.176839999998</v>
      </c>
    </row>
    <row r="17" spans="1:11" s="285" customFormat="1" x14ac:dyDescent="0.25">
      <c r="A17" s="118">
        <v>34</v>
      </c>
      <c r="B17" s="151">
        <v>5055</v>
      </c>
      <c r="C17" s="94" t="s">
        <v>39</v>
      </c>
      <c r="D17" s="85">
        <v>604500</v>
      </c>
      <c r="E17" s="85">
        <v>765000</v>
      </c>
      <c r="F17" s="85">
        <v>765000</v>
      </c>
      <c r="G17" s="428">
        <v>765000</v>
      </c>
      <c r="H17" s="428"/>
      <c r="I17" s="428">
        <f t="shared" si="1"/>
        <v>809370</v>
      </c>
      <c r="J17" s="446">
        <f t="shared" si="2"/>
        <v>853885.35</v>
      </c>
      <c r="K17" s="428">
        <f t="shared" si="3"/>
        <v>899141.27354999993</v>
      </c>
    </row>
    <row r="18" spans="1:11" s="285" customFormat="1" x14ac:dyDescent="0.25">
      <c r="A18" s="344"/>
      <c r="B18" s="151"/>
      <c r="C18" s="94"/>
      <c r="D18" s="429">
        <f t="shared" ref="D18:K18" si="4">SUM(D7:D17)</f>
        <v>744980</v>
      </c>
      <c r="E18" s="89">
        <f t="shared" si="4"/>
        <v>857500</v>
      </c>
      <c r="F18" s="89">
        <f t="shared" si="4"/>
        <v>857500</v>
      </c>
      <c r="G18" s="429">
        <f t="shared" si="4"/>
        <v>857500</v>
      </c>
      <c r="H18" s="429"/>
      <c r="I18" s="429">
        <f t="shared" si="4"/>
        <v>907235</v>
      </c>
      <c r="J18" s="429">
        <f t="shared" si="4"/>
        <v>957132.92499999993</v>
      </c>
      <c r="K18" s="429">
        <f t="shared" si="4"/>
        <v>1007860.9700249999</v>
      </c>
    </row>
    <row r="19" spans="1:11" s="285" customFormat="1" x14ac:dyDescent="0.25">
      <c r="A19" s="344"/>
      <c r="B19" s="151"/>
      <c r="C19" s="93" t="s">
        <v>40</v>
      </c>
      <c r="D19" s="85"/>
      <c r="E19" s="86"/>
      <c r="F19" s="86"/>
      <c r="G19" s="86"/>
      <c r="H19" s="86"/>
      <c r="I19" s="86"/>
      <c r="J19" s="86"/>
      <c r="K19" s="86"/>
    </row>
    <row r="20" spans="1:11" s="285" customFormat="1" x14ac:dyDescent="0.25">
      <c r="A20" s="118">
        <v>34</v>
      </c>
      <c r="B20" s="151">
        <v>5105</v>
      </c>
      <c r="C20" s="94" t="s">
        <v>41</v>
      </c>
      <c r="D20" s="85">
        <v>61300</v>
      </c>
      <c r="E20" s="85">
        <v>58000</v>
      </c>
      <c r="F20" s="85">
        <v>58000</v>
      </c>
      <c r="G20" s="428">
        <v>58000</v>
      </c>
      <c r="H20" s="428"/>
      <c r="I20" s="428">
        <f>+G20*1.058</f>
        <v>61364</v>
      </c>
      <c r="J20" s="428">
        <f>+I20*1.055</f>
        <v>64739.02</v>
      </c>
      <c r="K20" s="428">
        <f>+J20*1.053</f>
        <v>68170.188059999986</v>
      </c>
    </row>
    <row r="21" spans="1:11" s="285" customFormat="1" x14ac:dyDescent="0.25">
      <c r="A21" s="118">
        <v>34</v>
      </c>
      <c r="B21" s="151">
        <v>5115</v>
      </c>
      <c r="C21" s="94" t="s">
        <v>42</v>
      </c>
      <c r="D21" s="85">
        <v>72690</v>
      </c>
      <c r="E21" s="85">
        <v>108000</v>
      </c>
      <c r="F21" s="85">
        <v>108000</v>
      </c>
      <c r="G21" s="428">
        <v>108000</v>
      </c>
      <c r="H21" s="428"/>
      <c r="I21" s="428">
        <f>+G21*1.058</f>
        <v>114264</v>
      </c>
      <c r="J21" s="428">
        <f>+I21*1.055</f>
        <v>120548.51999999999</v>
      </c>
      <c r="K21" s="428">
        <f>+J21*1.053</f>
        <v>126937.59155999999</v>
      </c>
    </row>
    <row r="22" spans="1:11" s="285" customFormat="1" x14ac:dyDescent="0.25">
      <c r="A22" s="118">
        <v>34</v>
      </c>
      <c r="B22" s="151">
        <v>5120</v>
      </c>
      <c r="C22" s="94" t="s">
        <v>43</v>
      </c>
      <c r="D22" s="85">
        <v>23800</v>
      </c>
      <c r="E22" s="85">
        <v>27000</v>
      </c>
      <c r="F22" s="85">
        <v>27000</v>
      </c>
      <c r="G22" s="428">
        <v>27000</v>
      </c>
      <c r="H22" s="428"/>
      <c r="I22" s="428">
        <f>+G22*1.058</f>
        <v>28566</v>
      </c>
      <c r="J22" s="428">
        <f>+I22*1.055</f>
        <v>30137.129999999997</v>
      </c>
      <c r="K22" s="428">
        <f>+J22*1.053</f>
        <v>31734.397889999997</v>
      </c>
    </row>
    <row r="23" spans="1:11" s="285" customFormat="1" hidden="1" x14ac:dyDescent="0.25">
      <c r="A23" s="118">
        <v>34</v>
      </c>
      <c r="B23" s="151">
        <v>5125</v>
      </c>
      <c r="C23" s="94" t="s">
        <v>44</v>
      </c>
      <c r="D23" s="85">
        <v>0</v>
      </c>
      <c r="E23" s="85"/>
      <c r="F23" s="85">
        <v>0</v>
      </c>
      <c r="G23" s="428">
        <v>0</v>
      </c>
      <c r="H23" s="428"/>
      <c r="I23" s="428">
        <f>+G23*1.058</f>
        <v>0</v>
      </c>
      <c r="J23" s="428">
        <f>+I23*1.055</f>
        <v>0</v>
      </c>
      <c r="K23" s="428">
        <f>+J23*1.053</f>
        <v>0</v>
      </c>
    </row>
    <row r="24" spans="1:11" s="285" customFormat="1" x14ac:dyDescent="0.25">
      <c r="A24" s="118">
        <v>34</v>
      </c>
      <c r="B24" s="151">
        <v>5130</v>
      </c>
      <c r="C24" s="94" t="s">
        <v>45</v>
      </c>
      <c r="D24" s="85">
        <v>7890</v>
      </c>
      <c r="E24" s="85">
        <v>10000</v>
      </c>
      <c r="F24" s="85">
        <v>10000</v>
      </c>
      <c r="G24" s="428">
        <v>10000</v>
      </c>
      <c r="H24" s="428"/>
      <c r="I24" s="428">
        <f>+G24*1.058</f>
        <v>10580</v>
      </c>
      <c r="J24" s="428">
        <f>+I24*1.055</f>
        <v>11161.9</v>
      </c>
      <c r="K24" s="428">
        <f>+J24*1.053</f>
        <v>11753.480699999998</v>
      </c>
    </row>
    <row r="25" spans="1:11" s="285" customFormat="1" x14ac:dyDescent="0.25">
      <c r="A25" s="344"/>
      <c r="B25" s="151"/>
      <c r="C25" s="94"/>
      <c r="D25" s="429">
        <f>SUM(D20:D24)</f>
        <v>165680</v>
      </c>
      <c r="E25" s="89">
        <f>SUM(E20:E24)</f>
        <v>203000</v>
      </c>
      <c r="F25" s="429">
        <f t="shared" ref="F25:K25" si="5">SUM(F20:F24)</f>
        <v>203000</v>
      </c>
      <c r="G25" s="429">
        <f t="shared" si="5"/>
        <v>203000</v>
      </c>
      <c r="H25" s="429"/>
      <c r="I25" s="429">
        <f t="shared" si="5"/>
        <v>214774</v>
      </c>
      <c r="J25" s="429">
        <f t="shared" si="5"/>
        <v>226586.56999999998</v>
      </c>
      <c r="K25" s="429">
        <f t="shared" si="5"/>
        <v>238595.65820999997</v>
      </c>
    </row>
    <row r="26" spans="1:11" s="285" customFormat="1" x14ac:dyDescent="0.25">
      <c r="A26" s="344"/>
      <c r="B26" s="151"/>
      <c r="C26" s="93" t="s">
        <v>46</v>
      </c>
      <c r="D26" s="85"/>
      <c r="E26" s="86"/>
      <c r="F26" s="86"/>
      <c r="G26" s="86"/>
      <c r="H26" s="86"/>
      <c r="I26" s="86"/>
      <c r="J26" s="86"/>
      <c r="K26" s="86"/>
    </row>
    <row r="27" spans="1:11" s="285" customFormat="1" hidden="1" x14ac:dyDescent="0.25">
      <c r="A27" s="344"/>
      <c r="B27" s="151"/>
      <c r="C27" s="93" t="s">
        <v>47</v>
      </c>
      <c r="D27" s="85"/>
      <c r="E27" s="86"/>
      <c r="F27" s="86"/>
      <c r="G27" s="86"/>
      <c r="H27" s="86"/>
      <c r="I27" s="86"/>
      <c r="J27" s="86"/>
      <c r="K27" s="86"/>
    </row>
    <row r="28" spans="1:11" s="285" customFormat="1" hidden="1" x14ac:dyDescent="0.25">
      <c r="A28" s="118">
        <v>34</v>
      </c>
      <c r="B28" s="151">
        <v>5150</v>
      </c>
      <c r="C28" s="94" t="s">
        <v>48</v>
      </c>
      <c r="D28" s="85"/>
      <c r="E28" s="85"/>
      <c r="F28" s="85">
        <v>0</v>
      </c>
      <c r="G28" s="428"/>
      <c r="H28" s="428"/>
      <c r="I28" s="85"/>
      <c r="J28" s="85"/>
      <c r="K28" s="85"/>
    </row>
    <row r="29" spans="1:11" s="285" customFormat="1" hidden="1" x14ac:dyDescent="0.25">
      <c r="A29" s="344"/>
      <c r="B29" s="151"/>
      <c r="C29" s="94"/>
      <c r="D29" s="89"/>
      <c r="E29" s="89">
        <f>E28</f>
        <v>0</v>
      </c>
      <c r="F29" s="89">
        <v>0</v>
      </c>
      <c r="G29" s="429"/>
      <c r="H29" s="429"/>
      <c r="I29" s="89"/>
      <c r="J29" s="89"/>
      <c r="K29" s="89"/>
    </row>
    <row r="30" spans="1:11" s="285" customFormat="1" hidden="1" x14ac:dyDescent="0.25">
      <c r="A30" s="344"/>
      <c r="B30" s="151"/>
      <c r="C30" s="93" t="s">
        <v>49</v>
      </c>
      <c r="D30" s="85"/>
      <c r="E30" s="86"/>
      <c r="F30" s="86"/>
      <c r="G30" s="86"/>
      <c r="H30" s="86"/>
      <c r="I30" s="86"/>
      <c r="J30" s="86"/>
      <c r="K30" s="86"/>
    </row>
    <row r="31" spans="1:11" s="285" customFormat="1" hidden="1" x14ac:dyDescent="0.25">
      <c r="A31" s="118">
        <v>34</v>
      </c>
      <c r="B31" s="151">
        <v>5170</v>
      </c>
      <c r="C31" s="94" t="s">
        <v>341</v>
      </c>
      <c r="D31" s="85"/>
      <c r="E31" s="108"/>
      <c r="F31" s="85"/>
      <c r="G31" s="428"/>
      <c r="H31" s="428"/>
      <c r="I31" s="85"/>
      <c r="J31" s="85"/>
      <c r="K31" s="85"/>
    </row>
    <row r="32" spans="1:11" s="285" customFormat="1" hidden="1" x14ac:dyDescent="0.25">
      <c r="A32" s="344"/>
      <c r="B32" s="151"/>
      <c r="C32" s="94"/>
      <c r="D32" s="89"/>
      <c r="E32" s="89">
        <f>SUM(E31)</f>
        <v>0</v>
      </c>
      <c r="F32" s="89">
        <v>0</v>
      </c>
      <c r="G32" s="429"/>
      <c r="H32" s="429"/>
      <c r="I32" s="89"/>
      <c r="J32" s="89"/>
      <c r="K32" s="89"/>
    </row>
    <row r="33" spans="1:11" s="285" customFormat="1" hidden="1" x14ac:dyDescent="0.25">
      <c r="A33" s="344"/>
      <c r="B33" s="151"/>
      <c r="C33" s="93" t="s">
        <v>50</v>
      </c>
      <c r="D33" s="85"/>
      <c r="E33" s="86"/>
      <c r="F33" s="86"/>
      <c r="G33" s="86"/>
      <c r="H33" s="86"/>
      <c r="I33" s="86"/>
      <c r="J33" s="86"/>
      <c r="K33" s="86"/>
    </row>
    <row r="34" spans="1:11" s="285" customFormat="1" hidden="1" x14ac:dyDescent="0.25">
      <c r="A34" s="118">
        <v>34</v>
      </c>
      <c r="B34" s="151">
        <v>5180</v>
      </c>
      <c r="C34" s="94" t="s">
        <v>51</v>
      </c>
      <c r="D34" s="85"/>
      <c r="E34" s="108"/>
      <c r="F34" s="85"/>
      <c r="G34" s="428"/>
      <c r="H34" s="428"/>
      <c r="I34" s="85"/>
      <c r="J34" s="85"/>
      <c r="K34" s="108"/>
    </row>
    <row r="35" spans="1:11" s="285" customFormat="1" hidden="1" x14ac:dyDescent="0.25">
      <c r="A35" s="344"/>
      <c r="B35" s="151"/>
      <c r="C35" s="94"/>
      <c r="D35" s="89"/>
      <c r="E35" s="89">
        <f>SUM(E34)</f>
        <v>0</v>
      </c>
      <c r="F35" s="89">
        <v>0</v>
      </c>
      <c r="G35" s="429"/>
      <c r="H35" s="429"/>
      <c r="I35" s="89"/>
      <c r="J35" s="89"/>
      <c r="K35" s="89"/>
    </row>
    <row r="36" spans="1:11" s="285" customFormat="1" hidden="1" x14ac:dyDescent="0.25">
      <c r="A36" s="344"/>
      <c r="B36" s="151"/>
      <c r="C36" s="93" t="s">
        <v>52</v>
      </c>
      <c r="D36" s="85"/>
      <c r="E36" s="86"/>
      <c r="F36" s="86"/>
      <c r="G36" s="86"/>
      <c r="H36" s="86"/>
      <c r="I36" s="86"/>
      <c r="J36" s="86"/>
      <c r="K36" s="86"/>
    </row>
    <row r="37" spans="1:11" s="285" customFormat="1" hidden="1" x14ac:dyDescent="0.25">
      <c r="A37" s="118">
        <v>34</v>
      </c>
      <c r="B37" s="151">
        <v>5190</v>
      </c>
      <c r="C37" s="94" t="s">
        <v>53</v>
      </c>
      <c r="D37" s="85"/>
      <c r="E37" s="108"/>
      <c r="F37" s="85"/>
      <c r="G37" s="428"/>
      <c r="H37" s="428"/>
      <c r="I37" s="85"/>
      <c r="J37" s="85"/>
      <c r="K37" s="85"/>
    </row>
    <row r="38" spans="1:11" s="285" customFormat="1" hidden="1" x14ac:dyDescent="0.25">
      <c r="A38" s="344"/>
      <c r="B38" s="151"/>
      <c r="C38" s="94"/>
      <c r="D38" s="89"/>
      <c r="E38" s="89">
        <f>E37</f>
        <v>0</v>
      </c>
      <c r="F38" s="89">
        <v>0</v>
      </c>
      <c r="G38" s="429"/>
      <c r="H38" s="429"/>
      <c r="I38" s="89"/>
      <c r="J38" s="89"/>
      <c r="K38" s="89"/>
    </row>
    <row r="39" spans="1:11" s="285" customFormat="1" x14ac:dyDescent="0.25">
      <c r="A39" s="344"/>
      <c r="B39" s="151"/>
      <c r="C39" s="93" t="s">
        <v>54</v>
      </c>
      <c r="D39" s="85"/>
      <c r="E39" s="86"/>
      <c r="F39" s="86"/>
      <c r="G39" s="86"/>
      <c r="H39" s="86"/>
      <c r="I39" s="86"/>
      <c r="J39" s="86"/>
      <c r="K39" s="86"/>
    </row>
    <row r="40" spans="1:11" s="285" customFormat="1" x14ac:dyDescent="0.25">
      <c r="A40" s="118">
        <v>34</v>
      </c>
      <c r="B40" s="151">
        <v>5200</v>
      </c>
      <c r="C40" s="94" t="s">
        <v>55</v>
      </c>
      <c r="D40" s="85"/>
      <c r="E40" s="108"/>
      <c r="F40" s="85">
        <v>0</v>
      </c>
      <c r="G40" s="428"/>
      <c r="H40" s="428"/>
      <c r="I40" s="85"/>
      <c r="J40" s="85"/>
      <c r="K40" s="85"/>
    </row>
    <row r="41" spans="1:11" s="285" customFormat="1" x14ac:dyDescent="0.25">
      <c r="A41" s="118">
        <v>34</v>
      </c>
      <c r="B41" s="151">
        <v>5205</v>
      </c>
      <c r="C41" s="94" t="s">
        <v>56</v>
      </c>
      <c r="D41" s="85">
        <v>17900</v>
      </c>
      <c r="E41" s="85">
        <v>18000</v>
      </c>
      <c r="F41" s="85">
        <v>18000</v>
      </c>
      <c r="G41" s="428">
        <v>18000</v>
      </c>
      <c r="H41" s="428"/>
      <c r="I41" s="85">
        <v>30000</v>
      </c>
      <c r="J41" s="85">
        <f>+I41*1.055</f>
        <v>31649.999999999996</v>
      </c>
      <c r="K41" s="85">
        <f>+J41*1.053</f>
        <v>33327.449999999997</v>
      </c>
    </row>
    <row r="42" spans="1:11" s="285" customFormat="1" hidden="1" x14ac:dyDescent="0.25">
      <c r="A42" s="118">
        <v>34</v>
      </c>
      <c r="B42" s="151">
        <v>5210</v>
      </c>
      <c r="C42" s="94" t="s">
        <v>57</v>
      </c>
      <c r="D42" s="85"/>
      <c r="E42" s="108"/>
      <c r="F42" s="85">
        <v>0</v>
      </c>
      <c r="G42" s="428"/>
      <c r="H42" s="428"/>
      <c r="I42" s="85"/>
      <c r="J42" s="428">
        <f t="shared" ref="J42:J50" si="6">+I42*1.055</f>
        <v>0</v>
      </c>
      <c r="K42" s="428">
        <f t="shared" ref="K42:K50" si="7">+J42*1.053</f>
        <v>0</v>
      </c>
    </row>
    <row r="43" spans="1:11" s="285" customFormat="1" hidden="1" x14ac:dyDescent="0.25">
      <c r="A43" s="118">
        <v>34</v>
      </c>
      <c r="B43" s="151">
        <v>5215</v>
      </c>
      <c r="C43" s="94" t="s">
        <v>95</v>
      </c>
      <c r="D43" s="85"/>
      <c r="E43" s="108"/>
      <c r="F43" s="85">
        <v>0</v>
      </c>
      <c r="G43" s="428"/>
      <c r="H43" s="428"/>
      <c r="I43" s="85"/>
      <c r="J43" s="428">
        <f t="shared" si="6"/>
        <v>0</v>
      </c>
      <c r="K43" s="428">
        <f t="shared" si="7"/>
        <v>0</v>
      </c>
    </row>
    <row r="44" spans="1:11" s="285" customFormat="1" hidden="1" x14ac:dyDescent="0.25">
      <c r="A44" s="118">
        <v>34</v>
      </c>
      <c r="B44" s="151">
        <v>5220</v>
      </c>
      <c r="C44" s="94" t="s">
        <v>58</v>
      </c>
      <c r="D44" s="85"/>
      <c r="E44" s="108"/>
      <c r="F44" s="85">
        <v>0</v>
      </c>
      <c r="G44" s="428"/>
      <c r="H44" s="428"/>
      <c r="I44" s="85"/>
      <c r="J44" s="428">
        <f t="shared" si="6"/>
        <v>0</v>
      </c>
      <c r="K44" s="428">
        <f t="shared" si="7"/>
        <v>0</v>
      </c>
    </row>
    <row r="45" spans="1:11" s="285" customFormat="1" hidden="1" x14ac:dyDescent="0.25">
      <c r="A45" s="118">
        <v>34</v>
      </c>
      <c r="B45" s="151">
        <v>5225</v>
      </c>
      <c r="C45" s="94" t="s">
        <v>92</v>
      </c>
      <c r="D45" s="85"/>
      <c r="E45" s="108"/>
      <c r="F45" s="85">
        <v>0</v>
      </c>
      <c r="G45" s="428"/>
      <c r="H45" s="428"/>
      <c r="I45" s="85"/>
      <c r="J45" s="428">
        <f t="shared" si="6"/>
        <v>0</v>
      </c>
      <c r="K45" s="428">
        <f t="shared" si="7"/>
        <v>0</v>
      </c>
    </row>
    <row r="46" spans="1:11" s="285" customFormat="1" hidden="1" x14ac:dyDescent="0.25">
      <c r="A46" s="118">
        <v>34</v>
      </c>
      <c r="B46" s="151">
        <v>5230</v>
      </c>
      <c r="C46" s="94" t="s">
        <v>86</v>
      </c>
      <c r="D46" s="85"/>
      <c r="E46" s="108"/>
      <c r="F46" s="85">
        <v>0</v>
      </c>
      <c r="G46" s="428"/>
      <c r="H46" s="428"/>
      <c r="I46" s="85"/>
      <c r="J46" s="428">
        <f t="shared" si="6"/>
        <v>0</v>
      </c>
      <c r="K46" s="428">
        <f t="shared" si="7"/>
        <v>0</v>
      </c>
    </row>
    <row r="47" spans="1:11" s="285" customFormat="1" hidden="1" x14ac:dyDescent="0.25">
      <c r="A47" s="118">
        <v>34</v>
      </c>
      <c r="B47" s="151">
        <v>5235</v>
      </c>
      <c r="C47" s="94" t="s">
        <v>124</v>
      </c>
      <c r="D47" s="85"/>
      <c r="E47" s="108"/>
      <c r="F47" s="85">
        <v>0</v>
      </c>
      <c r="G47" s="428"/>
      <c r="H47" s="428"/>
      <c r="I47" s="85"/>
      <c r="J47" s="428">
        <f t="shared" si="6"/>
        <v>0</v>
      </c>
      <c r="K47" s="428">
        <f t="shared" si="7"/>
        <v>0</v>
      </c>
    </row>
    <row r="48" spans="1:11" s="285" customFormat="1" hidden="1" x14ac:dyDescent="0.25">
      <c r="A48" s="118">
        <v>34</v>
      </c>
      <c r="B48" s="151">
        <v>5240</v>
      </c>
      <c r="C48" s="94" t="s">
        <v>59</v>
      </c>
      <c r="D48" s="85"/>
      <c r="E48" s="108"/>
      <c r="F48" s="85">
        <v>0</v>
      </c>
      <c r="G48" s="428"/>
      <c r="H48" s="428"/>
      <c r="I48" s="85"/>
      <c r="J48" s="428">
        <f t="shared" si="6"/>
        <v>0</v>
      </c>
      <c r="K48" s="428">
        <f t="shared" si="7"/>
        <v>0</v>
      </c>
    </row>
    <row r="49" spans="1:11" s="285" customFormat="1" hidden="1" x14ac:dyDescent="0.25">
      <c r="A49" s="118">
        <v>34</v>
      </c>
      <c r="B49" s="151">
        <v>5245</v>
      </c>
      <c r="C49" s="94" t="s">
        <v>91</v>
      </c>
      <c r="D49" s="85"/>
      <c r="E49" s="108"/>
      <c r="F49" s="85">
        <v>0</v>
      </c>
      <c r="G49" s="428"/>
      <c r="H49" s="428"/>
      <c r="I49" s="85"/>
      <c r="J49" s="428">
        <f t="shared" si="6"/>
        <v>0</v>
      </c>
      <c r="K49" s="428">
        <f t="shared" si="7"/>
        <v>0</v>
      </c>
    </row>
    <row r="50" spans="1:11" s="285" customFormat="1" x14ac:dyDescent="0.25">
      <c r="A50" s="118">
        <v>34</v>
      </c>
      <c r="B50" s="151">
        <v>5250</v>
      </c>
      <c r="C50" s="94" t="s">
        <v>88</v>
      </c>
      <c r="D50" s="85">
        <v>16200</v>
      </c>
      <c r="E50" s="108">
        <v>18000</v>
      </c>
      <c r="F50" s="85">
        <v>18000</v>
      </c>
      <c r="G50" s="428">
        <v>18000</v>
      </c>
      <c r="H50" s="428"/>
      <c r="I50" s="85">
        <v>20000</v>
      </c>
      <c r="J50" s="428">
        <f t="shared" si="6"/>
        <v>21100</v>
      </c>
      <c r="K50" s="428">
        <f t="shared" si="7"/>
        <v>22218.3</v>
      </c>
    </row>
    <row r="51" spans="1:11" s="285" customFormat="1" hidden="1" x14ac:dyDescent="0.25">
      <c r="A51" s="118">
        <v>34</v>
      </c>
      <c r="B51" s="151">
        <v>5255</v>
      </c>
      <c r="C51" s="94" t="s">
        <v>125</v>
      </c>
      <c r="D51" s="85"/>
      <c r="E51" s="108"/>
      <c r="F51" s="85">
        <v>0</v>
      </c>
      <c r="G51" s="428"/>
      <c r="H51" s="428"/>
      <c r="I51" s="85"/>
      <c r="J51" s="85"/>
      <c r="K51" s="85"/>
    </row>
    <row r="52" spans="1:11" s="285" customFormat="1" hidden="1" x14ac:dyDescent="0.25">
      <c r="A52" s="118">
        <v>34</v>
      </c>
      <c r="B52" s="151">
        <v>5260</v>
      </c>
      <c r="C52" s="94" t="s">
        <v>90</v>
      </c>
      <c r="D52" s="85"/>
      <c r="E52" s="108"/>
      <c r="F52" s="85">
        <v>0</v>
      </c>
      <c r="G52" s="428"/>
      <c r="H52" s="428"/>
      <c r="I52" s="85"/>
      <c r="J52" s="85"/>
      <c r="K52" s="85"/>
    </row>
    <row r="53" spans="1:11" s="285" customFormat="1" hidden="1" x14ac:dyDescent="0.25">
      <c r="A53" s="118">
        <v>34</v>
      </c>
      <c r="B53" s="151">
        <v>5265</v>
      </c>
      <c r="C53" s="94" t="s">
        <v>87</v>
      </c>
      <c r="D53" s="85"/>
      <c r="E53" s="108"/>
      <c r="F53" s="85">
        <v>0</v>
      </c>
      <c r="G53" s="428"/>
      <c r="H53" s="428"/>
      <c r="I53" s="85"/>
      <c r="J53" s="85"/>
      <c r="K53" s="85"/>
    </row>
    <row r="54" spans="1:11" s="285" customFormat="1" hidden="1" x14ac:dyDescent="0.25">
      <c r="A54" s="118">
        <v>34</v>
      </c>
      <c r="B54" s="151">
        <v>5270</v>
      </c>
      <c r="C54" s="94" t="s">
        <v>89</v>
      </c>
      <c r="D54" s="85"/>
      <c r="E54" s="108"/>
      <c r="F54" s="85">
        <v>0</v>
      </c>
      <c r="G54" s="428"/>
      <c r="H54" s="428"/>
      <c r="I54" s="85"/>
      <c r="J54" s="85"/>
      <c r="K54" s="85"/>
    </row>
    <row r="55" spans="1:11" s="285" customFormat="1" hidden="1" x14ac:dyDescent="0.25">
      <c r="A55" s="118">
        <v>34</v>
      </c>
      <c r="B55" s="151">
        <v>5275</v>
      </c>
      <c r="C55" s="94" t="s">
        <v>93</v>
      </c>
      <c r="D55" s="85"/>
      <c r="E55" s="108"/>
      <c r="F55" s="85">
        <v>0</v>
      </c>
      <c r="G55" s="428"/>
      <c r="H55" s="428"/>
      <c r="I55" s="85"/>
      <c r="J55" s="85"/>
      <c r="K55" s="85"/>
    </row>
    <row r="56" spans="1:11" s="285" customFormat="1" hidden="1" x14ac:dyDescent="0.25">
      <c r="A56" s="118">
        <v>34</v>
      </c>
      <c r="B56" s="151">
        <v>5280</v>
      </c>
      <c r="C56" s="94" t="s">
        <v>94</v>
      </c>
      <c r="D56" s="85"/>
      <c r="E56" s="108"/>
      <c r="F56" s="85">
        <v>0</v>
      </c>
      <c r="G56" s="428"/>
      <c r="H56" s="428"/>
      <c r="I56" s="85"/>
      <c r="J56" s="85"/>
      <c r="K56" s="85"/>
    </row>
    <row r="57" spans="1:11" s="285" customFormat="1" hidden="1" x14ac:dyDescent="0.25">
      <c r="A57" s="118">
        <v>34</v>
      </c>
      <c r="B57" s="151">
        <v>5285</v>
      </c>
      <c r="C57" s="94" t="s">
        <v>60</v>
      </c>
      <c r="D57" s="85"/>
      <c r="E57" s="85"/>
      <c r="F57" s="85">
        <v>0</v>
      </c>
      <c r="G57" s="428"/>
      <c r="H57" s="428"/>
      <c r="I57" s="85"/>
      <c r="J57" s="85"/>
      <c r="K57" s="85"/>
    </row>
    <row r="58" spans="1:11" s="285" customFormat="1" hidden="1" x14ac:dyDescent="0.25">
      <c r="A58" s="118">
        <v>34</v>
      </c>
      <c r="B58" s="151">
        <v>5290</v>
      </c>
      <c r="C58" s="94" t="s">
        <v>186</v>
      </c>
      <c r="D58" s="85"/>
      <c r="E58" s="108"/>
      <c r="F58" s="85">
        <v>0</v>
      </c>
      <c r="G58" s="428"/>
      <c r="H58" s="428"/>
      <c r="I58" s="85"/>
      <c r="J58" s="85"/>
      <c r="K58" s="85"/>
    </row>
    <row r="59" spans="1:11" s="285" customFormat="1" x14ac:dyDescent="0.25">
      <c r="A59" s="344"/>
      <c r="B59" s="151"/>
      <c r="C59" s="94"/>
      <c r="D59" s="439">
        <f t="shared" ref="D59:K59" si="8">SUM(D40:D58)</f>
        <v>34100</v>
      </c>
      <c r="E59" s="110">
        <f t="shared" si="8"/>
        <v>36000</v>
      </c>
      <c r="F59" s="110">
        <f t="shared" si="8"/>
        <v>36000</v>
      </c>
      <c r="G59" s="439">
        <f t="shared" si="8"/>
        <v>36000</v>
      </c>
      <c r="H59" s="439"/>
      <c r="I59" s="439">
        <f t="shared" si="8"/>
        <v>50000</v>
      </c>
      <c r="J59" s="439">
        <f t="shared" si="8"/>
        <v>52750</v>
      </c>
      <c r="K59" s="439">
        <f t="shared" si="8"/>
        <v>55545.75</v>
      </c>
    </row>
    <row r="60" spans="1:11" s="285" customFormat="1" hidden="1" x14ac:dyDescent="0.25">
      <c r="A60" s="344"/>
      <c r="B60" s="151"/>
      <c r="C60" s="93" t="s">
        <v>198</v>
      </c>
      <c r="D60" s="85"/>
      <c r="E60" s="112"/>
      <c r="F60" s="112"/>
      <c r="G60" s="112"/>
      <c r="H60" s="112"/>
      <c r="I60" s="112"/>
      <c r="J60" s="112"/>
      <c r="K60" s="112"/>
    </row>
    <row r="61" spans="1:11" s="285" customFormat="1" hidden="1" x14ac:dyDescent="0.25">
      <c r="A61" s="118">
        <v>34</v>
      </c>
      <c r="B61" s="151">
        <v>5400</v>
      </c>
      <c r="C61" s="94" t="s">
        <v>334</v>
      </c>
      <c r="D61" s="85"/>
      <c r="E61" s="86"/>
      <c r="F61" s="85"/>
      <c r="G61" s="86"/>
      <c r="H61" s="86"/>
      <c r="I61" s="86"/>
      <c r="J61" s="86"/>
      <c r="K61" s="86"/>
    </row>
    <row r="62" spans="1:11" s="285" customFormat="1" hidden="1" x14ac:dyDescent="0.25">
      <c r="A62" s="118">
        <v>34</v>
      </c>
      <c r="B62" s="151">
        <v>5405</v>
      </c>
      <c r="C62" s="94" t="s">
        <v>335</v>
      </c>
      <c r="D62" s="85"/>
      <c r="E62" s="108"/>
      <c r="F62" s="85"/>
      <c r="G62" s="428"/>
      <c r="H62" s="428"/>
      <c r="I62" s="85"/>
      <c r="J62" s="85"/>
      <c r="K62" s="108"/>
    </row>
    <row r="63" spans="1:11" s="285" customFormat="1" hidden="1" x14ac:dyDescent="0.25">
      <c r="A63" s="344"/>
      <c r="B63" s="151"/>
      <c r="C63" s="94"/>
      <c r="D63" s="89"/>
      <c r="E63" s="89">
        <f>SUM(E61:E62)</f>
        <v>0</v>
      </c>
      <c r="F63" s="89">
        <v>0</v>
      </c>
      <c r="G63" s="429"/>
      <c r="H63" s="429"/>
      <c r="I63" s="429">
        <v>0</v>
      </c>
      <c r="J63" s="429">
        <v>0</v>
      </c>
      <c r="K63" s="429">
        <v>0</v>
      </c>
    </row>
    <row r="64" spans="1:11" s="285" customFormat="1" hidden="1" x14ac:dyDescent="0.25">
      <c r="A64" s="344"/>
      <c r="B64" s="151"/>
      <c r="C64" s="93" t="s">
        <v>61</v>
      </c>
      <c r="D64" s="85"/>
      <c r="E64" s="86"/>
      <c r="F64" s="86"/>
      <c r="G64" s="86"/>
      <c r="H64" s="86"/>
      <c r="I64" s="86"/>
      <c r="J64" s="86"/>
      <c r="K64" s="86"/>
    </row>
    <row r="65" spans="1:11" s="285" customFormat="1" hidden="1" x14ac:dyDescent="0.25">
      <c r="A65" s="118">
        <v>34</v>
      </c>
      <c r="B65" s="151">
        <v>5450</v>
      </c>
      <c r="C65" s="94" t="s">
        <v>351</v>
      </c>
      <c r="D65" s="85"/>
      <c r="E65" s="108"/>
      <c r="F65" s="85"/>
      <c r="G65" s="428"/>
      <c r="H65" s="428"/>
      <c r="I65" s="85"/>
      <c r="J65" s="85"/>
      <c r="K65" s="108"/>
    </row>
    <row r="66" spans="1:11" s="285" customFormat="1" hidden="1" x14ac:dyDescent="0.25">
      <c r="A66" s="344"/>
      <c r="B66" s="151"/>
      <c r="C66" s="94"/>
      <c r="D66" s="89"/>
      <c r="E66" s="89">
        <f>E65</f>
        <v>0</v>
      </c>
      <c r="F66" s="89">
        <v>0</v>
      </c>
      <c r="G66" s="429"/>
      <c r="H66" s="429"/>
      <c r="I66" s="429">
        <v>0</v>
      </c>
      <c r="J66" s="429">
        <v>0</v>
      </c>
      <c r="K66" s="429">
        <v>0</v>
      </c>
    </row>
    <row r="67" spans="1:11" s="285" customFormat="1" hidden="1" x14ac:dyDescent="0.25">
      <c r="A67" s="344"/>
      <c r="B67" s="151"/>
      <c r="C67" s="93" t="s">
        <v>96</v>
      </c>
      <c r="D67" s="85"/>
      <c r="E67" s="86"/>
      <c r="F67" s="86"/>
      <c r="G67" s="86"/>
      <c r="H67" s="86"/>
      <c r="I67" s="86"/>
      <c r="J67" s="86"/>
      <c r="K67" s="86"/>
    </row>
    <row r="68" spans="1:11" s="285" customFormat="1" hidden="1" x14ac:dyDescent="0.25">
      <c r="A68" s="118">
        <v>34</v>
      </c>
      <c r="B68" s="151">
        <v>5470</v>
      </c>
      <c r="C68" s="94" t="s">
        <v>97</v>
      </c>
      <c r="D68" s="85"/>
      <c r="E68" s="86"/>
      <c r="F68" s="85">
        <v>0</v>
      </c>
      <c r="G68" s="428"/>
      <c r="H68" s="428"/>
      <c r="I68" s="85"/>
      <c r="J68" s="85"/>
      <c r="K68" s="85"/>
    </row>
    <row r="69" spans="1:11" s="285" customFormat="1" hidden="1" x14ac:dyDescent="0.25">
      <c r="A69" s="118">
        <v>34</v>
      </c>
      <c r="B69" s="151">
        <v>5475</v>
      </c>
      <c r="C69" s="94" t="s">
        <v>134</v>
      </c>
      <c r="D69" s="85"/>
      <c r="E69" s="86"/>
      <c r="F69" s="85">
        <v>0</v>
      </c>
      <c r="G69" s="428"/>
      <c r="H69" s="428"/>
      <c r="I69" s="85"/>
      <c r="J69" s="85"/>
      <c r="K69" s="85"/>
    </row>
    <row r="70" spans="1:11" s="285" customFormat="1" hidden="1" x14ac:dyDescent="0.25">
      <c r="A70" s="344"/>
      <c r="B70" s="151"/>
      <c r="C70" s="94"/>
      <c r="D70" s="110"/>
      <c r="E70" s="110">
        <f>SUM(E68:E69)</f>
        <v>0</v>
      </c>
      <c r="F70" s="110">
        <v>0</v>
      </c>
      <c r="G70" s="439"/>
      <c r="H70" s="439"/>
      <c r="I70" s="439">
        <v>0</v>
      </c>
      <c r="J70" s="439">
        <v>0</v>
      </c>
      <c r="K70" s="439">
        <v>0</v>
      </c>
    </row>
    <row r="71" spans="1:11" s="285" customFormat="1" ht="13.5" customHeight="1" x14ac:dyDescent="0.25">
      <c r="A71" s="344"/>
      <c r="B71" s="151"/>
      <c r="C71" s="93" t="s">
        <v>62</v>
      </c>
      <c r="D71" s="88"/>
      <c r="E71" s="113"/>
      <c r="F71" s="113"/>
      <c r="G71" s="113"/>
      <c r="H71" s="113"/>
      <c r="I71" s="113"/>
      <c r="J71" s="113"/>
      <c r="K71" s="113"/>
    </row>
    <row r="72" spans="1:11" s="285" customFormat="1" hidden="1" x14ac:dyDescent="0.25">
      <c r="A72" s="118">
        <v>34</v>
      </c>
      <c r="B72" s="151">
        <v>5505</v>
      </c>
      <c r="C72" s="94" t="s">
        <v>259</v>
      </c>
      <c r="D72" s="85"/>
      <c r="E72" s="85"/>
      <c r="F72" s="85">
        <v>0</v>
      </c>
      <c r="G72" s="428"/>
      <c r="H72" s="428"/>
      <c r="I72" s="85"/>
      <c r="J72" s="85"/>
      <c r="K72" s="85"/>
    </row>
    <row r="73" spans="1:11" s="285" customFormat="1" hidden="1" x14ac:dyDescent="0.25">
      <c r="A73" s="118">
        <v>34</v>
      </c>
      <c r="B73" s="151">
        <v>5510</v>
      </c>
      <c r="C73" s="94" t="s">
        <v>63</v>
      </c>
      <c r="D73" s="85"/>
      <c r="E73" s="85"/>
      <c r="F73" s="85">
        <v>0</v>
      </c>
      <c r="G73" s="428"/>
      <c r="H73" s="428"/>
      <c r="I73" s="85"/>
      <c r="J73" s="85"/>
      <c r="K73" s="85"/>
    </row>
    <row r="74" spans="1:11" s="285" customFormat="1" hidden="1" x14ac:dyDescent="0.25">
      <c r="A74" s="118">
        <v>34</v>
      </c>
      <c r="B74" s="151">
        <v>5520</v>
      </c>
      <c r="C74" s="94" t="s">
        <v>260</v>
      </c>
      <c r="D74" s="85"/>
      <c r="E74" s="85"/>
      <c r="F74" s="85">
        <v>0</v>
      </c>
      <c r="G74" s="428"/>
      <c r="H74" s="428"/>
      <c r="I74" s="85"/>
      <c r="J74" s="85"/>
      <c r="K74" s="85"/>
    </row>
    <row r="75" spans="1:11" s="285" customFormat="1" hidden="1" x14ac:dyDescent="0.25">
      <c r="A75" s="118">
        <v>34</v>
      </c>
      <c r="B75" s="151">
        <v>5525</v>
      </c>
      <c r="C75" s="94" t="s">
        <v>261</v>
      </c>
      <c r="D75" s="85"/>
      <c r="E75" s="85"/>
      <c r="F75" s="85">
        <v>0</v>
      </c>
      <c r="G75" s="428"/>
      <c r="H75" s="428"/>
      <c r="I75" s="85"/>
      <c r="J75" s="85"/>
      <c r="K75" s="85"/>
    </row>
    <row r="76" spans="1:11" s="285" customFormat="1" hidden="1" x14ac:dyDescent="0.25">
      <c r="A76" s="118">
        <v>34</v>
      </c>
      <c r="B76" s="151">
        <v>5530</v>
      </c>
      <c r="C76" s="94" t="s">
        <v>262</v>
      </c>
      <c r="D76" s="85"/>
      <c r="E76" s="85"/>
      <c r="F76" s="85">
        <v>0</v>
      </c>
      <c r="G76" s="428"/>
      <c r="H76" s="428"/>
      <c r="I76" s="85"/>
      <c r="J76" s="85"/>
      <c r="K76" s="85"/>
    </row>
    <row r="77" spans="1:11" s="285" customFormat="1" hidden="1" x14ac:dyDescent="0.25">
      <c r="A77" s="118">
        <v>34</v>
      </c>
      <c r="B77" s="151">
        <v>5535</v>
      </c>
      <c r="C77" s="94" t="s">
        <v>263</v>
      </c>
      <c r="D77" s="85"/>
      <c r="E77" s="85"/>
      <c r="F77" s="85">
        <v>0</v>
      </c>
      <c r="G77" s="428"/>
      <c r="H77" s="428"/>
      <c r="I77" s="85"/>
      <c r="J77" s="85"/>
      <c r="K77" s="85"/>
    </row>
    <row r="78" spans="1:11" s="285" customFormat="1" hidden="1" x14ac:dyDescent="0.25">
      <c r="A78" s="118">
        <v>34</v>
      </c>
      <c r="B78" s="151">
        <v>5540</v>
      </c>
      <c r="C78" s="94" t="s">
        <v>264</v>
      </c>
      <c r="D78" s="85"/>
      <c r="E78" s="85">
        <v>0</v>
      </c>
      <c r="F78" s="85">
        <v>0</v>
      </c>
      <c r="G78" s="428"/>
      <c r="H78" s="428"/>
      <c r="I78" s="85"/>
      <c r="J78" s="85"/>
      <c r="K78" s="85"/>
    </row>
    <row r="79" spans="1:11" s="285" customFormat="1" ht="13.5" hidden="1" customHeight="1" x14ac:dyDescent="0.25">
      <c r="A79" s="118">
        <v>34</v>
      </c>
      <c r="B79" s="151">
        <v>5545</v>
      </c>
      <c r="C79" s="94" t="s">
        <v>265</v>
      </c>
      <c r="D79" s="85"/>
      <c r="E79" s="85">
        <v>0</v>
      </c>
      <c r="F79" s="85">
        <v>0</v>
      </c>
      <c r="G79" s="428"/>
      <c r="H79" s="428"/>
      <c r="I79" s="85"/>
      <c r="J79" s="85"/>
      <c r="K79" s="85"/>
    </row>
    <row r="80" spans="1:11" s="285" customFormat="1" hidden="1" x14ac:dyDescent="0.25">
      <c r="A80" s="118">
        <v>34</v>
      </c>
      <c r="B80" s="151">
        <v>5550</v>
      </c>
      <c r="C80" s="94" t="s">
        <v>267</v>
      </c>
      <c r="D80" s="85"/>
      <c r="E80" s="85"/>
      <c r="F80" s="85">
        <v>0</v>
      </c>
      <c r="G80" s="428"/>
      <c r="H80" s="428"/>
      <c r="I80" s="85"/>
      <c r="J80" s="85"/>
      <c r="K80" s="85"/>
    </row>
    <row r="81" spans="1:11" s="285" customFormat="1" hidden="1" x14ac:dyDescent="0.25">
      <c r="A81" s="118">
        <v>34</v>
      </c>
      <c r="B81" s="151">
        <v>5555</v>
      </c>
      <c r="C81" s="94" t="s">
        <v>268</v>
      </c>
      <c r="D81" s="85"/>
      <c r="E81" s="85"/>
      <c r="F81" s="85">
        <v>0</v>
      </c>
      <c r="G81" s="428"/>
      <c r="H81" s="428"/>
      <c r="I81" s="85"/>
      <c r="J81" s="85"/>
      <c r="K81" s="85"/>
    </row>
    <row r="82" spans="1:11" s="285" customFormat="1" hidden="1" x14ac:dyDescent="0.25">
      <c r="A82" s="118">
        <v>34</v>
      </c>
      <c r="B82" s="151">
        <v>5560</v>
      </c>
      <c r="C82" s="94" t="s">
        <v>269</v>
      </c>
      <c r="D82" s="85"/>
      <c r="E82" s="85"/>
      <c r="F82" s="85">
        <v>0</v>
      </c>
      <c r="G82" s="428"/>
      <c r="H82" s="428"/>
      <c r="I82" s="85"/>
      <c r="J82" s="85"/>
      <c r="K82" s="85"/>
    </row>
    <row r="83" spans="1:11" s="285" customFormat="1" hidden="1" x14ac:dyDescent="0.25">
      <c r="A83" s="118">
        <v>34</v>
      </c>
      <c r="B83" s="151">
        <v>5565</v>
      </c>
      <c r="C83" s="94" t="s">
        <v>246</v>
      </c>
      <c r="D83" s="85"/>
      <c r="E83" s="85"/>
      <c r="F83" s="85">
        <v>0</v>
      </c>
      <c r="G83" s="428"/>
      <c r="H83" s="428"/>
      <c r="I83" s="85"/>
      <c r="J83" s="85"/>
      <c r="K83" s="85"/>
    </row>
    <row r="84" spans="1:11" s="285" customFormat="1" x14ac:dyDescent="0.25">
      <c r="A84" s="118">
        <v>34</v>
      </c>
      <c r="B84" s="151">
        <v>5570</v>
      </c>
      <c r="C84" s="94" t="s">
        <v>270</v>
      </c>
      <c r="D84" s="85">
        <v>3866</v>
      </c>
      <c r="E84" s="85">
        <v>4747.5</v>
      </c>
      <c r="F84" s="85">
        <v>4747.5</v>
      </c>
      <c r="G84" s="428">
        <v>4747.5</v>
      </c>
      <c r="H84" s="428"/>
      <c r="I84" s="85"/>
      <c r="J84" s="85"/>
      <c r="K84" s="85"/>
    </row>
    <row r="85" spans="1:11" s="285" customFormat="1" x14ac:dyDescent="0.25">
      <c r="A85" s="118">
        <v>34</v>
      </c>
      <c r="B85" s="151">
        <v>5575</v>
      </c>
      <c r="C85" s="94" t="s">
        <v>271</v>
      </c>
      <c r="D85" s="85">
        <v>87300</v>
      </c>
      <c r="E85" s="85">
        <v>0</v>
      </c>
      <c r="F85" s="85">
        <v>0</v>
      </c>
      <c r="G85" s="428"/>
      <c r="H85" s="428"/>
      <c r="I85" s="85"/>
      <c r="J85" s="85"/>
      <c r="K85" s="85"/>
    </row>
    <row r="86" spans="1:11" s="285" customFormat="1" hidden="1" x14ac:dyDescent="0.25">
      <c r="A86" s="118">
        <v>34</v>
      </c>
      <c r="B86" s="151">
        <v>5580</v>
      </c>
      <c r="C86" s="94" t="s">
        <v>272</v>
      </c>
      <c r="D86" s="85"/>
      <c r="E86" s="85"/>
      <c r="F86" s="85">
        <v>0</v>
      </c>
      <c r="G86" s="428"/>
      <c r="H86" s="428"/>
      <c r="I86" s="85"/>
      <c r="J86" s="85"/>
      <c r="K86" s="85"/>
    </row>
    <row r="87" spans="1:11" s="285" customFormat="1" hidden="1" x14ac:dyDescent="0.25">
      <c r="A87" s="118">
        <v>34</v>
      </c>
      <c r="B87" s="151">
        <v>5585</v>
      </c>
      <c r="C87" s="94" t="s">
        <v>273</v>
      </c>
      <c r="D87" s="86"/>
      <c r="E87" s="85"/>
      <c r="F87" s="85">
        <v>0</v>
      </c>
      <c r="G87" s="428"/>
      <c r="H87" s="428"/>
      <c r="I87" s="85"/>
      <c r="J87" s="85"/>
      <c r="K87" s="85"/>
    </row>
    <row r="88" spans="1:11" s="285" customFormat="1" hidden="1" x14ac:dyDescent="0.25">
      <c r="A88" s="118">
        <v>34</v>
      </c>
      <c r="B88" s="151">
        <v>5590</v>
      </c>
      <c r="C88" s="94" t="s">
        <v>274</v>
      </c>
      <c r="D88" s="86"/>
      <c r="E88" s="85"/>
      <c r="F88" s="85">
        <v>0</v>
      </c>
      <c r="G88" s="428"/>
      <c r="H88" s="428"/>
      <c r="I88" s="85"/>
      <c r="J88" s="85"/>
      <c r="K88" s="85"/>
    </row>
    <row r="89" spans="1:11" s="285" customFormat="1" hidden="1" x14ac:dyDescent="0.25">
      <c r="A89" s="118">
        <v>34</v>
      </c>
      <c r="B89" s="151">
        <v>5595</v>
      </c>
      <c r="C89" s="94" t="s">
        <v>275</v>
      </c>
      <c r="D89" s="85"/>
      <c r="E89" s="85"/>
      <c r="F89" s="85">
        <v>0</v>
      </c>
      <c r="G89" s="428"/>
      <c r="H89" s="428"/>
      <c r="I89" s="85"/>
      <c r="J89" s="85"/>
      <c r="K89" s="85"/>
    </row>
    <row r="90" spans="1:11" s="285" customFormat="1" hidden="1" x14ac:dyDescent="0.25">
      <c r="A90" s="118">
        <v>34</v>
      </c>
      <c r="B90" s="151">
        <v>5600</v>
      </c>
      <c r="C90" s="159" t="s">
        <v>276</v>
      </c>
      <c r="D90" s="85"/>
      <c r="E90" s="85"/>
      <c r="F90" s="85">
        <v>0</v>
      </c>
      <c r="G90" s="428"/>
      <c r="H90" s="428"/>
      <c r="I90" s="85"/>
      <c r="J90" s="85"/>
      <c r="K90" s="85"/>
    </row>
    <row r="91" spans="1:11" s="285" customFormat="1" hidden="1" x14ac:dyDescent="0.25">
      <c r="A91" s="118">
        <v>34</v>
      </c>
      <c r="B91" s="151">
        <v>5605</v>
      </c>
      <c r="C91" s="159" t="s">
        <v>277</v>
      </c>
      <c r="D91" s="85"/>
      <c r="E91" s="85"/>
      <c r="F91" s="85">
        <v>0</v>
      </c>
      <c r="G91" s="428"/>
      <c r="H91" s="428"/>
      <c r="I91" s="85"/>
      <c r="J91" s="85"/>
      <c r="K91" s="85"/>
    </row>
    <row r="92" spans="1:11" s="285" customFormat="1" hidden="1" x14ac:dyDescent="0.25">
      <c r="A92" s="118">
        <v>34</v>
      </c>
      <c r="B92" s="151">
        <v>5610</v>
      </c>
      <c r="C92" s="159" t="s">
        <v>278</v>
      </c>
      <c r="D92" s="85"/>
      <c r="E92" s="85"/>
      <c r="F92" s="85">
        <v>0</v>
      </c>
      <c r="G92" s="428"/>
      <c r="H92" s="428"/>
      <c r="I92" s="85"/>
      <c r="J92" s="85"/>
      <c r="K92" s="85"/>
    </row>
    <row r="93" spans="1:11" s="285" customFormat="1" hidden="1" x14ac:dyDescent="0.25">
      <c r="A93" s="118">
        <v>34</v>
      </c>
      <c r="B93" s="151">
        <v>5615</v>
      </c>
      <c r="C93" s="159" t="s">
        <v>279</v>
      </c>
      <c r="D93" s="85"/>
      <c r="E93" s="85"/>
      <c r="F93" s="85">
        <v>0</v>
      </c>
      <c r="G93" s="428"/>
      <c r="H93" s="428"/>
      <c r="I93" s="85"/>
      <c r="J93" s="85"/>
      <c r="K93" s="85"/>
    </row>
    <row r="94" spans="1:11" s="285" customFormat="1" hidden="1" x14ac:dyDescent="0.25">
      <c r="A94" s="118">
        <v>34</v>
      </c>
      <c r="B94" s="151">
        <v>5620</v>
      </c>
      <c r="C94" s="159" t="s">
        <v>280</v>
      </c>
      <c r="D94" s="85"/>
      <c r="E94" s="85"/>
      <c r="F94" s="85">
        <v>0</v>
      </c>
      <c r="G94" s="428"/>
      <c r="H94" s="428"/>
      <c r="I94" s="85"/>
      <c r="J94" s="85"/>
      <c r="K94" s="85"/>
    </row>
    <row r="95" spans="1:11" s="285" customFormat="1" hidden="1" x14ac:dyDescent="0.25">
      <c r="A95" s="118">
        <v>34</v>
      </c>
      <c r="B95" s="151">
        <v>5625</v>
      </c>
      <c r="C95" s="159" t="s">
        <v>281</v>
      </c>
      <c r="D95" s="85"/>
      <c r="E95" s="85"/>
      <c r="F95" s="85">
        <v>0</v>
      </c>
      <c r="G95" s="428"/>
      <c r="H95" s="428"/>
      <c r="I95" s="85"/>
      <c r="J95" s="85"/>
      <c r="K95" s="85"/>
    </row>
    <row r="96" spans="1:11" s="285" customFormat="1" hidden="1" x14ac:dyDescent="0.25">
      <c r="A96" s="118">
        <v>34</v>
      </c>
      <c r="B96" s="151">
        <v>5630</v>
      </c>
      <c r="C96" s="159" t="s">
        <v>282</v>
      </c>
      <c r="D96" s="85"/>
      <c r="E96" s="85"/>
      <c r="F96" s="85">
        <v>0</v>
      </c>
      <c r="G96" s="428"/>
      <c r="H96" s="428"/>
      <c r="I96" s="85"/>
      <c r="J96" s="85"/>
      <c r="K96" s="85"/>
    </row>
    <row r="97" spans="1:11" s="285" customFormat="1" hidden="1" x14ac:dyDescent="0.25">
      <c r="A97" s="118">
        <v>34</v>
      </c>
      <c r="B97" s="151">
        <v>5635</v>
      </c>
      <c r="C97" s="159" t="s">
        <v>283</v>
      </c>
      <c r="D97" s="85"/>
      <c r="E97" s="85"/>
      <c r="F97" s="85">
        <v>0</v>
      </c>
      <c r="G97" s="428"/>
      <c r="H97" s="428"/>
      <c r="I97" s="85"/>
      <c r="J97" s="85"/>
      <c r="K97" s="85"/>
    </row>
    <row r="98" spans="1:11" s="285" customFormat="1" hidden="1" x14ac:dyDescent="0.25">
      <c r="A98" s="118">
        <v>34</v>
      </c>
      <c r="B98" s="151">
        <v>5640</v>
      </c>
      <c r="C98" s="159" t="s">
        <v>284</v>
      </c>
      <c r="D98" s="85"/>
      <c r="E98" s="85"/>
      <c r="F98" s="85">
        <v>0</v>
      </c>
      <c r="G98" s="428"/>
      <c r="H98" s="428"/>
      <c r="I98" s="85"/>
      <c r="J98" s="85"/>
      <c r="K98" s="85"/>
    </row>
    <row r="99" spans="1:11" s="285" customFormat="1" hidden="1" x14ac:dyDescent="0.25">
      <c r="A99" s="118">
        <v>34</v>
      </c>
      <c r="B99" s="151">
        <v>5645</v>
      </c>
      <c r="C99" s="159" t="s">
        <v>285</v>
      </c>
      <c r="D99" s="85"/>
      <c r="E99" s="85"/>
      <c r="F99" s="85">
        <v>0</v>
      </c>
      <c r="G99" s="428"/>
      <c r="H99" s="428"/>
      <c r="I99" s="85"/>
      <c r="J99" s="85"/>
      <c r="K99" s="85"/>
    </row>
    <row r="100" spans="1:11" s="285" customFormat="1" hidden="1" x14ac:dyDescent="0.25">
      <c r="A100" s="118">
        <v>34</v>
      </c>
      <c r="B100" s="151">
        <v>5650</v>
      </c>
      <c r="C100" s="159" t="s">
        <v>286</v>
      </c>
      <c r="D100" s="85"/>
      <c r="E100" s="85"/>
      <c r="F100" s="85">
        <v>0</v>
      </c>
      <c r="G100" s="428"/>
      <c r="H100" s="428"/>
      <c r="I100" s="85"/>
      <c r="J100" s="85"/>
      <c r="K100" s="85"/>
    </row>
    <row r="101" spans="1:11" s="285" customFormat="1" hidden="1" x14ac:dyDescent="0.25">
      <c r="A101" s="118">
        <v>34</v>
      </c>
      <c r="B101" s="151">
        <v>5655</v>
      </c>
      <c r="C101" s="159" t="s">
        <v>287</v>
      </c>
      <c r="D101" s="85"/>
      <c r="E101" s="85"/>
      <c r="F101" s="85">
        <v>0</v>
      </c>
      <c r="G101" s="428"/>
      <c r="H101" s="428"/>
      <c r="I101" s="85"/>
      <c r="J101" s="85"/>
      <c r="K101" s="85"/>
    </row>
    <row r="102" spans="1:11" s="285" customFormat="1" hidden="1" x14ac:dyDescent="0.25">
      <c r="A102" s="118">
        <v>34</v>
      </c>
      <c r="B102" s="151">
        <v>5660</v>
      </c>
      <c r="C102" s="159" t="s">
        <v>288</v>
      </c>
      <c r="D102" s="85"/>
      <c r="E102" s="85"/>
      <c r="F102" s="85">
        <v>0</v>
      </c>
      <c r="G102" s="428"/>
      <c r="H102" s="428"/>
      <c r="I102" s="85"/>
      <c r="J102" s="85"/>
      <c r="K102" s="85"/>
    </row>
    <row r="103" spans="1:11" s="285" customFormat="1" hidden="1" x14ac:dyDescent="0.25">
      <c r="A103" s="118">
        <v>34</v>
      </c>
      <c r="B103" s="151">
        <v>5665</v>
      </c>
      <c r="C103" s="94" t="s">
        <v>289</v>
      </c>
      <c r="D103" s="85"/>
      <c r="E103" s="85"/>
      <c r="F103" s="85">
        <v>0</v>
      </c>
      <c r="G103" s="428"/>
      <c r="H103" s="428"/>
      <c r="I103" s="85"/>
      <c r="J103" s="85"/>
      <c r="K103" s="85"/>
    </row>
    <row r="104" spans="1:11" s="285" customFormat="1" hidden="1" x14ac:dyDescent="0.25">
      <c r="A104" s="118">
        <v>34</v>
      </c>
      <c r="B104" s="151">
        <v>5670</v>
      </c>
      <c r="C104" s="94" t="s">
        <v>290</v>
      </c>
      <c r="D104" s="85"/>
      <c r="E104" s="85"/>
      <c r="F104" s="85">
        <v>0</v>
      </c>
      <c r="G104" s="428"/>
      <c r="H104" s="428"/>
      <c r="I104" s="85"/>
      <c r="J104" s="85"/>
      <c r="K104" s="85"/>
    </row>
    <row r="105" spans="1:11" s="285" customFormat="1" hidden="1" x14ac:dyDescent="0.25">
      <c r="A105" s="118">
        <v>34</v>
      </c>
      <c r="B105" s="151">
        <v>5675</v>
      </c>
      <c r="C105" s="94" t="s">
        <v>291</v>
      </c>
      <c r="D105" s="85"/>
      <c r="E105" s="85"/>
      <c r="F105" s="85">
        <v>0</v>
      </c>
      <c r="G105" s="428"/>
      <c r="H105" s="428"/>
      <c r="I105" s="85"/>
      <c r="J105" s="85"/>
      <c r="K105" s="85"/>
    </row>
    <row r="106" spans="1:11" s="285" customFormat="1" hidden="1" x14ac:dyDescent="0.25">
      <c r="A106" s="118">
        <v>34</v>
      </c>
      <c r="B106" s="151">
        <v>5680</v>
      </c>
      <c r="C106" s="94" t="s">
        <v>292</v>
      </c>
      <c r="D106" s="85"/>
      <c r="E106" s="85"/>
      <c r="F106" s="85">
        <v>0</v>
      </c>
      <c r="G106" s="428"/>
      <c r="H106" s="428"/>
      <c r="I106" s="85"/>
      <c r="J106" s="85"/>
      <c r="K106" s="85"/>
    </row>
    <row r="107" spans="1:11" s="285" customFormat="1" hidden="1" x14ac:dyDescent="0.25">
      <c r="A107" s="118">
        <v>34</v>
      </c>
      <c r="B107" s="151">
        <v>5685</v>
      </c>
      <c r="C107" s="94" t="s">
        <v>293</v>
      </c>
      <c r="D107" s="85"/>
      <c r="E107" s="85"/>
      <c r="F107" s="85">
        <v>0</v>
      </c>
      <c r="G107" s="428"/>
      <c r="H107" s="428"/>
      <c r="I107" s="85"/>
      <c r="J107" s="85"/>
      <c r="K107" s="85"/>
    </row>
    <row r="108" spans="1:11" s="285" customFormat="1" hidden="1" x14ac:dyDescent="0.25">
      <c r="A108" s="118">
        <v>34</v>
      </c>
      <c r="B108" s="151">
        <v>5690</v>
      </c>
      <c r="C108" s="94" t="s">
        <v>247</v>
      </c>
      <c r="D108" s="85"/>
      <c r="E108" s="85"/>
      <c r="F108" s="85">
        <v>0</v>
      </c>
      <c r="G108" s="428"/>
      <c r="H108" s="428"/>
      <c r="I108" s="85"/>
      <c r="J108" s="85"/>
      <c r="K108" s="85"/>
    </row>
    <row r="109" spans="1:11" s="285" customFormat="1" hidden="1" x14ac:dyDescent="0.25">
      <c r="A109" s="118">
        <v>34</v>
      </c>
      <c r="B109" s="151">
        <v>5695</v>
      </c>
      <c r="C109" s="94" t="s">
        <v>294</v>
      </c>
      <c r="D109" s="85"/>
      <c r="E109" s="85"/>
      <c r="F109" s="85">
        <v>0</v>
      </c>
      <c r="G109" s="428"/>
      <c r="H109" s="428"/>
      <c r="I109" s="85"/>
      <c r="J109" s="85"/>
      <c r="K109" s="85"/>
    </row>
    <row r="110" spans="1:11" s="285" customFormat="1" x14ac:dyDescent="0.25">
      <c r="A110" s="118">
        <v>34</v>
      </c>
      <c r="B110" s="151">
        <v>5700</v>
      </c>
      <c r="C110" s="94" t="s">
        <v>295</v>
      </c>
      <c r="D110" s="85"/>
      <c r="E110" s="85">
        <v>106000</v>
      </c>
      <c r="F110" s="85">
        <v>106000</v>
      </c>
      <c r="G110" s="428">
        <v>106000</v>
      </c>
      <c r="H110" s="428"/>
      <c r="I110" s="85"/>
      <c r="J110" s="85"/>
      <c r="K110" s="85"/>
    </row>
    <row r="111" spans="1:11" s="285" customFormat="1" hidden="1" x14ac:dyDescent="0.25">
      <c r="A111" s="118">
        <v>34</v>
      </c>
      <c r="B111" s="151">
        <v>5710</v>
      </c>
      <c r="C111" s="94" t="s">
        <v>297</v>
      </c>
      <c r="D111" s="85"/>
      <c r="E111" s="85"/>
      <c r="F111" s="85">
        <v>0</v>
      </c>
      <c r="G111" s="428"/>
      <c r="H111" s="428"/>
      <c r="I111" s="85"/>
      <c r="J111" s="85"/>
      <c r="K111" s="85"/>
    </row>
    <row r="112" spans="1:11" s="285" customFormat="1" hidden="1" x14ac:dyDescent="0.25">
      <c r="A112" s="118">
        <v>34</v>
      </c>
      <c r="B112" s="151">
        <v>5715</v>
      </c>
      <c r="C112" s="94" t="s">
        <v>298</v>
      </c>
      <c r="D112" s="85"/>
      <c r="E112" s="85"/>
      <c r="F112" s="85">
        <v>0</v>
      </c>
      <c r="G112" s="428"/>
      <c r="H112" s="428"/>
      <c r="I112" s="85"/>
      <c r="J112" s="85"/>
      <c r="K112" s="85"/>
    </row>
    <row r="113" spans="1:11" s="285" customFormat="1" hidden="1" x14ac:dyDescent="0.25">
      <c r="A113" s="118">
        <v>34</v>
      </c>
      <c r="B113" s="151">
        <v>5720</v>
      </c>
      <c r="C113" s="94" t="s">
        <v>299</v>
      </c>
      <c r="D113" s="85"/>
      <c r="E113" s="85"/>
      <c r="F113" s="85">
        <v>0</v>
      </c>
      <c r="G113" s="428"/>
      <c r="H113" s="428"/>
      <c r="I113" s="85"/>
      <c r="J113" s="85"/>
      <c r="K113" s="85"/>
    </row>
    <row r="114" spans="1:11" s="285" customFormat="1" hidden="1" x14ac:dyDescent="0.25">
      <c r="A114" s="118">
        <v>34</v>
      </c>
      <c r="B114" s="151">
        <v>5730</v>
      </c>
      <c r="C114" s="94" t="s">
        <v>300</v>
      </c>
      <c r="D114" s="85"/>
      <c r="E114" s="85"/>
      <c r="F114" s="85">
        <v>0</v>
      </c>
      <c r="G114" s="428"/>
      <c r="H114" s="428"/>
      <c r="I114" s="85"/>
      <c r="J114" s="85"/>
      <c r="K114" s="85"/>
    </row>
    <row r="115" spans="1:11" s="285" customFormat="1" hidden="1" x14ac:dyDescent="0.25">
      <c r="A115" s="118">
        <v>34</v>
      </c>
      <c r="B115" s="151">
        <v>5735</v>
      </c>
      <c r="C115" s="94" t="s">
        <v>301</v>
      </c>
      <c r="D115" s="85"/>
      <c r="E115" s="85"/>
      <c r="F115" s="85">
        <v>0</v>
      </c>
      <c r="G115" s="428"/>
      <c r="H115" s="428"/>
      <c r="I115" s="85"/>
      <c r="J115" s="85"/>
      <c r="K115" s="85"/>
    </row>
    <row r="116" spans="1:11" s="285" customFormat="1" hidden="1" x14ac:dyDescent="0.25">
      <c r="A116" s="118">
        <v>34</v>
      </c>
      <c r="B116" s="151">
        <v>5740</v>
      </c>
      <c r="C116" s="94" t="s">
        <v>302</v>
      </c>
      <c r="D116" s="85"/>
      <c r="E116" s="85"/>
      <c r="F116" s="85">
        <v>0</v>
      </c>
      <c r="G116" s="428"/>
      <c r="H116" s="428"/>
      <c r="I116" s="85"/>
      <c r="J116" s="85"/>
      <c r="K116" s="85"/>
    </row>
    <row r="117" spans="1:11" s="285" customFormat="1" hidden="1" x14ac:dyDescent="0.25">
      <c r="A117" s="118">
        <v>34</v>
      </c>
      <c r="B117" s="151">
        <v>5745</v>
      </c>
      <c r="C117" s="94" t="s">
        <v>303</v>
      </c>
      <c r="D117" s="85"/>
      <c r="E117" s="85"/>
      <c r="F117" s="85">
        <v>0</v>
      </c>
      <c r="G117" s="428"/>
      <c r="H117" s="428"/>
      <c r="I117" s="85"/>
      <c r="J117" s="85"/>
      <c r="K117" s="85"/>
    </row>
    <row r="118" spans="1:11" s="285" customFormat="1" x14ac:dyDescent="0.25">
      <c r="A118" s="118">
        <v>34</v>
      </c>
      <c r="B118" s="151">
        <v>5750</v>
      </c>
      <c r="C118" s="94" t="s">
        <v>304</v>
      </c>
      <c r="D118" s="85">
        <v>252</v>
      </c>
      <c r="E118" s="85">
        <v>620</v>
      </c>
      <c r="F118" s="85">
        <v>620</v>
      </c>
      <c r="G118" s="428">
        <v>620</v>
      </c>
      <c r="H118" s="428"/>
      <c r="I118" s="85"/>
      <c r="J118" s="85"/>
      <c r="K118" s="85"/>
    </row>
    <row r="119" spans="1:11" s="285" customFormat="1" x14ac:dyDescent="0.25">
      <c r="A119" s="118">
        <v>34</v>
      </c>
      <c r="B119" s="151">
        <v>5755</v>
      </c>
      <c r="C119" s="94" t="s">
        <v>305</v>
      </c>
      <c r="D119" s="85">
        <v>5301</v>
      </c>
      <c r="E119" s="85">
        <v>9600</v>
      </c>
      <c r="F119" s="85">
        <v>9600</v>
      </c>
      <c r="G119" s="428">
        <v>9600</v>
      </c>
      <c r="H119" s="428"/>
      <c r="I119" s="85"/>
      <c r="J119" s="85"/>
      <c r="K119" s="85"/>
    </row>
    <row r="120" spans="1:11" s="285" customFormat="1" ht="12" hidden="1" customHeight="1" x14ac:dyDescent="0.25">
      <c r="A120" s="118">
        <v>34</v>
      </c>
      <c r="B120" s="151">
        <v>5760</v>
      </c>
      <c r="C120" s="94" t="s">
        <v>306</v>
      </c>
      <c r="D120" s="85"/>
      <c r="E120" s="85"/>
      <c r="F120" s="85">
        <v>0</v>
      </c>
      <c r="G120" s="428"/>
      <c r="H120" s="428"/>
      <c r="I120" s="85"/>
      <c r="J120" s="85"/>
      <c r="K120" s="85"/>
    </row>
    <row r="121" spans="1:11" s="285" customFormat="1" hidden="1" x14ac:dyDescent="0.25">
      <c r="A121" s="118">
        <v>34</v>
      </c>
      <c r="B121" s="151">
        <v>5765</v>
      </c>
      <c r="C121" s="94" t="s">
        <v>307</v>
      </c>
      <c r="D121" s="85"/>
      <c r="E121" s="85"/>
      <c r="F121" s="85">
        <v>0</v>
      </c>
      <c r="G121" s="428"/>
      <c r="H121" s="428"/>
      <c r="I121" s="85"/>
      <c r="J121" s="85"/>
      <c r="K121" s="85"/>
    </row>
    <row r="122" spans="1:11" s="285" customFormat="1" hidden="1" x14ac:dyDescent="0.25">
      <c r="A122" s="118">
        <v>34</v>
      </c>
      <c r="B122" s="151">
        <v>5770</v>
      </c>
      <c r="C122" s="94" t="s">
        <v>308</v>
      </c>
      <c r="D122" s="85"/>
      <c r="E122" s="85"/>
      <c r="F122" s="85">
        <v>0</v>
      </c>
      <c r="G122" s="428"/>
      <c r="H122" s="428"/>
      <c r="I122" s="85"/>
      <c r="J122" s="85"/>
      <c r="K122" s="85"/>
    </row>
    <row r="123" spans="1:11" s="285" customFormat="1" hidden="1" x14ac:dyDescent="0.25">
      <c r="A123" s="118">
        <v>34</v>
      </c>
      <c r="B123" s="151">
        <v>5775</v>
      </c>
      <c r="C123" s="94" t="s">
        <v>309</v>
      </c>
      <c r="D123" s="85"/>
      <c r="E123" s="85"/>
      <c r="F123" s="85">
        <v>0</v>
      </c>
      <c r="G123" s="428"/>
      <c r="H123" s="428"/>
      <c r="I123" s="85"/>
      <c r="J123" s="85"/>
      <c r="K123" s="85"/>
    </row>
    <row r="124" spans="1:11" s="285" customFormat="1" hidden="1" x14ac:dyDescent="0.25">
      <c r="A124" s="118">
        <v>34</v>
      </c>
      <c r="B124" s="151">
        <v>5780</v>
      </c>
      <c r="C124" s="94" t="s">
        <v>310</v>
      </c>
      <c r="D124" s="85"/>
      <c r="E124" s="85"/>
      <c r="F124" s="85">
        <v>0</v>
      </c>
      <c r="G124" s="428"/>
      <c r="H124" s="428"/>
      <c r="I124" s="85"/>
      <c r="J124" s="85"/>
      <c r="K124" s="85"/>
    </row>
    <row r="125" spans="1:11" s="285" customFormat="1" hidden="1" x14ac:dyDescent="0.25">
      <c r="A125" s="118">
        <v>34</v>
      </c>
      <c r="B125" s="151">
        <v>5785</v>
      </c>
      <c r="C125" s="94" t="s">
        <v>311</v>
      </c>
      <c r="D125" s="85"/>
      <c r="E125" s="85"/>
      <c r="F125" s="85">
        <v>0</v>
      </c>
      <c r="G125" s="428"/>
      <c r="H125" s="428"/>
      <c r="I125" s="85"/>
      <c r="J125" s="85"/>
      <c r="K125" s="85"/>
    </row>
    <row r="126" spans="1:11" s="285" customFormat="1" hidden="1" x14ac:dyDescent="0.25">
      <c r="A126" s="118">
        <v>34</v>
      </c>
      <c r="B126" s="151">
        <v>5790</v>
      </c>
      <c r="C126" s="94" t="s">
        <v>312</v>
      </c>
      <c r="D126" s="85"/>
      <c r="E126" s="85"/>
      <c r="F126" s="85">
        <v>0</v>
      </c>
      <c r="G126" s="428"/>
      <c r="H126" s="428"/>
      <c r="I126" s="85"/>
      <c r="J126" s="85"/>
      <c r="K126" s="85"/>
    </row>
    <row r="127" spans="1:11" s="285" customFormat="1" hidden="1" x14ac:dyDescent="0.25">
      <c r="A127" s="118">
        <v>34</v>
      </c>
      <c r="B127" s="151">
        <v>5795</v>
      </c>
      <c r="C127" s="94" t="s">
        <v>313</v>
      </c>
      <c r="D127" s="85"/>
      <c r="E127" s="85"/>
      <c r="F127" s="85">
        <v>0</v>
      </c>
      <c r="G127" s="428"/>
      <c r="H127" s="428"/>
      <c r="I127" s="85"/>
      <c r="J127" s="85"/>
      <c r="K127" s="85"/>
    </row>
    <row r="128" spans="1:11" s="285" customFormat="1" hidden="1" x14ac:dyDescent="0.25">
      <c r="A128" s="118">
        <v>34</v>
      </c>
      <c r="B128" s="151">
        <v>5800</v>
      </c>
      <c r="C128" s="94" t="s">
        <v>314</v>
      </c>
      <c r="D128" s="85"/>
      <c r="E128" s="85"/>
      <c r="F128" s="85">
        <v>0</v>
      </c>
      <c r="G128" s="428"/>
      <c r="H128" s="428"/>
      <c r="I128" s="85"/>
      <c r="J128" s="85"/>
      <c r="K128" s="85"/>
    </row>
    <row r="129" spans="1:11" s="285" customFormat="1" hidden="1" x14ac:dyDescent="0.25">
      <c r="A129" s="118">
        <v>34</v>
      </c>
      <c r="B129" s="151">
        <v>5805</v>
      </c>
      <c r="C129" s="94" t="s">
        <v>315</v>
      </c>
      <c r="D129" s="85"/>
      <c r="E129" s="85"/>
      <c r="F129" s="85">
        <v>0</v>
      </c>
      <c r="G129" s="428"/>
      <c r="H129" s="428"/>
      <c r="I129" s="85"/>
      <c r="J129" s="85"/>
      <c r="K129" s="85"/>
    </row>
    <row r="130" spans="1:11" s="285" customFormat="1" hidden="1" x14ac:dyDescent="0.25">
      <c r="A130" s="118">
        <v>34</v>
      </c>
      <c r="B130" s="151">
        <v>5810</v>
      </c>
      <c r="C130" s="94" t="s">
        <v>316</v>
      </c>
      <c r="D130" s="85"/>
      <c r="E130" s="85"/>
      <c r="F130" s="85">
        <v>0</v>
      </c>
      <c r="G130" s="428"/>
      <c r="H130" s="428"/>
      <c r="I130" s="85"/>
      <c r="J130" s="85"/>
      <c r="K130" s="85"/>
    </row>
    <row r="131" spans="1:11" s="285" customFormat="1" hidden="1" x14ac:dyDescent="0.25">
      <c r="A131" s="118">
        <v>34</v>
      </c>
      <c r="B131" s="151">
        <v>5815</v>
      </c>
      <c r="C131" s="94" t="s">
        <v>99</v>
      </c>
      <c r="D131" s="85"/>
      <c r="E131" s="85"/>
      <c r="F131" s="85">
        <v>0</v>
      </c>
      <c r="G131" s="428"/>
      <c r="H131" s="428"/>
      <c r="I131" s="85"/>
      <c r="J131" s="85"/>
      <c r="K131" s="85"/>
    </row>
    <row r="132" spans="1:11" s="285" customFormat="1" hidden="1" x14ac:dyDescent="0.25">
      <c r="A132" s="118">
        <v>34</v>
      </c>
      <c r="B132" s="151">
        <v>5820</v>
      </c>
      <c r="C132" s="94" t="s">
        <v>114</v>
      </c>
      <c r="D132" s="86"/>
      <c r="E132" s="85"/>
      <c r="F132" s="85">
        <v>0</v>
      </c>
      <c r="G132" s="428"/>
      <c r="H132" s="428"/>
      <c r="I132" s="85"/>
      <c r="J132" s="85"/>
      <c r="K132" s="85"/>
    </row>
    <row r="133" spans="1:11" s="285" customFormat="1" hidden="1" x14ac:dyDescent="0.25">
      <c r="A133" s="118">
        <v>34</v>
      </c>
      <c r="B133" s="151">
        <v>5825</v>
      </c>
      <c r="C133" s="94" t="s">
        <v>317</v>
      </c>
      <c r="D133" s="86"/>
      <c r="E133" s="85"/>
      <c r="F133" s="85">
        <v>0</v>
      </c>
      <c r="G133" s="428"/>
      <c r="H133" s="428"/>
      <c r="I133" s="85"/>
      <c r="J133" s="85"/>
      <c r="K133" s="85"/>
    </row>
    <row r="134" spans="1:11" s="285" customFormat="1" hidden="1" x14ac:dyDescent="0.25">
      <c r="A134" s="118">
        <v>34</v>
      </c>
      <c r="B134" s="151">
        <v>5830</v>
      </c>
      <c r="C134" s="94" t="s">
        <v>318</v>
      </c>
      <c r="D134" s="86"/>
      <c r="E134" s="85"/>
      <c r="F134" s="85">
        <v>0</v>
      </c>
      <c r="G134" s="428"/>
      <c r="H134" s="428"/>
      <c r="I134" s="85"/>
      <c r="J134" s="85"/>
      <c r="K134" s="85"/>
    </row>
    <row r="135" spans="1:11" s="285" customFormat="1" hidden="1" x14ac:dyDescent="0.25">
      <c r="A135" s="118">
        <v>34</v>
      </c>
      <c r="B135" s="151">
        <v>5835</v>
      </c>
      <c r="C135" s="94" t="s">
        <v>319</v>
      </c>
      <c r="D135" s="86"/>
      <c r="E135" s="85"/>
      <c r="F135" s="85">
        <v>0</v>
      </c>
      <c r="G135" s="428"/>
      <c r="H135" s="428"/>
      <c r="I135" s="85"/>
      <c r="J135" s="85"/>
      <c r="K135" s="85"/>
    </row>
    <row r="136" spans="1:11" s="285" customFormat="1" hidden="1" x14ac:dyDescent="0.25">
      <c r="A136" s="118">
        <v>34</v>
      </c>
      <c r="B136" s="151">
        <v>5840</v>
      </c>
      <c r="C136" s="94" t="s">
        <v>332</v>
      </c>
      <c r="D136" s="115"/>
      <c r="E136" s="85"/>
      <c r="F136" s="85">
        <v>0</v>
      </c>
      <c r="G136" s="428"/>
      <c r="H136" s="428"/>
      <c r="I136" s="85"/>
      <c r="J136" s="85"/>
      <c r="K136" s="85"/>
    </row>
    <row r="137" spans="1:11" s="285" customFormat="1" hidden="1" x14ac:dyDescent="0.25">
      <c r="A137" s="118">
        <v>34</v>
      </c>
      <c r="B137" s="151">
        <v>5845</v>
      </c>
      <c r="C137" s="94" t="s">
        <v>320</v>
      </c>
      <c r="D137" s="86"/>
      <c r="E137" s="85"/>
      <c r="F137" s="85">
        <v>0</v>
      </c>
      <c r="G137" s="428"/>
      <c r="H137" s="428"/>
      <c r="I137" s="85"/>
      <c r="J137" s="85"/>
      <c r="K137" s="85"/>
    </row>
    <row r="138" spans="1:11" s="285" customFormat="1" hidden="1" x14ac:dyDescent="0.25">
      <c r="A138" s="118">
        <v>34</v>
      </c>
      <c r="B138" s="151">
        <v>5855</v>
      </c>
      <c r="C138" s="94" t="s">
        <v>321</v>
      </c>
      <c r="D138" s="85"/>
      <c r="E138" s="85"/>
      <c r="F138" s="85">
        <v>0</v>
      </c>
      <c r="G138" s="428"/>
      <c r="H138" s="428"/>
      <c r="I138" s="85"/>
      <c r="J138" s="85"/>
      <c r="K138" s="85"/>
    </row>
    <row r="139" spans="1:11" s="285" customFormat="1" hidden="1" x14ac:dyDescent="0.25">
      <c r="A139" s="118">
        <v>34</v>
      </c>
      <c r="B139" s="151">
        <v>5860</v>
      </c>
      <c r="C139" s="94" t="s">
        <v>322</v>
      </c>
      <c r="D139" s="85"/>
      <c r="E139" s="85"/>
      <c r="F139" s="85">
        <v>0</v>
      </c>
      <c r="G139" s="428"/>
      <c r="H139" s="428"/>
      <c r="I139" s="85"/>
      <c r="J139" s="85"/>
      <c r="K139" s="85"/>
    </row>
    <row r="140" spans="1:11" s="285" customFormat="1" hidden="1" x14ac:dyDescent="0.25">
      <c r="A140" s="118">
        <v>34</v>
      </c>
      <c r="B140" s="151">
        <v>5865</v>
      </c>
      <c r="C140" s="94" t="s">
        <v>323</v>
      </c>
      <c r="D140" s="85"/>
      <c r="E140" s="85"/>
      <c r="F140" s="85">
        <v>0</v>
      </c>
      <c r="G140" s="428"/>
      <c r="H140" s="428"/>
      <c r="I140" s="85"/>
      <c r="J140" s="85"/>
      <c r="K140" s="85"/>
    </row>
    <row r="141" spans="1:11" s="285" customFormat="1" hidden="1" x14ac:dyDescent="0.25">
      <c r="A141" s="118">
        <v>34</v>
      </c>
      <c r="B141" s="151">
        <v>5870</v>
      </c>
      <c r="C141" s="94" t="s">
        <v>324</v>
      </c>
      <c r="D141" s="85"/>
      <c r="E141" s="85"/>
      <c r="F141" s="85">
        <v>0</v>
      </c>
      <c r="G141" s="428"/>
      <c r="H141" s="428"/>
      <c r="I141" s="85"/>
      <c r="J141" s="85"/>
      <c r="K141" s="85"/>
    </row>
    <row r="142" spans="1:11" s="285" customFormat="1" hidden="1" x14ac:dyDescent="0.25">
      <c r="A142" s="118">
        <v>34</v>
      </c>
      <c r="B142" s="151">
        <v>5875</v>
      </c>
      <c r="C142" s="94" t="s">
        <v>325</v>
      </c>
      <c r="D142" s="85"/>
      <c r="E142" s="85"/>
      <c r="F142" s="85">
        <v>0</v>
      </c>
      <c r="G142" s="428"/>
      <c r="H142" s="428"/>
      <c r="I142" s="85"/>
      <c r="J142" s="85"/>
      <c r="K142" s="85"/>
    </row>
    <row r="143" spans="1:11" s="285" customFormat="1" hidden="1" x14ac:dyDescent="0.25">
      <c r="A143" s="118">
        <v>34</v>
      </c>
      <c r="B143" s="151">
        <v>5880</v>
      </c>
      <c r="C143" s="94" t="s">
        <v>326</v>
      </c>
      <c r="D143" s="85"/>
      <c r="E143" s="85"/>
      <c r="F143" s="85">
        <v>0</v>
      </c>
      <c r="G143" s="428"/>
      <c r="H143" s="428"/>
      <c r="I143" s="85"/>
      <c r="J143" s="85"/>
      <c r="K143" s="85"/>
    </row>
    <row r="144" spans="1:11" s="285" customFormat="1" hidden="1" x14ac:dyDescent="0.25">
      <c r="A144" s="118">
        <v>34</v>
      </c>
      <c r="B144" s="151">
        <v>5885</v>
      </c>
      <c r="C144" s="94" t="s">
        <v>331</v>
      </c>
      <c r="D144" s="85"/>
      <c r="E144" s="85">
        <v>0</v>
      </c>
      <c r="F144" s="85">
        <v>0</v>
      </c>
      <c r="G144" s="428"/>
      <c r="H144" s="428"/>
      <c r="I144" s="85"/>
      <c r="J144" s="85"/>
      <c r="K144" s="85"/>
    </row>
    <row r="145" spans="1:11" s="285" customFormat="1" hidden="1" x14ac:dyDescent="0.25">
      <c r="A145" s="118">
        <v>34</v>
      </c>
      <c r="B145" s="151">
        <v>5890</v>
      </c>
      <c r="C145" s="94" t="s">
        <v>327</v>
      </c>
      <c r="D145" s="85"/>
      <c r="E145" s="85"/>
      <c r="F145" s="85">
        <v>0</v>
      </c>
      <c r="G145" s="428"/>
      <c r="H145" s="428"/>
      <c r="I145" s="85"/>
      <c r="J145" s="85"/>
      <c r="K145" s="85"/>
    </row>
    <row r="146" spans="1:11" s="285" customFormat="1" hidden="1" x14ac:dyDescent="0.25">
      <c r="A146" s="118">
        <v>34</v>
      </c>
      <c r="B146" s="151">
        <v>5895</v>
      </c>
      <c r="C146" s="94" t="s">
        <v>328</v>
      </c>
      <c r="D146" s="85"/>
      <c r="E146" s="85"/>
      <c r="F146" s="85">
        <v>0</v>
      </c>
      <c r="G146" s="428"/>
      <c r="H146" s="428"/>
      <c r="I146" s="85"/>
      <c r="J146" s="85"/>
      <c r="K146" s="85"/>
    </row>
    <row r="147" spans="1:11" s="285" customFormat="1" hidden="1" x14ac:dyDescent="0.25">
      <c r="A147" s="118">
        <v>34</v>
      </c>
      <c r="B147" s="151">
        <v>5910</v>
      </c>
      <c r="C147" s="94" t="s">
        <v>330</v>
      </c>
      <c r="D147" s="85"/>
      <c r="E147" s="85"/>
      <c r="F147" s="85">
        <v>0</v>
      </c>
      <c r="G147" s="428"/>
      <c r="H147" s="428"/>
      <c r="I147" s="85"/>
      <c r="J147" s="85"/>
      <c r="K147" s="85"/>
    </row>
    <row r="148" spans="1:11" s="285" customFormat="1" x14ac:dyDescent="0.25">
      <c r="A148" s="344"/>
      <c r="B148" s="151"/>
      <c r="C148" s="94"/>
      <c r="D148" s="429">
        <f t="shared" ref="D148:K148" si="9">SUM(D72:D147)</f>
        <v>96719</v>
      </c>
      <c r="E148" s="89">
        <f t="shared" si="9"/>
        <v>120967.5</v>
      </c>
      <c r="F148" s="89">
        <f t="shared" si="9"/>
        <v>120967.5</v>
      </c>
      <c r="G148" s="429">
        <f t="shared" si="9"/>
        <v>120967.5</v>
      </c>
      <c r="H148" s="429">
        <f t="shared" si="9"/>
        <v>0</v>
      </c>
      <c r="I148" s="429">
        <f t="shared" si="9"/>
        <v>0</v>
      </c>
      <c r="J148" s="429">
        <f t="shared" si="9"/>
        <v>0</v>
      </c>
      <c r="K148" s="429">
        <f t="shared" si="9"/>
        <v>0</v>
      </c>
    </row>
    <row r="149" spans="1:11" s="285" customFormat="1" hidden="1" x14ac:dyDescent="0.25">
      <c r="A149" s="344"/>
      <c r="B149" s="151"/>
      <c r="C149" s="93" t="s">
        <v>187</v>
      </c>
      <c r="D149" s="85"/>
      <c r="E149" s="108"/>
      <c r="F149" s="108"/>
      <c r="G149" s="425"/>
      <c r="H149" s="425"/>
      <c r="I149" s="425"/>
      <c r="J149" s="425"/>
      <c r="K149" s="425"/>
    </row>
    <row r="150" spans="1:11" s="285" customFormat="1" hidden="1" x14ac:dyDescent="0.25">
      <c r="A150" s="118">
        <v>34</v>
      </c>
      <c r="B150" s="151">
        <v>6005</v>
      </c>
      <c r="C150" s="94" t="s">
        <v>188</v>
      </c>
      <c r="D150" s="85">
        <v>0</v>
      </c>
      <c r="E150" s="108"/>
      <c r="F150" s="85">
        <v>0</v>
      </c>
      <c r="G150" s="428"/>
      <c r="H150" s="428"/>
      <c r="I150" s="428"/>
      <c r="J150" s="428"/>
      <c r="K150" s="428"/>
    </row>
    <row r="151" spans="1:11" s="285" customFormat="1" hidden="1" x14ac:dyDescent="0.25">
      <c r="A151" s="344"/>
      <c r="B151" s="151"/>
      <c r="C151" s="94"/>
      <c r="D151" s="89">
        <v>0</v>
      </c>
      <c r="E151" s="89">
        <f>SUM(E150)</f>
        <v>0</v>
      </c>
      <c r="F151" s="89">
        <v>0</v>
      </c>
      <c r="G151" s="429"/>
      <c r="H151" s="429"/>
      <c r="I151" s="429"/>
      <c r="J151" s="429"/>
      <c r="K151" s="429"/>
    </row>
    <row r="152" spans="1:11" s="285" customFormat="1" hidden="1" x14ac:dyDescent="0.25">
      <c r="A152" s="344"/>
      <c r="B152" s="151"/>
      <c r="C152" s="93" t="s">
        <v>64</v>
      </c>
      <c r="D152" s="88"/>
      <c r="E152" s="113"/>
      <c r="F152" s="113"/>
      <c r="G152" s="113"/>
      <c r="H152" s="113"/>
      <c r="I152" s="113"/>
      <c r="J152" s="113"/>
      <c r="K152" s="113"/>
    </row>
    <row r="153" spans="1:11" s="285" customFormat="1" hidden="1" x14ac:dyDescent="0.25">
      <c r="A153" s="118">
        <v>34</v>
      </c>
      <c r="B153" s="151">
        <v>6105</v>
      </c>
      <c r="C153" s="94" t="s">
        <v>336</v>
      </c>
      <c r="D153" s="85">
        <v>0</v>
      </c>
      <c r="E153" s="108"/>
      <c r="F153" s="85">
        <v>0</v>
      </c>
      <c r="G153" s="428"/>
      <c r="H153" s="428"/>
      <c r="I153" s="428"/>
      <c r="J153" s="428"/>
      <c r="K153" s="428"/>
    </row>
    <row r="154" spans="1:11" s="285" customFormat="1" hidden="1" x14ac:dyDescent="0.25">
      <c r="A154" s="118">
        <v>34</v>
      </c>
      <c r="B154" s="151">
        <v>6110</v>
      </c>
      <c r="C154" s="94" t="s">
        <v>337</v>
      </c>
      <c r="D154" s="85">
        <v>0</v>
      </c>
      <c r="E154" s="108"/>
      <c r="F154" s="85">
        <v>0</v>
      </c>
      <c r="G154" s="428"/>
      <c r="H154" s="428"/>
      <c r="I154" s="428"/>
      <c r="J154" s="428"/>
      <c r="K154" s="428"/>
    </row>
    <row r="155" spans="1:11" s="285" customFormat="1" hidden="1" x14ac:dyDescent="0.25">
      <c r="A155" s="118">
        <v>34</v>
      </c>
      <c r="B155" s="151">
        <v>6115</v>
      </c>
      <c r="C155" s="94" t="s">
        <v>60</v>
      </c>
      <c r="D155" s="85">
        <v>0</v>
      </c>
      <c r="E155" s="108"/>
      <c r="F155" s="85">
        <v>0</v>
      </c>
      <c r="G155" s="428"/>
      <c r="H155" s="428"/>
      <c r="I155" s="428"/>
      <c r="J155" s="428"/>
      <c r="K155" s="428"/>
    </row>
    <row r="156" spans="1:11" s="285" customFormat="1" hidden="1" x14ac:dyDescent="0.25">
      <c r="A156" s="344"/>
      <c r="B156" s="151"/>
      <c r="C156" s="94"/>
      <c r="D156" s="89">
        <v>0</v>
      </c>
      <c r="E156" s="89">
        <f>SUM(E153:E155)</f>
        <v>0</v>
      </c>
      <c r="F156" s="89">
        <v>0</v>
      </c>
      <c r="G156" s="429"/>
      <c r="H156" s="429"/>
      <c r="I156" s="429"/>
      <c r="J156" s="429"/>
      <c r="K156" s="429"/>
    </row>
    <row r="157" spans="1:11" s="285" customFormat="1" hidden="1" x14ac:dyDescent="0.25">
      <c r="A157" s="344"/>
      <c r="B157" s="151"/>
      <c r="C157" s="184" t="s">
        <v>65</v>
      </c>
      <c r="D157" s="88"/>
      <c r="E157" s="113"/>
      <c r="F157" s="113"/>
      <c r="G157" s="113"/>
      <c r="H157" s="113"/>
      <c r="I157" s="113"/>
      <c r="J157" s="113"/>
      <c r="K157" s="113"/>
    </row>
    <row r="158" spans="1:11" s="285" customFormat="1" hidden="1" x14ac:dyDescent="0.25">
      <c r="A158" s="118">
        <v>34</v>
      </c>
      <c r="B158" s="151">
        <v>6205</v>
      </c>
      <c r="C158" s="94" t="s">
        <v>338</v>
      </c>
      <c r="D158" s="85">
        <v>0</v>
      </c>
      <c r="E158" s="108"/>
      <c r="F158" s="85">
        <v>0</v>
      </c>
      <c r="G158" s="428"/>
      <c r="H158" s="428"/>
      <c r="I158" s="428"/>
      <c r="J158" s="428"/>
      <c r="K158" s="428"/>
    </row>
    <row r="159" spans="1:11" s="285" customFormat="1" hidden="1" x14ac:dyDescent="0.25">
      <c r="A159" s="118">
        <v>34</v>
      </c>
      <c r="B159" s="151">
        <v>6210</v>
      </c>
      <c r="C159" s="94" t="s">
        <v>339</v>
      </c>
      <c r="D159" s="85">
        <v>0</v>
      </c>
      <c r="E159" s="85"/>
      <c r="F159" s="85">
        <v>0</v>
      </c>
      <c r="G159" s="428"/>
      <c r="H159" s="428"/>
      <c r="I159" s="428"/>
      <c r="J159" s="428"/>
      <c r="K159" s="428"/>
    </row>
    <row r="160" spans="1:11" s="285" customFormat="1" hidden="1" x14ac:dyDescent="0.25">
      <c r="A160" s="344"/>
      <c r="B160" s="346"/>
      <c r="C160" s="347"/>
      <c r="D160" s="116">
        <v>0</v>
      </c>
      <c r="E160" s="116">
        <f>SUM(E158:E159)</f>
        <v>0</v>
      </c>
      <c r="F160" s="116">
        <v>0</v>
      </c>
      <c r="G160" s="441"/>
      <c r="H160" s="441"/>
      <c r="I160" s="441"/>
      <c r="J160" s="441"/>
      <c r="K160" s="441"/>
    </row>
    <row r="161" spans="1:11" s="285" customFormat="1" x14ac:dyDescent="0.25">
      <c r="A161" s="344"/>
      <c r="B161" s="346"/>
      <c r="C161" s="93" t="s">
        <v>189</v>
      </c>
      <c r="D161" s="441">
        <f t="shared" ref="D161:K161" si="10">D160+D156+D151+D148+D70+D66+D63+D59+D38+D35+D32+D29+D25+D18</f>
        <v>1041479</v>
      </c>
      <c r="E161" s="116">
        <f t="shared" si="10"/>
        <v>1217467.5</v>
      </c>
      <c r="F161" s="116">
        <f t="shared" si="10"/>
        <v>1217467.5</v>
      </c>
      <c r="G161" s="441">
        <f t="shared" si="10"/>
        <v>1217467.5</v>
      </c>
      <c r="H161" s="441">
        <f t="shared" si="10"/>
        <v>0</v>
      </c>
      <c r="I161" s="441">
        <f t="shared" si="10"/>
        <v>1172009</v>
      </c>
      <c r="J161" s="441">
        <f t="shared" si="10"/>
        <v>1236469.4949999999</v>
      </c>
      <c r="K161" s="441">
        <f t="shared" si="10"/>
        <v>1302002.378235</v>
      </c>
    </row>
    <row r="162" spans="1:11" s="285" customFormat="1" hidden="1" x14ac:dyDescent="0.25">
      <c r="A162" s="344"/>
      <c r="B162" s="151"/>
      <c r="C162" s="93" t="s">
        <v>258</v>
      </c>
      <c r="D162" s="117"/>
      <c r="E162" s="117"/>
      <c r="F162" s="117"/>
      <c r="G162" s="442"/>
      <c r="H162" s="442"/>
      <c r="I162" s="442"/>
      <c r="J162" s="442"/>
      <c r="K162" s="442"/>
    </row>
    <row r="163" spans="1:11" s="285" customFormat="1" hidden="1" x14ac:dyDescent="0.25">
      <c r="A163" s="118">
        <v>34</v>
      </c>
      <c r="B163" s="151">
        <v>6305</v>
      </c>
      <c r="C163" s="94" t="s">
        <v>190</v>
      </c>
      <c r="D163" s="85">
        <v>0</v>
      </c>
      <c r="E163" s="85"/>
      <c r="F163" s="85"/>
      <c r="G163" s="428"/>
      <c r="H163" s="428"/>
      <c r="I163" s="428"/>
      <c r="J163" s="428"/>
      <c r="K163" s="428"/>
    </row>
    <row r="164" spans="1:11" s="285" customFormat="1" hidden="1" x14ac:dyDescent="0.25">
      <c r="A164" s="344"/>
      <c r="B164" s="151"/>
      <c r="C164" s="94"/>
      <c r="D164" s="116">
        <v>0</v>
      </c>
      <c r="E164" s="116">
        <f>E163</f>
        <v>0</v>
      </c>
      <c r="F164" s="116">
        <v>0</v>
      </c>
      <c r="G164" s="441">
        <v>1</v>
      </c>
      <c r="H164" s="441">
        <v>2</v>
      </c>
      <c r="I164" s="441">
        <v>3</v>
      </c>
      <c r="J164" s="441">
        <v>4</v>
      </c>
      <c r="K164" s="441">
        <v>5</v>
      </c>
    </row>
    <row r="165" spans="1:11" s="285" customFormat="1" x14ac:dyDescent="0.25">
      <c r="A165" s="348"/>
      <c r="B165" s="152"/>
      <c r="C165" s="119" t="s">
        <v>191</v>
      </c>
      <c r="D165" s="448">
        <f>SUM(D161+D164)</f>
        <v>1041479</v>
      </c>
      <c r="E165" s="160">
        <f>SUM(E161+E164)</f>
        <v>1217467.5</v>
      </c>
      <c r="F165" s="160">
        <f>SUM(F161+F164)</f>
        <v>1217467.5</v>
      </c>
      <c r="G165" s="448">
        <f>SUM(G161+G164)</f>
        <v>1217468.5</v>
      </c>
      <c r="H165" s="448"/>
      <c r="I165" s="448">
        <f>SUM(I161+I164)</f>
        <v>1172012</v>
      </c>
      <c r="J165" s="448">
        <f>SUM(J161+J164)</f>
        <v>1236473.4949999999</v>
      </c>
      <c r="K165" s="448">
        <f>SUM(K161+K164)</f>
        <v>1302007.378235</v>
      </c>
    </row>
    <row r="166" spans="1:11" s="285" customFormat="1" x14ac:dyDescent="0.25">
      <c r="A166" s="344"/>
      <c r="B166" s="130"/>
      <c r="C166" s="115"/>
      <c r="D166" s="111"/>
      <c r="E166" s="120"/>
      <c r="F166" s="120"/>
      <c r="G166" s="120"/>
      <c r="H166" s="120"/>
      <c r="I166" s="120"/>
      <c r="J166" s="120"/>
      <c r="K166" s="120"/>
    </row>
    <row r="167" spans="1:11" s="285" customFormat="1" x14ac:dyDescent="0.25">
      <c r="A167" s="344"/>
      <c r="B167" s="130"/>
      <c r="C167" s="115"/>
      <c r="D167" s="111"/>
      <c r="E167" s="111"/>
      <c r="F167" s="111"/>
      <c r="G167" s="111"/>
      <c r="H167" s="111"/>
      <c r="I167" s="111"/>
      <c r="J167" s="111"/>
      <c r="K167" s="111"/>
    </row>
    <row r="168" spans="1:11" s="285" customFormat="1" x14ac:dyDescent="0.25">
      <c r="A168" s="349"/>
      <c r="B168" s="546" t="s">
        <v>416</v>
      </c>
      <c r="C168" s="546"/>
      <c r="D168" s="547"/>
      <c r="E168" s="338"/>
      <c r="F168" s="338"/>
      <c r="G168" s="563"/>
      <c r="H168" s="598"/>
      <c r="I168" s="421"/>
      <c r="J168" s="338"/>
      <c r="K168" s="338"/>
    </row>
    <row r="169" spans="1:11" s="285" customFormat="1" x14ac:dyDescent="0.25">
      <c r="A169" s="944" t="s">
        <v>21</v>
      </c>
      <c r="B169" s="945"/>
      <c r="C169" s="150" t="s">
        <v>22</v>
      </c>
      <c r="D169" s="103" t="s">
        <v>880</v>
      </c>
      <c r="E169" s="104" t="s">
        <v>24</v>
      </c>
      <c r="F169" s="103" t="s">
        <v>535</v>
      </c>
      <c r="G169" s="103" t="s">
        <v>413</v>
      </c>
      <c r="H169" s="103"/>
      <c r="I169" s="104" t="s">
        <v>24</v>
      </c>
      <c r="J169" s="104" t="s">
        <v>24</v>
      </c>
      <c r="K169" s="104" t="s">
        <v>24</v>
      </c>
    </row>
    <row r="170" spans="1:11" s="285" customFormat="1" x14ac:dyDescent="0.25">
      <c r="A170" s="946"/>
      <c r="B170" s="947"/>
      <c r="C170" s="106"/>
      <c r="D170" s="333" t="s">
        <v>257</v>
      </c>
      <c r="E170" s="107" t="s">
        <v>382</v>
      </c>
      <c r="F170" s="107" t="s">
        <v>382</v>
      </c>
      <c r="G170" s="107" t="s">
        <v>382</v>
      </c>
      <c r="H170" s="107"/>
      <c r="I170" s="107" t="s">
        <v>407</v>
      </c>
      <c r="J170" s="107" t="s">
        <v>414</v>
      </c>
      <c r="K170" s="107" t="s">
        <v>530</v>
      </c>
    </row>
    <row r="171" spans="1:11" s="285" customFormat="1" hidden="1" x14ac:dyDescent="0.25">
      <c r="A171" s="350"/>
      <c r="B171" s="153"/>
      <c r="C171" s="93" t="s">
        <v>98</v>
      </c>
      <c r="D171" s="122"/>
      <c r="E171" s="98"/>
      <c r="F171" s="98"/>
      <c r="G171" s="435"/>
      <c r="H171" s="435"/>
      <c r="I171" s="98"/>
      <c r="J171" s="98"/>
      <c r="K171" s="98"/>
    </row>
    <row r="172" spans="1:11" s="285" customFormat="1" hidden="1" x14ac:dyDescent="0.25">
      <c r="A172" s="118">
        <v>34</v>
      </c>
      <c r="B172" s="151">
        <v>1237</v>
      </c>
      <c r="C172" s="94" t="s">
        <v>99</v>
      </c>
      <c r="D172" s="122"/>
      <c r="E172" s="108"/>
      <c r="F172" s="98">
        <v>0</v>
      </c>
      <c r="G172" s="435"/>
      <c r="H172" s="435"/>
      <c r="I172" s="98"/>
      <c r="J172" s="98"/>
      <c r="K172" s="108">
        <f>F172*(1+[1]INPUT!C15)</f>
        <v>0</v>
      </c>
    </row>
    <row r="173" spans="1:11" s="285" customFormat="1" hidden="1" x14ac:dyDescent="0.25">
      <c r="A173" s="118">
        <v>34</v>
      </c>
      <c r="B173" s="151">
        <v>5725</v>
      </c>
      <c r="C173" s="94" t="s">
        <v>400</v>
      </c>
      <c r="D173" s="85"/>
      <c r="E173" s="85">
        <v>0</v>
      </c>
      <c r="F173" s="85">
        <v>0</v>
      </c>
      <c r="G173" s="428"/>
      <c r="H173" s="428"/>
      <c r="I173" s="85"/>
      <c r="J173" s="85"/>
      <c r="K173" s="85">
        <f>F173*(1+[1]INPUT!C$10)</f>
        <v>0</v>
      </c>
    </row>
    <row r="174" spans="1:11" s="285" customFormat="1" hidden="1" x14ac:dyDescent="0.25">
      <c r="A174" s="344"/>
      <c r="B174" s="151"/>
      <c r="C174" s="94"/>
      <c r="D174" s="99"/>
      <c r="E174" s="99">
        <f>SUM(E172)</f>
        <v>0</v>
      </c>
      <c r="F174" s="99">
        <v>0</v>
      </c>
      <c r="G174" s="436"/>
      <c r="H174" s="436"/>
      <c r="I174" s="99"/>
      <c r="J174" s="99"/>
      <c r="K174" s="99">
        <f>SUM(K172)</f>
        <v>0</v>
      </c>
    </row>
    <row r="175" spans="1:11" s="285" customFormat="1" x14ac:dyDescent="0.25">
      <c r="A175" s="344"/>
      <c r="B175" s="151"/>
      <c r="C175" s="93" t="s">
        <v>100</v>
      </c>
      <c r="D175" s="122"/>
      <c r="E175" s="98"/>
      <c r="F175" s="98"/>
      <c r="G175" s="435"/>
      <c r="H175" s="435"/>
      <c r="I175" s="98"/>
      <c r="J175" s="98"/>
      <c r="K175" s="98"/>
    </row>
    <row r="176" spans="1:11" s="285" customFormat="1" hidden="1" x14ac:dyDescent="0.25">
      <c r="A176" s="118">
        <v>34</v>
      </c>
      <c r="B176" s="151">
        <v>1147</v>
      </c>
      <c r="C176" s="94" t="s">
        <v>102</v>
      </c>
      <c r="D176" s="122"/>
      <c r="E176" s="98"/>
      <c r="F176" s="98">
        <v>0</v>
      </c>
      <c r="G176" s="435"/>
      <c r="H176" s="435"/>
      <c r="I176" s="98"/>
      <c r="J176" s="98"/>
      <c r="K176" s="98">
        <f>F176*(1+[1]INPUT!C18)</f>
        <v>0</v>
      </c>
    </row>
    <row r="177" spans="1:11" s="285" customFormat="1" hidden="1" x14ac:dyDescent="0.25">
      <c r="A177" s="118">
        <v>34</v>
      </c>
      <c r="B177" s="151">
        <v>1202</v>
      </c>
      <c r="C177" s="94" t="s">
        <v>343</v>
      </c>
      <c r="D177" s="122"/>
      <c r="E177" s="98"/>
      <c r="F177" s="98">
        <v>0</v>
      </c>
      <c r="G177" s="435"/>
      <c r="H177" s="435"/>
      <c r="I177" s="98"/>
      <c r="J177" s="98"/>
      <c r="K177" s="98">
        <f>F177*(1+[1]INPUT!C19)</f>
        <v>0</v>
      </c>
    </row>
    <row r="178" spans="1:11" s="285" customFormat="1" hidden="1" x14ac:dyDescent="0.25">
      <c r="A178" s="118">
        <v>34</v>
      </c>
      <c r="B178" s="151">
        <v>1207</v>
      </c>
      <c r="C178" s="94" t="s">
        <v>104</v>
      </c>
      <c r="D178" s="122"/>
      <c r="E178" s="98"/>
      <c r="F178" s="98">
        <v>0</v>
      </c>
      <c r="G178" s="435"/>
      <c r="H178" s="435"/>
      <c r="I178" s="98"/>
      <c r="J178" s="98"/>
      <c r="K178" s="98">
        <f>F178*(1+[1]INPUT!C20)</f>
        <v>0</v>
      </c>
    </row>
    <row r="179" spans="1:11" s="285" customFormat="1" hidden="1" x14ac:dyDescent="0.25">
      <c r="A179" s="118">
        <v>34</v>
      </c>
      <c r="B179" s="151">
        <v>1153</v>
      </c>
      <c r="C179" s="94" t="s">
        <v>115</v>
      </c>
      <c r="D179" s="122"/>
      <c r="E179" s="98"/>
      <c r="F179" s="98">
        <v>0</v>
      </c>
      <c r="G179" s="435"/>
      <c r="H179" s="435"/>
      <c r="I179" s="98"/>
      <c r="J179" s="98"/>
      <c r="K179" s="98">
        <f>F179*(1+[1]INPUT!C21)</f>
        <v>0</v>
      </c>
    </row>
    <row r="180" spans="1:11" s="285" customFormat="1" hidden="1" x14ac:dyDescent="0.25">
      <c r="A180" s="118">
        <v>34</v>
      </c>
      <c r="B180" s="151">
        <v>1143</v>
      </c>
      <c r="C180" s="94" t="s">
        <v>109</v>
      </c>
      <c r="D180" s="122"/>
      <c r="E180" s="98"/>
      <c r="F180" s="98">
        <v>0</v>
      </c>
      <c r="G180" s="435"/>
      <c r="H180" s="435"/>
      <c r="I180" s="98"/>
      <c r="J180" s="98"/>
      <c r="K180" s="98">
        <f>F180*(1+[1]INPUT!C22)</f>
        <v>0</v>
      </c>
    </row>
    <row r="181" spans="1:11" s="285" customFormat="1" x14ac:dyDescent="0.25">
      <c r="A181" s="118">
        <v>34</v>
      </c>
      <c r="B181" s="151">
        <v>5500</v>
      </c>
      <c r="C181" s="94" t="s">
        <v>266</v>
      </c>
      <c r="D181" s="85">
        <v>-31895</v>
      </c>
      <c r="E181" s="85">
        <v>-33969</v>
      </c>
      <c r="F181" s="85">
        <v>-33969</v>
      </c>
      <c r="G181" s="428">
        <v>-33969</v>
      </c>
      <c r="H181" s="428"/>
      <c r="I181" s="85">
        <f>+G181*1.058</f>
        <v>-35939.202000000005</v>
      </c>
      <c r="J181" s="85">
        <f>+I181*1.055</f>
        <v>-37915.858110000001</v>
      </c>
      <c r="K181" s="85">
        <f>+J181*1.053</f>
        <v>-39925.398589830002</v>
      </c>
    </row>
    <row r="182" spans="1:11" s="285" customFormat="1" hidden="1" x14ac:dyDescent="0.25">
      <c r="A182" s="118">
        <v>34</v>
      </c>
      <c r="B182" s="151">
        <v>5705</v>
      </c>
      <c r="C182" s="94" t="s">
        <v>296</v>
      </c>
      <c r="D182" s="85"/>
      <c r="E182" s="85"/>
      <c r="F182" s="85">
        <v>0</v>
      </c>
      <c r="G182" s="428">
        <v>0</v>
      </c>
      <c r="H182" s="428"/>
      <c r="I182" s="428">
        <f t="shared" ref="I182:I200" si="11">+G182*1.058</f>
        <v>0</v>
      </c>
      <c r="J182" s="428">
        <f t="shared" ref="J182:J200" si="12">+I182*1.055</f>
        <v>0</v>
      </c>
      <c r="K182" s="428">
        <f t="shared" ref="K182:K200" si="13">+J182*1.053</f>
        <v>0</v>
      </c>
    </row>
    <row r="183" spans="1:11" s="285" customFormat="1" hidden="1" x14ac:dyDescent="0.25">
      <c r="A183" s="118">
        <v>34</v>
      </c>
      <c r="B183" s="151">
        <v>1140</v>
      </c>
      <c r="C183" s="94" t="s">
        <v>113</v>
      </c>
      <c r="D183" s="122"/>
      <c r="E183" s="98"/>
      <c r="F183" s="85">
        <v>0</v>
      </c>
      <c r="G183" s="428">
        <v>0</v>
      </c>
      <c r="H183" s="428"/>
      <c r="I183" s="428">
        <f t="shared" si="11"/>
        <v>0</v>
      </c>
      <c r="J183" s="428">
        <f t="shared" si="12"/>
        <v>0</v>
      </c>
      <c r="K183" s="428">
        <f t="shared" si="13"/>
        <v>0</v>
      </c>
    </row>
    <row r="184" spans="1:11" s="285" customFormat="1" hidden="1" x14ac:dyDescent="0.25">
      <c r="A184" s="118">
        <v>34</v>
      </c>
      <c r="B184" s="151">
        <v>1145</v>
      </c>
      <c r="C184" s="94" t="s">
        <v>132</v>
      </c>
      <c r="D184" s="122"/>
      <c r="E184" s="98"/>
      <c r="F184" s="85">
        <v>0</v>
      </c>
      <c r="G184" s="428">
        <v>0</v>
      </c>
      <c r="H184" s="428"/>
      <c r="I184" s="428">
        <f t="shared" si="11"/>
        <v>0</v>
      </c>
      <c r="J184" s="428">
        <f t="shared" si="12"/>
        <v>0</v>
      </c>
      <c r="K184" s="428">
        <f t="shared" si="13"/>
        <v>0</v>
      </c>
    </row>
    <row r="185" spans="1:11" s="285" customFormat="1" hidden="1" x14ac:dyDescent="0.25">
      <c r="A185" s="118">
        <v>34</v>
      </c>
      <c r="B185" s="151">
        <v>1150</v>
      </c>
      <c r="C185" s="94" t="s">
        <v>120</v>
      </c>
      <c r="D185" s="122"/>
      <c r="E185" s="98"/>
      <c r="F185" s="85">
        <v>0</v>
      </c>
      <c r="G185" s="428">
        <v>0</v>
      </c>
      <c r="H185" s="428"/>
      <c r="I185" s="428">
        <f t="shared" si="11"/>
        <v>0</v>
      </c>
      <c r="J185" s="428">
        <f t="shared" si="12"/>
        <v>0</v>
      </c>
      <c r="K185" s="428">
        <f t="shared" si="13"/>
        <v>0</v>
      </c>
    </row>
    <row r="186" spans="1:11" s="285" customFormat="1" hidden="1" x14ac:dyDescent="0.25">
      <c r="A186" s="118">
        <v>34</v>
      </c>
      <c r="B186" s="151">
        <v>1155</v>
      </c>
      <c r="C186" s="94" t="s">
        <v>116</v>
      </c>
      <c r="D186" s="122"/>
      <c r="E186" s="98"/>
      <c r="F186" s="85">
        <v>0</v>
      </c>
      <c r="G186" s="428">
        <v>0</v>
      </c>
      <c r="H186" s="428"/>
      <c r="I186" s="428">
        <f t="shared" si="11"/>
        <v>0</v>
      </c>
      <c r="J186" s="428">
        <f t="shared" si="12"/>
        <v>0</v>
      </c>
      <c r="K186" s="428">
        <f t="shared" si="13"/>
        <v>0</v>
      </c>
    </row>
    <row r="187" spans="1:11" s="285" customFormat="1" hidden="1" x14ac:dyDescent="0.25">
      <c r="A187" s="118">
        <v>34</v>
      </c>
      <c r="B187" s="151">
        <v>1160</v>
      </c>
      <c r="C187" s="94" t="s">
        <v>101</v>
      </c>
      <c r="D187" s="122"/>
      <c r="E187" s="98"/>
      <c r="F187" s="85">
        <v>0</v>
      </c>
      <c r="G187" s="428">
        <v>0</v>
      </c>
      <c r="H187" s="428"/>
      <c r="I187" s="428">
        <f t="shared" si="11"/>
        <v>0</v>
      </c>
      <c r="J187" s="428">
        <f t="shared" si="12"/>
        <v>0</v>
      </c>
      <c r="K187" s="428">
        <f t="shared" si="13"/>
        <v>0</v>
      </c>
    </row>
    <row r="188" spans="1:11" s="285" customFormat="1" hidden="1" x14ac:dyDescent="0.25">
      <c r="A188" s="118">
        <v>34</v>
      </c>
      <c r="B188" s="151">
        <v>1165</v>
      </c>
      <c r="C188" s="94" t="s">
        <v>114</v>
      </c>
      <c r="D188" s="122"/>
      <c r="E188" s="98"/>
      <c r="F188" s="85">
        <v>0</v>
      </c>
      <c r="G188" s="428">
        <v>0</v>
      </c>
      <c r="H188" s="428"/>
      <c r="I188" s="428">
        <f t="shared" si="11"/>
        <v>0</v>
      </c>
      <c r="J188" s="428">
        <f t="shared" si="12"/>
        <v>0</v>
      </c>
      <c r="K188" s="428">
        <f t="shared" si="13"/>
        <v>0</v>
      </c>
    </row>
    <row r="189" spans="1:11" s="285" customFormat="1" hidden="1" x14ac:dyDescent="0.25">
      <c r="A189" s="118"/>
      <c r="B189" s="151"/>
      <c r="C189" s="94" t="s">
        <v>401</v>
      </c>
      <c r="D189" s="122"/>
      <c r="E189" s="98"/>
      <c r="F189" s="85">
        <v>0</v>
      </c>
      <c r="G189" s="428">
        <v>0</v>
      </c>
      <c r="H189" s="428"/>
      <c r="I189" s="428">
        <f t="shared" si="11"/>
        <v>0</v>
      </c>
      <c r="J189" s="428">
        <f t="shared" si="12"/>
        <v>0</v>
      </c>
      <c r="K189" s="428">
        <f t="shared" si="13"/>
        <v>0</v>
      </c>
    </row>
    <row r="190" spans="1:11" s="285" customFormat="1" hidden="1" x14ac:dyDescent="0.25">
      <c r="A190" s="118">
        <v>34</v>
      </c>
      <c r="B190" s="151">
        <v>1180</v>
      </c>
      <c r="C190" s="94" t="s">
        <v>402</v>
      </c>
      <c r="D190" s="122"/>
      <c r="E190" s="98"/>
      <c r="F190" s="85">
        <v>0</v>
      </c>
      <c r="G190" s="428">
        <v>0</v>
      </c>
      <c r="H190" s="428"/>
      <c r="I190" s="428">
        <f t="shared" si="11"/>
        <v>0</v>
      </c>
      <c r="J190" s="428">
        <f t="shared" si="12"/>
        <v>0</v>
      </c>
      <c r="K190" s="428">
        <f t="shared" si="13"/>
        <v>0</v>
      </c>
    </row>
    <row r="191" spans="1:11" s="285" customFormat="1" hidden="1" x14ac:dyDescent="0.25">
      <c r="A191" s="118">
        <v>34</v>
      </c>
      <c r="B191" s="151">
        <v>1185</v>
      </c>
      <c r="C191" s="94" t="s">
        <v>403</v>
      </c>
      <c r="D191" s="122"/>
      <c r="E191" s="98"/>
      <c r="F191" s="85">
        <v>0</v>
      </c>
      <c r="G191" s="428">
        <v>0</v>
      </c>
      <c r="H191" s="428"/>
      <c r="I191" s="428">
        <f t="shared" si="11"/>
        <v>0</v>
      </c>
      <c r="J191" s="428">
        <f t="shared" si="12"/>
        <v>0</v>
      </c>
      <c r="K191" s="428">
        <f t="shared" si="13"/>
        <v>0</v>
      </c>
    </row>
    <row r="192" spans="1:11" s="285" customFormat="1" hidden="1" x14ac:dyDescent="0.25">
      <c r="A192" s="118">
        <v>34</v>
      </c>
      <c r="B192" s="151">
        <v>1190</v>
      </c>
      <c r="C192" s="94" t="s">
        <v>404</v>
      </c>
      <c r="D192" s="122"/>
      <c r="E192" s="98"/>
      <c r="F192" s="85">
        <v>0</v>
      </c>
      <c r="G192" s="428">
        <v>0</v>
      </c>
      <c r="H192" s="428"/>
      <c r="I192" s="428">
        <f t="shared" si="11"/>
        <v>0</v>
      </c>
      <c r="J192" s="428">
        <f t="shared" si="12"/>
        <v>0</v>
      </c>
      <c r="K192" s="428">
        <f t="shared" si="13"/>
        <v>0</v>
      </c>
    </row>
    <row r="193" spans="1:11" s="285" customFormat="1" hidden="1" x14ac:dyDescent="0.25">
      <c r="A193" s="118"/>
      <c r="B193" s="151"/>
      <c r="C193" s="94" t="s">
        <v>405</v>
      </c>
      <c r="D193" s="122"/>
      <c r="E193" s="98"/>
      <c r="F193" s="85">
        <v>0</v>
      </c>
      <c r="G193" s="428">
        <v>0</v>
      </c>
      <c r="H193" s="428"/>
      <c r="I193" s="428">
        <f t="shared" si="11"/>
        <v>0</v>
      </c>
      <c r="J193" s="428">
        <f t="shared" si="12"/>
        <v>0</v>
      </c>
      <c r="K193" s="428">
        <f t="shared" si="13"/>
        <v>0</v>
      </c>
    </row>
    <row r="194" spans="1:11" s="285" customFormat="1" hidden="1" x14ac:dyDescent="0.25">
      <c r="A194" s="118">
        <v>34</v>
      </c>
      <c r="B194" s="151">
        <v>1195</v>
      </c>
      <c r="C194" s="94" t="s">
        <v>199</v>
      </c>
      <c r="D194" s="122"/>
      <c r="E194" s="98"/>
      <c r="F194" s="85">
        <v>0</v>
      </c>
      <c r="G194" s="428">
        <v>0</v>
      </c>
      <c r="H194" s="428"/>
      <c r="I194" s="428">
        <f t="shared" si="11"/>
        <v>0</v>
      </c>
      <c r="J194" s="428">
        <f t="shared" si="12"/>
        <v>0</v>
      </c>
      <c r="K194" s="428">
        <f t="shared" si="13"/>
        <v>0</v>
      </c>
    </row>
    <row r="195" spans="1:11" s="285" customFormat="1" hidden="1" x14ac:dyDescent="0.25">
      <c r="A195" s="118">
        <v>34</v>
      </c>
      <c r="B195" s="151">
        <v>1200</v>
      </c>
      <c r="C195" s="94" t="s">
        <v>117</v>
      </c>
      <c r="D195" s="122"/>
      <c r="E195" s="98"/>
      <c r="F195" s="85">
        <v>0</v>
      </c>
      <c r="G195" s="428">
        <v>0</v>
      </c>
      <c r="H195" s="428"/>
      <c r="I195" s="428">
        <f t="shared" si="11"/>
        <v>0</v>
      </c>
      <c r="J195" s="428">
        <f t="shared" si="12"/>
        <v>0</v>
      </c>
      <c r="K195" s="428">
        <f t="shared" si="13"/>
        <v>0</v>
      </c>
    </row>
    <row r="196" spans="1:11" s="285" customFormat="1" hidden="1" x14ac:dyDescent="0.25">
      <c r="A196" s="118">
        <v>34</v>
      </c>
      <c r="B196" s="151">
        <v>1205</v>
      </c>
      <c r="C196" s="115" t="s">
        <v>105</v>
      </c>
      <c r="D196" s="122"/>
      <c r="E196" s="98"/>
      <c r="F196" s="85">
        <v>0</v>
      </c>
      <c r="G196" s="428">
        <v>0</v>
      </c>
      <c r="H196" s="428"/>
      <c r="I196" s="428">
        <f t="shared" si="11"/>
        <v>0</v>
      </c>
      <c r="J196" s="428">
        <f t="shared" si="12"/>
        <v>0</v>
      </c>
      <c r="K196" s="428">
        <f t="shared" si="13"/>
        <v>0</v>
      </c>
    </row>
    <row r="197" spans="1:11" s="285" customFormat="1" hidden="1" x14ac:dyDescent="0.25">
      <c r="A197" s="118">
        <v>34</v>
      </c>
      <c r="B197" s="151">
        <v>1210</v>
      </c>
      <c r="C197" s="94" t="s">
        <v>118</v>
      </c>
      <c r="D197" s="122"/>
      <c r="E197" s="98"/>
      <c r="F197" s="85">
        <v>0</v>
      </c>
      <c r="G197" s="428">
        <v>0</v>
      </c>
      <c r="H197" s="428"/>
      <c r="I197" s="428">
        <f t="shared" si="11"/>
        <v>0</v>
      </c>
      <c r="J197" s="428">
        <f t="shared" si="12"/>
        <v>0</v>
      </c>
      <c r="K197" s="428">
        <f t="shared" si="13"/>
        <v>0</v>
      </c>
    </row>
    <row r="198" spans="1:11" s="285" customFormat="1" hidden="1" x14ac:dyDescent="0.25">
      <c r="A198" s="118">
        <v>34</v>
      </c>
      <c r="B198" s="151">
        <v>1215</v>
      </c>
      <c r="C198" s="94" t="s">
        <v>133</v>
      </c>
      <c r="D198" s="122"/>
      <c r="E198" s="98"/>
      <c r="F198" s="85">
        <v>0</v>
      </c>
      <c r="G198" s="428">
        <v>0</v>
      </c>
      <c r="H198" s="428"/>
      <c r="I198" s="428">
        <f t="shared" si="11"/>
        <v>0</v>
      </c>
      <c r="J198" s="428">
        <f t="shared" si="12"/>
        <v>0</v>
      </c>
      <c r="K198" s="428">
        <f t="shared" si="13"/>
        <v>0</v>
      </c>
    </row>
    <row r="199" spans="1:11" s="285" customFormat="1" hidden="1" x14ac:dyDescent="0.25">
      <c r="A199" s="118">
        <v>34</v>
      </c>
      <c r="B199" s="151">
        <v>5905</v>
      </c>
      <c r="C199" s="94" t="s">
        <v>329</v>
      </c>
      <c r="D199" s="85"/>
      <c r="E199" s="85"/>
      <c r="F199" s="85">
        <v>0</v>
      </c>
      <c r="G199" s="428">
        <v>0</v>
      </c>
      <c r="H199" s="428"/>
      <c r="I199" s="428">
        <f t="shared" si="11"/>
        <v>0</v>
      </c>
      <c r="J199" s="428">
        <f t="shared" si="12"/>
        <v>0</v>
      </c>
      <c r="K199" s="428">
        <f t="shared" si="13"/>
        <v>0</v>
      </c>
    </row>
    <row r="200" spans="1:11" s="285" customFormat="1" x14ac:dyDescent="0.25">
      <c r="A200" s="118">
        <v>34</v>
      </c>
      <c r="B200" s="151">
        <v>5900</v>
      </c>
      <c r="C200" s="94" t="s">
        <v>333</v>
      </c>
      <c r="D200" s="85">
        <v>-16125</v>
      </c>
      <c r="E200" s="85">
        <v>-17024</v>
      </c>
      <c r="F200" s="85">
        <v>-17024</v>
      </c>
      <c r="G200" s="428">
        <v>-17024</v>
      </c>
      <c r="H200" s="428"/>
      <c r="I200" s="428">
        <f t="shared" si="11"/>
        <v>-18011.392</v>
      </c>
      <c r="J200" s="428">
        <f t="shared" si="12"/>
        <v>-19002.01856</v>
      </c>
      <c r="K200" s="428">
        <f t="shared" si="13"/>
        <v>-20009.125543679998</v>
      </c>
    </row>
    <row r="201" spans="1:11" s="285" customFormat="1" hidden="1" x14ac:dyDescent="0.25">
      <c r="A201" s="118">
        <v>34</v>
      </c>
      <c r="B201" s="151">
        <v>1220</v>
      </c>
      <c r="C201" s="94" t="s">
        <v>340</v>
      </c>
      <c r="D201" s="122"/>
      <c r="E201" s="98"/>
      <c r="F201" s="98">
        <v>0</v>
      </c>
      <c r="G201" s="435">
        <v>0</v>
      </c>
      <c r="H201" s="435"/>
      <c r="I201" s="98"/>
      <c r="J201" s="98"/>
      <c r="K201" s="98"/>
    </row>
    <row r="202" spans="1:11" s="285" customFormat="1" hidden="1" x14ac:dyDescent="0.25">
      <c r="A202" s="118">
        <v>34</v>
      </c>
      <c r="B202" s="151">
        <v>1225</v>
      </c>
      <c r="C202" s="94" t="s">
        <v>370</v>
      </c>
      <c r="D202" s="122"/>
      <c r="E202" s="98"/>
      <c r="F202" s="98">
        <v>0</v>
      </c>
      <c r="G202" s="435">
        <v>0</v>
      </c>
      <c r="H202" s="435"/>
      <c r="I202" s="98"/>
      <c r="J202" s="98"/>
      <c r="K202" s="98"/>
    </row>
    <row r="203" spans="1:11" s="285" customFormat="1" hidden="1" x14ac:dyDescent="0.25">
      <c r="A203" s="118">
        <v>34</v>
      </c>
      <c r="B203" s="151">
        <v>1230</v>
      </c>
      <c r="C203" s="94" t="s">
        <v>119</v>
      </c>
      <c r="D203" s="122"/>
      <c r="E203" s="98"/>
      <c r="F203" s="98">
        <v>0</v>
      </c>
      <c r="G203" s="435">
        <v>0</v>
      </c>
      <c r="H203" s="435"/>
      <c r="I203" s="98"/>
      <c r="J203" s="98"/>
      <c r="K203" s="98"/>
    </row>
    <row r="204" spans="1:11" s="285" customFormat="1" hidden="1" x14ac:dyDescent="0.25">
      <c r="A204" s="118">
        <v>34</v>
      </c>
      <c r="B204" s="151">
        <v>1235</v>
      </c>
      <c r="C204" s="94" t="s">
        <v>347</v>
      </c>
      <c r="D204" s="122"/>
      <c r="E204" s="98"/>
      <c r="F204" s="98">
        <v>0</v>
      </c>
      <c r="G204" s="435">
        <v>0</v>
      </c>
      <c r="H204" s="435"/>
      <c r="I204" s="98"/>
      <c r="J204" s="98"/>
      <c r="K204" s="98"/>
    </row>
    <row r="205" spans="1:11" s="285" customFormat="1" hidden="1" x14ac:dyDescent="0.25">
      <c r="A205" s="118"/>
      <c r="B205" s="151"/>
      <c r="C205" s="94" t="s">
        <v>510</v>
      </c>
      <c r="D205" s="225"/>
      <c r="E205" s="85"/>
      <c r="F205" s="85"/>
      <c r="G205" s="428"/>
      <c r="H205" s="428"/>
      <c r="I205" s="85"/>
      <c r="J205" s="85"/>
      <c r="K205" s="85"/>
    </row>
    <row r="206" spans="1:11" s="285" customFormat="1" x14ac:dyDescent="0.25">
      <c r="A206" s="344"/>
      <c r="B206" s="151"/>
      <c r="C206" s="94"/>
      <c r="D206" s="100">
        <v>-48020</v>
      </c>
      <c r="E206" s="100">
        <f>SUM(E176:E204)</f>
        <v>-50993</v>
      </c>
      <c r="F206" s="100">
        <f>SUM(F176:F204)</f>
        <v>-50993</v>
      </c>
      <c r="G206" s="437">
        <v>-50993</v>
      </c>
      <c r="H206" s="437"/>
      <c r="I206" s="437">
        <v>-50993</v>
      </c>
      <c r="J206" s="437">
        <v>-50993</v>
      </c>
      <c r="K206" s="437">
        <v>-50993</v>
      </c>
    </row>
    <row r="207" spans="1:11" s="285" customFormat="1" x14ac:dyDescent="0.25">
      <c r="A207" s="344"/>
      <c r="B207" s="151"/>
      <c r="C207" s="93" t="s">
        <v>66</v>
      </c>
      <c r="D207" s="122"/>
      <c r="E207" s="98"/>
      <c r="F207" s="98"/>
      <c r="G207" s="435"/>
      <c r="H207" s="435"/>
      <c r="I207" s="98"/>
      <c r="J207" s="98"/>
      <c r="K207" s="98"/>
    </row>
    <row r="208" spans="1:11" s="285" customFormat="1" hidden="1" x14ac:dyDescent="0.25">
      <c r="A208" s="118">
        <v>34</v>
      </c>
      <c r="B208" s="151">
        <v>1305</v>
      </c>
      <c r="C208" s="94" t="s">
        <v>342</v>
      </c>
      <c r="D208" s="122"/>
      <c r="E208" s="98"/>
      <c r="F208" s="98">
        <v>0</v>
      </c>
      <c r="G208" s="435">
        <v>0</v>
      </c>
      <c r="H208" s="435"/>
      <c r="I208" s="98"/>
      <c r="J208" s="98"/>
      <c r="K208" s="98"/>
    </row>
    <row r="209" spans="1:11" s="285" customFormat="1" x14ac:dyDescent="0.25">
      <c r="A209" s="118">
        <v>34</v>
      </c>
      <c r="B209" s="151">
        <v>1310</v>
      </c>
      <c r="C209" s="94" t="s">
        <v>344</v>
      </c>
      <c r="D209" s="122">
        <v>41284</v>
      </c>
      <c r="E209" s="98">
        <v>43595.904000000002</v>
      </c>
      <c r="F209" s="85">
        <v>43595.904000000002</v>
      </c>
      <c r="G209" s="428">
        <v>43595.904000000002</v>
      </c>
      <c r="H209" s="428"/>
      <c r="I209" s="85">
        <f>86079*1.5*1.058</f>
        <v>136607.37299999999</v>
      </c>
      <c r="J209" s="85">
        <f>+I209*1.055</f>
        <v>144120.77851499998</v>
      </c>
      <c r="K209" s="85">
        <f>+J209*1.053</f>
        <v>151759.17977629497</v>
      </c>
    </row>
    <row r="210" spans="1:11" s="285" customFormat="1" hidden="1" x14ac:dyDescent="0.25">
      <c r="A210" s="118">
        <v>34</v>
      </c>
      <c r="B210" s="151">
        <v>1320</v>
      </c>
      <c r="C210" s="94" t="s">
        <v>345</v>
      </c>
      <c r="D210" s="122"/>
      <c r="E210" s="98"/>
      <c r="F210" s="98">
        <v>0</v>
      </c>
      <c r="G210" s="435">
        <v>0</v>
      </c>
      <c r="H210" s="435"/>
      <c r="I210" s="98"/>
      <c r="J210" s="98"/>
      <c r="K210" s="98"/>
    </row>
    <row r="211" spans="1:11" s="285" customFormat="1" hidden="1" x14ac:dyDescent="0.25">
      <c r="A211" s="118">
        <v>34</v>
      </c>
      <c r="B211" s="151">
        <v>1315</v>
      </c>
      <c r="C211" s="94" t="s">
        <v>346</v>
      </c>
      <c r="D211" s="122"/>
      <c r="E211" s="108"/>
      <c r="F211" s="98">
        <v>0</v>
      </c>
      <c r="G211" s="435">
        <v>0</v>
      </c>
      <c r="H211" s="435"/>
      <c r="I211" s="98"/>
      <c r="J211" s="98"/>
      <c r="K211" s="108"/>
    </row>
    <row r="212" spans="1:11" s="285" customFormat="1" x14ac:dyDescent="0.25">
      <c r="A212" s="344"/>
      <c r="B212" s="151"/>
      <c r="C212" s="94"/>
      <c r="D212" s="99">
        <v>41284</v>
      </c>
      <c r="E212" s="99">
        <f t="shared" ref="E212:K212" si="14">SUM(E208:E211)</f>
        <v>43595.904000000002</v>
      </c>
      <c r="F212" s="99">
        <f t="shared" si="14"/>
        <v>43595.904000000002</v>
      </c>
      <c r="G212" s="436">
        <f t="shared" si="14"/>
        <v>43595.904000000002</v>
      </c>
      <c r="H212" s="436">
        <f t="shared" si="14"/>
        <v>0</v>
      </c>
      <c r="I212" s="436">
        <f t="shared" si="14"/>
        <v>136607.37299999999</v>
      </c>
      <c r="J212" s="436">
        <f t="shared" si="14"/>
        <v>144120.77851499998</v>
      </c>
      <c r="K212" s="436">
        <f t="shared" si="14"/>
        <v>151759.17977629497</v>
      </c>
    </row>
    <row r="213" spans="1:11" s="285" customFormat="1" x14ac:dyDescent="0.25">
      <c r="A213" s="344"/>
      <c r="B213" s="151"/>
      <c r="C213" s="93" t="s">
        <v>67</v>
      </c>
      <c r="D213" s="122"/>
      <c r="E213" s="98"/>
      <c r="F213" s="98"/>
      <c r="G213" s="435"/>
      <c r="H213" s="435"/>
      <c r="I213" s="435"/>
      <c r="J213" s="435"/>
      <c r="K213" s="435"/>
    </row>
    <row r="214" spans="1:11" s="285" customFormat="1" x14ac:dyDescent="0.25">
      <c r="A214" s="118">
        <v>34</v>
      </c>
      <c r="B214" s="151">
        <v>1400</v>
      </c>
      <c r="C214" s="94" t="s">
        <v>68</v>
      </c>
      <c r="D214" s="122">
        <v>0</v>
      </c>
      <c r="E214" s="108"/>
      <c r="F214" s="98"/>
      <c r="G214" s="435"/>
      <c r="H214" s="435"/>
      <c r="I214" s="435"/>
      <c r="J214" s="435"/>
      <c r="K214" s="435"/>
    </row>
    <row r="215" spans="1:11" s="285" customFormat="1" x14ac:dyDescent="0.25">
      <c r="A215" s="118">
        <v>34</v>
      </c>
      <c r="B215" s="151">
        <v>1405</v>
      </c>
      <c r="C215" s="94" t="s">
        <v>69</v>
      </c>
      <c r="D215" s="122">
        <v>0</v>
      </c>
      <c r="E215" s="108"/>
      <c r="F215" s="98"/>
      <c r="G215" s="435"/>
      <c r="H215" s="435"/>
      <c r="I215" s="435"/>
      <c r="J215" s="435"/>
      <c r="K215" s="435"/>
    </row>
    <row r="216" spans="1:11" s="285" customFormat="1" x14ac:dyDescent="0.25">
      <c r="A216" s="344"/>
      <c r="B216" s="151"/>
      <c r="C216" s="94"/>
      <c r="D216" s="99">
        <v>0</v>
      </c>
      <c r="E216" s="99">
        <f>SUM(E214:E215)</f>
        <v>0</v>
      </c>
      <c r="F216" s="99">
        <v>0</v>
      </c>
      <c r="G216" s="436">
        <v>0</v>
      </c>
      <c r="H216" s="436"/>
      <c r="I216" s="436">
        <v>0</v>
      </c>
      <c r="J216" s="436">
        <v>0</v>
      </c>
      <c r="K216" s="436">
        <v>0</v>
      </c>
    </row>
    <row r="217" spans="1:11" s="285" customFormat="1" x14ac:dyDescent="0.25">
      <c r="A217" s="344"/>
      <c r="B217" s="151"/>
      <c r="C217" s="93" t="s">
        <v>70</v>
      </c>
      <c r="D217" s="122"/>
      <c r="E217" s="98"/>
      <c r="F217" s="98"/>
      <c r="G217" s="435"/>
      <c r="H217" s="435"/>
      <c r="I217" s="435"/>
      <c r="J217" s="435"/>
      <c r="K217" s="435"/>
    </row>
    <row r="218" spans="1:11" s="285" customFormat="1" x14ac:dyDescent="0.25">
      <c r="A218" s="118">
        <v>34</v>
      </c>
      <c r="B218" s="151">
        <v>1500</v>
      </c>
      <c r="C218" s="94" t="s">
        <v>106</v>
      </c>
      <c r="D218" s="122">
        <v>0</v>
      </c>
      <c r="E218" s="108"/>
      <c r="F218" s="98"/>
      <c r="G218" s="435"/>
      <c r="H218" s="435"/>
      <c r="I218" s="435"/>
      <c r="J218" s="435"/>
      <c r="K218" s="435"/>
    </row>
    <row r="219" spans="1:11" s="285" customFormat="1" x14ac:dyDescent="0.25">
      <c r="A219" s="118">
        <v>34</v>
      </c>
      <c r="B219" s="151">
        <v>1505</v>
      </c>
      <c r="C219" s="94" t="s">
        <v>71</v>
      </c>
      <c r="D219" s="122">
        <v>0</v>
      </c>
      <c r="E219" s="108"/>
      <c r="F219" s="98"/>
      <c r="G219" s="435"/>
      <c r="H219" s="435"/>
      <c r="I219" s="435"/>
      <c r="J219" s="435"/>
      <c r="K219" s="435"/>
    </row>
    <row r="220" spans="1:11" s="285" customFormat="1" x14ac:dyDescent="0.25">
      <c r="A220" s="118">
        <v>34</v>
      </c>
      <c r="B220" s="151">
        <v>1510</v>
      </c>
      <c r="C220" s="94" t="s">
        <v>72</v>
      </c>
      <c r="D220" s="122">
        <v>0</v>
      </c>
      <c r="E220" s="108"/>
      <c r="F220" s="98"/>
      <c r="G220" s="435"/>
      <c r="H220" s="435"/>
      <c r="I220" s="435"/>
      <c r="J220" s="435"/>
      <c r="K220" s="435"/>
    </row>
    <row r="221" spans="1:11" s="285" customFormat="1" x14ac:dyDescent="0.25">
      <c r="A221" s="344"/>
      <c r="B221" s="151"/>
      <c r="C221" s="94"/>
      <c r="D221" s="99">
        <v>0</v>
      </c>
      <c r="E221" s="99">
        <f>SUM(E218:E220)</f>
        <v>0</v>
      </c>
      <c r="F221" s="99">
        <v>0</v>
      </c>
      <c r="G221" s="436">
        <v>0</v>
      </c>
      <c r="H221" s="436"/>
      <c r="I221" s="436">
        <v>0</v>
      </c>
      <c r="J221" s="436">
        <v>0</v>
      </c>
      <c r="K221" s="436">
        <v>0</v>
      </c>
    </row>
    <row r="222" spans="1:11" s="285" customFormat="1" x14ac:dyDescent="0.25">
      <c r="A222" s="344"/>
      <c r="B222" s="151"/>
      <c r="C222" s="93" t="s">
        <v>73</v>
      </c>
      <c r="D222" s="122"/>
      <c r="E222" s="98"/>
      <c r="F222" s="98"/>
      <c r="G222" s="435"/>
      <c r="H222" s="435"/>
      <c r="I222" s="435"/>
      <c r="J222" s="435"/>
      <c r="K222" s="435"/>
    </row>
    <row r="223" spans="1:11" s="285" customFormat="1" x14ac:dyDescent="0.25">
      <c r="A223" s="118">
        <v>34</v>
      </c>
      <c r="B223" s="151">
        <v>1550</v>
      </c>
      <c r="C223" s="94" t="s">
        <v>349</v>
      </c>
      <c r="D223" s="122">
        <v>0</v>
      </c>
      <c r="E223" s="98"/>
      <c r="F223" s="98"/>
      <c r="G223" s="435"/>
      <c r="H223" s="435"/>
      <c r="I223" s="435"/>
      <c r="J223" s="435"/>
      <c r="K223" s="435"/>
    </row>
    <row r="224" spans="1:11" s="285" customFormat="1" x14ac:dyDescent="0.25">
      <c r="A224" s="118">
        <v>34</v>
      </c>
      <c r="B224" s="151">
        <v>1555</v>
      </c>
      <c r="C224" s="94" t="s">
        <v>348</v>
      </c>
      <c r="D224" s="122">
        <v>0</v>
      </c>
      <c r="E224" s="98"/>
      <c r="F224" s="98"/>
      <c r="G224" s="435"/>
      <c r="H224" s="435"/>
      <c r="I224" s="435"/>
      <c r="J224" s="435"/>
      <c r="K224" s="435"/>
    </row>
    <row r="225" spans="1:11" s="285" customFormat="1" x14ac:dyDescent="0.25">
      <c r="A225" s="344"/>
      <c r="B225" s="151"/>
      <c r="C225" s="94"/>
      <c r="D225" s="100">
        <v>0</v>
      </c>
      <c r="E225" s="100">
        <f>SUM(E223:E224)</f>
        <v>0</v>
      </c>
      <c r="F225" s="100">
        <v>0</v>
      </c>
      <c r="G225" s="437">
        <v>0</v>
      </c>
      <c r="H225" s="437"/>
      <c r="I225" s="437">
        <v>0</v>
      </c>
      <c r="J225" s="437">
        <v>0</v>
      </c>
      <c r="K225" s="437">
        <v>0</v>
      </c>
    </row>
    <row r="226" spans="1:11" s="285" customFormat="1" ht="13.5" customHeight="1" x14ac:dyDescent="0.25">
      <c r="A226" s="344"/>
      <c r="B226" s="151"/>
      <c r="C226" s="93" t="s">
        <v>74</v>
      </c>
      <c r="D226" s="122"/>
      <c r="E226" s="98"/>
      <c r="F226" s="98"/>
      <c r="G226" s="435"/>
      <c r="H226" s="435"/>
      <c r="I226" s="435"/>
      <c r="J226" s="435"/>
      <c r="K226" s="435"/>
    </row>
    <row r="227" spans="1:11" s="285" customFormat="1" x14ac:dyDescent="0.25">
      <c r="A227" s="118">
        <v>34</v>
      </c>
      <c r="B227" s="151">
        <v>1605</v>
      </c>
      <c r="C227" s="94" t="s">
        <v>75</v>
      </c>
      <c r="D227" s="122">
        <v>0</v>
      </c>
      <c r="E227" s="98"/>
      <c r="F227" s="98"/>
      <c r="G227" s="435"/>
      <c r="H227" s="435"/>
      <c r="I227" s="435"/>
      <c r="J227" s="435"/>
      <c r="K227" s="435"/>
    </row>
    <row r="228" spans="1:11" s="285" customFormat="1" x14ac:dyDescent="0.25">
      <c r="A228" s="118">
        <v>34</v>
      </c>
      <c r="B228" s="151">
        <v>1610</v>
      </c>
      <c r="C228" s="94" t="s">
        <v>131</v>
      </c>
      <c r="D228" s="122">
        <v>0</v>
      </c>
      <c r="E228" s="108"/>
      <c r="F228" s="98"/>
      <c r="G228" s="435"/>
      <c r="H228" s="435"/>
      <c r="I228" s="435"/>
      <c r="J228" s="435"/>
      <c r="K228" s="435"/>
    </row>
    <row r="229" spans="1:11" s="285" customFormat="1" x14ac:dyDescent="0.25">
      <c r="A229" s="118">
        <v>34</v>
      </c>
      <c r="B229" s="151">
        <v>1615</v>
      </c>
      <c r="C229" s="94" t="s">
        <v>182</v>
      </c>
      <c r="D229" s="122">
        <v>0</v>
      </c>
      <c r="E229" s="108"/>
      <c r="F229" s="98"/>
      <c r="G229" s="435"/>
      <c r="H229" s="435"/>
      <c r="I229" s="435"/>
      <c r="J229" s="435"/>
      <c r="K229" s="435"/>
    </row>
    <row r="230" spans="1:11" s="285" customFormat="1" x14ac:dyDescent="0.25">
      <c r="A230" s="118">
        <v>34</v>
      </c>
      <c r="B230" s="151">
        <v>1620</v>
      </c>
      <c r="C230" s="94" t="s">
        <v>255</v>
      </c>
      <c r="D230" s="122">
        <v>0</v>
      </c>
      <c r="E230" s="108"/>
      <c r="F230" s="98"/>
      <c r="G230" s="435"/>
      <c r="H230" s="435"/>
      <c r="I230" s="435"/>
      <c r="J230" s="435"/>
      <c r="K230" s="435"/>
    </row>
    <row r="231" spans="1:11" s="285" customFormat="1" x14ac:dyDescent="0.25">
      <c r="A231" s="118">
        <v>34</v>
      </c>
      <c r="B231" s="151">
        <v>1625</v>
      </c>
      <c r="C231" s="94" t="s">
        <v>108</v>
      </c>
      <c r="D231" s="122">
        <v>0</v>
      </c>
      <c r="E231" s="108"/>
      <c r="F231" s="98"/>
      <c r="G231" s="435"/>
      <c r="H231" s="435"/>
      <c r="I231" s="435"/>
      <c r="J231" s="435"/>
      <c r="K231" s="435"/>
    </row>
    <row r="232" spans="1:11" s="285" customFormat="1" x14ac:dyDescent="0.25">
      <c r="A232" s="118">
        <v>34</v>
      </c>
      <c r="B232" s="151">
        <v>1630</v>
      </c>
      <c r="C232" s="94" t="s">
        <v>76</v>
      </c>
      <c r="D232" s="122">
        <v>0</v>
      </c>
      <c r="E232" s="108"/>
      <c r="F232" s="98"/>
      <c r="G232" s="435"/>
      <c r="H232" s="435"/>
      <c r="I232" s="435"/>
      <c r="J232" s="435"/>
      <c r="K232" s="435"/>
    </row>
    <row r="233" spans="1:11" s="285" customFormat="1" x14ac:dyDescent="0.25">
      <c r="A233" s="118">
        <v>34</v>
      </c>
      <c r="B233" s="151">
        <v>1635</v>
      </c>
      <c r="C233" s="94" t="s">
        <v>180</v>
      </c>
      <c r="D233" s="122">
        <v>0</v>
      </c>
      <c r="E233" s="108"/>
      <c r="F233" s="98"/>
      <c r="G233" s="435"/>
      <c r="H233" s="435"/>
      <c r="I233" s="435"/>
      <c r="J233" s="435"/>
      <c r="K233" s="435"/>
    </row>
    <row r="234" spans="1:11" s="285" customFormat="1" x14ac:dyDescent="0.25">
      <c r="A234" s="118">
        <v>34</v>
      </c>
      <c r="B234" s="151">
        <v>1640</v>
      </c>
      <c r="C234" s="94" t="s">
        <v>184</v>
      </c>
      <c r="D234" s="122">
        <v>0</v>
      </c>
      <c r="E234" s="108"/>
      <c r="F234" s="98"/>
      <c r="G234" s="435"/>
      <c r="H234" s="435"/>
      <c r="I234" s="435"/>
      <c r="J234" s="435"/>
      <c r="K234" s="435"/>
    </row>
    <row r="235" spans="1:11" s="285" customFormat="1" x14ac:dyDescent="0.25">
      <c r="A235" s="118">
        <v>34</v>
      </c>
      <c r="B235" s="151">
        <v>1645</v>
      </c>
      <c r="C235" s="94" t="s">
        <v>77</v>
      </c>
      <c r="D235" s="122">
        <v>0</v>
      </c>
      <c r="E235" s="108"/>
      <c r="F235" s="98"/>
      <c r="G235" s="435"/>
      <c r="H235" s="435"/>
      <c r="I235" s="435"/>
      <c r="J235" s="435"/>
      <c r="K235" s="435"/>
    </row>
    <row r="236" spans="1:11" s="285" customFormat="1" x14ac:dyDescent="0.25">
      <c r="A236" s="118">
        <v>34</v>
      </c>
      <c r="B236" s="151">
        <v>1650</v>
      </c>
      <c r="C236" s="94" t="s">
        <v>78</v>
      </c>
      <c r="D236" s="122">
        <v>0</v>
      </c>
      <c r="E236" s="108"/>
      <c r="F236" s="98"/>
      <c r="G236" s="435"/>
      <c r="H236" s="435"/>
      <c r="I236" s="435"/>
      <c r="J236" s="435"/>
      <c r="K236" s="435"/>
    </row>
    <row r="237" spans="1:11" s="285" customFormat="1" x14ac:dyDescent="0.25">
      <c r="A237" s="118">
        <v>34</v>
      </c>
      <c r="B237" s="151"/>
      <c r="C237" s="94" t="s">
        <v>200</v>
      </c>
      <c r="D237" s="122">
        <v>0</v>
      </c>
      <c r="E237" s="108"/>
      <c r="F237" s="98"/>
      <c r="G237" s="435"/>
      <c r="H237" s="435"/>
      <c r="I237" s="435"/>
      <c r="J237" s="435"/>
      <c r="K237" s="435"/>
    </row>
    <row r="238" spans="1:11" s="285" customFormat="1" x14ac:dyDescent="0.25">
      <c r="A238" s="118">
        <v>34</v>
      </c>
      <c r="B238" s="151">
        <v>1660</v>
      </c>
      <c r="C238" s="94" t="s">
        <v>185</v>
      </c>
      <c r="D238" s="122">
        <v>0</v>
      </c>
      <c r="E238" s="108"/>
      <c r="F238" s="98"/>
      <c r="G238" s="435"/>
      <c r="H238" s="435"/>
      <c r="I238" s="435"/>
      <c r="J238" s="435"/>
      <c r="K238" s="435"/>
    </row>
    <row r="239" spans="1:11" s="285" customFormat="1" x14ac:dyDescent="0.25">
      <c r="A239" s="118">
        <v>34</v>
      </c>
      <c r="B239" s="151">
        <v>1665</v>
      </c>
      <c r="C239" s="94" t="s">
        <v>181</v>
      </c>
      <c r="D239" s="122">
        <v>0</v>
      </c>
      <c r="E239" s="108"/>
      <c r="F239" s="98"/>
      <c r="G239" s="435"/>
      <c r="H239" s="435"/>
      <c r="I239" s="435"/>
      <c r="J239" s="435"/>
      <c r="K239" s="435"/>
    </row>
    <row r="240" spans="1:11" s="285" customFormat="1" x14ac:dyDescent="0.25">
      <c r="A240" s="344"/>
      <c r="B240" s="151"/>
      <c r="C240" s="94"/>
      <c r="D240" s="99">
        <v>0</v>
      </c>
      <c r="E240" s="99">
        <f>SUM(E227:E239)</f>
        <v>0</v>
      </c>
      <c r="F240" s="99">
        <v>0</v>
      </c>
      <c r="G240" s="436">
        <v>0</v>
      </c>
      <c r="H240" s="436"/>
      <c r="I240" s="436">
        <v>0</v>
      </c>
      <c r="J240" s="436">
        <v>0</v>
      </c>
      <c r="K240" s="436">
        <v>0</v>
      </c>
    </row>
    <row r="241" spans="1:11" s="285" customFormat="1" x14ac:dyDescent="0.25">
      <c r="A241" s="344"/>
      <c r="B241" s="151"/>
      <c r="C241" s="93" t="s">
        <v>79</v>
      </c>
      <c r="D241" s="122"/>
      <c r="E241" s="98"/>
      <c r="F241" s="98"/>
      <c r="G241" s="435"/>
      <c r="H241" s="435"/>
      <c r="I241" s="435"/>
      <c r="J241" s="435"/>
      <c r="K241" s="435"/>
    </row>
    <row r="242" spans="1:11" s="285" customFormat="1" x14ac:dyDescent="0.25">
      <c r="A242" s="118">
        <v>34</v>
      </c>
      <c r="B242" s="151">
        <v>1705</v>
      </c>
      <c r="C242" s="94" t="s">
        <v>123</v>
      </c>
      <c r="D242" s="122">
        <v>0</v>
      </c>
      <c r="E242" s="98"/>
      <c r="F242" s="98"/>
      <c r="G242" s="435"/>
      <c r="H242" s="435"/>
      <c r="I242" s="435"/>
      <c r="J242" s="435"/>
      <c r="K242" s="435"/>
    </row>
    <row r="243" spans="1:11" s="285" customFormat="1" x14ac:dyDescent="0.25">
      <c r="A243" s="118">
        <v>34</v>
      </c>
      <c r="B243" s="151">
        <v>1710</v>
      </c>
      <c r="C243" s="94" t="s">
        <v>242</v>
      </c>
      <c r="D243" s="122">
        <v>0</v>
      </c>
      <c r="E243" s="98"/>
      <c r="F243" s="98"/>
      <c r="G243" s="435"/>
      <c r="H243" s="435"/>
      <c r="I243" s="435"/>
      <c r="J243" s="435"/>
      <c r="K243" s="435"/>
    </row>
    <row r="244" spans="1:11" s="285" customFormat="1" x14ac:dyDescent="0.25">
      <c r="A244" s="118">
        <v>34</v>
      </c>
      <c r="B244" s="151">
        <v>1715</v>
      </c>
      <c r="C244" s="94" t="s">
        <v>183</v>
      </c>
      <c r="D244" s="122">
        <v>0</v>
      </c>
      <c r="E244" s="98"/>
      <c r="F244" s="98"/>
      <c r="G244" s="435"/>
      <c r="H244" s="435"/>
      <c r="I244" s="435"/>
      <c r="J244" s="435"/>
      <c r="K244" s="435"/>
    </row>
    <row r="245" spans="1:11" s="285" customFormat="1" x14ac:dyDescent="0.25">
      <c r="A245" s="118">
        <v>34</v>
      </c>
      <c r="B245" s="151">
        <v>1720</v>
      </c>
      <c r="C245" s="94" t="s">
        <v>103</v>
      </c>
      <c r="D245" s="122">
        <v>0</v>
      </c>
      <c r="E245" s="98"/>
      <c r="F245" s="98"/>
      <c r="G245" s="435"/>
      <c r="H245" s="435"/>
      <c r="I245" s="435"/>
      <c r="J245" s="435"/>
      <c r="K245" s="435"/>
    </row>
    <row r="246" spans="1:11" s="285" customFormat="1" x14ac:dyDescent="0.25">
      <c r="A246" s="118">
        <v>34</v>
      </c>
      <c r="B246" s="151">
        <v>1725</v>
      </c>
      <c r="C246" s="94" t="s">
        <v>107</v>
      </c>
      <c r="D246" s="122">
        <v>0</v>
      </c>
      <c r="E246" s="98"/>
      <c r="F246" s="98"/>
      <c r="G246" s="435"/>
      <c r="H246" s="435"/>
      <c r="I246" s="435"/>
      <c r="J246" s="435"/>
      <c r="K246" s="435"/>
    </row>
    <row r="247" spans="1:11" s="285" customFormat="1" x14ac:dyDescent="0.25">
      <c r="A247" s="118">
        <v>34</v>
      </c>
      <c r="B247" s="151">
        <v>1730</v>
      </c>
      <c r="C247" s="94" t="s">
        <v>256</v>
      </c>
      <c r="D247" s="122">
        <v>0</v>
      </c>
      <c r="E247" s="98"/>
      <c r="F247" s="98"/>
      <c r="G247" s="435"/>
      <c r="H247" s="435"/>
      <c r="I247" s="435"/>
      <c r="J247" s="435"/>
      <c r="K247" s="435"/>
    </row>
    <row r="248" spans="1:11" s="285" customFormat="1" x14ac:dyDescent="0.25">
      <c r="A248" s="344"/>
      <c r="B248" s="151"/>
      <c r="C248" s="94"/>
      <c r="D248" s="99">
        <v>0</v>
      </c>
      <c r="E248" s="99">
        <f>SUM(E242:E247)</f>
        <v>0</v>
      </c>
      <c r="F248" s="99">
        <v>0</v>
      </c>
      <c r="G248" s="436">
        <v>0</v>
      </c>
      <c r="H248" s="436"/>
      <c r="I248" s="436">
        <v>0</v>
      </c>
      <c r="J248" s="436">
        <v>0</v>
      </c>
      <c r="K248" s="436">
        <v>0</v>
      </c>
    </row>
    <row r="249" spans="1:11" s="285" customFormat="1" x14ac:dyDescent="0.25">
      <c r="A249" s="344"/>
      <c r="B249" s="151"/>
      <c r="C249" s="93" t="s">
        <v>80</v>
      </c>
      <c r="D249" s="122"/>
      <c r="E249" s="98"/>
      <c r="F249" s="98"/>
      <c r="G249" s="435"/>
      <c r="H249" s="435"/>
      <c r="I249" s="435"/>
      <c r="J249" s="435"/>
      <c r="K249" s="435"/>
    </row>
    <row r="250" spans="1:11" s="285" customFormat="1" x14ac:dyDescent="0.25">
      <c r="A250" s="118">
        <v>34</v>
      </c>
      <c r="B250" s="151">
        <v>1805</v>
      </c>
      <c r="C250" s="94" t="s">
        <v>81</v>
      </c>
      <c r="D250" s="122">
        <v>0</v>
      </c>
      <c r="E250" s="108"/>
      <c r="F250" s="98"/>
      <c r="G250" s="435"/>
      <c r="H250" s="435"/>
      <c r="I250" s="435"/>
      <c r="J250" s="435"/>
      <c r="K250" s="435"/>
    </row>
    <row r="251" spans="1:11" s="285" customFormat="1" x14ac:dyDescent="0.25">
      <c r="A251" s="344"/>
      <c r="B251" s="151"/>
      <c r="C251" s="94"/>
      <c r="D251" s="99">
        <v>0</v>
      </c>
      <c r="E251" s="99">
        <f>E250</f>
        <v>0</v>
      </c>
      <c r="F251" s="99">
        <v>0</v>
      </c>
      <c r="G251" s="436">
        <v>0</v>
      </c>
      <c r="H251" s="436"/>
      <c r="I251" s="436">
        <v>0</v>
      </c>
      <c r="J251" s="436">
        <v>0</v>
      </c>
      <c r="K251" s="436">
        <v>0</v>
      </c>
    </row>
    <row r="252" spans="1:11" s="285" customFormat="1" x14ac:dyDescent="0.25">
      <c r="A252" s="344"/>
      <c r="B252" s="346"/>
      <c r="C252" s="93" t="s">
        <v>192</v>
      </c>
      <c r="D252" s="442">
        <f>+D251+D248+D240+D225+D221+D216+D212+D206</f>
        <v>-6736</v>
      </c>
      <c r="E252" s="442">
        <f t="shared" ref="E252:K252" si="15">+E251+E248+E240+E225+E221+E216+E212+E206</f>
        <v>-7397.0959999999977</v>
      </c>
      <c r="F252" s="442">
        <f t="shared" si="15"/>
        <v>-7397.0959999999977</v>
      </c>
      <c r="G252" s="442">
        <f t="shared" si="15"/>
        <v>-7397.0959999999977</v>
      </c>
      <c r="H252" s="442">
        <f t="shared" si="15"/>
        <v>0</v>
      </c>
      <c r="I252" s="442">
        <f t="shared" si="15"/>
        <v>85614.372999999992</v>
      </c>
      <c r="J252" s="442">
        <f t="shared" si="15"/>
        <v>93127.778514999984</v>
      </c>
      <c r="K252" s="442">
        <f t="shared" si="15"/>
        <v>100766.17977629497</v>
      </c>
    </row>
    <row r="253" spans="1:11" s="285" customFormat="1" x14ac:dyDescent="0.25">
      <c r="A253" s="344"/>
      <c r="B253" s="151"/>
      <c r="C253" s="94"/>
      <c r="D253" s="442">
        <f>SUM(D252)</f>
        <v>-6736</v>
      </c>
      <c r="E253" s="442">
        <f t="shared" ref="E253:K253" si="16">SUM(E252)</f>
        <v>-7397.0959999999977</v>
      </c>
      <c r="F253" s="442">
        <f t="shared" si="16"/>
        <v>-7397.0959999999977</v>
      </c>
      <c r="G253" s="442">
        <f t="shared" si="16"/>
        <v>-7397.0959999999977</v>
      </c>
      <c r="H253" s="442">
        <f t="shared" si="16"/>
        <v>0</v>
      </c>
      <c r="I253" s="442">
        <f t="shared" si="16"/>
        <v>85614.372999999992</v>
      </c>
      <c r="J253" s="442">
        <f t="shared" si="16"/>
        <v>93127.778514999984</v>
      </c>
      <c r="K253" s="442">
        <f t="shared" si="16"/>
        <v>100766.17977629497</v>
      </c>
    </row>
    <row r="254" spans="1:11" s="285" customFormat="1" x14ac:dyDescent="0.25">
      <c r="A254" s="344"/>
      <c r="B254" s="151"/>
      <c r="C254" s="145" t="s">
        <v>193</v>
      </c>
      <c r="D254" s="442"/>
      <c r="E254" s="442"/>
      <c r="F254" s="442"/>
      <c r="G254" s="442"/>
      <c r="H254" s="442"/>
      <c r="I254" s="442"/>
      <c r="J254" s="442"/>
      <c r="K254" s="442"/>
    </row>
    <row r="255" spans="1:11" s="285" customFormat="1" x14ac:dyDescent="0.25">
      <c r="A255" s="118">
        <v>34</v>
      </c>
      <c r="B255" s="151">
        <v>1905</v>
      </c>
      <c r="C255" s="118" t="s">
        <v>194</v>
      </c>
      <c r="D255" s="442"/>
      <c r="E255" s="442"/>
      <c r="F255" s="442"/>
      <c r="G255" s="442"/>
      <c r="H255" s="442"/>
      <c r="I255" s="442"/>
      <c r="J255" s="442"/>
      <c r="K255" s="442"/>
    </row>
    <row r="256" spans="1:11" s="285" customFormat="1" x14ac:dyDescent="0.25">
      <c r="A256" s="344"/>
      <c r="B256" s="151"/>
      <c r="C256" s="94"/>
      <c r="D256" s="442">
        <f>SUM(D255)</f>
        <v>0</v>
      </c>
      <c r="E256" s="442">
        <f t="shared" ref="E256:K256" si="17">SUM(E255)</f>
        <v>0</v>
      </c>
      <c r="F256" s="442">
        <f t="shared" si="17"/>
        <v>0</v>
      </c>
      <c r="G256" s="442">
        <f t="shared" si="17"/>
        <v>0</v>
      </c>
      <c r="H256" s="442">
        <f t="shared" si="17"/>
        <v>0</v>
      </c>
      <c r="I256" s="442">
        <f t="shared" si="17"/>
        <v>0</v>
      </c>
      <c r="J256" s="442">
        <f t="shared" si="17"/>
        <v>0</v>
      </c>
      <c r="K256" s="442">
        <f t="shared" si="17"/>
        <v>0</v>
      </c>
    </row>
    <row r="257" spans="1:11" s="285" customFormat="1" x14ac:dyDescent="0.25">
      <c r="A257" s="344"/>
      <c r="B257" s="151"/>
      <c r="C257" s="93" t="s">
        <v>518</v>
      </c>
      <c r="D257" s="442">
        <f>+D256+D252</f>
        <v>-6736</v>
      </c>
      <c r="E257" s="442">
        <f t="shared" ref="E257:K257" si="18">+E256+E252</f>
        <v>-7397.0959999999977</v>
      </c>
      <c r="F257" s="442">
        <f t="shared" si="18"/>
        <v>-7397.0959999999977</v>
      </c>
      <c r="G257" s="442">
        <f t="shared" si="18"/>
        <v>-7397.0959999999977</v>
      </c>
      <c r="H257" s="442">
        <f t="shared" si="18"/>
        <v>0</v>
      </c>
      <c r="I257" s="442">
        <f t="shared" si="18"/>
        <v>85614.372999999992</v>
      </c>
      <c r="J257" s="442">
        <f t="shared" si="18"/>
        <v>93127.778514999984</v>
      </c>
      <c r="K257" s="442">
        <f t="shared" si="18"/>
        <v>100766.17977629497</v>
      </c>
    </row>
    <row r="258" spans="1:11" s="285" customFormat="1" x14ac:dyDescent="0.25">
      <c r="A258" s="344"/>
      <c r="B258" s="151"/>
      <c r="C258" s="145" t="s">
        <v>195</v>
      </c>
      <c r="D258" s="442"/>
      <c r="E258" s="442"/>
      <c r="F258" s="442"/>
      <c r="G258" s="442"/>
      <c r="H258" s="442"/>
      <c r="I258" s="442"/>
      <c r="J258" s="442"/>
      <c r="K258" s="442"/>
    </row>
    <row r="259" spans="1:11" s="285" customFormat="1" x14ac:dyDescent="0.25">
      <c r="A259" s="118">
        <v>34</v>
      </c>
      <c r="B259" s="151">
        <v>1950</v>
      </c>
      <c r="C259" s="118" t="s">
        <v>196</v>
      </c>
      <c r="D259" s="442"/>
      <c r="E259" s="442"/>
      <c r="F259" s="442"/>
      <c r="G259" s="442"/>
      <c r="H259" s="442"/>
      <c r="I259" s="442"/>
      <c r="J259" s="442"/>
      <c r="K259" s="442"/>
    </row>
    <row r="260" spans="1:11" s="285" customFormat="1" x14ac:dyDescent="0.25">
      <c r="A260" s="344"/>
      <c r="B260" s="346"/>
      <c r="C260" s="94"/>
      <c r="D260" s="442">
        <f>SUM(D259)</f>
        <v>0</v>
      </c>
      <c r="E260" s="442">
        <f t="shared" ref="E260:K260" si="19">SUM(E259)</f>
        <v>0</v>
      </c>
      <c r="F260" s="442">
        <f t="shared" si="19"/>
        <v>0</v>
      </c>
      <c r="G260" s="442">
        <f t="shared" si="19"/>
        <v>0</v>
      </c>
      <c r="H260" s="442">
        <f t="shared" si="19"/>
        <v>0</v>
      </c>
      <c r="I260" s="442">
        <f t="shared" si="19"/>
        <v>0</v>
      </c>
      <c r="J260" s="442">
        <f t="shared" si="19"/>
        <v>0</v>
      </c>
      <c r="K260" s="442">
        <f t="shared" si="19"/>
        <v>0</v>
      </c>
    </row>
    <row r="261" spans="1:11" s="285" customFormat="1" x14ac:dyDescent="0.25">
      <c r="A261" s="348"/>
      <c r="B261" s="351"/>
      <c r="C261" s="93" t="s">
        <v>197</v>
      </c>
      <c r="D261" s="442">
        <f>+D260+D257</f>
        <v>-6736</v>
      </c>
      <c r="E261" s="442">
        <f t="shared" ref="E261:K261" si="20">+E260+E257</f>
        <v>-7397.0959999999977</v>
      </c>
      <c r="F261" s="442">
        <f t="shared" si="20"/>
        <v>-7397.0959999999977</v>
      </c>
      <c r="G261" s="442">
        <f t="shared" si="20"/>
        <v>-7397.0959999999977</v>
      </c>
      <c r="H261" s="442">
        <f t="shared" si="20"/>
        <v>0</v>
      </c>
      <c r="I261" s="442">
        <f t="shared" si="20"/>
        <v>85614.372999999992</v>
      </c>
      <c r="J261" s="442">
        <f t="shared" si="20"/>
        <v>93127.778514999984</v>
      </c>
      <c r="K261" s="442">
        <f t="shared" si="20"/>
        <v>100766.17977629497</v>
      </c>
    </row>
    <row r="262" spans="1:11" s="285" customFormat="1" x14ac:dyDescent="0.25">
      <c r="A262" s="349"/>
      <c r="B262" s="154"/>
      <c r="C262" s="126" t="s">
        <v>82</v>
      </c>
      <c r="D262" s="449">
        <f>D261-D165</f>
        <v>-1048215</v>
      </c>
      <c r="E262" s="161">
        <f>E261-E165</f>
        <v>-1224864.5959999999</v>
      </c>
      <c r="F262" s="161">
        <f>F261-F165</f>
        <v>-1224864.5959999999</v>
      </c>
      <c r="G262" s="449">
        <f>G261-G165</f>
        <v>-1224865.5959999999</v>
      </c>
      <c r="H262" s="449"/>
      <c r="I262" s="449">
        <f>I261-I165</f>
        <v>-1086397.6270000001</v>
      </c>
      <c r="J262" s="449">
        <f>J261-J165</f>
        <v>-1143345.716485</v>
      </c>
      <c r="K262" s="449">
        <f>K261-K165</f>
        <v>-1201241.1984587051</v>
      </c>
    </row>
    <row r="263" spans="1:11" s="285" customFormat="1" x14ac:dyDescent="0.25">
      <c r="A263" s="284"/>
      <c r="B263" s="352"/>
      <c r="G263" s="468"/>
      <c r="H263" s="468"/>
    </row>
    <row r="264" spans="1:11" s="285" customFormat="1" x14ac:dyDescent="0.25">
      <c r="A264" s="284"/>
      <c r="B264" s="352"/>
      <c r="G264" s="468"/>
      <c r="H264" s="468"/>
    </row>
    <row r="266" spans="1:11" x14ac:dyDescent="0.25">
      <c r="E266" s="128"/>
      <c r="F266" s="128"/>
      <c r="G266" s="128"/>
      <c r="H266" s="128"/>
      <c r="I266" s="128"/>
      <c r="J266" s="128"/>
    </row>
    <row r="267" spans="1:11" x14ac:dyDescent="0.25">
      <c r="C267" s="285"/>
      <c r="E267" s="128"/>
      <c r="F267" s="128"/>
      <c r="G267" s="128"/>
      <c r="H267" s="128"/>
      <c r="I267" s="128"/>
      <c r="J267" s="128"/>
      <c r="K267" s="109"/>
    </row>
    <row r="268" spans="1:11" x14ac:dyDescent="0.25">
      <c r="E268" s="128"/>
      <c r="F268" s="128"/>
      <c r="G268" s="128"/>
      <c r="H268" s="128"/>
      <c r="I268" s="128"/>
      <c r="J268" s="128"/>
    </row>
  </sheetData>
  <mergeCells count="3">
    <mergeCell ref="A3:C3"/>
    <mergeCell ref="A4:B5"/>
    <mergeCell ref="A169:B170"/>
  </mergeCells>
  <phoneticPr fontId="0" type="noConversion"/>
  <pageMargins left="0.74803149606299213" right="0.74803149606299213" top="0.98425196850393704" bottom="0.98425196850393704" header="0.51181102362204722" footer="0.51181102362204722"/>
  <pageSetup scale="55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>
    <tabColor rgb="FFFF0000"/>
    <pageSetUpPr fitToPage="1"/>
  </sheetPr>
  <dimension ref="A1:K268"/>
  <sheetViews>
    <sheetView view="pageBreakPreview" topLeftCell="A148" zoomScaleSheetLayoutView="100" workbookViewId="0">
      <selection activeCell="I161" sqref="I161:K161"/>
    </sheetView>
  </sheetViews>
  <sheetFormatPr defaultColWidth="9.109375" defaultRowHeight="13.2" x14ac:dyDescent="0.25"/>
  <cols>
    <col min="1" max="1" width="3.33203125" style="96" customWidth="1"/>
    <col min="2" max="2" width="9" style="131" customWidth="1"/>
    <col min="3" max="3" width="38.109375" style="96" customWidth="1"/>
    <col min="4" max="4" width="15" style="96" customWidth="1"/>
    <col min="5" max="5" width="14.5546875" style="96" customWidth="1"/>
    <col min="6" max="6" width="12.5546875" style="96" customWidth="1"/>
    <col min="7" max="7" width="15" style="434" customWidth="1"/>
    <col min="8" max="8" width="13.6640625" style="96" customWidth="1"/>
    <col min="9" max="9" width="13.6640625" style="434" customWidth="1"/>
    <col min="10" max="11" width="12.88671875" style="96" customWidth="1"/>
    <col min="12" max="16384" width="9.109375" style="96"/>
  </cols>
  <sheetData>
    <row r="1" spans="1:11" ht="12.75" customHeight="1" x14ac:dyDescent="0.25">
      <c r="A1" s="937" t="s">
        <v>361</v>
      </c>
      <c r="B1" s="938"/>
      <c r="C1" s="938"/>
      <c r="D1" s="938"/>
      <c r="E1" s="938"/>
      <c r="F1" s="938"/>
      <c r="G1" s="938"/>
      <c r="H1" s="938"/>
      <c r="I1" s="938"/>
      <c r="J1" s="938"/>
      <c r="K1" s="938"/>
    </row>
    <row r="2" spans="1:11" ht="12.75" customHeight="1" x14ac:dyDescent="0.25">
      <c r="A2" s="552"/>
      <c r="B2" s="553"/>
      <c r="C2" s="553"/>
      <c r="D2" s="553"/>
      <c r="E2" s="553"/>
      <c r="F2" s="553"/>
      <c r="G2" s="553"/>
      <c r="H2" s="553"/>
      <c r="I2" s="553"/>
      <c r="J2" s="553"/>
      <c r="K2" s="553"/>
    </row>
    <row r="3" spans="1:11" s="285" customFormat="1" x14ac:dyDescent="0.25">
      <c r="A3" s="941" t="s">
        <v>415</v>
      </c>
      <c r="B3" s="942"/>
      <c r="C3" s="943"/>
      <c r="D3" s="149"/>
      <c r="E3" s="548"/>
      <c r="F3" s="548"/>
      <c r="G3" s="149"/>
      <c r="H3" s="548"/>
      <c r="I3" s="581"/>
      <c r="J3" s="548"/>
      <c r="K3" s="548"/>
    </row>
    <row r="4" spans="1:11" s="285" customFormat="1" x14ac:dyDescent="0.25">
      <c r="A4" s="944" t="s">
        <v>21</v>
      </c>
      <c r="B4" s="945"/>
      <c r="C4" s="150" t="s">
        <v>22</v>
      </c>
      <c r="D4" s="103" t="s">
        <v>23</v>
      </c>
      <c r="E4" s="104" t="s">
        <v>24</v>
      </c>
      <c r="F4" s="103" t="s">
        <v>535</v>
      </c>
      <c r="G4" s="103" t="s">
        <v>413</v>
      </c>
      <c r="H4" s="104" t="s">
        <v>24</v>
      </c>
      <c r="I4" s="583" t="s">
        <v>24</v>
      </c>
      <c r="J4" s="583" t="s">
        <v>24</v>
      </c>
      <c r="K4" s="583" t="s">
        <v>24</v>
      </c>
    </row>
    <row r="5" spans="1:11" s="285" customFormat="1" x14ac:dyDescent="0.25">
      <c r="A5" s="946"/>
      <c r="B5" s="947"/>
      <c r="C5" s="106"/>
      <c r="D5" s="333" t="s">
        <v>257</v>
      </c>
      <c r="E5" s="107" t="s">
        <v>382</v>
      </c>
      <c r="F5" s="107" t="s">
        <v>382</v>
      </c>
      <c r="G5" s="333" t="s">
        <v>382</v>
      </c>
      <c r="H5" s="107" t="s">
        <v>407</v>
      </c>
      <c r="I5" s="586" t="s">
        <v>414</v>
      </c>
      <c r="J5" s="586" t="s">
        <v>530</v>
      </c>
      <c r="K5" s="586" t="s">
        <v>886</v>
      </c>
    </row>
    <row r="6" spans="1:11" s="285" customFormat="1" x14ac:dyDescent="0.25">
      <c r="A6" s="344"/>
      <c r="B6" s="151"/>
      <c r="C6" s="93" t="s">
        <v>33</v>
      </c>
      <c r="D6" s="428"/>
      <c r="E6" s="428"/>
      <c r="F6" s="428"/>
      <c r="G6" s="428"/>
      <c r="H6" s="428"/>
      <c r="I6" s="428"/>
      <c r="J6" s="428"/>
      <c r="K6" s="428"/>
    </row>
    <row r="7" spans="1:11" s="285" customFormat="1" x14ac:dyDescent="0.25">
      <c r="A7" s="118">
        <v>38</v>
      </c>
      <c r="B7" s="155">
        <v>5005</v>
      </c>
      <c r="C7" s="94" t="s">
        <v>241</v>
      </c>
      <c r="D7" s="428">
        <v>2400</v>
      </c>
      <c r="E7" s="428">
        <v>6500</v>
      </c>
      <c r="F7" s="428">
        <v>6500</v>
      </c>
      <c r="G7" s="428">
        <v>6500</v>
      </c>
      <c r="H7" s="428">
        <f t="shared" ref="H7:H16" si="0">(F7*0.068)+F7</f>
        <v>6942</v>
      </c>
      <c r="I7" s="428">
        <f>+H7*1.058</f>
        <v>7344.6360000000004</v>
      </c>
      <c r="J7" s="428">
        <f>+I7*1.055</f>
        <v>7748.5909799999999</v>
      </c>
      <c r="K7" s="428">
        <f>+J7*1.053</f>
        <v>8159.2663019399997</v>
      </c>
    </row>
    <row r="8" spans="1:11" s="285" customFormat="1" hidden="1" x14ac:dyDescent="0.25">
      <c r="A8" s="118">
        <v>38</v>
      </c>
      <c r="B8" s="151">
        <v>5010</v>
      </c>
      <c r="C8" s="94" t="s">
        <v>34</v>
      </c>
      <c r="D8" s="428">
        <v>0</v>
      </c>
      <c r="E8" s="428"/>
      <c r="F8" s="428">
        <v>0</v>
      </c>
      <c r="G8" s="428">
        <v>0</v>
      </c>
      <c r="H8" s="428">
        <f t="shared" si="0"/>
        <v>0</v>
      </c>
      <c r="I8" s="428">
        <f t="shared" ref="I8:I17" si="1">+H8*1.058</f>
        <v>0</v>
      </c>
      <c r="J8" s="428">
        <f t="shared" ref="J8:J17" si="2">+I8*1.055</f>
        <v>0</v>
      </c>
      <c r="K8" s="428">
        <f t="shared" ref="K8:K17" si="3">+J8*1.053</f>
        <v>0</v>
      </c>
    </row>
    <row r="9" spans="1:11" s="285" customFormat="1" x14ac:dyDescent="0.25">
      <c r="A9" s="118">
        <v>38</v>
      </c>
      <c r="B9" s="151">
        <v>5015</v>
      </c>
      <c r="C9" s="94" t="s">
        <v>35</v>
      </c>
      <c r="D9" s="428">
        <v>12530</v>
      </c>
      <c r="E9" s="428">
        <v>7000</v>
      </c>
      <c r="F9" s="428">
        <v>7000</v>
      </c>
      <c r="G9" s="428">
        <v>7000</v>
      </c>
      <c r="H9" s="428">
        <f t="shared" si="0"/>
        <v>7476</v>
      </c>
      <c r="I9" s="428">
        <f t="shared" si="1"/>
        <v>7909.6080000000002</v>
      </c>
      <c r="J9" s="428">
        <f t="shared" si="2"/>
        <v>8344.6364400000002</v>
      </c>
      <c r="K9" s="428">
        <f t="shared" si="3"/>
        <v>8786.90217132</v>
      </c>
    </row>
    <row r="10" spans="1:11" s="285" customFormat="1" x14ac:dyDescent="0.25">
      <c r="A10" s="118">
        <v>38</v>
      </c>
      <c r="B10" s="151">
        <v>5020</v>
      </c>
      <c r="C10" s="94" t="s">
        <v>350</v>
      </c>
      <c r="D10" s="428">
        <v>0</v>
      </c>
      <c r="E10" s="428"/>
      <c r="F10" s="428">
        <v>0</v>
      </c>
      <c r="G10" s="428">
        <v>0</v>
      </c>
      <c r="H10" s="428">
        <f t="shared" si="0"/>
        <v>0</v>
      </c>
      <c r="I10" s="428">
        <f t="shared" si="1"/>
        <v>0</v>
      </c>
      <c r="J10" s="428">
        <f t="shared" si="2"/>
        <v>0</v>
      </c>
      <c r="K10" s="428">
        <f t="shared" si="3"/>
        <v>0</v>
      </c>
    </row>
    <row r="11" spans="1:11" s="285" customFormat="1" hidden="1" x14ac:dyDescent="0.25">
      <c r="A11" s="118">
        <v>38</v>
      </c>
      <c r="B11" s="151">
        <v>5025</v>
      </c>
      <c r="C11" s="94" t="s">
        <v>36</v>
      </c>
      <c r="D11" s="428">
        <v>0</v>
      </c>
      <c r="E11" s="428"/>
      <c r="F11" s="428"/>
      <c r="G11" s="428"/>
      <c r="H11" s="428">
        <f t="shared" si="0"/>
        <v>0</v>
      </c>
      <c r="I11" s="428">
        <f t="shared" si="1"/>
        <v>0</v>
      </c>
      <c r="J11" s="428">
        <f t="shared" si="2"/>
        <v>0</v>
      </c>
      <c r="K11" s="428">
        <f t="shared" si="3"/>
        <v>0</v>
      </c>
    </row>
    <row r="12" spans="1:11" s="285" customFormat="1" x14ac:dyDescent="0.25">
      <c r="A12" s="118">
        <v>38</v>
      </c>
      <c r="B12" s="151">
        <v>5030</v>
      </c>
      <c r="C12" s="94" t="s">
        <v>85</v>
      </c>
      <c r="D12" s="428">
        <v>69500</v>
      </c>
      <c r="E12" s="428">
        <v>118000</v>
      </c>
      <c r="F12" s="428">
        <v>118000</v>
      </c>
      <c r="G12" s="428">
        <v>118000</v>
      </c>
      <c r="H12" s="428">
        <f t="shared" si="0"/>
        <v>126024</v>
      </c>
      <c r="I12" s="428">
        <f t="shared" si="1"/>
        <v>133333.39199999999</v>
      </c>
      <c r="J12" s="428">
        <f t="shared" si="2"/>
        <v>140666.72855999999</v>
      </c>
      <c r="K12" s="428">
        <f t="shared" si="3"/>
        <v>148122.06517367999</v>
      </c>
    </row>
    <row r="13" spans="1:11" s="285" customFormat="1" hidden="1" x14ac:dyDescent="0.25">
      <c r="A13" s="118">
        <v>38</v>
      </c>
      <c r="B13" s="151">
        <v>5035</v>
      </c>
      <c r="C13" s="94" t="s">
        <v>84</v>
      </c>
      <c r="D13" s="428">
        <v>0</v>
      </c>
      <c r="E13" s="428"/>
      <c r="F13" s="428">
        <v>0</v>
      </c>
      <c r="G13" s="428">
        <v>0</v>
      </c>
      <c r="H13" s="428">
        <f t="shared" si="0"/>
        <v>0</v>
      </c>
      <c r="I13" s="428">
        <f t="shared" si="1"/>
        <v>0</v>
      </c>
      <c r="J13" s="428">
        <f t="shared" si="2"/>
        <v>0</v>
      </c>
      <c r="K13" s="428">
        <f t="shared" si="3"/>
        <v>0</v>
      </c>
    </row>
    <row r="14" spans="1:11" s="285" customFormat="1" x14ac:dyDescent="0.25">
      <c r="A14" s="118">
        <v>38</v>
      </c>
      <c r="B14" s="151">
        <v>5040</v>
      </c>
      <c r="C14" s="94" t="s">
        <v>37</v>
      </c>
      <c r="D14" s="428">
        <v>27100</v>
      </c>
      <c r="E14" s="428">
        <v>72000</v>
      </c>
      <c r="F14" s="428">
        <v>72000</v>
      </c>
      <c r="G14" s="428">
        <v>72000</v>
      </c>
      <c r="H14" s="428">
        <f t="shared" si="0"/>
        <v>76896</v>
      </c>
      <c r="I14" s="428">
        <f t="shared" si="1"/>
        <v>81355.968000000008</v>
      </c>
      <c r="J14" s="428">
        <f t="shared" si="2"/>
        <v>85830.546240000011</v>
      </c>
      <c r="K14" s="428">
        <f t="shared" si="3"/>
        <v>90379.565190720008</v>
      </c>
    </row>
    <row r="15" spans="1:11" s="285" customFormat="1" hidden="1" x14ac:dyDescent="0.25">
      <c r="A15" s="118">
        <v>38</v>
      </c>
      <c r="B15" s="151">
        <v>5045</v>
      </c>
      <c r="C15" s="94" t="s">
        <v>38</v>
      </c>
      <c r="D15" s="428">
        <v>0</v>
      </c>
      <c r="E15" s="428"/>
      <c r="F15" s="428">
        <v>0</v>
      </c>
      <c r="G15" s="428">
        <v>0</v>
      </c>
      <c r="H15" s="428">
        <f t="shared" si="0"/>
        <v>0</v>
      </c>
      <c r="I15" s="428">
        <f t="shared" si="1"/>
        <v>0</v>
      </c>
      <c r="J15" s="428">
        <f t="shared" si="2"/>
        <v>0</v>
      </c>
      <c r="K15" s="428">
        <f t="shared" si="3"/>
        <v>0</v>
      </c>
    </row>
    <row r="16" spans="1:11" s="285" customFormat="1" x14ac:dyDescent="0.25">
      <c r="A16" s="118">
        <v>38</v>
      </c>
      <c r="B16" s="151">
        <v>5050</v>
      </c>
      <c r="C16" s="94" t="s">
        <v>83</v>
      </c>
      <c r="D16" s="428">
        <v>54100</v>
      </c>
      <c r="E16" s="428">
        <v>13000</v>
      </c>
      <c r="F16" s="428">
        <v>13000</v>
      </c>
      <c r="G16" s="428">
        <v>13000</v>
      </c>
      <c r="H16" s="428">
        <f t="shared" si="0"/>
        <v>13884</v>
      </c>
      <c r="I16" s="428">
        <f t="shared" si="1"/>
        <v>14689.272000000001</v>
      </c>
      <c r="J16" s="428">
        <f t="shared" si="2"/>
        <v>15497.18196</v>
      </c>
      <c r="K16" s="428">
        <f t="shared" si="3"/>
        <v>16318.532603879999</v>
      </c>
    </row>
    <row r="17" spans="1:11" s="285" customFormat="1" x14ac:dyDescent="0.25">
      <c r="A17" s="118">
        <v>38</v>
      </c>
      <c r="B17" s="151">
        <v>5055</v>
      </c>
      <c r="C17" s="94" t="s">
        <v>39</v>
      </c>
      <c r="D17" s="428">
        <v>327400</v>
      </c>
      <c r="E17" s="428">
        <v>865000</v>
      </c>
      <c r="F17" s="428">
        <v>865000</v>
      </c>
      <c r="G17" s="428">
        <v>865000</v>
      </c>
      <c r="H17" s="428">
        <v>723820</v>
      </c>
      <c r="I17" s="428">
        <f t="shared" si="1"/>
        <v>765801.56</v>
      </c>
      <c r="J17" s="428">
        <f t="shared" si="2"/>
        <v>807920.64580000006</v>
      </c>
      <c r="K17" s="428">
        <f t="shared" si="3"/>
        <v>850740.44002740004</v>
      </c>
    </row>
    <row r="18" spans="1:11" s="285" customFormat="1" x14ac:dyDescent="0.25">
      <c r="A18" s="344"/>
      <c r="B18" s="151"/>
      <c r="C18" s="94"/>
      <c r="D18" s="429">
        <f t="shared" ref="D18:K18" si="4">SUM(D7:D17)</f>
        <v>493030</v>
      </c>
      <c r="E18" s="429">
        <f t="shared" si="4"/>
        <v>1081500</v>
      </c>
      <c r="F18" s="429">
        <f t="shared" si="4"/>
        <v>1081500</v>
      </c>
      <c r="G18" s="429">
        <f t="shared" si="4"/>
        <v>1081500</v>
      </c>
      <c r="H18" s="429">
        <f t="shared" si="4"/>
        <v>955042</v>
      </c>
      <c r="I18" s="429">
        <f t="shared" si="4"/>
        <v>1010434.436</v>
      </c>
      <c r="J18" s="429">
        <f t="shared" si="4"/>
        <v>1066008.3299800002</v>
      </c>
      <c r="K18" s="429">
        <f t="shared" si="4"/>
        <v>1122506.77146894</v>
      </c>
    </row>
    <row r="19" spans="1:11" s="285" customFormat="1" x14ac:dyDescent="0.25">
      <c r="A19" s="344"/>
      <c r="B19" s="151"/>
      <c r="C19" s="93" t="s">
        <v>40</v>
      </c>
      <c r="D19" s="428"/>
      <c r="E19" s="86"/>
      <c r="F19" s="428"/>
      <c r="G19" s="428"/>
      <c r="H19" s="86"/>
      <c r="I19" s="86"/>
      <c r="J19" s="86"/>
      <c r="K19" s="86"/>
    </row>
    <row r="20" spans="1:11" s="285" customFormat="1" x14ac:dyDescent="0.25">
      <c r="A20" s="118">
        <v>38</v>
      </c>
      <c r="B20" s="151">
        <v>5105</v>
      </c>
      <c r="C20" s="94" t="s">
        <v>41</v>
      </c>
      <c r="D20" s="428">
        <v>52100</v>
      </c>
      <c r="E20" s="428">
        <v>142000</v>
      </c>
      <c r="F20" s="428">
        <v>142000</v>
      </c>
      <c r="G20" s="428">
        <v>142000</v>
      </c>
      <c r="H20" s="428">
        <v>111656</v>
      </c>
      <c r="I20" s="428">
        <f>+H20*1.058</f>
        <v>118132.04800000001</v>
      </c>
      <c r="J20" s="428">
        <f>+I20*1.055</f>
        <v>124629.31064</v>
      </c>
      <c r="K20" s="428">
        <f>+J20*1.053</f>
        <v>131234.66410391999</v>
      </c>
    </row>
    <row r="21" spans="1:11" s="285" customFormat="1" x14ac:dyDescent="0.25">
      <c r="A21" s="118">
        <v>38</v>
      </c>
      <c r="B21" s="151">
        <v>5115</v>
      </c>
      <c r="C21" s="94" t="s">
        <v>42</v>
      </c>
      <c r="D21" s="428">
        <v>58750</v>
      </c>
      <c r="E21" s="428">
        <v>156000</v>
      </c>
      <c r="F21" s="428">
        <v>156000</v>
      </c>
      <c r="G21" s="428">
        <v>156000</v>
      </c>
      <c r="H21" s="428">
        <f>(F21*0.068)+F21</f>
        <v>166608</v>
      </c>
      <c r="I21" s="428">
        <f>+H21*1.058</f>
        <v>176271.264</v>
      </c>
      <c r="J21" s="428">
        <f>+I21*1.055</f>
        <v>185966.18351999999</v>
      </c>
      <c r="K21" s="428">
        <f>+J21*1.053</f>
        <v>195822.39124655997</v>
      </c>
    </row>
    <row r="22" spans="1:11" s="285" customFormat="1" hidden="1" x14ac:dyDescent="0.25">
      <c r="A22" s="118">
        <v>38</v>
      </c>
      <c r="B22" s="151">
        <v>5120</v>
      </c>
      <c r="C22" s="94" t="s">
        <v>43</v>
      </c>
      <c r="D22" s="428">
        <v>0</v>
      </c>
      <c r="E22" s="428"/>
      <c r="F22" s="428">
        <v>0</v>
      </c>
      <c r="G22" s="428">
        <v>0</v>
      </c>
      <c r="H22" s="428">
        <f>(F22*0.068)+F22</f>
        <v>0</v>
      </c>
      <c r="I22" s="428">
        <f>+H22*1.058</f>
        <v>0</v>
      </c>
      <c r="J22" s="428">
        <f>+I22*1.055</f>
        <v>0</v>
      </c>
      <c r="K22" s="428">
        <f>+J22*1.053</f>
        <v>0</v>
      </c>
    </row>
    <row r="23" spans="1:11" s="285" customFormat="1" hidden="1" x14ac:dyDescent="0.25">
      <c r="A23" s="118">
        <v>38</v>
      </c>
      <c r="B23" s="151">
        <v>5125</v>
      </c>
      <c r="C23" s="94" t="s">
        <v>44</v>
      </c>
      <c r="D23" s="428">
        <v>0</v>
      </c>
      <c r="E23" s="428"/>
      <c r="F23" s="428">
        <v>0</v>
      </c>
      <c r="G23" s="428">
        <v>0</v>
      </c>
      <c r="H23" s="428">
        <f>(F23*0.068)+F23</f>
        <v>0</v>
      </c>
      <c r="I23" s="428">
        <f>+H23*1.058</f>
        <v>0</v>
      </c>
      <c r="J23" s="428">
        <f>+I23*1.055</f>
        <v>0</v>
      </c>
      <c r="K23" s="428">
        <f>+J23*1.053</f>
        <v>0</v>
      </c>
    </row>
    <row r="24" spans="1:11" s="285" customFormat="1" x14ac:dyDescent="0.25">
      <c r="A24" s="118">
        <v>38</v>
      </c>
      <c r="B24" s="151">
        <v>5130</v>
      </c>
      <c r="C24" s="94" t="s">
        <v>45</v>
      </c>
      <c r="D24" s="428">
        <v>3240</v>
      </c>
      <c r="E24" s="428">
        <v>9600</v>
      </c>
      <c r="F24" s="428">
        <v>9600</v>
      </c>
      <c r="G24" s="428">
        <v>9600</v>
      </c>
      <c r="H24" s="428">
        <f>(F24*0.068)+F24</f>
        <v>10252.799999999999</v>
      </c>
      <c r="I24" s="428">
        <f>+H24*1.058</f>
        <v>10847.4624</v>
      </c>
      <c r="J24" s="428">
        <f>+I24*1.055</f>
        <v>11444.072832</v>
      </c>
      <c r="K24" s="428">
        <f>+J24*1.053</f>
        <v>12050.608692095999</v>
      </c>
    </row>
    <row r="25" spans="1:11" s="285" customFormat="1" x14ac:dyDescent="0.25">
      <c r="A25" s="344"/>
      <c r="B25" s="151"/>
      <c r="C25" s="94"/>
      <c r="D25" s="429">
        <f t="shared" ref="D25:K25" si="5">SUM(D20:D24)</f>
        <v>114090</v>
      </c>
      <c r="E25" s="429">
        <f t="shared" si="5"/>
        <v>307600</v>
      </c>
      <c r="F25" s="429">
        <f t="shared" si="5"/>
        <v>307600</v>
      </c>
      <c r="G25" s="429">
        <f t="shared" si="5"/>
        <v>307600</v>
      </c>
      <c r="H25" s="429">
        <f t="shared" si="5"/>
        <v>288516.8</v>
      </c>
      <c r="I25" s="429">
        <f t="shared" si="5"/>
        <v>305250.77440000005</v>
      </c>
      <c r="J25" s="429">
        <f t="shared" si="5"/>
        <v>322039.56699199998</v>
      </c>
      <c r="K25" s="429">
        <f t="shared" si="5"/>
        <v>339107.66404257598</v>
      </c>
    </row>
    <row r="26" spans="1:11" s="285" customFormat="1" hidden="1" x14ac:dyDescent="0.25">
      <c r="A26" s="344"/>
      <c r="B26" s="151"/>
      <c r="C26" s="93" t="s">
        <v>46</v>
      </c>
      <c r="D26" s="428"/>
      <c r="E26" s="86"/>
      <c r="F26" s="86"/>
      <c r="G26" s="428"/>
      <c r="H26" s="86"/>
      <c r="I26" s="86"/>
      <c r="J26" s="86"/>
      <c r="K26" s="86"/>
    </row>
    <row r="27" spans="1:11" s="285" customFormat="1" hidden="1" x14ac:dyDescent="0.25">
      <c r="A27" s="344"/>
      <c r="B27" s="151"/>
      <c r="C27" s="93" t="s">
        <v>47</v>
      </c>
      <c r="D27" s="428"/>
      <c r="E27" s="86"/>
      <c r="F27" s="86"/>
      <c r="G27" s="428"/>
      <c r="H27" s="86"/>
      <c r="I27" s="86"/>
      <c r="J27" s="86"/>
      <c r="K27" s="86"/>
    </row>
    <row r="28" spans="1:11" s="285" customFormat="1" hidden="1" x14ac:dyDescent="0.25">
      <c r="A28" s="118">
        <v>38</v>
      </c>
      <c r="B28" s="151">
        <v>5150</v>
      </c>
      <c r="C28" s="94" t="s">
        <v>48</v>
      </c>
      <c r="D28" s="428"/>
      <c r="E28" s="428"/>
      <c r="F28" s="428">
        <v>0</v>
      </c>
      <c r="G28" s="428">
        <v>0</v>
      </c>
      <c r="H28" s="428"/>
      <c r="I28" s="428"/>
      <c r="J28" s="428"/>
      <c r="K28" s="428"/>
    </row>
    <row r="29" spans="1:11" s="285" customFormat="1" hidden="1" x14ac:dyDescent="0.25">
      <c r="A29" s="344"/>
      <c r="B29" s="151"/>
      <c r="C29" s="94"/>
      <c r="D29" s="429"/>
      <c r="E29" s="429">
        <f>E28</f>
        <v>0</v>
      </c>
      <c r="F29" s="429">
        <v>0</v>
      </c>
      <c r="G29" s="429">
        <v>0</v>
      </c>
      <c r="H29" s="429"/>
      <c r="I29" s="429"/>
      <c r="J29" s="429"/>
      <c r="K29" s="429"/>
    </row>
    <row r="30" spans="1:11" s="285" customFormat="1" hidden="1" x14ac:dyDescent="0.25">
      <c r="A30" s="344"/>
      <c r="B30" s="151"/>
      <c r="C30" s="93" t="s">
        <v>49</v>
      </c>
      <c r="D30" s="428"/>
      <c r="E30" s="86"/>
      <c r="F30" s="86"/>
      <c r="G30" s="428"/>
      <c r="H30" s="86"/>
      <c r="I30" s="86"/>
      <c r="J30" s="86"/>
      <c r="K30" s="86"/>
    </row>
    <row r="31" spans="1:11" s="285" customFormat="1" hidden="1" x14ac:dyDescent="0.25">
      <c r="A31" s="118">
        <v>38</v>
      </c>
      <c r="B31" s="151">
        <v>5170</v>
      </c>
      <c r="C31" s="94" t="s">
        <v>341</v>
      </c>
      <c r="D31" s="428"/>
      <c r="E31" s="425"/>
      <c r="F31" s="428"/>
      <c r="G31" s="428"/>
      <c r="H31" s="428"/>
      <c r="I31" s="428"/>
      <c r="J31" s="428"/>
      <c r="K31" s="428"/>
    </row>
    <row r="32" spans="1:11" s="285" customFormat="1" hidden="1" x14ac:dyDescent="0.25">
      <c r="A32" s="344"/>
      <c r="B32" s="151"/>
      <c r="C32" s="94"/>
      <c r="D32" s="429"/>
      <c r="E32" s="429">
        <f>SUM(E31)</f>
        <v>0</v>
      </c>
      <c r="F32" s="429">
        <v>0</v>
      </c>
      <c r="G32" s="429">
        <v>0</v>
      </c>
      <c r="H32" s="429"/>
      <c r="I32" s="429"/>
      <c r="J32" s="429"/>
      <c r="K32" s="429"/>
    </row>
    <row r="33" spans="1:11" s="285" customFormat="1" hidden="1" x14ac:dyDescent="0.25">
      <c r="A33" s="344"/>
      <c r="B33" s="151"/>
      <c r="C33" s="93" t="s">
        <v>50</v>
      </c>
      <c r="D33" s="428"/>
      <c r="E33" s="86"/>
      <c r="F33" s="86"/>
      <c r="G33" s="428"/>
      <c r="H33" s="86"/>
      <c r="I33" s="86"/>
      <c r="J33" s="86"/>
      <c r="K33" s="86"/>
    </row>
    <row r="34" spans="1:11" s="285" customFormat="1" hidden="1" x14ac:dyDescent="0.25">
      <c r="A34" s="118">
        <v>38</v>
      </c>
      <c r="B34" s="151">
        <v>5180</v>
      </c>
      <c r="C34" s="94" t="s">
        <v>51</v>
      </c>
      <c r="D34" s="428"/>
      <c r="E34" s="425"/>
      <c r="F34" s="428"/>
      <c r="G34" s="428"/>
      <c r="H34" s="428"/>
      <c r="I34" s="428"/>
      <c r="J34" s="428"/>
      <c r="K34" s="425"/>
    </row>
    <row r="35" spans="1:11" s="285" customFormat="1" hidden="1" x14ac:dyDescent="0.25">
      <c r="A35" s="344"/>
      <c r="B35" s="151"/>
      <c r="C35" s="94"/>
      <c r="D35" s="429"/>
      <c r="E35" s="429">
        <f>SUM(E34)</f>
        <v>0</v>
      </c>
      <c r="F35" s="429">
        <v>0</v>
      </c>
      <c r="G35" s="429">
        <v>0</v>
      </c>
      <c r="H35" s="429"/>
      <c r="I35" s="429"/>
      <c r="J35" s="429"/>
      <c r="K35" s="429"/>
    </row>
    <row r="36" spans="1:11" s="285" customFormat="1" hidden="1" x14ac:dyDescent="0.25">
      <c r="A36" s="344"/>
      <c r="B36" s="151"/>
      <c r="C36" s="93" t="s">
        <v>52</v>
      </c>
      <c r="D36" s="428"/>
      <c r="E36" s="86"/>
      <c r="F36" s="86"/>
      <c r="G36" s="428"/>
      <c r="H36" s="86"/>
      <c r="I36" s="86"/>
      <c r="J36" s="86"/>
      <c r="K36" s="86"/>
    </row>
    <row r="37" spans="1:11" s="285" customFormat="1" hidden="1" x14ac:dyDescent="0.25">
      <c r="A37" s="118">
        <v>38</v>
      </c>
      <c r="B37" s="151">
        <v>5190</v>
      </c>
      <c r="C37" s="94" t="s">
        <v>53</v>
      </c>
      <c r="D37" s="428"/>
      <c r="E37" s="425"/>
      <c r="F37" s="428"/>
      <c r="G37" s="428"/>
      <c r="H37" s="428"/>
      <c r="I37" s="428"/>
      <c r="J37" s="428"/>
      <c r="K37" s="428"/>
    </row>
    <row r="38" spans="1:11" s="285" customFormat="1" hidden="1" x14ac:dyDescent="0.25">
      <c r="A38" s="344"/>
      <c r="B38" s="151"/>
      <c r="C38" s="94"/>
      <c r="D38" s="429"/>
      <c r="E38" s="429">
        <f>E37</f>
        <v>0</v>
      </c>
      <c r="F38" s="429">
        <v>0</v>
      </c>
      <c r="G38" s="429">
        <v>0</v>
      </c>
      <c r="H38" s="429"/>
      <c r="I38" s="429"/>
      <c r="J38" s="429"/>
      <c r="K38" s="429"/>
    </row>
    <row r="39" spans="1:11" s="285" customFormat="1" x14ac:dyDescent="0.25">
      <c r="A39" s="344"/>
      <c r="B39" s="151"/>
      <c r="C39" s="93" t="s">
        <v>54</v>
      </c>
      <c r="D39" s="428"/>
      <c r="E39" s="86"/>
      <c r="F39" s="86"/>
      <c r="G39" s="428"/>
      <c r="H39" s="86"/>
      <c r="I39" s="86"/>
      <c r="J39" s="86"/>
      <c r="K39" s="86"/>
    </row>
    <row r="40" spans="1:11" s="285" customFormat="1" hidden="1" x14ac:dyDescent="0.25">
      <c r="A40" s="118">
        <v>38</v>
      </c>
      <c r="B40" s="151">
        <v>5200</v>
      </c>
      <c r="C40" s="94" t="s">
        <v>55</v>
      </c>
      <c r="D40" s="428"/>
      <c r="E40" s="425"/>
      <c r="F40" s="428">
        <v>0</v>
      </c>
      <c r="G40" s="428">
        <v>0</v>
      </c>
      <c r="H40" s="428"/>
      <c r="I40" s="428"/>
      <c r="J40" s="428"/>
      <c r="K40" s="428"/>
    </row>
    <row r="41" spans="1:11" s="285" customFormat="1" hidden="1" x14ac:dyDescent="0.25">
      <c r="A41" s="118">
        <v>38</v>
      </c>
      <c r="B41" s="151">
        <v>5205</v>
      </c>
      <c r="C41" s="94" t="s">
        <v>56</v>
      </c>
      <c r="D41" s="428"/>
      <c r="E41" s="425"/>
      <c r="F41" s="428">
        <v>0</v>
      </c>
      <c r="G41" s="428">
        <v>0</v>
      </c>
      <c r="H41" s="428"/>
      <c r="I41" s="428"/>
      <c r="J41" s="428"/>
      <c r="K41" s="428"/>
    </row>
    <row r="42" spans="1:11" s="285" customFormat="1" hidden="1" x14ac:dyDescent="0.25">
      <c r="A42" s="118">
        <v>38</v>
      </c>
      <c r="B42" s="151">
        <v>5210</v>
      </c>
      <c r="C42" s="94" t="s">
        <v>57</v>
      </c>
      <c r="D42" s="428"/>
      <c r="E42" s="425"/>
      <c r="F42" s="428">
        <v>0</v>
      </c>
      <c r="G42" s="428">
        <v>0</v>
      </c>
      <c r="H42" s="428"/>
      <c r="I42" s="428"/>
      <c r="J42" s="428"/>
      <c r="K42" s="428"/>
    </row>
    <row r="43" spans="1:11" s="285" customFormat="1" hidden="1" x14ac:dyDescent="0.25">
      <c r="A43" s="118">
        <v>38</v>
      </c>
      <c r="B43" s="151">
        <v>5215</v>
      </c>
      <c r="C43" s="94" t="s">
        <v>95</v>
      </c>
      <c r="D43" s="428"/>
      <c r="E43" s="425"/>
      <c r="F43" s="428">
        <v>0</v>
      </c>
      <c r="G43" s="428">
        <v>0</v>
      </c>
      <c r="H43" s="428"/>
      <c r="I43" s="428"/>
      <c r="J43" s="428"/>
      <c r="K43" s="428"/>
    </row>
    <row r="44" spans="1:11" s="285" customFormat="1" hidden="1" x14ac:dyDescent="0.25">
      <c r="A44" s="118">
        <v>38</v>
      </c>
      <c r="B44" s="151">
        <v>5220</v>
      </c>
      <c r="C44" s="94" t="s">
        <v>58</v>
      </c>
      <c r="D44" s="428"/>
      <c r="E44" s="425"/>
      <c r="F44" s="428">
        <v>0</v>
      </c>
      <c r="G44" s="428">
        <v>0</v>
      </c>
      <c r="H44" s="428"/>
      <c r="I44" s="428"/>
      <c r="J44" s="428"/>
      <c r="K44" s="428"/>
    </row>
    <row r="45" spans="1:11" s="285" customFormat="1" hidden="1" x14ac:dyDescent="0.25">
      <c r="A45" s="118">
        <v>38</v>
      </c>
      <c r="B45" s="151">
        <v>5225</v>
      </c>
      <c r="C45" s="94" t="s">
        <v>92</v>
      </c>
      <c r="D45" s="428"/>
      <c r="E45" s="425"/>
      <c r="F45" s="428">
        <v>0</v>
      </c>
      <c r="G45" s="428">
        <v>0</v>
      </c>
      <c r="H45" s="428"/>
      <c r="I45" s="428"/>
      <c r="J45" s="428"/>
      <c r="K45" s="428"/>
    </row>
    <row r="46" spans="1:11" s="285" customFormat="1" hidden="1" x14ac:dyDescent="0.25">
      <c r="A46" s="118">
        <v>38</v>
      </c>
      <c r="B46" s="151">
        <v>5230</v>
      </c>
      <c r="C46" s="94" t="s">
        <v>86</v>
      </c>
      <c r="D46" s="428"/>
      <c r="E46" s="425"/>
      <c r="F46" s="428">
        <v>0</v>
      </c>
      <c r="G46" s="428">
        <v>0</v>
      </c>
      <c r="H46" s="428"/>
      <c r="I46" s="428"/>
      <c r="J46" s="428"/>
      <c r="K46" s="428"/>
    </row>
    <row r="47" spans="1:11" s="285" customFormat="1" hidden="1" x14ac:dyDescent="0.25">
      <c r="A47" s="118">
        <v>38</v>
      </c>
      <c r="B47" s="151">
        <v>5235</v>
      </c>
      <c r="C47" s="94" t="s">
        <v>124</v>
      </c>
      <c r="D47" s="428"/>
      <c r="E47" s="425"/>
      <c r="F47" s="428">
        <v>0</v>
      </c>
      <c r="G47" s="428">
        <v>0</v>
      </c>
      <c r="H47" s="428"/>
      <c r="I47" s="428"/>
      <c r="J47" s="428"/>
      <c r="K47" s="428"/>
    </row>
    <row r="48" spans="1:11" s="285" customFormat="1" hidden="1" x14ac:dyDescent="0.25">
      <c r="A48" s="118">
        <v>38</v>
      </c>
      <c r="B48" s="151">
        <v>5240</v>
      </c>
      <c r="C48" s="94" t="s">
        <v>59</v>
      </c>
      <c r="D48" s="428"/>
      <c r="E48" s="425"/>
      <c r="F48" s="428">
        <v>0</v>
      </c>
      <c r="G48" s="428">
        <v>0</v>
      </c>
      <c r="H48" s="428"/>
      <c r="I48" s="428"/>
      <c r="J48" s="428"/>
      <c r="K48" s="428"/>
    </row>
    <row r="49" spans="1:11" s="285" customFormat="1" hidden="1" x14ac:dyDescent="0.25">
      <c r="A49" s="118">
        <v>38</v>
      </c>
      <c r="B49" s="151">
        <v>5245</v>
      </c>
      <c r="C49" s="94" t="s">
        <v>91</v>
      </c>
      <c r="D49" s="428"/>
      <c r="E49" s="425"/>
      <c r="F49" s="428">
        <v>0</v>
      </c>
      <c r="G49" s="428">
        <v>0</v>
      </c>
      <c r="H49" s="428"/>
      <c r="I49" s="428"/>
      <c r="J49" s="428"/>
      <c r="K49" s="428"/>
    </row>
    <row r="50" spans="1:11" s="285" customFormat="1" x14ac:dyDescent="0.25">
      <c r="A50" s="118">
        <v>38</v>
      </c>
      <c r="B50" s="151">
        <v>5250</v>
      </c>
      <c r="C50" s="94" t="s">
        <v>88</v>
      </c>
      <c r="D50" s="428">
        <v>2700</v>
      </c>
      <c r="E50" s="428">
        <v>3500</v>
      </c>
      <c r="F50" s="428">
        <v>3500</v>
      </c>
      <c r="G50" s="428">
        <v>3500</v>
      </c>
      <c r="H50" s="428">
        <v>7000</v>
      </c>
      <c r="I50" s="428">
        <v>7000</v>
      </c>
      <c r="J50" s="428">
        <f t="shared" ref="J50:J57" si="6">+I50*1.055</f>
        <v>7385</v>
      </c>
      <c r="K50" s="428">
        <f t="shared" ref="K50:K57" si="7">+J50*1.053</f>
        <v>7776.4049999999997</v>
      </c>
    </row>
    <row r="51" spans="1:11" s="285" customFormat="1" hidden="1" x14ac:dyDescent="0.25">
      <c r="A51" s="118">
        <v>38</v>
      </c>
      <c r="B51" s="151">
        <v>5255</v>
      </c>
      <c r="C51" s="94" t="s">
        <v>125</v>
      </c>
      <c r="D51" s="428"/>
      <c r="E51" s="428"/>
      <c r="F51" s="428">
        <v>0</v>
      </c>
      <c r="G51" s="428">
        <v>0</v>
      </c>
      <c r="H51" s="428"/>
      <c r="I51" s="428"/>
      <c r="J51" s="428">
        <f t="shared" si="6"/>
        <v>0</v>
      </c>
      <c r="K51" s="428">
        <f t="shared" si="7"/>
        <v>0</v>
      </c>
    </row>
    <row r="52" spans="1:11" s="285" customFormat="1" x14ac:dyDescent="0.25">
      <c r="A52" s="118">
        <v>38</v>
      </c>
      <c r="B52" s="151">
        <v>5260</v>
      </c>
      <c r="C52" s="94" t="s">
        <v>90</v>
      </c>
      <c r="D52" s="428">
        <v>135000</v>
      </c>
      <c r="E52" s="428">
        <v>190000</v>
      </c>
      <c r="F52" s="428">
        <v>230000</v>
      </c>
      <c r="G52" s="428">
        <v>230000</v>
      </c>
      <c r="H52" s="428">
        <v>220000</v>
      </c>
      <c r="I52" s="428">
        <v>500000</v>
      </c>
      <c r="J52" s="428">
        <f t="shared" si="6"/>
        <v>527500</v>
      </c>
      <c r="K52" s="428">
        <f t="shared" si="7"/>
        <v>555457.5</v>
      </c>
    </row>
    <row r="53" spans="1:11" s="285" customFormat="1" hidden="1" x14ac:dyDescent="0.25">
      <c r="A53" s="118">
        <v>38</v>
      </c>
      <c r="B53" s="151">
        <v>5265</v>
      </c>
      <c r="C53" s="94" t="s">
        <v>87</v>
      </c>
      <c r="D53" s="428"/>
      <c r="E53" s="428"/>
      <c r="F53" s="428">
        <v>0</v>
      </c>
      <c r="G53" s="428">
        <v>0</v>
      </c>
      <c r="H53" s="428"/>
      <c r="I53" s="428"/>
      <c r="J53" s="428">
        <f t="shared" si="6"/>
        <v>0</v>
      </c>
      <c r="K53" s="428">
        <f t="shared" si="7"/>
        <v>0</v>
      </c>
    </row>
    <row r="54" spans="1:11" s="285" customFormat="1" x14ac:dyDescent="0.25">
      <c r="A54" s="118">
        <v>38</v>
      </c>
      <c r="B54" s="151">
        <v>5270</v>
      </c>
      <c r="C54" s="94" t="s">
        <v>89</v>
      </c>
      <c r="D54" s="428">
        <v>10800</v>
      </c>
      <c r="E54" s="428">
        <v>14000</v>
      </c>
      <c r="F54" s="428">
        <v>14000</v>
      </c>
      <c r="G54" s="428">
        <v>14000</v>
      </c>
      <c r="H54" s="428">
        <v>14000</v>
      </c>
      <c r="I54" s="428">
        <v>14000</v>
      </c>
      <c r="J54" s="428">
        <f t="shared" si="6"/>
        <v>14770</v>
      </c>
      <c r="K54" s="428">
        <f t="shared" si="7"/>
        <v>15552.81</v>
      </c>
    </row>
    <row r="55" spans="1:11" s="285" customFormat="1" hidden="1" x14ac:dyDescent="0.25">
      <c r="A55" s="118">
        <v>38</v>
      </c>
      <c r="B55" s="151">
        <v>5275</v>
      </c>
      <c r="C55" s="94" t="s">
        <v>93</v>
      </c>
      <c r="D55" s="428"/>
      <c r="E55" s="428"/>
      <c r="F55" s="428">
        <v>0</v>
      </c>
      <c r="G55" s="428">
        <v>0</v>
      </c>
      <c r="H55" s="428"/>
      <c r="I55" s="428"/>
      <c r="J55" s="428">
        <f t="shared" si="6"/>
        <v>0</v>
      </c>
      <c r="K55" s="428">
        <f t="shared" si="7"/>
        <v>0</v>
      </c>
    </row>
    <row r="56" spans="1:11" s="285" customFormat="1" hidden="1" x14ac:dyDescent="0.25">
      <c r="A56" s="118">
        <v>38</v>
      </c>
      <c r="B56" s="151">
        <v>5280</v>
      </c>
      <c r="C56" s="94" t="s">
        <v>94</v>
      </c>
      <c r="D56" s="428"/>
      <c r="E56" s="428"/>
      <c r="F56" s="428">
        <v>0</v>
      </c>
      <c r="G56" s="428">
        <v>0</v>
      </c>
      <c r="H56" s="428"/>
      <c r="I56" s="428"/>
      <c r="J56" s="428">
        <f t="shared" si="6"/>
        <v>0</v>
      </c>
      <c r="K56" s="428">
        <f t="shared" si="7"/>
        <v>0</v>
      </c>
    </row>
    <row r="57" spans="1:11" s="285" customFormat="1" x14ac:dyDescent="0.25">
      <c r="A57" s="118">
        <v>38</v>
      </c>
      <c r="B57" s="151">
        <v>5285</v>
      </c>
      <c r="C57" s="94" t="s">
        <v>60</v>
      </c>
      <c r="D57" s="428">
        <v>42589</v>
      </c>
      <c r="E57" s="428">
        <v>59000</v>
      </c>
      <c r="F57" s="428">
        <v>19000</v>
      </c>
      <c r="G57" s="428">
        <v>19000</v>
      </c>
      <c r="H57" s="428">
        <v>59000</v>
      </c>
      <c r="I57" s="428">
        <v>78000</v>
      </c>
      <c r="J57" s="428">
        <f t="shared" si="6"/>
        <v>82290</v>
      </c>
      <c r="K57" s="428">
        <f t="shared" si="7"/>
        <v>86651.37</v>
      </c>
    </row>
    <row r="58" spans="1:11" s="285" customFormat="1" hidden="1" x14ac:dyDescent="0.25">
      <c r="A58" s="118">
        <v>38</v>
      </c>
      <c r="B58" s="151">
        <v>5290</v>
      </c>
      <c r="C58" s="94" t="s">
        <v>186</v>
      </c>
      <c r="D58" s="428"/>
      <c r="E58" s="425"/>
      <c r="F58" s="428">
        <v>0</v>
      </c>
      <c r="G58" s="428">
        <v>0</v>
      </c>
      <c r="H58" s="428">
        <f>0/8*12</f>
        <v>0</v>
      </c>
      <c r="I58" s="428"/>
      <c r="J58" s="428"/>
      <c r="K58" s="428"/>
    </row>
    <row r="59" spans="1:11" s="285" customFormat="1" x14ac:dyDescent="0.25">
      <c r="A59" s="344"/>
      <c r="B59" s="151"/>
      <c r="C59" s="94"/>
      <c r="D59" s="439">
        <f t="shared" ref="D59:K59" si="8">SUM(D40:D58)</f>
        <v>191089</v>
      </c>
      <c r="E59" s="439">
        <f t="shared" si="8"/>
        <v>266500</v>
      </c>
      <c r="F59" s="439">
        <f t="shared" si="8"/>
        <v>266500</v>
      </c>
      <c r="G59" s="439">
        <f t="shared" si="8"/>
        <v>266500</v>
      </c>
      <c r="H59" s="439">
        <f t="shared" si="8"/>
        <v>300000</v>
      </c>
      <c r="I59" s="439">
        <f t="shared" si="8"/>
        <v>599000</v>
      </c>
      <c r="J59" s="439">
        <f t="shared" si="8"/>
        <v>631945</v>
      </c>
      <c r="K59" s="439">
        <f t="shared" si="8"/>
        <v>665438.08500000008</v>
      </c>
    </row>
    <row r="60" spans="1:11" s="285" customFormat="1" hidden="1" x14ac:dyDescent="0.25">
      <c r="A60" s="344"/>
      <c r="B60" s="151"/>
      <c r="C60" s="93" t="s">
        <v>198</v>
      </c>
      <c r="D60" s="428"/>
      <c r="E60" s="112"/>
      <c r="F60" s="112"/>
      <c r="G60" s="428"/>
      <c r="H60" s="112"/>
      <c r="I60" s="112"/>
      <c r="J60" s="112"/>
      <c r="K60" s="112"/>
    </row>
    <row r="61" spans="1:11" s="285" customFormat="1" hidden="1" x14ac:dyDescent="0.25">
      <c r="A61" s="118">
        <v>38</v>
      </c>
      <c r="B61" s="151">
        <v>5400</v>
      </c>
      <c r="C61" s="94" t="s">
        <v>334</v>
      </c>
      <c r="D61" s="428"/>
      <c r="E61" s="86"/>
      <c r="F61" s="428"/>
      <c r="G61" s="428"/>
      <c r="H61" s="428">
        <f>0/8*12</f>
        <v>0</v>
      </c>
      <c r="I61" s="86"/>
      <c r="J61" s="86"/>
      <c r="K61" s="86"/>
    </row>
    <row r="62" spans="1:11" s="285" customFormat="1" hidden="1" x14ac:dyDescent="0.25">
      <c r="A62" s="118">
        <v>38</v>
      </c>
      <c r="B62" s="151">
        <v>5405</v>
      </c>
      <c r="C62" s="94" t="s">
        <v>335</v>
      </c>
      <c r="D62" s="428"/>
      <c r="E62" s="425"/>
      <c r="F62" s="428"/>
      <c r="G62" s="428"/>
      <c r="H62" s="428">
        <f>0/8*12</f>
        <v>0</v>
      </c>
      <c r="I62" s="428"/>
      <c r="J62" s="428"/>
      <c r="K62" s="425"/>
    </row>
    <row r="63" spans="1:11" s="285" customFormat="1" hidden="1" x14ac:dyDescent="0.25">
      <c r="A63" s="344"/>
      <c r="B63" s="151"/>
      <c r="C63" s="94"/>
      <c r="D63" s="429"/>
      <c r="E63" s="429">
        <f>SUM(E61:E62)</f>
        <v>0</v>
      </c>
      <c r="F63" s="429">
        <v>0</v>
      </c>
      <c r="G63" s="429"/>
      <c r="H63" s="429">
        <f>SUM(H61:H62)</f>
        <v>0</v>
      </c>
      <c r="I63" s="429"/>
      <c r="J63" s="429"/>
      <c r="K63" s="429"/>
    </row>
    <row r="64" spans="1:11" s="285" customFormat="1" hidden="1" x14ac:dyDescent="0.25">
      <c r="A64" s="344"/>
      <c r="B64" s="151"/>
      <c r="C64" s="93" t="s">
        <v>61</v>
      </c>
      <c r="D64" s="428"/>
      <c r="E64" s="86"/>
      <c r="F64" s="86"/>
      <c r="G64" s="428"/>
      <c r="H64" s="86"/>
      <c r="I64" s="86"/>
      <c r="J64" s="86"/>
      <c r="K64" s="86"/>
    </row>
    <row r="65" spans="1:11" s="285" customFormat="1" hidden="1" x14ac:dyDescent="0.25">
      <c r="A65" s="118">
        <v>38</v>
      </c>
      <c r="B65" s="151">
        <v>5450</v>
      </c>
      <c r="C65" s="94" t="s">
        <v>351</v>
      </c>
      <c r="D65" s="428"/>
      <c r="E65" s="425"/>
      <c r="F65" s="428"/>
      <c r="G65" s="428"/>
      <c r="H65" s="428">
        <f>0/8*12</f>
        <v>0</v>
      </c>
      <c r="I65" s="428"/>
      <c r="J65" s="428"/>
      <c r="K65" s="425"/>
    </row>
    <row r="66" spans="1:11" s="285" customFormat="1" hidden="1" x14ac:dyDescent="0.25">
      <c r="A66" s="344"/>
      <c r="B66" s="151"/>
      <c r="C66" s="94"/>
      <c r="D66" s="429"/>
      <c r="E66" s="429">
        <f>E65</f>
        <v>0</v>
      </c>
      <c r="F66" s="429">
        <v>0</v>
      </c>
      <c r="G66" s="429"/>
      <c r="H66" s="429">
        <f>H65</f>
        <v>0</v>
      </c>
      <c r="I66" s="429"/>
      <c r="J66" s="429"/>
      <c r="K66" s="429"/>
    </row>
    <row r="67" spans="1:11" s="285" customFormat="1" hidden="1" x14ac:dyDescent="0.25">
      <c r="A67" s="344"/>
      <c r="B67" s="151"/>
      <c r="C67" s="93" t="s">
        <v>96</v>
      </c>
      <c r="D67" s="428"/>
      <c r="E67" s="86"/>
      <c r="F67" s="86"/>
      <c r="G67" s="428"/>
      <c r="H67" s="86"/>
      <c r="I67" s="86"/>
      <c r="J67" s="86"/>
      <c r="K67" s="86"/>
    </row>
    <row r="68" spans="1:11" s="285" customFormat="1" hidden="1" x14ac:dyDescent="0.25">
      <c r="A68" s="118">
        <v>38</v>
      </c>
      <c r="B68" s="151">
        <v>5470</v>
      </c>
      <c r="C68" s="94" t="s">
        <v>97</v>
      </c>
      <c r="D68" s="428"/>
      <c r="E68" s="86"/>
      <c r="F68" s="428">
        <v>0</v>
      </c>
      <c r="G68" s="428"/>
      <c r="H68" s="428">
        <f>0/8*12</f>
        <v>0</v>
      </c>
      <c r="I68" s="428"/>
      <c r="J68" s="428"/>
      <c r="K68" s="428"/>
    </row>
    <row r="69" spans="1:11" s="285" customFormat="1" hidden="1" x14ac:dyDescent="0.25">
      <c r="A69" s="118">
        <v>38</v>
      </c>
      <c r="B69" s="151">
        <v>5475</v>
      </c>
      <c r="C69" s="94" t="s">
        <v>134</v>
      </c>
      <c r="D69" s="428"/>
      <c r="E69" s="86"/>
      <c r="F69" s="428">
        <v>0</v>
      </c>
      <c r="G69" s="428"/>
      <c r="H69" s="428">
        <f>0/8*12</f>
        <v>0</v>
      </c>
      <c r="I69" s="428"/>
      <c r="J69" s="428"/>
      <c r="K69" s="428"/>
    </row>
    <row r="70" spans="1:11" s="285" customFormat="1" hidden="1" x14ac:dyDescent="0.25">
      <c r="A70" s="344"/>
      <c r="B70" s="151"/>
      <c r="C70" s="94"/>
      <c r="D70" s="439"/>
      <c r="E70" s="439">
        <f>SUM(E68:E69)</f>
        <v>0</v>
      </c>
      <c r="F70" s="439">
        <v>0</v>
      </c>
      <c r="G70" s="439"/>
      <c r="H70" s="439">
        <f>SUM(H68:H69)</f>
        <v>0</v>
      </c>
      <c r="I70" s="439"/>
      <c r="J70" s="439"/>
      <c r="K70" s="439"/>
    </row>
    <row r="71" spans="1:11" s="285" customFormat="1" x14ac:dyDescent="0.25">
      <c r="A71" s="344"/>
      <c r="B71" s="151"/>
      <c r="C71" s="93" t="s">
        <v>62</v>
      </c>
      <c r="D71" s="88"/>
      <c r="E71" s="113"/>
      <c r="F71" s="113"/>
      <c r="G71" s="88"/>
      <c r="H71" s="113"/>
      <c r="I71" s="113"/>
      <c r="J71" s="113"/>
      <c r="K71" s="113"/>
    </row>
    <row r="72" spans="1:11" s="285" customFormat="1" x14ac:dyDescent="0.25">
      <c r="A72" s="118">
        <v>38</v>
      </c>
      <c r="B72" s="151">
        <v>5505</v>
      </c>
      <c r="C72" s="94" t="s">
        <v>259</v>
      </c>
      <c r="D72" s="428"/>
      <c r="E72" s="428">
        <v>108000</v>
      </c>
      <c r="F72" s="428">
        <v>123000</v>
      </c>
      <c r="G72" s="428">
        <v>123000</v>
      </c>
      <c r="H72" s="428">
        <v>150000</v>
      </c>
      <c r="I72" s="428">
        <v>150000</v>
      </c>
      <c r="J72" s="428">
        <f t="shared" ref="J72:J122" si="9">+I72*1.055</f>
        <v>158250</v>
      </c>
      <c r="K72" s="428">
        <f t="shared" ref="K72:K122" si="10">+J72*1.053</f>
        <v>166637.25</v>
      </c>
    </row>
    <row r="73" spans="1:11" s="285" customFormat="1" ht="0.75" customHeight="1" x14ac:dyDescent="0.25">
      <c r="A73" s="118">
        <v>38</v>
      </c>
      <c r="B73" s="151">
        <v>5510</v>
      </c>
      <c r="C73" s="94" t="s">
        <v>63</v>
      </c>
      <c r="D73" s="428"/>
      <c r="E73" s="428"/>
      <c r="F73" s="428">
        <v>0</v>
      </c>
      <c r="G73" s="428">
        <v>0</v>
      </c>
      <c r="H73" s="428"/>
      <c r="I73" s="428">
        <v>15000</v>
      </c>
      <c r="J73" s="428">
        <f t="shared" si="9"/>
        <v>15824.999999999998</v>
      </c>
      <c r="K73" s="428">
        <f t="shared" si="10"/>
        <v>16663.724999999999</v>
      </c>
    </row>
    <row r="74" spans="1:11" s="285" customFormat="1" hidden="1" x14ac:dyDescent="0.25">
      <c r="A74" s="118">
        <v>38</v>
      </c>
      <c r="B74" s="151">
        <v>5520</v>
      </c>
      <c r="C74" s="94" t="s">
        <v>260</v>
      </c>
      <c r="D74" s="428"/>
      <c r="E74" s="428"/>
      <c r="F74" s="428">
        <v>0</v>
      </c>
      <c r="G74" s="428">
        <v>0</v>
      </c>
      <c r="H74" s="428"/>
      <c r="I74" s="428"/>
      <c r="J74" s="428">
        <f t="shared" si="9"/>
        <v>0</v>
      </c>
      <c r="K74" s="428">
        <f t="shared" si="10"/>
        <v>0</v>
      </c>
    </row>
    <row r="75" spans="1:11" s="285" customFormat="1" hidden="1" x14ac:dyDescent="0.25">
      <c r="A75" s="118">
        <v>38</v>
      </c>
      <c r="B75" s="151">
        <v>5525</v>
      </c>
      <c r="C75" s="94" t="s">
        <v>261</v>
      </c>
      <c r="D75" s="428"/>
      <c r="E75" s="428"/>
      <c r="F75" s="428">
        <v>0</v>
      </c>
      <c r="G75" s="428">
        <v>0</v>
      </c>
      <c r="H75" s="428"/>
      <c r="I75" s="428"/>
      <c r="J75" s="428">
        <f t="shared" si="9"/>
        <v>0</v>
      </c>
      <c r="K75" s="428">
        <f t="shared" si="10"/>
        <v>0</v>
      </c>
    </row>
    <row r="76" spans="1:11" s="285" customFormat="1" hidden="1" x14ac:dyDescent="0.25">
      <c r="A76" s="118">
        <v>38</v>
      </c>
      <c r="B76" s="151">
        <v>5530</v>
      </c>
      <c r="C76" s="94" t="s">
        <v>262</v>
      </c>
      <c r="D76" s="428"/>
      <c r="E76" s="428"/>
      <c r="F76" s="428">
        <v>0</v>
      </c>
      <c r="G76" s="428">
        <v>0</v>
      </c>
      <c r="H76" s="428"/>
      <c r="I76" s="428"/>
      <c r="J76" s="428">
        <f t="shared" si="9"/>
        <v>0</v>
      </c>
      <c r="K76" s="428">
        <f t="shared" si="10"/>
        <v>0</v>
      </c>
    </row>
    <row r="77" spans="1:11" s="285" customFormat="1" hidden="1" x14ac:dyDescent="0.25">
      <c r="A77" s="118">
        <v>38</v>
      </c>
      <c r="B77" s="151">
        <v>5535</v>
      </c>
      <c r="C77" s="94" t="s">
        <v>263</v>
      </c>
      <c r="D77" s="428"/>
      <c r="E77" s="428"/>
      <c r="F77" s="428">
        <v>0</v>
      </c>
      <c r="G77" s="428">
        <v>0</v>
      </c>
      <c r="H77" s="428"/>
      <c r="I77" s="428"/>
      <c r="J77" s="428">
        <f t="shared" si="9"/>
        <v>0</v>
      </c>
      <c r="K77" s="428">
        <f t="shared" si="10"/>
        <v>0</v>
      </c>
    </row>
    <row r="78" spans="1:11" s="285" customFormat="1" x14ac:dyDescent="0.25">
      <c r="A78" s="118">
        <v>38</v>
      </c>
      <c r="B78" s="151">
        <v>5540</v>
      </c>
      <c r="C78" s="94" t="s">
        <v>264</v>
      </c>
      <c r="D78" s="428">
        <v>3600</v>
      </c>
      <c r="E78" s="428">
        <v>7271</v>
      </c>
      <c r="F78" s="428">
        <v>7271</v>
      </c>
      <c r="G78" s="428">
        <v>7271</v>
      </c>
      <c r="H78" s="428">
        <v>15000</v>
      </c>
      <c r="I78" s="428">
        <v>15000</v>
      </c>
      <c r="J78" s="428">
        <f t="shared" si="9"/>
        <v>15824.999999999998</v>
      </c>
      <c r="K78" s="428">
        <f t="shared" si="10"/>
        <v>16663.724999999999</v>
      </c>
    </row>
    <row r="79" spans="1:11" s="285" customFormat="1" ht="13.5" hidden="1" customHeight="1" x14ac:dyDescent="0.25">
      <c r="A79" s="118">
        <v>38</v>
      </c>
      <c r="B79" s="151">
        <v>5545</v>
      </c>
      <c r="C79" s="94" t="s">
        <v>265</v>
      </c>
      <c r="D79" s="428"/>
      <c r="E79" s="428"/>
      <c r="F79" s="428">
        <v>0</v>
      </c>
      <c r="G79" s="428">
        <v>0</v>
      </c>
      <c r="H79" s="428"/>
      <c r="I79" s="428"/>
      <c r="J79" s="428">
        <f t="shared" si="9"/>
        <v>0</v>
      </c>
      <c r="K79" s="428">
        <f t="shared" si="10"/>
        <v>0</v>
      </c>
    </row>
    <row r="80" spans="1:11" s="285" customFormat="1" hidden="1" x14ac:dyDescent="0.25">
      <c r="A80" s="118">
        <v>38</v>
      </c>
      <c r="B80" s="151">
        <v>5550</v>
      </c>
      <c r="C80" s="94" t="s">
        <v>267</v>
      </c>
      <c r="D80" s="428"/>
      <c r="E80" s="428"/>
      <c r="F80" s="428">
        <v>0</v>
      </c>
      <c r="G80" s="428">
        <v>0</v>
      </c>
      <c r="H80" s="428"/>
      <c r="I80" s="428"/>
      <c r="J80" s="428">
        <f t="shared" si="9"/>
        <v>0</v>
      </c>
      <c r="K80" s="428">
        <f t="shared" si="10"/>
        <v>0</v>
      </c>
    </row>
    <row r="81" spans="1:11" s="285" customFormat="1" x14ac:dyDescent="0.25">
      <c r="A81" s="118">
        <v>38</v>
      </c>
      <c r="B81" s="151">
        <v>5555</v>
      </c>
      <c r="C81" s="94" t="s">
        <v>268</v>
      </c>
      <c r="D81" s="428">
        <v>8100</v>
      </c>
      <c r="E81" s="428">
        <v>16000</v>
      </c>
      <c r="F81" s="428">
        <v>1000</v>
      </c>
      <c r="G81" s="428">
        <v>1000</v>
      </c>
      <c r="H81" s="428">
        <v>18000</v>
      </c>
      <c r="I81" s="428">
        <v>18000</v>
      </c>
      <c r="J81" s="428">
        <f t="shared" si="9"/>
        <v>18990</v>
      </c>
      <c r="K81" s="428">
        <f t="shared" si="10"/>
        <v>19996.469999999998</v>
      </c>
    </row>
    <row r="82" spans="1:11" s="285" customFormat="1" hidden="1" x14ac:dyDescent="0.25">
      <c r="A82" s="118">
        <v>38</v>
      </c>
      <c r="B82" s="151">
        <v>5560</v>
      </c>
      <c r="C82" s="94" t="s">
        <v>269</v>
      </c>
      <c r="D82" s="428"/>
      <c r="E82" s="428"/>
      <c r="F82" s="428">
        <v>0</v>
      </c>
      <c r="G82" s="428">
        <v>0</v>
      </c>
      <c r="H82" s="428"/>
      <c r="I82" s="428"/>
      <c r="J82" s="428">
        <f t="shared" si="9"/>
        <v>0</v>
      </c>
      <c r="K82" s="428">
        <f t="shared" si="10"/>
        <v>0</v>
      </c>
    </row>
    <row r="83" spans="1:11" s="285" customFormat="1" hidden="1" x14ac:dyDescent="0.25">
      <c r="A83" s="118">
        <v>38</v>
      </c>
      <c r="B83" s="151">
        <v>5565</v>
      </c>
      <c r="C83" s="94" t="s">
        <v>246</v>
      </c>
      <c r="D83" s="428"/>
      <c r="E83" s="428"/>
      <c r="F83" s="428">
        <v>0</v>
      </c>
      <c r="G83" s="428">
        <v>0</v>
      </c>
      <c r="H83" s="428"/>
      <c r="I83" s="428"/>
      <c r="J83" s="428">
        <f t="shared" si="9"/>
        <v>0</v>
      </c>
      <c r="K83" s="428">
        <f t="shared" si="10"/>
        <v>0</v>
      </c>
    </row>
    <row r="84" spans="1:11" s="285" customFormat="1" hidden="1" x14ac:dyDescent="0.25">
      <c r="A84" s="118">
        <v>38</v>
      </c>
      <c r="B84" s="151">
        <v>5570</v>
      </c>
      <c r="C84" s="94" t="s">
        <v>270</v>
      </c>
      <c r="D84" s="428"/>
      <c r="E84" s="428"/>
      <c r="F84" s="428">
        <v>0</v>
      </c>
      <c r="G84" s="428">
        <v>0</v>
      </c>
      <c r="H84" s="428"/>
      <c r="I84" s="428"/>
      <c r="J84" s="428">
        <f t="shared" si="9"/>
        <v>0</v>
      </c>
      <c r="K84" s="428">
        <f t="shared" si="10"/>
        <v>0</v>
      </c>
    </row>
    <row r="85" spans="1:11" s="285" customFormat="1" hidden="1" x14ac:dyDescent="0.25">
      <c r="A85" s="118">
        <v>38</v>
      </c>
      <c r="B85" s="151">
        <v>5575</v>
      </c>
      <c r="C85" s="94" t="s">
        <v>271</v>
      </c>
      <c r="D85" s="428"/>
      <c r="E85" s="428"/>
      <c r="F85" s="428">
        <v>0</v>
      </c>
      <c r="G85" s="428">
        <v>0</v>
      </c>
      <c r="H85" s="428"/>
      <c r="I85" s="428"/>
      <c r="J85" s="428">
        <f t="shared" si="9"/>
        <v>0</v>
      </c>
      <c r="K85" s="428">
        <f t="shared" si="10"/>
        <v>0</v>
      </c>
    </row>
    <row r="86" spans="1:11" s="285" customFormat="1" hidden="1" x14ac:dyDescent="0.25">
      <c r="A86" s="118">
        <v>38</v>
      </c>
      <c r="B86" s="151">
        <v>5580</v>
      </c>
      <c r="C86" s="94" t="s">
        <v>272</v>
      </c>
      <c r="D86" s="428"/>
      <c r="E86" s="428"/>
      <c r="F86" s="428">
        <v>0</v>
      </c>
      <c r="G86" s="428">
        <v>0</v>
      </c>
      <c r="H86" s="428"/>
      <c r="I86" s="428"/>
      <c r="J86" s="428">
        <f t="shared" si="9"/>
        <v>0</v>
      </c>
      <c r="K86" s="428">
        <f t="shared" si="10"/>
        <v>0</v>
      </c>
    </row>
    <row r="87" spans="1:11" s="285" customFormat="1" hidden="1" x14ac:dyDescent="0.25">
      <c r="A87" s="118">
        <v>38</v>
      </c>
      <c r="B87" s="151">
        <v>5585</v>
      </c>
      <c r="C87" s="94" t="s">
        <v>273</v>
      </c>
      <c r="D87" s="86"/>
      <c r="E87" s="428"/>
      <c r="F87" s="428">
        <v>0</v>
      </c>
      <c r="G87" s="86">
        <v>0</v>
      </c>
      <c r="H87" s="428"/>
      <c r="I87" s="428"/>
      <c r="J87" s="428">
        <f t="shared" si="9"/>
        <v>0</v>
      </c>
      <c r="K87" s="428">
        <f t="shared" si="10"/>
        <v>0</v>
      </c>
    </row>
    <row r="88" spans="1:11" s="285" customFormat="1" hidden="1" x14ac:dyDescent="0.25">
      <c r="A88" s="118">
        <v>38</v>
      </c>
      <c r="B88" s="151">
        <v>5590</v>
      </c>
      <c r="C88" s="94" t="s">
        <v>274</v>
      </c>
      <c r="D88" s="86"/>
      <c r="E88" s="428"/>
      <c r="F88" s="428">
        <v>0</v>
      </c>
      <c r="G88" s="86">
        <v>0</v>
      </c>
      <c r="H88" s="428"/>
      <c r="I88" s="428"/>
      <c r="J88" s="428">
        <f t="shared" si="9"/>
        <v>0</v>
      </c>
      <c r="K88" s="428">
        <f t="shared" si="10"/>
        <v>0</v>
      </c>
    </row>
    <row r="89" spans="1:11" s="285" customFormat="1" hidden="1" x14ac:dyDescent="0.25">
      <c r="A89" s="118">
        <v>38</v>
      </c>
      <c r="B89" s="151">
        <v>5595</v>
      </c>
      <c r="C89" s="94" t="s">
        <v>275</v>
      </c>
      <c r="D89" s="428"/>
      <c r="E89" s="428"/>
      <c r="F89" s="428">
        <v>0</v>
      </c>
      <c r="G89" s="428">
        <v>0</v>
      </c>
      <c r="H89" s="428"/>
      <c r="I89" s="428"/>
      <c r="J89" s="428">
        <f t="shared" si="9"/>
        <v>0</v>
      </c>
      <c r="K89" s="428">
        <f t="shared" si="10"/>
        <v>0</v>
      </c>
    </row>
    <row r="90" spans="1:11" s="285" customFormat="1" hidden="1" x14ac:dyDescent="0.25">
      <c r="A90" s="118">
        <v>38</v>
      </c>
      <c r="B90" s="151">
        <v>5600</v>
      </c>
      <c r="C90" s="159" t="s">
        <v>276</v>
      </c>
      <c r="D90" s="428"/>
      <c r="E90" s="428"/>
      <c r="F90" s="428">
        <v>0</v>
      </c>
      <c r="G90" s="428">
        <v>0</v>
      </c>
      <c r="H90" s="428"/>
      <c r="I90" s="428"/>
      <c r="J90" s="428">
        <f t="shared" si="9"/>
        <v>0</v>
      </c>
      <c r="K90" s="428">
        <f t="shared" si="10"/>
        <v>0</v>
      </c>
    </row>
    <row r="91" spans="1:11" s="285" customFormat="1" hidden="1" x14ac:dyDescent="0.25">
      <c r="A91" s="118">
        <v>38</v>
      </c>
      <c r="B91" s="151">
        <v>5605</v>
      </c>
      <c r="C91" s="159" t="s">
        <v>277</v>
      </c>
      <c r="D91" s="428"/>
      <c r="E91" s="428"/>
      <c r="F91" s="428">
        <v>0</v>
      </c>
      <c r="G91" s="428">
        <v>0</v>
      </c>
      <c r="H91" s="428"/>
      <c r="I91" s="428"/>
      <c r="J91" s="428">
        <f t="shared" si="9"/>
        <v>0</v>
      </c>
      <c r="K91" s="428">
        <f t="shared" si="10"/>
        <v>0</v>
      </c>
    </row>
    <row r="92" spans="1:11" s="285" customFormat="1" hidden="1" x14ac:dyDescent="0.25">
      <c r="A92" s="118">
        <v>38</v>
      </c>
      <c r="B92" s="151">
        <v>5610</v>
      </c>
      <c r="C92" s="159" t="s">
        <v>278</v>
      </c>
      <c r="D92" s="428"/>
      <c r="E92" s="428"/>
      <c r="F92" s="428">
        <v>0</v>
      </c>
      <c r="G92" s="428">
        <v>0</v>
      </c>
      <c r="H92" s="428"/>
      <c r="I92" s="428"/>
      <c r="J92" s="428">
        <f t="shared" si="9"/>
        <v>0</v>
      </c>
      <c r="K92" s="428">
        <f t="shared" si="10"/>
        <v>0</v>
      </c>
    </row>
    <row r="93" spans="1:11" s="285" customFormat="1" hidden="1" x14ac:dyDescent="0.25">
      <c r="A93" s="118">
        <v>38</v>
      </c>
      <c r="B93" s="151">
        <v>5615</v>
      </c>
      <c r="C93" s="159" t="s">
        <v>279</v>
      </c>
      <c r="D93" s="428"/>
      <c r="E93" s="428"/>
      <c r="F93" s="428">
        <v>0</v>
      </c>
      <c r="G93" s="428">
        <v>0</v>
      </c>
      <c r="H93" s="428"/>
      <c r="I93" s="428"/>
      <c r="J93" s="428">
        <f t="shared" si="9"/>
        <v>0</v>
      </c>
      <c r="K93" s="428">
        <f t="shared" si="10"/>
        <v>0</v>
      </c>
    </row>
    <row r="94" spans="1:11" s="285" customFormat="1" hidden="1" x14ac:dyDescent="0.25">
      <c r="A94" s="118">
        <v>38</v>
      </c>
      <c r="B94" s="151">
        <v>5620</v>
      </c>
      <c r="C94" s="159" t="s">
        <v>280</v>
      </c>
      <c r="D94" s="428"/>
      <c r="E94" s="428"/>
      <c r="F94" s="428">
        <v>0</v>
      </c>
      <c r="G94" s="428">
        <v>0</v>
      </c>
      <c r="H94" s="428"/>
      <c r="I94" s="428"/>
      <c r="J94" s="428">
        <f t="shared" si="9"/>
        <v>0</v>
      </c>
      <c r="K94" s="428">
        <f t="shared" si="10"/>
        <v>0</v>
      </c>
    </row>
    <row r="95" spans="1:11" s="285" customFormat="1" hidden="1" x14ac:dyDescent="0.25">
      <c r="A95" s="118">
        <v>38</v>
      </c>
      <c r="B95" s="151">
        <v>5625</v>
      </c>
      <c r="C95" s="159" t="s">
        <v>281</v>
      </c>
      <c r="D95" s="428"/>
      <c r="E95" s="428"/>
      <c r="F95" s="428">
        <v>0</v>
      </c>
      <c r="G95" s="428">
        <v>0</v>
      </c>
      <c r="H95" s="428"/>
      <c r="I95" s="428"/>
      <c r="J95" s="428">
        <f t="shared" si="9"/>
        <v>0</v>
      </c>
      <c r="K95" s="428">
        <f t="shared" si="10"/>
        <v>0</v>
      </c>
    </row>
    <row r="96" spans="1:11" s="285" customFormat="1" hidden="1" x14ac:dyDescent="0.25">
      <c r="A96" s="118">
        <v>38</v>
      </c>
      <c r="B96" s="151">
        <v>5630</v>
      </c>
      <c r="C96" s="159" t="s">
        <v>282</v>
      </c>
      <c r="D96" s="428"/>
      <c r="E96" s="428"/>
      <c r="F96" s="428">
        <v>0</v>
      </c>
      <c r="G96" s="428">
        <v>0</v>
      </c>
      <c r="H96" s="428"/>
      <c r="I96" s="428"/>
      <c r="J96" s="428">
        <f t="shared" si="9"/>
        <v>0</v>
      </c>
      <c r="K96" s="428">
        <f t="shared" si="10"/>
        <v>0</v>
      </c>
    </row>
    <row r="97" spans="1:11" s="285" customFormat="1" hidden="1" x14ac:dyDescent="0.25">
      <c r="A97" s="118">
        <v>38</v>
      </c>
      <c r="B97" s="151">
        <v>5635</v>
      </c>
      <c r="C97" s="159" t="s">
        <v>283</v>
      </c>
      <c r="D97" s="428"/>
      <c r="E97" s="428"/>
      <c r="F97" s="428">
        <v>0</v>
      </c>
      <c r="G97" s="428">
        <v>0</v>
      </c>
      <c r="H97" s="428"/>
      <c r="I97" s="428"/>
      <c r="J97" s="428">
        <f t="shared" si="9"/>
        <v>0</v>
      </c>
      <c r="K97" s="428">
        <f t="shared" si="10"/>
        <v>0</v>
      </c>
    </row>
    <row r="98" spans="1:11" s="285" customFormat="1" hidden="1" x14ac:dyDescent="0.25">
      <c r="A98" s="118">
        <v>38</v>
      </c>
      <c r="B98" s="151">
        <v>5640</v>
      </c>
      <c r="C98" s="159" t="s">
        <v>284</v>
      </c>
      <c r="D98" s="428"/>
      <c r="E98" s="428"/>
      <c r="F98" s="428">
        <v>0</v>
      </c>
      <c r="G98" s="428">
        <v>0</v>
      </c>
      <c r="H98" s="428"/>
      <c r="I98" s="428"/>
      <c r="J98" s="428">
        <f t="shared" si="9"/>
        <v>0</v>
      </c>
      <c r="K98" s="428">
        <f t="shared" si="10"/>
        <v>0</v>
      </c>
    </row>
    <row r="99" spans="1:11" s="285" customFormat="1" hidden="1" x14ac:dyDescent="0.25">
      <c r="A99" s="118">
        <v>38</v>
      </c>
      <c r="B99" s="151">
        <v>5645</v>
      </c>
      <c r="C99" s="159" t="s">
        <v>285</v>
      </c>
      <c r="D99" s="428"/>
      <c r="E99" s="428"/>
      <c r="F99" s="428">
        <v>0</v>
      </c>
      <c r="G99" s="428">
        <v>0</v>
      </c>
      <c r="H99" s="428"/>
      <c r="I99" s="428"/>
      <c r="J99" s="428">
        <f t="shared" si="9"/>
        <v>0</v>
      </c>
      <c r="K99" s="428">
        <f t="shared" si="10"/>
        <v>0</v>
      </c>
    </row>
    <row r="100" spans="1:11" s="285" customFormat="1" hidden="1" x14ac:dyDescent="0.25">
      <c r="A100" s="118">
        <v>38</v>
      </c>
      <c r="B100" s="151">
        <v>5650</v>
      </c>
      <c r="C100" s="159" t="s">
        <v>286</v>
      </c>
      <c r="D100" s="428"/>
      <c r="E100" s="428"/>
      <c r="F100" s="428">
        <v>0</v>
      </c>
      <c r="G100" s="428">
        <v>0</v>
      </c>
      <c r="H100" s="428"/>
      <c r="I100" s="428"/>
      <c r="J100" s="428">
        <f t="shared" si="9"/>
        <v>0</v>
      </c>
      <c r="K100" s="428">
        <f t="shared" si="10"/>
        <v>0</v>
      </c>
    </row>
    <row r="101" spans="1:11" s="285" customFormat="1" hidden="1" x14ac:dyDescent="0.25">
      <c r="A101" s="118">
        <v>38</v>
      </c>
      <c r="B101" s="151">
        <v>5655</v>
      </c>
      <c r="C101" s="159" t="s">
        <v>287</v>
      </c>
      <c r="D101" s="428"/>
      <c r="E101" s="428"/>
      <c r="F101" s="428">
        <v>0</v>
      </c>
      <c r="G101" s="428">
        <v>0</v>
      </c>
      <c r="H101" s="428"/>
      <c r="I101" s="428"/>
      <c r="J101" s="428">
        <f t="shared" si="9"/>
        <v>0</v>
      </c>
      <c r="K101" s="428">
        <f t="shared" si="10"/>
        <v>0</v>
      </c>
    </row>
    <row r="102" spans="1:11" s="285" customFormat="1" hidden="1" x14ac:dyDescent="0.25">
      <c r="A102" s="118">
        <v>38</v>
      </c>
      <c r="B102" s="151">
        <v>5660</v>
      </c>
      <c r="C102" s="159" t="s">
        <v>288</v>
      </c>
      <c r="D102" s="428"/>
      <c r="E102" s="428"/>
      <c r="F102" s="428">
        <v>0</v>
      </c>
      <c r="G102" s="428">
        <v>0</v>
      </c>
      <c r="H102" s="428"/>
      <c r="I102" s="428"/>
      <c r="J102" s="428">
        <f t="shared" si="9"/>
        <v>0</v>
      </c>
      <c r="K102" s="428">
        <f t="shared" si="10"/>
        <v>0</v>
      </c>
    </row>
    <row r="103" spans="1:11" s="285" customFormat="1" hidden="1" x14ac:dyDescent="0.25">
      <c r="A103" s="118">
        <v>38</v>
      </c>
      <c r="B103" s="151">
        <v>5665</v>
      </c>
      <c r="C103" s="94" t="s">
        <v>289</v>
      </c>
      <c r="D103" s="428"/>
      <c r="E103" s="428"/>
      <c r="F103" s="428">
        <v>0</v>
      </c>
      <c r="G103" s="428">
        <v>0</v>
      </c>
      <c r="H103" s="428"/>
      <c r="I103" s="428"/>
      <c r="J103" s="428">
        <f t="shared" si="9"/>
        <v>0</v>
      </c>
      <c r="K103" s="428">
        <f t="shared" si="10"/>
        <v>0</v>
      </c>
    </row>
    <row r="104" spans="1:11" s="285" customFormat="1" hidden="1" x14ac:dyDescent="0.25">
      <c r="A104" s="118">
        <v>38</v>
      </c>
      <c r="B104" s="151">
        <v>5670</v>
      </c>
      <c r="C104" s="94" t="s">
        <v>290</v>
      </c>
      <c r="D104" s="428"/>
      <c r="E104" s="428"/>
      <c r="F104" s="428">
        <v>0</v>
      </c>
      <c r="G104" s="428">
        <v>0</v>
      </c>
      <c r="H104" s="428"/>
      <c r="I104" s="428"/>
      <c r="J104" s="428">
        <f t="shared" si="9"/>
        <v>0</v>
      </c>
      <c r="K104" s="428">
        <f t="shared" si="10"/>
        <v>0</v>
      </c>
    </row>
    <row r="105" spans="1:11" s="285" customFormat="1" hidden="1" x14ac:dyDescent="0.25">
      <c r="A105" s="118">
        <v>38</v>
      </c>
      <c r="B105" s="151">
        <v>5675</v>
      </c>
      <c r="C105" s="94" t="s">
        <v>291</v>
      </c>
      <c r="D105" s="428"/>
      <c r="E105" s="428"/>
      <c r="F105" s="428">
        <v>0</v>
      </c>
      <c r="G105" s="428">
        <v>0</v>
      </c>
      <c r="H105" s="428"/>
      <c r="I105" s="428"/>
      <c r="J105" s="428">
        <f t="shared" si="9"/>
        <v>0</v>
      </c>
      <c r="K105" s="428">
        <f t="shared" si="10"/>
        <v>0</v>
      </c>
    </row>
    <row r="106" spans="1:11" s="285" customFormat="1" hidden="1" x14ac:dyDescent="0.25">
      <c r="A106" s="118">
        <v>38</v>
      </c>
      <c r="B106" s="151">
        <v>5680</v>
      </c>
      <c r="C106" s="94" t="s">
        <v>292</v>
      </c>
      <c r="D106" s="428"/>
      <c r="E106" s="428"/>
      <c r="F106" s="428">
        <v>0</v>
      </c>
      <c r="G106" s="428">
        <v>0</v>
      </c>
      <c r="H106" s="428"/>
      <c r="I106" s="428"/>
      <c r="J106" s="428">
        <f t="shared" si="9"/>
        <v>0</v>
      </c>
      <c r="K106" s="428">
        <f t="shared" si="10"/>
        <v>0</v>
      </c>
    </row>
    <row r="107" spans="1:11" s="285" customFormat="1" hidden="1" x14ac:dyDescent="0.25">
      <c r="A107" s="118">
        <v>38</v>
      </c>
      <c r="B107" s="151">
        <v>5685</v>
      </c>
      <c r="C107" s="94" t="s">
        <v>293</v>
      </c>
      <c r="D107" s="428"/>
      <c r="E107" s="428"/>
      <c r="F107" s="428">
        <v>0</v>
      </c>
      <c r="G107" s="428">
        <v>0</v>
      </c>
      <c r="H107" s="428"/>
      <c r="I107" s="428"/>
      <c r="J107" s="428">
        <f t="shared" si="9"/>
        <v>0</v>
      </c>
      <c r="K107" s="428">
        <f t="shared" si="10"/>
        <v>0</v>
      </c>
    </row>
    <row r="108" spans="1:11" s="285" customFormat="1" hidden="1" x14ac:dyDescent="0.25">
      <c r="A108" s="118">
        <v>38</v>
      </c>
      <c r="B108" s="151">
        <v>5690</v>
      </c>
      <c r="C108" s="94" t="s">
        <v>247</v>
      </c>
      <c r="D108" s="428"/>
      <c r="E108" s="428"/>
      <c r="F108" s="428">
        <v>0</v>
      </c>
      <c r="G108" s="428">
        <v>0</v>
      </c>
      <c r="H108" s="428"/>
      <c r="I108" s="428"/>
      <c r="J108" s="428">
        <f t="shared" si="9"/>
        <v>0</v>
      </c>
      <c r="K108" s="428">
        <f t="shared" si="10"/>
        <v>0</v>
      </c>
    </row>
    <row r="109" spans="1:11" s="285" customFormat="1" hidden="1" x14ac:dyDescent="0.25">
      <c r="A109" s="118">
        <v>38</v>
      </c>
      <c r="B109" s="151">
        <v>5695</v>
      </c>
      <c r="C109" s="94" t="s">
        <v>294</v>
      </c>
      <c r="D109" s="428"/>
      <c r="E109" s="428"/>
      <c r="F109" s="428">
        <v>0</v>
      </c>
      <c r="G109" s="428">
        <v>0</v>
      </c>
      <c r="H109" s="428"/>
      <c r="I109" s="428"/>
      <c r="J109" s="428">
        <f t="shared" si="9"/>
        <v>0</v>
      </c>
      <c r="K109" s="428">
        <f t="shared" si="10"/>
        <v>0</v>
      </c>
    </row>
    <row r="110" spans="1:11" s="285" customFormat="1" hidden="1" x14ac:dyDescent="0.25">
      <c r="A110" s="118">
        <v>38</v>
      </c>
      <c r="B110" s="151">
        <v>5700</v>
      </c>
      <c r="C110" s="94" t="s">
        <v>295</v>
      </c>
      <c r="D110" s="428"/>
      <c r="E110" s="428"/>
      <c r="F110" s="428">
        <v>0</v>
      </c>
      <c r="G110" s="428">
        <v>0</v>
      </c>
      <c r="H110" s="428"/>
      <c r="I110" s="428"/>
      <c r="J110" s="428">
        <f t="shared" si="9"/>
        <v>0</v>
      </c>
      <c r="K110" s="428">
        <f t="shared" si="10"/>
        <v>0</v>
      </c>
    </row>
    <row r="111" spans="1:11" s="285" customFormat="1" hidden="1" x14ac:dyDescent="0.25">
      <c r="A111" s="118">
        <v>38</v>
      </c>
      <c r="B111" s="151">
        <v>5710</v>
      </c>
      <c r="C111" s="94" t="s">
        <v>297</v>
      </c>
      <c r="D111" s="428"/>
      <c r="E111" s="428"/>
      <c r="F111" s="428">
        <v>0</v>
      </c>
      <c r="G111" s="428">
        <v>0</v>
      </c>
      <c r="H111" s="428"/>
      <c r="I111" s="428"/>
      <c r="J111" s="428">
        <f t="shared" si="9"/>
        <v>0</v>
      </c>
      <c r="K111" s="428">
        <f t="shared" si="10"/>
        <v>0</v>
      </c>
    </row>
    <row r="112" spans="1:11" s="285" customFormat="1" hidden="1" x14ac:dyDescent="0.25">
      <c r="A112" s="118">
        <v>38</v>
      </c>
      <c r="B112" s="151">
        <v>5715</v>
      </c>
      <c r="C112" s="94" t="s">
        <v>298</v>
      </c>
      <c r="D112" s="428"/>
      <c r="E112" s="428"/>
      <c r="F112" s="428">
        <v>0</v>
      </c>
      <c r="G112" s="428">
        <v>0</v>
      </c>
      <c r="H112" s="428"/>
      <c r="I112" s="428"/>
      <c r="J112" s="428">
        <f t="shared" si="9"/>
        <v>0</v>
      </c>
      <c r="K112" s="428">
        <f t="shared" si="10"/>
        <v>0</v>
      </c>
    </row>
    <row r="113" spans="1:11" s="285" customFormat="1" hidden="1" x14ac:dyDescent="0.25">
      <c r="A113" s="118">
        <v>38</v>
      </c>
      <c r="B113" s="151">
        <v>5720</v>
      </c>
      <c r="C113" s="94" t="s">
        <v>299</v>
      </c>
      <c r="D113" s="428"/>
      <c r="E113" s="428"/>
      <c r="F113" s="428">
        <v>0</v>
      </c>
      <c r="G113" s="428">
        <v>0</v>
      </c>
      <c r="H113" s="428"/>
      <c r="I113" s="428"/>
      <c r="J113" s="428">
        <f t="shared" si="9"/>
        <v>0</v>
      </c>
      <c r="K113" s="428">
        <f t="shared" si="10"/>
        <v>0</v>
      </c>
    </row>
    <row r="114" spans="1:11" s="285" customFormat="1" hidden="1" x14ac:dyDescent="0.25">
      <c r="A114" s="118">
        <v>38</v>
      </c>
      <c r="B114" s="151">
        <v>5730</v>
      </c>
      <c r="C114" s="94" t="s">
        <v>300</v>
      </c>
      <c r="D114" s="428"/>
      <c r="E114" s="428"/>
      <c r="F114" s="428">
        <v>0</v>
      </c>
      <c r="G114" s="428">
        <v>0</v>
      </c>
      <c r="H114" s="428"/>
      <c r="I114" s="428"/>
      <c r="J114" s="428">
        <f t="shared" si="9"/>
        <v>0</v>
      </c>
      <c r="K114" s="428">
        <f t="shared" si="10"/>
        <v>0</v>
      </c>
    </row>
    <row r="115" spans="1:11" s="285" customFormat="1" hidden="1" x14ac:dyDescent="0.25">
      <c r="A115" s="118">
        <v>38</v>
      </c>
      <c r="B115" s="151">
        <v>5735</v>
      </c>
      <c r="C115" s="94" t="s">
        <v>301</v>
      </c>
      <c r="D115" s="428"/>
      <c r="E115" s="428"/>
      <c r="F115" s="428">
        <v>0</v>
      </c>
      <c r="G115" s="428">
        <v>0</v>
      </c>
      <c r="H115" s="428"/>
      <c r="I115" s="428"/>
      <c r="J115" s="428">
        <f t="shared" si="9"/>
        <v>0</v>
      </c>
      <c r="K115" s="428">
        <f t="shared" si="10"/>
        <v>0</v>
      </c>
    </row>
    <row r="116" spans="1:11" s="285" customFormat="1" hidden="1" x14ac:dyDescent="0.25">
      <c r="A116" s="118">
        <v>38</v>
      </c>
      <c r="B116" s="151">
        <v>5740</v>
      </c>
      <c r="C116" s="94" t="s">
        <v>302</v>
      </c>
      <c r="D116" s="428"/>
      <c r="E116" s="428"/>
      <c r="F116" s="428">
        <v>0</v>
      </c>
      <c r="G116" s="428">
        <v>0</v>
      </c>
      <c r="H116" s="428"/>
      <c r="I116" s="428"/>
      <c r="J116" s="428">
        <f t="shared" si="9"/>
        <v>0</v>
      </c>
      <c r="K116" s="428">
        <f t="shared" si="10"/>
        <v>0</v>
      </c>
    </row>
    <row r="117" spans="1:11" s="285" customFormat="1" hidden="1" x14ac:dyDescent="0.25">
      <c r="A117" s="118">
        <v>38</v>
      </c>
      <c r="B117" s="151">
        <v>5745</v>
      </c>
      <c r="C117" s="94" t="s">
        <v>303</v>
      </c>
      <c r="D117" s="428"/>
      <c r="E117" s="428"/>
      <c r="F117" s="428">
        <v>0</v>
      </c>
      <c r="G117" s="428">
        <v>0</v>
      </c>
      <c r="H117" s="428"/>
      <c r="I117" s="428"/>
      <c r="J117" s="428">
        <f t="shared" si="9"/>
        <v>0</v>
      </c>
      <c r="K117" s="428">
        <f t="shared" si="10"/>
        <v>0</v>
      </c>
    </row>
    <row r="118" spans="1:11" s="285" customFormat="1" x14ac:dyDescent="0.25">
      <c r="A118" s="118">
        <v>38</v>
      </c>
      <c r="B118" s="151">
        <v>5750</v>
      </c>
      <c r="C118" s="94" t="s">
        <v>304</v>
      </c>
      <c r="D118" s="428">
        <v>32</v>
      </c>
      <c r="E118" s="428">
        <v>400</v>
      </c>
      <c r="F118" s="428">
        <v>400</v>
      </c>
      <c r="G118" s="428">
        <v>400</v>
      </c>
      <c r="H118" s="428">
        <v>400</v>
      </c>
      <c r="I118" s="428">
        <v>400</v>
      </c>
      <c r="J118" s="428">
        <f t="shared" si="9"/>
        <v>422</v>
      </c>
      <c r="K118" s="428">
        <f t="shared" si="10"/>
        <v>444.36599999999999</v>
      </c>
    </row>
    <row r="119" spans="1:11" s="285" customFormat="1" x14ac:dyDescent="0.25">
      <c r="A119" s="118">
        <v>38</v>
      </c>
      <c r="B119" s="151">
        <v>5755</v>
      </c>
      <c r="C119" s="94" t="s">
        <v>305</v>
      </c>
      <c r="D119" s="428">
        <v>1965</v>
      </c>
      <c r="E119" s="428">
        <v>13500</v>
      </c>
      <c r="F119" s="428">
        <v>13500</v>
      </c>
      <c r="G119" s="428">
        <v>13500</v>
      </c>
      <c r="H119" s="428">
        <v>13500</v>
      </c>
      <c r="I119" s="428">
        <v>13500</v>
      </c>
      <c r="J119" s="428">
        <f t="shared" si="9"/>
        <v>14242.5</v>
      </c>
      <c r="K119" s="428">
        <f t="shared" si="10"/>
        <v>14997.352499999999</v>
      </c>
    </row>
    <row r="120" spans="1:11" s="285" customFormat="1" ht="12" hidden="1" customHeight="1" x14ac:dyDescent="0.25">
      <c r="A120" s="118">
        <v>38</v>
      </c>
      <c r="B120" s="151">
        <v>5760</v>
      </c>
      <c r="C120" s="94" t="s">
        <v>306</v>
      </c>
      <c r="D120" s="428"/>
      <c r="E120" s="428"/>
      <c r="F120" s="428">
        <v>0</v>
      </c>
      <c r="G120" s="428">
        <v>0</v>
      </c>
      <c r="H120" s="428"/>
      <c r="I120" s="428"/>
      <c r="J120" s="428">
        <f t="shared" si="9"/>
        <v>0</v>
      </c>
      <c r="K120" s="428">
        <f t="shared" si="10"/>
        <v>0</v>
      </c>
    </row>
    <row r="121" spans="1:11" s="285" customFormat="1" hidden="1" x14ac:dyDescent="0.25">
      <c r="A121" s="118">
        <v>38</v>
      </c>
      <c r="B121" s="151">
        <v>5765</v>
      </c>
      <c r="C121" s="94" t="s">
        <v>307</v>
      </c>
      <c r="D121" s="428"/>
      <c r="E121" s="428"/>
      <c r="F121" s="428">
        <v>0</v>
      </c>
      <c r="G121" s="428">
        <v>0</v>
      </c>
      <c r="H121" s="428"/>
      <c r="I121" s="428"/>
      <c r="J121" s="428">
        <f t="shared" si="9"/>
        <v>0</v>
      </c>
      <c r="K121" s="428">
        <f t="shared" si="10"/>
        <v>0</v>
      </c>
    </row>
    <row r="122" spans="1:11" s="285" customFormat="1" x14ac:dyDescent="0.25">
      <c r="A122" s="118">
        <v>38</v>
      </c>
      <c r="B122" s="151">
        <v>5770</v>
      </c>
      <c r="C122" s="94" t="s">
        <v>308</v>
      </c>
      <c r="D122" s="428">
        <v>126703</v>
      </c>
      <c r="E122" s="428">
        <v>102000</v>
      </c>
      <c r="F122" s="428">
        <v>102000</v>
      </c>
      <c r="G122" s="428">
        <v>102000</v>
      </c>
      <c r="H122" s="428">
        <v>108000</v>
      </c>
      <c r="I122" s="428">
        <v>108000</v>
      </c>
      <c r="J122" s="428">
        <f t="shared" si="9"/>
        <v>113940</v>
      </c>
      <c r="K122" s="428">
        <f t="shared" si="10"/>
        <v>119978.81999999999</v>
      </c>
    </row>
    <row r="123" spans="1:11" s="285" customFormat="1" hidden="1" x14ac:dyDescent="0.25">
      <c r="A123" s="118">
        <v>38</v>
      </c>
      <c r="B123" s="151">
        <v>5775</v>
      </c>
      <c r="C123" s="94" t="s">
        <v>309</v>
      </c>
      <c r="D123" s="428"/>
      <c r="E123" s="428"/>
      <c r="F123" s="428">
        <v>0</v>
      </c>
      <c r="G123" s="428">
        <v>0</v>
      </c>
      <c r="H123" s="428">
        <f t="shared" ref="H123:H147" si="11">0/8*12</f>
        <v>0</v>
      </c>
      <c r="I123" s="428"/>
      <c r="J123" s="428"/>
      <c r="K123" s="428"/>
    </row>
    <row r="124" spans="1:11" s="285" customFormat="1" hidden="1" x14ac:dyDescent="0.25">
      <c r="A124" s="118">
        <v>38</v>
      </c>
      <c r="B124" s="151">
        <v>5780</v>
      </c>
      <c r="C124" s="94" t="s">
        <v>310</v>
      </c>
      <c r="D124" s="428"/>
      <c r="E124" s="428"/>
      <c r="F124" s="428">
        <v>0</v>
      </c>
      <c r="G124" s="428">
        <v>0</v>
      </c>
      <c r="H124" s="428">
        <f t="shared" si="11"/>
        <v>0</v>
      </c>
      <c r="I124" s="428"/>
      <c r="J124" s="428"/>
      <c r="K124" s="428"/>
    </row>
    <row r="125" spans="1:11" s="285" customFormat="1" hidden="1" x14ac:dyDescent="0.25">
      <c r="A125" s="118">
        <v>38</v>
      </c>
      <c r="B125" s="151">
        <v>5785</v>
      </c>
      <c r="C125" s="94" t="s">
        <v>311</v>
      </c>
      <c r="D125" s="428"/>
      <c r="E125" s="428"/>
      <c r="F125" s="428">
        <v>0</v>
      </c>
      <c r="G125" s="428">
        <v>0</v>
      </c>
      <c r="H125" s="428">
        <f t="shared" si="11"/>
        <v>0</v>
      </c>
      <c r="I125" s="428"/>
      <c r="J125" s="428"/>
      <c r="K125" s="428"/>
    </row>
    <row r="126" spans="1:11" s="285" customFormat="1" hidden="1" x14ac:dyDescent="0.25">
      <c r="A126" s="118">
        <v>38</v>
      </c>
      <c r="B126" s="151">
        <v>5790</v>
      </c>
      <c r="C126" s="94" t="s">
        <v>312</v>
      </c>
      <c r="D126" s="428"/>
      <c r="E126" s="428"/>
      <c r="F126" s="428">
        <v>0</v>
      </c>
      <c r="G126" s="428">
        <v>0</v>
      </c>
      <c r="H126" s="428">
        <f t="shared" si="11"/>
        <v>0</v>
      </c>
      <c r="I126" s="428"/>
      <c r="J126" s="428"/>
      <c r="K126" s="428"/>
    </row>
    <row r="127" spans="1:11" s="285" customFormat="1" hidden="1" x14ac:dyDescent="0.25">
      <c r="A127" s="118">
        <v>38</v>
      </c>
      <c r="B127" s="151">
        <v>5795</v>
      </c>
      <c r="C127" s="94" t="s">
        <v>313</v>
      </c>
      <c r="D127" s="428"/>
      <c r="E127" s="428"/>
      <c r="F127" s="428">
        <v>0</v>
      </c>
      <c r="G127" s="428">
        <v>0</v>
      </c>
      <c r="H127" s="428">
        <f t="shared" si="11"/>
        <v>0</v>
      </c>
      <c r="I127" s="428"/>
      <c r="J127" s="428"/>
      <c r="K127" s="428"/>
    </row>
    <row r="128" spans="1:11" s="285" customFormat="1" hidden="1" x14ac:dyDescent="0.25">
      <c r="A128" s="118">
        <v>38</v>
      </c>
      <c r="B128" s="151">
        <v>5800</v>
      </c>
      <c r="C128" s="94" t="s">
        <v>314</v>
      </c>
      <c r="D128" s="428"/>
      <c r="E128" s="428"/>
      <c r="F128" s="428">
        <v>0</v>
      </c>
      <c r="G128" s="428">
        <v>0</v>
      </c>
      <c r="H128" s="428">
        <f t="shared" si="11"/>
        <v>0</v>
      </c>
      <c r="I128" s="428"/>
      <c r="J128" s="428"/>
      <c r="K128" s="428"/>
    </row>
    <row r="129" spans="1:11" s="285" customFormat="1" hidden="1" x14ac:dyDescent="0.25">
      <c r="A129" s="118">
        <v>38</v>
      </c>
      <c r="B129" s="151">
        <v>5805</v>
      </c>
      <c r="C129" s="94" t="s">
        <v>315</v>
      </c>
      <c r="D129" s="428"/>
      <c r="E129" s="428"/>
      <c r="F129" s="428">
        <v>0</v>
      </c>
      <c r="G129" s="428">
        <v>0</v>
      </c>
      <c r="H129" s="428">
        <f t="shared" si="11"/>
        <v>0</v>
      </c>
      <c r="I129" s="428"/>
      <c r="J129" s="428"/>
      <c r="K129" s="428"/>
    </row>
    <row r="130" spans="1:11" s="285" customFormat="1" hidden="1" x14ac:dyDescent="0.25">
      <c r="A130" s="118">
        <v>38</v>
      </c>
      <c r="B130" s="151">
        <v>5810</v>
      </c>
      <c r="C130" s="94" t="s">
        <v>316</v>
      </c>
      <c r="D130" s="428"/>
      <c r="E130" s="428"/>
      <c r="F130" s="428">
        <v>0</v>
      </c>
      <c r="G130" s="428">
        <v>0</v>
      </c>
      <c r="H130" s="428">
        <f t="shared" si="11"/>
        <v>0</v>
      </c>
      <c r="I130" s="428"/>
      <c r="J130" s="428"/>
      <c r="K130" s="428"/>
    </row>
    <row r="131" spans="1:11" s="285" customFormat="1" hidden="1" x14ac:dyDescent="0.25">
      <c r="A131" s="118">
        <v>38</v>
      </c>
      <c r="B131" s="151">
        <v>5815</v>
      </c>
      <c r="C131" s="94" t="s">
        <v>99</v>
      </c>
      <c r="D131" s="428"/>
      <c r="E131" s="428"/>
      <c r="F131" s="428">
        <v>0</v>
      </c>
      <c r="G131" s="428">
        <v>0</v>
      </c>
      <c r="H131" s="428">
        <f t="shared" si="11"/>
        <v>0</v>
      </c>
      <c r="I131" s="428"/>
      <c r="J131" s="428"/>
      <c r="K131" s="428"/>
    </row>
    <row r="132" spans="1:11" s="285" customFormat="1" hidden="1" x14ac:dyDescent="0.25">
      <c r="A132" s="118">
        <v>38</v>
      </c>
      <c r="B132" s="151">
        <v>5820</v>
      </c>
      <c r="C132" s="94" t="s">
        <v>114</v>
      </c>
      <c r="D132" s="86"/>
      <c r="E132" s="428"/>
      <c r="F132" s="428">
        <v>0</v>
      </c>
      <c r="G132" s="86">
        <v>0</v>
      </c>
      <c r="H132" s="428">
        <f t="shared" si="11"/>
        <v>0</v>
      </c>
      <c r="I132" s="428"/>
      <c r="J132" s="428"/>
      <c r="K132" s="428"/>
    </row>
    <row r="133" spans="1:11" s="285" customFormat="1" hidden="1" x14ac:dyDescent="0.25">
      <c r="A133" s="118">
        <v>38</v>
      </c>
      <c r="B133" s="151">
        <v>5825</v>
      </c>
      <c r="C133" s="94" t="s">
        <v>317</v>
      </c>
      <c r="D133" s="86"/>
      <c r="E133" s="428"/>
      <c r="F133" s="428">
        <v>0</v>
      </c>
      <c r="G133" s="86">
        <v>0</v>
      </c>
      <c r="H133" s="428">
        <f t="shared" si="11"/>
        <v>0</v>
      </c>
      <c r="I133" s="428"/>
      <c r="J133" s="428"/>
      <c r="K133" s="428"/>
    </row>
    <row r="134" spans="1:11" s="285" customFormat="1" hidden="1" x14ac:dyDescent="0.25">
      <c r="A134" s="118">
        <v>38</v>
      </c>
      <c r="B134" s="151">
        <v>5830</v>
      </c>
      <c r="C134" s="94" t="s">
        <v>318</v>
      </c>
      <c r="D134" s="86"/>
      <c r="E134" s="428"/>
      <c r="F134" s="428">
        <v>0</v>
      </c>
      <c r="G134" s="86">
        <v>0</v>
      </c>
      <c r="H134" s="428">
        <f t="shared" si="11"/>
        <v>0</v>
      </c>
      <c r="I134" s="428"/>
      <c r="J134" s="428"/>
      <c r="K134" s="428"/>
    </row>
    <row r="135" spans="1:11" s="285" customFormat="1" hidden="1" x14ac:dyDescent="0.25">
      <c r="A135" s="118">
        <v>38</v>
      </c>
      <c r="B135" s="151">
        <v>5835</v>
      </c>
      <c r="C135" s="94" t="s">
        <v>319</v>
      </c>
      <c r="D135" s="86"/>
      <c r="E135" s="428"/>
      <c r="F135" s="428">
        <v>0</v>
      </c>
      <c r="G135" s="86">
        <v>0</v>
      </c>
      <c r="H135" s="428">
        <f t="shared" si="11"/>
        <v>0</v>
      </c>
      <c r="I135" s="428"/>
      <c r="J135" s="428"/>
      <c r="K135" s="428"/>
    </row>
    <row r="136" spans="1:11" s="285" customFormat="1" hidden="1" x14ac:dyDescent="0.25">
      <c r="A136" s="118">
        <v>38</v>
      </c>
      <c r="B136" s="151">
        <v>5840</v>
      </c>
      <c r="C136" s="94" t="s">
        <v>332</v>
      </c>
      <c r="D136" s="440"/>
      <c r="E136" s="428"/>
      <c r="F136" s="428">
        <v>0</v>
      </c>
      <c r="G136" s="440">
        <v>0</v>
      </c>
      <c r="H136" s="428">
        <f t="shared" si="11"/>
        <v>0</v>
      </c>
      <c r="I136" s="428"/>
      <c r="J136" s="428"/>
      <c r="K136" s="428"/>
    </row>
    <row r="137" spans="1:11" s="285" customFormat="1" hidden="1" x14ac:dyDescent="0.25">
      <c r="A137" s="118">
        <v>38</v>
      </c>
      <c r="B137" s="151">
        <v>5845</v>
      </c>
      <c r="C137" s="94" t="s">
        <v>320</v>
      </c>
      <c r="D137" s="86"/>
      <c r="E137" s="428"/>
      <c r="F137" s="428">
        <v>0</v>
      </c>
      <c r="G137" s="86">
        <v>0</v>
      </c>
      <c r="H137" s="428">
        <f t="shared" si="11"/>
        <v>0</v>
      </c>
      <c r="I137" s="428"/>
      <c r="J137" s="428"/>
      <c r="K137" s="428"/>
    </row>
    <row r="138" spans="1:11" s="285" customFormat="1" hidden="1" x14ac:dyDescent="0.25">
      <c r="A138" s="118">
        <v>38</v>
      </c>
      <c r="B138" s="151">
        <v>5855</v>
      </c>
      <c r="C138" s="94" t="s">
        <v>321</v>
      </c>
      <c r="D138" s="428"/>
      <c r="E138" s="428"/>
      <c r="F138" s="428">
        <v>0</v>
      </c>
      <c r="G138" s="428">
        <v>0</v>
      </c>
      <c r="H138" s="428">
        <f t="shared" si="11"/>
        <v>0</v>
      </c>
      <c r="I138" s="428"/>
      <c r="J138" s="428"/>
      <c r="K138" s="428"/>
    </row>
    <row r="139" spans="1:11" s="285" customFormat="1" hidden="1" x14ac:dyDescent="0.25">
      <c r="A139" s="118">
        <v>38</v>
      </c>
      <c r="B139" s="151">
        <v>5860</v>
      </c>
      <c r="C139" s="94" t="s">
        <v>322</v>
      </c>
      <c r="D139" s="428"/>
      <c r="E139" s="428"/>
      <c r="F139" s="428">
        <v>0</v>
      </c>
      <c r="G139" s="428">
        <v>0</v>
      </c>
      <c r="H139" s="428">
        <f t="shared" si="11"/>
        <v>0</v>
      </c>
      <c r="I139" s="428"/>
      <c r="J139" s="428"/>
      <c r="K139" s="428"/>
    </row>
    <row r="140" spans="1:11" s="285" customFormat="1" hidden="1" x14ac:dyDescent="0.25">
      <c r="A140" s="118">
        <v>38</v>
      </c>
      <c r="B140" s="151">
        <v>5865</v>
      </c>
      <c r="C140" s="94" t="s">
        <v>323</v>
      </c>
      <c r="D140" s="428"/>
      <c r="E140" s="428"/>
      <c r="F140" s="428">
        <v>0</v>
      </c>
      <c r="G140" s="428">
        <v>0</v>
      </c>
      <c r="H140" s="428">
        <f t="shared" si="11"/>
        <v>0</v>
      </c>
      <c r="I140" s="428"/>
      <c r="J140" s="428"/>
      <c r="K140" s="428"/>
    </row>
    <row r="141" spans="1:11" s="285" customFormat="1" hidden="1" x14ac:dyDescent="0.25">
      <c r="A141" s="118">
        <v>38</v>
      </c>
      <c r="B141" s="151">
        <v>5870</v>
      </c>
      <c r="C141" s="94" t="s">
        <v>324</v>
      </c>
      <c r="D141" s="428"/>
      <c r="E141" s="428"/>
      <c r="F141" s="428">
        <v>0</v>
      </c>
      <c r="G141" s="428">
        <v>0</v>
      </c>
      <c r="H141" s="428">
        <f t="shared" si="11"/>
        <v>0</v>
      </c>
      <c r="I141" s="428"/>
      <c r="J141" s="428"/>
      <c r="K141" s="428"/>
    </row>
    <row r="142" spans="1:11" s="285" customFormat="1" hidden="1" x14ac:dyDescent="0.25">
      <c r="A142" s="118">
        <v>38</v>
      </c>
      <c r="B142" s="151">
        <v>5875</v>
      </c>
      <c r="C142" s="94" t="s">
        <v>325</v>
      </c>
      <c r="D142" s="428"/>
      <c r="E142" s="428"/>
      <c r="F142" s="428">
        <v>0</v>
      </c>
      <c r="G142" s="428">
        <v>0</v>
      </c>
      <c r="H142" s="428">
        <f t="shared" si="11"/>
        <v>0</v>
      </c>
      <c r="I142" s="428"/>
      <c r="J142" s="428"/>
      <c r="K142" s="428"/>
    </row>
    <row r="143" spans="1:11" s="285" customFormat="1" hidden="1" x14ac:dyDescent="0.25">
      <c r="A143" s="118">
        <v>38</v>
      </c>
      <c r="B143" s="151">
        <v>5880</v>
      </c>
      <c r="C143" s="94" t="s">
        <v>326</v>
      </c>
      <c r="D143" s="428"/>
      <c r="E143" s="428"/>
      <c r="F143" s="428">
        <v>0</v>
      </c>
      <c r="G143" s="428">
        <v>0</v>
      </c>
      <c r="H143" s="428">
        <f t="shared" si="11"/>
        <v>0</v>
      </c>
      <c r="I143" s="428"/>
      <c r="J143" s="428"/>
      <c r="K143" s="428"/>
    </row>
    <row r="144" spans="1:11" s="285" customFormat="1" hidden="1" x14ac:dyDescent="0.25">
      <c r="A144" s="118">
        <v>38</v>
      </c>
      <c r="B144" s="151">
        <v>5885</v>
      </c>
      <c r="C144" s="94" t="s">
        <v>331</v>
      </c>
      <c r="D144" s="428"/>
      <c r="E144" s="428"/>
      <c r="F144" s="428">
        <v>0</v>
      </c>
      <c r="G144" s="428">
        <v>0</v>
      </c>
      <c r="H144" s="428">
        <f t="shared" si="11"/>
        <v>0</v>
      </c>
      <c r="I144" s="428"/>
      <c r="J144" s="428"/>
      <c r="K144" s="428"/>
    </row>
    <row r="145" spans="1:11" s="285" customFormat="1" hidden="1" x14ac:dyDescent="0.25">
      <c r="A145" s="118">
        <v>38</v>
      </c>
      <c r="B145" s="151">
        <v>5890</v>
      </c>
      <c r="C145" s="94" t="s">
        <v>327</v>
      </c>
      <c r="D145" s="428"/>
      <c r="E145" s="428"/>
      <c r="F145" s="428">
        <v>0</v>
      </c>
      <c r="G145" s="428">
        <v>0</v>
      </c>
      <c r="H145" s="428">
        <f t="shared" si="11"/>
        <v>0</v>
      </c>
      <c r="I145" s="428"/>
      <c r="J145" s="428"/>
      <c r="K145" s="428"/>
    </row>
    <row r="146" spans="1:11" s="285" customFormat="1" hidden="1" x14ac:dyDescent="0.25">
      <c r="A146" s="118">
        <v>38</v>
      </c>
      <c r="B146" s="151">
        <v>5895</v>
      </c>
      <c r="C146" s="94" t="s">
        <v>328</v>
      </c>
      <c r="D146" s="428"/>
      <c r="E146" s="428"/>
      <c r="F146" s="428">
        <v>0</v>
      </c>
      <c r="G146" s="428">
        <v>0</v>
      </c>
      <c r="H146" s="428">
        <f t="shared" si="11"/>
        <v>0</v>
      </c>
      <c r="I146" s="428"/>
      <c r="J146" s="428"/>
      <c r="K146" s="428"/>
    </row>
    <row r="147" spans="1:11" s="285" customFormat="1" hidden="1" x14ac:dyDescent="0.25">
      <c r="A147" s="118">
        <v>38</v>
      </c>
      <c r="B147" s="151">
        <v>5910</v>
      </c>
      <c r="C147" s="94" t="s">
        <v>330</v>
      </c>
      <c r="D147" s="428"/>
      <c r="E147" s="428"/>
      <c r="F147" s="428">
        <v>0</v>
      </c>
      <c r="G147" s="428">
        <v>0</v>
      </c>
      <c r="H147" s="428">
        <f t="shared" si="11"/>
        <v>0</v>
      </c>
      <c r="I147" s="428"/>
      <c r="J147" s="428"/>
      <c r="K147" s="428"/>
    </row>
    <row r="148" spans="1:11" s="285" customFormat="1" x14ac:dyDescent="0.25">
      <c r="A148" s="344"/>
      <c r="B148" s="151"/>
      <c r="C148" s="94"/>
      <c r="D148" s="429">
        <v>140400</v>
      </c>
      <c r="E148" s="429">
        <f>SUM(E72:E147)</f>
        <v>247171</v>
      </c>
      <c r="F148" s="429">
        <v>247171</v>
      </c>
      <c r="G148" s="429">
        <v>247171</v>
      </c>
      <c r="H148" s="429">
        <f>SUM(H72:H147)</f>
        <v>304900</v>
      </c>
      <c r="I148" s="429">
        <f>SUM(I72:I147)</f>
        <v>319900</v>
      </c>
      <c r="J148" s="429">
        <f>SUM(J72:J147)</f>
        <v>337494.5</v>
      </c>
      <c r="K148" s="429">
        <f>SUM(K72:K147)</f>
        <v>355381.70850000001</v>
      </c>
    </row>
    <row r="149" spans="1:11" s="285" customFormat="1" hidden="1" x14ac:dyDescent="0.25">
      <c r="A149" s="344"/>
      <c r="B149" s="151"/>
      <c r="C149" s="93" t="s">
        <v>187</v>
      </c>
      <c r="D149" s="428"/>
      <c r="E149" s="425"/>
      <c r="F149" s="425"/>
      <c r="G149" s="428"/>
      <c r="H149" s="425"/>
      <c r="I149" s="425"/>
      <c r="J149" s="425"/>
      <c r="K149" s="425"/>
    </row>
    <row r="150" spans="1:11" s="285" customFormat="1" hidden="1" x14ac:dyDescent="0.25">
      <c r="A150" s="118">
        <v>38</v>
      </c>
      <c r="B150" s="151">
        <v>6005</v>
      </c>
      <c r="C150" s="94" t="s">
        <v>188</v>
      </c>
      <c r="D150" s="428">
        <v>0</v>
      </c>
      <c r="E150" s="425"/>
      <c r="F150" s="428">
        <v>0</v>
      </c>
      <c r="G150" s="428">
        <v>0</v>
      </c>
      <c r="H150" s="428">
        <f>0/8*12</f>
        <v>0</v>
      </c>
      <c r="I150" s="428"/>
      <c r="J150" s="428"/>
      <c r="K150" s="425"/>
    </row>
    <row r="151" spans="1:11" s="285" customFormat="1" hidden="1" x14ac:dyDescent="0.25">
      <c r="A151" s="344"/>
      <c r="B151" s="151"/>
      <c r="C151" s="94"/>
      <c r="D151" s="429">
        <v>0</v>
      </c>
      <c r="E151" s="429">
        <f>SUM(E150)</f>
        <v>0</v>
      </c>
      <c r="F151" s="429">
        <v>0</v>
      </c>
      <c r="G151" s="429">
        <v>0</v>
      </c>
      <c r="H151" s="429">
        <f>SUM(H150)</f>
        <v>0</v>
      </c>
      <c r="I151" s="429"/>
      <c r="J151" s="429"/>
      <c r="K151" s="429"/>
    </row>
    <row r="152" spans="1:11" s="285" customFormat="1" x14ac:dyDescent="0.25">
      <c r="A152" s="344"/>
      <c r="B152" s="151"/>
      <c r="C152" s="93" t="s">
        <v>64</v>
      </c>
      <c r="D152" s="88"/>
      <c r="E152" s="113"/>
      <c r="F152" s="113"/>
      <c r="G152" s="88"/>
      <c r="H152" s="113"/>
      <c r="I152" s="113"/>
      <c r="J152" s="113"/>
      <c r="K152" s="113"/>
    </row>
    <row r="153" spans="1:11" s="285" customFormat="1" hidden="1" x14ac:dyDescent="0.25">
      <c r="A153" s="118">
        <v>38</v>
      </c>
      <c r="B153" s="151">
        <v>6105</v>
      </c>
      <c r="C153" s="94" t="s">
        <v>336</v>
      </c>
      <c r="D153" s="428">
        <v>0</v>
      </c>
      <c r="E153" s="425"/>
      <c r="F153" s="428">
        <v>0</v>
      </c>
      <c r="G153" s="428">
        <v>0</v>
      </c>
      <c r="H153" s="428">
        <f>0/8*12</f>
        <v>0</v>
      </c>
      <c r="I153" s="428"/>
      <c r="J153" s="428"/>
      <c r="K153" s="425"/>
    </row>
    <row r="154" spans="1:11" s="285" customFormat="1" hidden="1" x14ac:dyDescent="0.25">
      <c r="A154" s="118">
        <v>38</v>
      </c>
      <c r="B154" s="151">
        <v>6110</v>
      </c>
      <c r="C154" s="94" t="s">
        <v>337</v>
      </c>
      <c r="D154" s="428">
        <v>0</v>
      </c>
      <c r="E154" s="425"/>
      <c r="F154" s="428">
        <v>0</v>
      </c>
      <c r="G154" s="428">
        <v>0</v>
      </c>
      <c r="H154" s="428">
        <f>0/8*12</f>
        <v>0</v>
      </c>
      <c r="I154" s="428"/>
      <c r="J154" s="428"/>
      <c r="K154" s="425"/>
    </row>
    <row r="155" spans="1:11" s="285" customFormat="1" x14ac:dyDescent="0.25">
      <c r="A155" s="118">
        <v>38</v>
      </c>
      <c r="B155" s="151">
        <v>6115</v>
      </c>
      <c r="C155" s="94" t="s">
        <v>60</v>
      </c>
      <c r="D155" s="428">
        <v>0</v>
      </c>
      <c r="E155" s="425"/>
      <c r="F155" s="428">
        <v>0</v>
      </c>
      <c r="G155" s="428">
        <v>0</v>
      </c>
      <c r="H155" s="428">
        <v>200000</v>
      </c>
      <c r="I155" s="428">
        <v>510000</v>
      </c>
      <c r="J155" s="428"/>
      <c r="K155" s="425"/>
    </row>
    <row r="156" spans="1:11" s="285" customFormat="1" x14ac:dyDescent="0.25">
      <c r="A156" s="344"/>
      <c r="B156" s="151"/>
      <c r="C156" s="94"/>
      <c r="D156" s="429">
        <v>0</v>
      </c>
      <c r="E156" s="429">
        <f>SUM(E153:E155)</f>
        <v>0</v>
      </c>
      <c r="F156" s="429">
        <v>0</v>
      </c>
      <c r="G156" s="429">
        <v>0</v>
      </c>
      <c r="H156" s="429">
        <f>SUM(H153:H155)</f>
        <v>200000</v>
      </c>
      <c r="I156" s="429">
        <f>SUM(I153:I155)</f>
        <v>510000</v>
      </c>
      <c r="J156" s="429">
        <f>SUM(J153:J155)</f>
        <v>0</v>
      </c>
      <c r="K156" s="429">
        <f>SUM(K153:K155)</f>
        <v>0</v>
      </c>
    </row>
    <row r="157" spans="1:11" s="285" customFormat="1" hidden="1" x14ac:dyDescent="0.25">
      <c r="A157" s="344"/>
      <c r="B157" s="151"/>
      <c r="C157" s="459" t="s">
        <v>65</v>
      </c>
      <c r="D157" s="88"/>
      <c r="E157" s="113"/>
      <c r="F157" s="113"/>
      <c r="G157" s="88"/>
      <c r="H157" s="113"/>
      <c r="I157" s="113"/>
      <c r="J157" s="113"/>
      <c r="K157" s="113"/>
    </row>
    <row r="158" spans="1:11" s="285" customFormat="1" hidden="1" x14ac:dyDescent="0.25">
      <c r="A158" s="118">
        <v>38</v>
      </c>
      <c r="B158" s="151">
        <v>6205</v>
      </c>
      <c r="C158" s="94" t="s">
        <v>338</v>
      </c>
      <c r="D158" s="428">
        <v>0</v>
      </c>
      <c r="E158" s="425"/>
      <c r="F158" s="428">
        <v>0</v>
      </c>
      <c r="G158" s="428">
        <v>0</v>
      </c>
      <c r="H158" s="428">
        <f>0/8*12</f>
        <v>0</v>
      </c>
      <c r="I158" s="428">
        <f t="shared" ref="I158:K159" si="12">0/8*12</f>
        <v>0</v>
      </c>
      <c r="J158" s="428">
        <f t="shared" si="12"/>
        <v>0</v>
      </c>
      <c r="K158" s="428">
        <f t="shared" si="12"/>
        <v>0</v>
      </c>
    </row>
    <row r="159" spans="1:11" s="285" customFormat="1" hidden="1" x14ac:dyDescent="0.25">
      <c r="A159" s="118">
        <v>38</v>
      </c>
      <c r="B159" s="151">
        <v>6210</v>
      </c>
      <c r="C159" s="94" t="s">
        <v>339</v>
      </c>
      <c r="D159" s="428">
        <v>0</v>
      </c>
      <c r="E159" s="428"/>
      <c r="F159" s="428">
        <v>0</v>
      </c>
      <c r="G159" s="428">
        <v>0</v>
      </c>
      <c r="H159" s="428">
        <f>0/8*12</f>
        <v>0</v>
      </c>
      <c r="I159" s="428">
        <f t="shared" si="12"/>
        <v>0</v>
      </c>
      <c r="J159" s="428">
        <f t="shared" si="12"/>
        <v>0</v>
      </c>
      <c r="K159" s="428">
        <f t="shared" si="12"/>
        <v>0</v>
      </c>
    </row>
    <row r="160" spans="1:11" s="285" customFormat="1" hidden="1" x14ac:dyDescent="0.25">
      <c r="A160" s="344"/>
      <c r="B160" s="346"/>
      <c r="C160" s="347"/>
      <c r="D160" s="441">
        <v>0</v>
      </c>
      <c r="E160" s="441">
        <f>SUM(E158:E159)</f>
        <v>0</v>
      </c>
      <c r="F160" s="441">
        <v>0</v>
      </c>
      <c r="G160" s="441">
        <v>0</v>
      </c>
      <c r="H160" s="441">
        <f>SUM(H158:H159)</f>
        <v>0</v>
      </c>
      <c r="I160" s="441">
        <f>SUM(I158:I159)</f>
        <v>0</v>
      </c>
      <c r="J160" s="441">
        <f>SUM(J158:J159)</f>
        <v>0</v>
      </c>
      <c r="K160" s="441">
        <f>SUM(K158:K159)</f>
        <v>0</v>
      </c>
    </row>
    <row r="161" spans="1:11" s="285" customFormat="1" x14ac:dyDescent="0.25">
      <c r="A161" s="344"/>
      <c r="B161" s="346"/>
      <c r="C161" s="93" t="s">
        <v>189</v>
      </c>
      <c r="D161" s="441">
        <v>938609</v>
      </c>
      <c r="E161" s="441">
        <f>E160+E156+E151+E148+E70+E66+E63+E59+E38+E35+E32+E29+E25+E18</f>
        <v>1902771</v>
      </c>
      <c r="F161" s="441">
        <f>F160+F156+F151+F148+F70+F66+F63+F59+F38+F35+F32+F29+F25+F18</f>
        <v>1902771</v>
      </c>
      <c r="G161" s="441">
        <v>1902771</v>
      </c>
      <c r="H161" s="441">
        <f>H160+H156+H151+H148+H70+H66+H63+H59+H38+H35+H32+H29+H25+H18</f>
        <v>2048458.8</v>
      </c>
      <c r="I161" s="441">
        <f>I160+I156+I151+I148+I70+I66+I63+I59+I38+I35+I32+I29+I25+I18</f>
        <v>2744585.2104000002</v>
      </c>
      <c r="J161" s="441">
        <f>J160+J156+J151+J148+J70+J66+J63+J59+J38+J35+J32+J29+J25+J18</f>
        <v>2357487.3969720001</v>
      </c>
      <c r="K161" s="441">
        <f>K160+K156+K151+K148+K70+K66+K63+K59+K38+K35+K32+K29+K25+K18</f>
        <v>2482434.2290115161</v>
      </c>
    </row>
    <row r="162" spans="1:11" s="285" customFormat="1" hidden="1" x14ac:dyDescent="0.25">
      <c r="A162" s="344"/>
      <c r="B162" s="151"/>
      <c r="C162" s="93" t="s">
        <v>258</v>
      </c>
      <c r="D162" s="442"/>
      <c r="E162" s="442"/>
      <c r="F162" s="442"/>
      <c r="G162" s="442"/>
      <c r="H162" s="442"/>
      <c r="I162" s="442"/>
      <c r="J162" s="442"/>
      <c r="K162" s="442"/>
    </row>
    <row r="163" spans="1:11" s="285" customFormat="1" hidden="1" x14ac:dyDescent="0.25">
      <c r="A163" s="118">
        <v>38</v>
      </c>
      <c r="B163" s="151">
        <v>6305</v>
      </c>
      <c r="C163" s="94" t="s">
        <v>190</v>
      </c>
      <c r="D163" s="428">
        <v>0</v>
      </c>
      <c r="E163" s="428"/>
      <c r="F163" s="428"/>
      <c r="G163" s="428"/>
      <c r="H163" s="428"/>
      <c r="I163" s="428"/>
      <c r="J163" s="428"/>
      <c r="K163" s="428"/>
    </row>
    <row r="164" spans="1:11" s="285" customFormat="1" hidden="1" x14ac:dyDescent="0.25">
      <c r="A164" s="344"/>
      <c r="B164" s="151"/>
      <c r="C164" s="94"/>
      <c r="D164" s="441">
        <v>0</v>
      </c>
      <c r="E164" s="441">
        <f>E163</f>
        <v>0</v>
      </c>
      <c r="F164" s="441">
        <v>0</v>
      </c>
      <c r="G164" s="441">
        <v>1</v>
      </c>
      <c r="H164" s="441"/>
      <c r="I164" s="441"/>
      <c r="J164" s="441"/>
      <c r="K164" s="441"/>
    </row>
    <row r="165" spans="1:11" s="285" customFormat="1" x14ac:dyDescent="0.25">
      <c r="A165" s="348"/>
      <c r="B165" s="152"/>
      <c r="C165" s="119" t="s">
        <v>191</v>
      </c>
      <c r="D165" s="448">
        <f t="shared" ref="D165:K165" si="13">SUM(D161+D164)</f>
        <v>938609</v>
      </c>
      <c r="E165" s="448">
        <f t="shared" si="13"/>
        <v>1902771</v>
      </c>
      <c r="F165" s="448">
        <f t="shared" si="13"/>
        <v>1902771</v>
      </c>
      <c r="G165" s="448">
        <f t="shared" si="13"/>
        <v>1902772</v>
      </c>
      <c r="H165" s="448">
        <f t="shared" si="13"/>
        <v>2048458.8</v>
      </c>
      <c r="I165" s="448">
        <f t="shared" si="13"/>
        <v>2744585.2104000002</v>
      </c>
      <c r="J165" s="448">
        <f t="shared" si="13"/>
        <v>2357487.3969720001</v>
      </c>
      <c r="K165" s="448">
        <f t="shared" si="13"/>
        <v>2482434.2290115161</v>
      </c>
    </row>
    <row r="166" spans="1:11" s="285" customFormat="1" x14ac:dyDescent="0.25">
      <c r="A166" s="344"/>
      <c r="B166" s="130"/>
      <c r="C166" s="440"/>
      <c r="D166" s="111"/>
      <c r="E166" s="120"/>
      <c r="F166" s="120"/>
      <c r="G166" s="111"/>
      <c r="H166" s="120"/>
      <c r="I166" s="120"/>
      <c r="J166" s="120"/>
      <c r="K166" s="120"/>
    </row>
    <row r="167" spans="1:11" s="285" customFormat="1" x14ac:dyDescent="0.25">
      <c r="A167" s="344"/>
      <c r="B167" s="130"/>
      <c r="C167" s="440"/>
      <c r="D167" s="111"/>
      <c r="E167" s="111"/>
      <c r="F167" s="111"/>
      <c r="G167" s="111"/>
      <c r="H167" s="111"/>
      <c r="I167" s="111"/>
      <c r="J167" s="111"/>
      <c r="K167" s="111"/>
    </row>
    <row r="168" spans="1:11" s="285" customFormat="1" x14ac:dyDescent="0.25">
      <c r="A168" s="349"/>
      <c r="B168" s="546" t="s">
        <v>416</v>
      </c>
      <c r="C168" s="546"/>
      <c r="D168" s="547"/>
      <c r="E168" s="548"/>
      <c r="F168" s="548"/>
      <c r="G168" s="547"/>
      <c r="H168" s="548"/>
      <c r="I168" s="581"/>
      <c r="J168" s="548"/>
      <c r="K168" s="548"/>
    </row>
    <row r="169" spans="1:11" s="285" customFormat="1" x14ac:dyDescent="0.25">
      <c r="A169" s="944" t="s">
        <v>21</v>
      </c>
      <c r="B169" s="945"/>
      <c r="C169" s="150" t="s">
        <v>22</v>
      </c>
      <c r="D169" s="103" t="s">
        <v>878</v>
      </c>
      <c r="E169" s="104" t="s">
        <v>24</v>
      </c>
      <c r="F169" s="103" t="s">
        <v>535</v>
      </c>
      <c r="G169" s="103" t="s">
        <v>413</v>
      </c>
      <c r="H169" s="104" t="s">
        <v>24</v>
      </c>
      <c r="I169" s="583" t="s">
        <v>24</v>
      </c>
      <c r="J169" s="583" t="s">
        <v>24</v>
      </c>
      <c r="K169" s="583" t="s">
        <v>24</v>
      </c>
    </row>
    <row r="170" spans="1:11" s="285" customFormat="1" x14ac:dyDescent="0.25">
      <c r="A170" s="946"/>
      <c r="B170" s="947"/>
      <c r="C170" s="106"/>
      <c r="D170" s="333" t="s">
        <v>257</v>
      </c>
      <c r="E170" s="107" t="s">
        <v>382</v>
      </c>
      <c r="F170" s="107" t="s">
        <v>382</v>
      </c>
      <c r="G170" s="333" t="s">
        <v>879</v>
      </c>
      <c r="H170" s="107" t="s">
        <v>407</v>
      </c>
      <c r="I170" s="586" t="s">
        <v>414</v>
      </c>
      <c r="J170" s="586" t="s">
        <v>530</v>
      </c>
      <c r="K170" s="586" t="s">
        <v>886</v>
      </c>
    </row>
    <row r="171" spans="1:11" s="285" customFormat="1" hidden="1" x14ac:dyDescent="0.25">
      <c r="A171" s="350"/>
      <c r="B171" s="153"/>
      <c r="C171" s="93" t="s">
        <v>98</v>
      </c>
      <c r="D171" s="444"/>
      <c r="E171" s="435"/>
      <c r="F171" s="435"/>
      <c r="G171" s="444"/>
      <c r="H171" s="435"/>
      <c r="I171" s="435"/>
      <c r="J171" s="435"/>
      <c r="K171" s="435"/>
    </row>
    <row r="172" spans="1:11" s="285" customFormat="1" hidden="1" x14ac:dyDescent="0.25">
      <c r="A172" s="118">
        <v>38</v>
      </c>
      <c r="B172" s="151">
        <v>1237</v>
      </c>
      <c r="C172" s="94" t="s">
        <v>99</v>
      </c>
      <c r="D172" s="444"/>
      <c r="E172" s="425"/>
      <c r="F172" s="435">
        <v>0</v>
      </c>
      <c r="G172" s="444">
        <v>0</v>
      </c>
      <c r="H172" s="435"/>
      <c r="I172" s="435"/>
      <c r="J172" s="435"/>
      <c r="K172" s="425"/>
    </row>
    <row r="173" spans="1:11" s="285" customFormat="1" hidden="1" x14ac:dyDescent="0.25">
      <c r="A173" s="118">
        <v>38</v>
      </c>
      <c r="B173" s="151">
        <v>5725</v>
      </c>
      <c r="C173" s="94" t="s">
        <v>400</v>
      </c>
      <c r="D173" s="428"/>
      <c r="E173" s="428">
        <v>0</v>
      </c>
      <c r="F173" s="428">
        <v>0</v>
      </c>
      <c r="G173" s="428">
        <v>0</v>
      </c>
      <c r="H173" s="428"/>
      <c r="I173" s="428"/>
      <c r="J173" s="428"/>
      <c r="K173" s="428"/>
    </row>
    <row r="174" spans="1:11" s="285" customFormat="1" hidden="1" x14ac:dyDescent="0.25">
      <c r="A174" s="344"/>
      <c r="B174" s="151"/>
      <c r="C174" s="94"/>
      <c r="D174" s="436"/>
      <c r="E174" s="436">
        <f>SUM(E172)</f>
        <v>0</v>
      </c>
      <c r="F174" s="436">
        <v>0</v>
      </c>
      <c r="G174" s="436">
        <v>0</v>
      </c>
      <c r="H174" s="436"/>
      <c r="I174" s="436"/>
      <c r="J174" s="436"/>
      <c r="K174" s="436"/>
    </row>
    <row r="175" spans="1:11" s="285" customFormat="1" hidden="1" x14ac:dyDescent="0.25">
      <c r="A175" s="344"/>
      <c r="B175" s="151"/>
      <c r="C175" s="93" t="s">
        <v>100</v>
      </c>
      <c r="D175" s="444"/>
      <c r="E175" s="435"/>
      <c r="F175" s="435"/>
      <c r="G175" s="444"/>
      <c r="H175" s="435"/>
      <c r="I175" s="435"/>
      <c r="J175" s="435"/>
      <c r="K175" s="435"/>
    </row>
    <row r="176" spans="1:11" s="285" customFormat="1" hidden="1" x14ac:dyDescent="0.25">
      <c r="A176" s="118">
        <v>38</v>
      </c>
      <c r="B176" s="151">
        <v>1147</v>
      </c>
      <c r="C176" s="94" t="s">
        <v>102</v>
      </c>
      <c r="D176" s="444"/>
      <c r="E176" s="435"/>
      <c r="F176" s="435">
        <v>0</v>
      </c>
      <c r="G176" s="444">
        <v>0</v>
      </c>
      <c r="H176" s="435"/>
      <c r="I176" s="435"/>
      <c r="J176" s="435"/>
      <c r="K176" s="435"/>
    </row>
    <row r="177" spans="1:11" s="285" customFormat="1" hidden="1" x14ac:dyDescent="0.25">
      <c r="A177" s="118">
        <v>38</v>
      </c>
      <c r="B177" s="151">
        <v>1202</v>
      </c>
      <c r="C177" s="94" t="s">
        <v>343</v>
      </c>
      <c r="D177" s="444"/>
      <c r="E177" s="435"/>
      <c r="F177" s="435">
        <v>0</v>
      </c>
      <c r="G177" s="444">
        <v>0</v>
      </c>
      <c r="H177" s="435"/>
      <c r="I177" s="435"/>
      <c r="J177" s="435"/>
      <c r="K177" s="435"/>
    </row>
    <row r="178" spans="1:11" s="285" customFormat="1" hidden="1" x14ac:dyDescent="0.25">
      <c r="A178" s="118">
        <v>38</v>
      </c>
      <c r="B178" s="151">
        <v>1207</v>
      </c>
      <c r="C178" s="94" t="s">
        <v>104</v>
      </c>
      <c r="D178" s="444"/>
      <c r="E178" s="435"/>
      <c r="F178" s="435">
        <v>0</v>
      </c>
      <c r="G178" s="444">
        <v>0</v>
      </c>
      <c r="H178" s="435"/>
      <c r="I178" s="435"/>
      <c r="J178" s="435"/>
      <c r="K178" s="435"/>
    </row>
    <row r="179" spans="1:11" s="285" customFormat="1" hidden="1" x14ac:dyDescent="0.25">
      <c r="A179" s="118">
        <v>38</v>
      </c>
      <c r="B179" s="151">
        <v>1153</v>
      </c>
      <c r="C179" s="94" t="s">
        <v>115</v>
      </c>
      <c r="D179" s="444"/>
      <c r="E179" s="435"/>
      <c r="F179" s="435">
        <v>0</v>
      </c>
      <c r="G179" s="444">
        <v>0</v>
      </c>
      <c r="H179" s="435"/>
      <c r="I179" s="435"/>
      <c r="J179" s="435"/>
      <c r="K179" s="435"/>
    </row>
    <row r="180" spans="1:11" s="285" customFormat="1" hidden="1" x14ac:dyDescent="0.25">
      <c r="A180" s="118">
        <v>38</v>
      </c>
      <c r="B180" s="151">
        <v>1143</v>
      </c>
      <c r="C180" s="94" t="s">
        <v>109</v>
      </c>
      <c r="D180" s="444"/>
      <c r="E180" s="435"/>
      <c r="F180" s="435">
        <v>0</v>
      </c>
      <c r="G180" s="444">
        <v>0</v>
      </c>
      <c r="H180" s="435"/>
      <c r="I180" s="435"/>
      <c r="J180" s="435"/>
      <c r="K180" s="435"/>
    </row>
    <row r="181" spans="1:11" s="285" customFormat="1" hidden="1" x14ac:dyDescent="0.25">
      <c r="A181" s="118">
        <v>38</v>
      </c>
      <c r="B181" s="151">
        <v>5500</v>
      </c>
      <c r="C181" s="94" t="s">
        <v>266</v>
      </c>
      <c r="D181" s="428"/>
      <c r="E181" s="428">
        <v>0</v>
      </c>
      <c r="F181" s="428">
        <v>0</v>
      </c>
      <c r="G181" s="428">
        <v>0</v>
      </c>
      <c r="H181" s="428"/>
      <c r="I181" s="428"/>
      <c r="J181" s="428"/>
      <c r="K181" s="428"/>
    </row>
    <row r="182" spans="1:11" s="285" customFormat="1" hidden="1" x14ac:dyDescent="0.25">
      <c r="A182" s="118">
        <v>38</v>
      </c>
      <c r="B182" s="151">
        <v>5705</v>
      </c>
      <c r="C182" s="94" t="s">
        <v>296</v>
      </c>
      <c r="D182" s="428"/>
      <c r="E182" s="428"/>
      <c r="F182" s="428">
        <v>0</v>
      </c>
      <c r="G182" s="428">
        <v>0</v>
      </c>
      <c r="H182" s="428"/>
      <c r="I182" s="428"/>
      <c r="J182" s="428"/>
      <c r="K182" s="428"/>
    </row>
    <row r="183" spans="1:11" s="285" customFormat="1" hidden="1" x14ac:dyDescent="0.25">
      <c r="A183" s="118">
        <v>38</v>
      </c>
      <c r="B183" s="151">
        <v>1140</v>
      </c>
      <c r="C183" s="94" t="s">
        <v>113</v>
      </c>
      <c r="D183" s="444"/>
      <c r="E183" s="435"/>
      <c r="F183" s="435">
        <v>0</v>
      </c>
      <c r="G183" s="444">
        <v>0</v>
      </c>
      <c r="H183" s="435"/>
      <c r="I183" s="435"/>
      <c r="J183" s="435"/>
      <c r="K183" s="435"/>
    </row>
    <row r="184" spans="1:11" s="285" customFormat="1" hidden="1" x14ac:dyDescent="0.25">
      <c r="A184" s="118">
        <v>38</v>
      </c>
      <c r="B184" s="151">
        <v>1145</v>
      </c>
      <c r="C184" s="94" t="s">
        <v>132</v>
      </c>
      <c r="D184" s="444"/>
      <c r="E184" s="435"/>
      <c r="F184" s="435">
        <v>0</v>
      </c>
      <c r="G184" s="444">
        <v>0</v>
      </c>
      <c r="H184" s="435"/>
      <c r="I184" s="435"/>
      <c r="J184" s="435"/>
      <c r="K184" s="435"/>
    </row>
    <row r="185" spans="1:11" s="285" customFormat="1" hidden="1" x14ac:dyDescent="0.25">
      <c r="A185" s="118">
        <v>38</v>
      </c>
      <c r="B185" s="151">
        <v>1150</v>
      </c>
      <c r="C185" s="94" t="s">
        <v>120</v>
      </c>
      <c r="D185" s="444"/>
      <c r="E185" s="435"/>
      <c r="F185" s="435">
        <v>0</v>
      </c>
      <c r="G185" s="444">
        <v>0</v>
      </c>
      <c r="H185" s="435"/>
      <c r="I185" s="435"/>
      <c r="J185" s="435"/>
      <c r="K185" s="435"/>
    </row>
    <row r="186" spans="1:11" s="285" customFormat="1" hidden="1" x14ac:dyDescent="0.25">
      <c r="A186" s="118">
        <v>38</v>
      </c>
      <c r="B186" s="151">
        <v>1155</v>
      </c>
      <c r="C186" s="94" t="s">
        <v>116</v>
      </c>
      <c r="D186" s="444"/>
      <c r="E186" s="435"/>
      <c r="F186" s="435">
        <v>0</v>
      </c>
      <c r="G186" s="444">
        <v>0</v>
      </c>
      <c r="H186" s="435"/>
      <c r="I186" s="435"/>
      <c r="J186" s="435"/>
      <c r="K186" s="435"/>
    </row>
    <row r="187" spans="1:11" s="285" customFormat="1" hidden="1" x14ac:dyDescent="0.25">
      <c r="A187" s="118">
        <v>38</v>
      </c>
      <c r="B187" s="151">
        <v>1160</v>
      </c>
      <c r="C187" s="94" t="s">
        <v>101</v>
      </c>
      <c r="D187" s="444"/>
      <c r="E187" s="435"/>
      <c r="F187" s="435">
        <v>0</v>
      </c>
      <c r="G187" s="444">
        <v>0</v>
      </c>
      <c r="H187" s="435"/>
      <c r="I187" s="435"/>
      <c r="J187" s="435"/>
      <c r="K187" s="435"/>
    </row>
    <row r="188" spans="1:11" s="285" customFormat="1" hidden="1" x14ac:dyDescent="0.25">
      <c r="A188" s="118">
        <v>38</v>
      </c>
      <c r="B188" s="151">
        <v>1165</v>
      </c>
      <c r="C188" s="94" t="s">
        <v>114</v>
      </c>
      <c r="D188" s="444"/>
      <c r="E188" s="435"/>
      <c r="F188" s="435">
        <v>0</v>
      </c>
      <c r="G188" s="444">
        <v>0</v>
      </c>
      <c r="H188" s="435"/>
      <c r="I188" s="435"/>
      <c r="J188" s="435"/>
      <c r="K188" s="435"/>
    </row>
    <row r="189" spans="1:11" s="285" customFormat="1" hidden="1" x14ac:dyDescent="0.25">
      <c r="A189" s="118"/>
      <c r="B189" s="151"/>
      <c r="C189" s="94" t="s">
        <v>401</v>
      </c>
      <c r="D189" s="444"/>
      <c r="E189" s="435"/>
      <c r="F189" s="435">
        <v>0</v>
      </c>
      <c r="G189" s="444">
        <v>0</v>
      </c>
      <c r="H189" s="435"/>
      <c r="I189" s="435"/>
      <c r="J189" s="435"/>
      <c r="K189" s="435"/>
    </row>
    <row r="190" spans="1:11" s="285" customFormat="1" hidden="1" x14ac:dyDescent="0.25">
      <c r="A190" s="118">
        <v>38</v>
      </c>
      <c r="B190" s="151">
        <v>1180</v>
      </c>
      <c r="C190" s="94" t="s">
        <v>402</v>
      </c>
      <c r="D190" s="444"/>
      <c r="E190" s="435"/>
      <c r="F190" s="435">
        <v>0</v>
      </c>
      <c r="G190" s="444">
        <v>0</v>
      </c>
      <c r="H190" s="435"/>
      <c r="I190" s="435"/>
      <c r="J190" s="435"/>
      <c r="K190" s="435"/>
    </row>
    <row r="191" spans="1:11" s="285" customFormat="1" hidden="1" x14ac:dyDescent="0.25">
      <c r="A191" s="118">
        <v>38</v>
      </c>
      <c r="B191" s="151">
        <v>1185</v>
      </c>
      <c r="C191" s="94" t="s">
        <v>403</v>
      </c>
      <c r="D191" s="444"/>
      <c r="E191" s="435"/>
      <c r="F191" s="435">
        <v>0</v>
      </c>
      <c r="G191" s="444">
        <v>0</v>
      </c>
      <c r="H191" s="435"/>
      <c r="I191" s="435"/>
      <c r="J191" s="435"/>
      <c r="K191" s="435"/>
    </row>
    <row r="192" spans="1:11" s="285" customFormat="1" hidden="1" x14ac:dyDescent="0.25">
      <c r="A192" s="118">
        <v>38</v>
      </c>
      <c r="B192" s="151">
        <v>1190</v>
      </c>
      <c r="C192" s="94" t="s">
        <v>404</v>
      </c>
      <c r="D192" s="444"/>
      <c r="E192" s="435"/>
      <c r="F192" s="435">
        <v>0</v>
      </c>
      <c r="G192" s="444">
        <v>0</v>
      </c>
      <c r="H192" s="435"/>
      <c r="I192" s="435"/>
      <c r="J192" s="435"/>
      <c r="K192" s="435"/>
    </row>
    <row r="193" spans="1:11" s="285" customFormat="1" hidden="1" x14ac:dyDescent="0.25">
      <c r="A193" s="118"/>
      <c r="B193" s="151"/>
      <c r="C193" s="94" t="s">
        <v>405</v>
      </c>
      <c r="D193" s="444"/>
      <c r="E193" s="435"/>
      <c r="F193" s="435">
        <v>0</v>
      </c>
      <c r="G193" s="444">
        <v>0</v>
      </c>
      <c r="H193" s="435"/>
      <c r="I193" s="435"/>
      <c r="J193" s="435"/>
      <c r="K193" s="435"/>
    </row>
    <row r="194" spans="1:11" s="285" customFormat="1" hidden="1" x14ac:dyDescent="0.25">
      <c r="A194" s="118">
        <v>38</v>
      </c>
      <c r="B194" s="151">
        <v>1195</v>
      </c>
      <c r="C194" s="94" t="s">
        <v>199</v>
      </c>
      <c r="D194" s="444"/>
      <c r="E194" s="435"/>
      <c r="F194" s="435">
        <v>0</v>
      </c>
      <c r="G194" s="444">
        <v>0</v>
      </c>
      <c r="H194" s="435"/>
      <c r="I194" s="435"/>
      <c r="J194" s="435"/>
      <c r="K194" s="435"/>
    </row>
    <row r="195" spans="1:11" s="285" customFormat="1" hidden="1" x14ac:dyDescent="0.25">
      <c r="A195" s="118">
        <v>38</v>
      </c>
      <c r="B195" s="151">
        <v>1200</v>
      </c>
      <c r="C195" s="94" t="s">
        <v>117</v>
      </c>
      <c r="D195" s="444"/>
      <c r="E195" s="435"/>
      <c r="F195" s="435">
        <v>0</v>
      </c>
      <c r="G195" s="444">
        <v>0</v>
      </c>
      <c r="H195" s="435"/>
      <c r="I195" s="435"/>
      <c r="J195" s="435"/>
      <c r="K195" s="435"/>
    </row>
    <row r="196" spans="1:11" s="285" customFormat="1" hidden="1" x14ac:dyDescent="0.25">
      <c r="A196" s="118">
        <v>38</v>
      </c>
      <c r="B196" s="151">
        <v>1205</v>
      </c>
      <c r="C196" s="440" t="s">
        <v>105</v>
      </c>
      <c r="D196" s="444"/>
      <c r="E196" s="435"/>
      <c r="F196" s="435">
        <v>0</v>
      </c>
      <c r="G196" s="444">
        <v>0</v>
      </c>
      <c r="H196" s="435"/>
      <c r="I196" s="435"/>
      <c r="J196" s="435"/>
      <c r="K196" s="435"/>
    </row>
    <row r="197" spans="1:11" s="285" customFormat="1" hidden="1" x14ac:dyDescent="0.25">
      <c r="A197" s="118">
        <v>38</v>
      </c>
      <c r="B197" s="151">
        <v>1210</v>
      </c>
      <c r="C197" s="94" t="s">
        <v>118</v>
      </c>
      <c r="D197" s="444"/>
      <c r="E197" s="435"/>
      <c r="F197" s="435">
        <v>0</v>
      </c>
      <c r="G197" s="444">
        <v>0</v>
      </c>
      <c r="H197" s="435"/>
      <c r="I197" s="435"/>
      <c r="J197" s="435"/>
      <c r="K197" s="435"/>
    </row>
    <row r="198" spans="1:11" s="285" customFormat="1" hidden="1" x14ac:dyDescent="0.25">
      <c r="A198" s="118">
        <v>38</v>
      </c>
      <c r="B198" s="151">
        <v>1215</v>
      </c>
      <c r="C198" s="94" t="s">
        <v>133</v>
      </c>
      <c r="D198" s="444"/>
      <c r="E198" s="435"/>
      <c r="F198" s="435">
        <v>0</v>
      </c>
      <c r="G198" s="444">
        <v>0</v>
      </c>
      <c r="H198" s="435"/>
      <c r="I198" s="435"/>
      <c r="J198" s="435"/>
      <c r="K198" s="435"/>
    </row>
    <row r="199" spans="1:11" s="285" customFormat="1" hidden="1" x14ac:dyDescent="0.25">
      <c r="A199" s="118">
        <v>38</v>
      </c>
      <c r="B199" s="151">
        <v>5905</v>
      </c>
      <c r="C199" s="94" t="s">
        <v>329</v>
      </c>
      <c r="D199" s="428"/>
      <c r="E199" s="428"/>
      <c r="F199" s="428">
        <v>0</v>
      </c>
      <c r="G199" s="428">
        <v>0</v>
      </c>
      <c r="H199" s="428"/>
      <c r="I199" s="428"/>
      <c r="J199" s="428"/>
      <c r="K199" s="428"/>
    </row>
    <row r="200" spans="1:11" s="285" customFormat="1" hidden="1" x14ac:dyDescent="0.25">
      <c r="A200" s="118">
        <v>38</v>
      </c>
      <c r="B200" s="151">
        <v>5900</v>
      </c>
      <c r="C200" s="94" t="s">
        <v>333</v>
      </c>
      <c r="D200" s="428"/>
      <c r="E200" s="428">
        <v>0</v>
      </c>
      <c r="F200" s="428">
        <v>0</v>
      </c>
      <c r="G200" s="428">
        <v>0</v>
      </c>
      <c r="H200" s="428"/>
      <c r="I200" s="428"/>
      <c r="J200" s="428"/>
      <c r="K200" s="428"/>
    </row>
    <row r="201" spans="1:11" s="285" customFormat="1" hidden="1" x14ac:dyDescent="0.25">
      <c r="A201" s="118">
        <v>38</v>
      </c>
      <c r="B201" s="151">
        <v>1220</v>
      </c>
      <c r="C201" s="94" t="s">
        <v>340</v>
      </c>
      <c r="D201" s="444"/>
      <c r="E201" s="435"/>
      <c r="F201" s="435">
        <v>0</v>
      </c>
      <c r="G201" s="444">
        <v>0</v>
      </c>
      <c r="H201" s="435"/>
      <c r="I201" s="435"/>
      <c r="J201" s="435"/>
      <c r="K201" s="435"/>
    </row>
    <row r="202" spans="1:11" s="285" customFormat="1" hidden="1" x14ac:dyDescent="0.25">
      <c r="A202" s="118">
        <v>38</v>
      </c>
      <c r="B202" s="151">
        <v>1225</v>
      </c>
      <c r="C202" s="94" t="s">
        <v>370</v>
      </c>
      <c r="D202" s="444"/>
      <c r="E202" s="435"/>
      <c r="F202" s="435">
        <v>0</v>
      </c>
      <c r="G202" s="444">
        <v>0</v>
      </c>
      <c r="H202" s="435"/>
      <c r="I202" s="435"/>
      <c r="J202" s="435"/>
      <c r="K202" s="435"/>
    </row>
    <row r="203" spans="1:11" s="285" customFormat="1" hidden="1" x14ac:dyDescent="0.25">
      <c r="A203" s="118">
        <v>38</v>
      </c>
      <c r="B203" s="151">
        <v>1230</v>
      </c>
      <c r="C203" s="94" t="s">
        <v>119</v>
      </c>
      <c r="D203" s="444"/>
      <c r="E203" s="435"/>
      <c r="F203" s="435">
        <v>0</v>
      </c>
      <c r="G203" s="444">
        <v>0</v>
      </c>
      <c r="H203" s="435"/>
      <c r="I203" s="435"/>
      <c r="J203" s="435"/>
      <c r="K203" s="435"/>
    </row>
    <row r="204" spans="1:11" s="285" customFormat="1" hidden="1" x14ac:dyDescent="0.25">
      <c r="A204" s="118">
        <v>38</v>
      </c>
      <c r="B204" s="151">
        <v>1235</v>
      </c>
      <c r="C204" s="94" t="s">
        <v>347</v>
      </c>
      <c r="D204" s="444"/>
      <c r="E204" s="435"/>
      <c r="F204" s="435">
        <v>0</v>
      </c>
      <c r="G204" s="444">
        <v>0</v>
      </c>
      <c r="H204" s="435"/>
      <c r="I204" s="435"/>
      <c r="J204" s="435"/>
      <c r="K204" s="435"/>
    </row>
    <row r="205" spans="1:11" s="285" customFormat="1" hidden="1" x14ac:dyDescent="0.25">
      <c r="A205" s="118"/>
      <c r="B205" s="151"/>
      <c r="C205" s="94" t="s">
        <v>510</v>
      </c>
      <c r="D205" s="225"/>
      <c r="E205" s="428"/>
      <c r="F205" s="428"/>
      <c r="G205" s="225"/>
      <c r="H205" s="428"/>
      <c r="I205" s="428"/>
      <c r="J205" s="428"/>
      <c r="K205" s="428"/>
    </row>
    <row r="206" spans="1:11" s="285" customFormat="1" hidden="1" x14ac:dyDescent="0.25">
      <c r="A206" s="344"/>
      <c r="B206" s="151"/>
      <c r="C206" s="94"/>
      <c r="D206" s="437"/>
      <c r="E206" s="437">
        <f>SUM(E176:E204)</f>
        <v>0</v>
      </c>
      <c r="F206" s="437">
        <v>0</v>
      </c>
      <c r="G206" s="437">
        <v>0</v>
      </c>
      <c r="H206" s="437"/>
      <c r="I206" s="437"/>
      <c r="J206" s="437"/>
      <c r="K206" s="437"/>
    </row>
    <row r="207" spans="1:11" s="285" customFormat="1" hidden="1" x14ac:dyDescent="0.25">
      <c r="A207" s="344"/>
      <c r="B207" s="151"/>
      <c r="C207" s="93" t="s">
        <v>66</v>
      </c>
      <c r="D207" s="444"/>
      <c r="E207" s="435"/>
      <c r="F207" s="435"/>
      <c r="G207" s="444"/>
      <c r="H207" s="435"/>
      <c r="I207" s="435"/>
      <c r="J207" s="435"/>
      <c r="K207" s="435"/>
    </row>
    <row r="208" spans="1:11" s="285" customFormat="1" hidden="1" x14ac:dyDescent="0.25">
      <c r="A208" s="118">
        <v>38</v>
      </c>
      <c r="B208" s="151">
        <v>1305</v>
      </c>
      <c r="C208" s="94" t="s">
        <v>342</v>
      </c>
      <c r="D208" s="444"/>
      <c r="E208" s="435"/>
      <c r="F208" s="435">
        <v>0</v>
      </c>
      <c r="G208" s="444">
        <v>0</v>
      </c>
      <c r="H208" s="435"/>
      <c r="I208" s="435"/>
      <c r="J208" s="435"/>
      <c r="K208" s="435"/>
    </row>
    <row r="209" spans="1:11" s="285" customFormat="1" hidden="1" x14ac:dyDescent="0.25">
      <c r="A209" s="118">
        <v>38</v>
      </c>
      <c r="B209" s="151">
        <v>1310</v>
      </c>
      <c r="C209" s="94" t="s">
        <v>344</v>
      </c>
      <c r="D209" s="444"/>
      <c r="E209" s="435"/>
      <c r="F209" s="435">
        <v>0</v>
      </c>
      <c r="G209" s="444">
        <v>0</v>
      </c>
      <c r="H209" s="435"/>
      <c r="I209" s="435"/>
      <c r="J209" s="435"/>
      <c r="K209" s="435"/>
    </row>
    <row r="210" spans="1:11" s="285" customFormat="1" hidden="1" x14ac:dyDescent="0.25">
      <c r="A210" s="118">
        <v>38</v>
      </c>
      <c r="B210" s="151">
        <v>1320</v>
      </c>
      <c r="C210" s="94" t="s">
        <v>345</v>
      </c>
      <c r="D210" s="444"/>
      <c r="E210" s="435"/>
      <c r="F210" s="435">
        <v>0</v>
      </c>
      <c r="G210" s="444">
        <v>0</v>
      </c>
      <c r="H210" s="435"/>
      <c r="I210" s="435"/>
      <c r="J210" s="435"/>
      <c r="K210" s="435"/>
    </row>
    <row r="211" spans="1:11" s="285" customFormat="1" hidden="1" x14ac:dyDescent="0.25">
      <c r="A211" s="118">
        <v>38</v>
      </c>
      <c r="B211" s="151">
        <v>1315</v>
      </c>
      <c r="C211" s="94" t="s">
        <v>346</v>
      </c>
      <c r="D211" s="444"/>
      <c r="E211" s="425"/>
      <c r="F211" s="435">
        <v>0</v>
      </c>
      <c r="G211" s="444">
        <v>0</v>
      </c>
      <c r="H211" s="435"/>
      <c r="I211" s="435"/>
      <c r="J211" s="435"/>
      <c r="K211" s="425"/>
    </row>
    <row r="212" spans="1:11" s="285" customFormat="1" hidden="1" x14ac:dyDescent="0.25">
      <c r="A212" s="344"/>
      <c r="B212" s="151"/>
      <c r="C212" s="94"/>
      <c r="D212" s="436"/>
      <c r="E212" s="436">
        <f>SUM(E208:E211)</f>
        <v>0</v>
      </c>
      <c r="F212" s="436">
        <v>0</v>
      </c>
      <c r="G212" s="436">
        <v>0</v>
      </c>
      <c r="H212" s="436"/>
      <c r="I212" s="436"/>
      <c r="J212" s="436"/>
      <c r="K212" s="436"/>
    </row>
    <row r="213" spans="1:11" s="285" customFormat="1" hidden="1" x14ac:dyDescent="0.25">
      <c r="A213" s="344"/>
      <c r="B213" s="151"/>
      <c r="C213" s="93" t="s">
        <v>67</v>
      </c>
      <c r="D213" s="444"/>
      <c r="E213" s="435"/>
      <c r="F213" s="435"/>
      <c r="G213" s="444"/>
      <c r="H213" s="435"/>
      <c r="I213" s="435"/>
      <c r="J213" s="435"/>
      <c r="K213" s="435"/>
    </row>
    <row r="214" spans="1:11" s="285" customFormat="1" hidden="1" x14ac:dyDescent="0.25">
      <c r="A214" s="118">
        <v>38</v>
      </c>
      <c r="B214" s="151">
        <v>1400</v>
      </c>
      <c r="C214" s="94" t="s">
        <v>68</v>
      </c>
      <c r="D214" s="444"/>
      <c r="E214" s="425"/>
      <c r="F214" s="435"/>
      <c r="G214" s="444"/>
      <c r="H214" s="435"/>
      <c r="I214" s="435"/>
      <c r="J214" s="435"/>
      <c r="K214" s="425"/>
    </row>
    <row r="215" spans="1:11" s="285" customFormat="1" hidden="1" x14ac:dyDescent="0.25">
      <c r="A215" s="118">
        <v>38</v>
      </c>
      <c r="B215" s="151">
        <v>1405</v>
      </c>
      <c r="C215" s="94" t="s">
        <v>69</v>
      </c>
      <c r="D215" s="444"/>
      <c r="E215" s="425"/>
      <c r="F215" s="435"/>
      <c r="G215" s="444"/>
      <c r="H215" s="435"/>
      <c r="I215" s="435"/>
      <c r="J215" s="435"/>
      <c r="K215" s="425"/>
    </row>
    <row r="216" spans="1:11" s="285" customFormat="1" hidden="1" x14ac:dyDescent="0.25">
      <c r="A216" s="344"/>
      <c r="B216" s="151"/>
      <c r="C216" s="94"/>
      <c r="D216" s="436"/>
      <c r="E216" s="436">
        <f>SUM(E214:E215)</f>
        <v>0</v>
      </c>
      <c r="F216" s="436">
        <v>0</v>
      </c>
      <c r="G216" s="436">
        <v>0</v>
      </c>
      <c r="H216" s="436"/>
      <c r="I216" s="436"/>
      <c r="J216" s="436"/>
      <c r="K216" s="436"/>
    </row>
    <row r="217" spans="1:11" s="285" customFormat="1" hidden="1" x14ac:dyDescent="0.25">
      <c r="A217" s="344"/>
      <c r="B217" s="151"/>
      <c r="C217" s="93" t="s">
        <v>70</v>
      </c>
      <c r="D217" s="444"/>
      <c r="E217" s="435"/>
      <c r="F217" s="435"/>
      <c r="G217" s="444"/>
      <c r="H217" s="435"/>
      <c r="I217" s="435"/>
      <c r="J217" s="435"/>
      <c r="K217" s="435"/>
    </row>
    <row r="218" spans="1:11" s="285" customFormat="1" hidden="1" x14ac:dyDescent="0.25">
      <c r="A218" s="118">
        <v>38</v>
      </c>
      <c r="B218" s="151">
        <v>1500</v>
      </c>
      <c r="C218" s="94" t="s">
        <v>106</v>
      </c>
      <c r="D218" s="444"/>
      <c r="E218" s="425"/>
      <c r="F218" s="435"/>
      <c r="G218" s="444"/>
      <c r="H218" s="435"/>
      <c r="I218" s="435"/>
      <c r="J218" s="435"/>
      <c r="K218" s="425"/>
    </row>
    <row r="219" spans="1:11" s="285" customFormat="1" hidden="1" x14ac:dyDescent="0.25">
      <c r="A219" s="118">
        <v>38</v>
      </c>
      <c r="B219" s="151">
        <v>1505</v>
      </c>
      <c r="C219" s="94" t="s">
        <v>71</v>
      </c>
      <c r="D219" s="444"/>
      <c r="E219" s="425"/>
      <c r="F219" s="435"/>
      <c r="G219" s="444"/>
      <c r="H219" s="435"/>
      <c r="I219" s="435"/>
      <c r="J219" s="435"/>
      <c r="K219" s="425"/>
    </row>
    <row r="220" spans="1:11" s="285" customFormat="1" hidden="1" x14ac:dyDescent="0.25">
      <c r="A220" s="118">
        <v>38</v>
      </c>
      <c r="B220" s="151">
        <v>1510</v>
      </c>
      <c r="C220" s="94" t="s">
        <v>72</v>
      </c>
      <c r="D220" s="444"/>
      <c r="E220" s="425"/>
      <c r="F220" s="435"/>
      <c r="G220" s="444"/>
      <c r="H220" s="435"/>
      <c r="I220" s="435"/>
      <c r="J220" s="435"/>
      <c r="K220" s="425"/>
    </row>
    <row r="221" spans="1:11" s="285" customFormat="1" hidden="1" x14ac:dyDescent="0.25">
      <c r="A221" s="344"/>
      <c r="B221" s="151"/>
      <c r="C221" s="94"/>
      <c r="D221" s="436"/>
      <c r="E221" s="436">
        <f>SUM(E218:E220)</f>
        <v>0</v>
      </c>
      <c r="F221" s="436">
        <v>0</v>
      </c>
      <c r="G221" s="436">
        <v>0</v>
      </c>
      <c r="H221" s="436"/>
      <c r="I221" s="436"/>
      <c r="J221" s="436"/>
      <c r="K221" s="436"/>
    </row>
    <row r="222" spans="1:11" s="285" customFormat="1" x14ac:dyDescent="0.25">
      <c r="A222" s="344"/>
      <c r="B222" s="151"/>
      <c r="C222" s="93" t="s">
        <v>73</v>
      </c>
      <c r="D222" s="444"/>
      <c r="E222" s="435"/>
      <c r="F222" s="435"/>
      <c r="G222" s="444"/>
      <c r="H222" s="435"/>
      <c r="I222" s="435"/>
      <c r="J222" s="435"/>
      <c r="K222" s="435"/>
    </row>
    <row r="223" spans="1:11" s="285" customFormat="1" hidden="1" x14ac:dyDescent="0.25">
      <c r="A223" s="118">
        <v>38</v>
      </c>
      <c r="B223" s="151">
        <v>1550</v>
      </c>
      <c r="C223" s="94" t="s">
        <v>349</v>
      </c>
      <c r="D223" s="444"/>
      <c r="E223" s="435"/>
      <c r="F223" s="435"/>
      <c r="G223" s="444"/>
      <c r="H223" s="435"/>
      <c r="I223" s="435"/>
      <c r="J223" s="435"/>
      <c r="K223" s="435"/>
    </row>
    <row r="224" spans="1:11" s="285" customFormat="1" x14ac:dyDescent="0.25">
      <c r="A224" s="118">
        <v>38</v>
      </c>
      <c r="B224" s="151">
        <v>1555</v>
      </c>
      <c r="C224" s="94" t="s">
        <v>348</v>
      </c>
      <c r="D224" s="444">
        <v>15614</v>
      </c>
      <c r="E224" s="435">
        <v>225000</v>
      </c>
      <c r="F224" s="428">
        <v>225000</v>
      </c>
      <c r="G224" s="444">
        <v>225000</v>
      </c>
      <c r="H224" s="428">
        <f>(F224*0.1)+F224</f>
        <v>247500</v>
      </c>
      <c r="I224" s="428">
        <f>+H224*1.058</f>
        <v>261855</v>
      </c>
      <c r="J224" s="428">
        <f>+I224*1.055</f>
        <v>276257.02499999997</v>
      </c>
      <c r="K224" s="428">
        <f>+J224*1.053</f>
        <v>290898.64732499997</v>
      </c>
    </row>
    <row r="225" spans="1:11" s="285" customFormat="1" x14ac:dyDescent="0.25">
      <c r="A225" s="344"/>
      <c r="B225" s="151"/>
      <c r="C225" s="94"/>
      <c r="D225" s="437">
        <v>15614</v>
      </c>
      <c r="E225" s="437">
        <f>SUM(E223:E224)</f>
        <v>225000</v>
      </c>
      <c r="F225" s="437">
        <f>SUM(F223:F224)</f>
        <v>225000</v>
      </c>
      <c r="G225" s="437">
        <v>225000</v>
      </c>
      <c r="H225" s="437">
        <f>SUM(H223:H224)</f>
        <v>247500</v>
      </c>
      <c r="I225" s="437">
        <f>SUM(I223:I224)</f>
        <v>261855</v>
      </c>
      <c r="J225" s="437">
        <f>SUM(J223:J224)</f>
        <v>276257.02499999997</v>
      </c>
      <c r="K225" s="437">
        <f>SUM(K223:K224)</f>
        <v>290898.64732499997</v>
      </c>
    </row>
    <row r="226" spans="1:11" s="285" customFormat="1" ht="13.5" customHeight="1" x14ac:dyDescent="0.25">
      <c r="A226" s="344"/>
      <c r="B226" s="151"/>
      <c r="C226" s="93" t="s">
        <v>74</v>
      </c>
      <c r="D226" s="444"/>
      <c r="E226" s="435"/>
      <c r="F226" s="435"/>
      <c r="G226" s="444"/>
      <c r="H226" s="435"/>
      <c r="I226" s="435"/>
      <c r="J226" s="435"/>
      <c r="K226" s="435"/>
    </row>
    <row r="227" spans="1:11" s="285" customFormat="1" x14ac:dyDescent="0.25">
      <c r="A227" s="118">
        <v>38</v>
      </c>
      <c r="B227" s="151">
        <v>1605</v>
      </c>
      <c r="C227" s="94" t="s">
        <v>75</v>
      </c>
      <c r="D227" s="444">
        <v>0</v>
      </c>
      <c r="E227" s="435"/>
      <c r="F227" s="435"/>
      <c r="G227" s="444"/>
      <c r="H227" s="435"/>
      <c r="I227" s="435"/>
      <c r="J227" s="435"/>
      <c r="K227" s="435"/>
    </row>
    <row r="228" spans="1:11" s="285" customFormat="1" x14ac:dyDescent="0.25">
      <c r="A228" s="118">
        <v>38</v>
      </c>
      <c r="B228" s="151">
        <v>1610</v>
      </c>
      <c r="C228" s="94" t="s">
        <v>131</v>
      </c>
      <c r="D228" s="444">
        <v>0</v>
      </c>
      <c r="E228" s="425"/>
      <c r="F228" s="435"/>
      <c r="G228" s="444"/>
      <c r="H228" s="435"/>
      <c r="I228" s="435"/>
      <c r="J228" s="435"/>
      <c r="K228" s="435"/>
    </row>
    <row r="229" spans="1:11" s="285" customFormat="1" x14ac:dyDescent="0.25">
      <c r="A229" s="118">
        <v>38</v>
      </c>
      <c r="B229" s="151">
        <v>1615</v>
      </c>
      <c r="C229" s="94" t="s">
        <v>182</v>
      </c>
      <c r="D229" s="444">
        <v>0</v>
      </c>
      <c r="E229" s="425"/>
      <c r="F229" s="435"/>
      <c r="G229" s="444"/>
      <c r="H229" s="435"/>
      <c r="I229" s="435"/>
      <c r="J229" s="435"/>
      <c r="K229" s="435"/>
    </row>
    <row r="230" spans="1:11" s="285" customFormat="1" x14ac:dyDescent="0.25">
      <c r="A230" s="118">
        <v>38</v>
      </c>
      <c r="B230" s="151">
        <v>1620</v>
      </c>
      <c r="C230" s="94" t="s">
        <v>255</v>
      </c>
      <c r="D230" s="444">
        <v>0</v>
      </c>
      <c r="E230" s="425"/>
      <c r="F230" s="435"/>
      <c r="G230" s="444"/>
      <c r="H230" s="435"/>
      <c r="I230" s="435"/>
      <c r="J230" s="435"/>
      <c r="K230" s="435"/>
    </row>
    <row r="231" spans="1:11" s="285" customFormat="1" x14ac:dyDescent="0.25">
      <c r="A231" s="118">
        <v>38</v>
      </c>
      <c r="B231" s="151">
        <v>1625</v>
      </c>
      <c r="C231" s="94" t="s">
        <v>108</v>
      </c>
      <c r="D231" s="444">
        <v>0</v>
      </c>
      <c r="E231" s="425"/>
      <c r="F231" s="435"/>
      <c r="G231" s="444"/>
      <c r="H231" s="435"/>
      <c r="I231" s="435"/>
      <c r="J231" s="435"/>
      <c r="K231" s="435"/>
    </row>
    <row r="232" spans="1:11" s="285" customFormat="1" x14ac:dyDescent="0.25">
      <c r="A232" s="118">
        <v>38</v>
      </c>
      <c r="B232" s="151">
        <v>1630</v>
      </c>
      <c r="C232" s="94" t="s">
        <v>76</v>
      </c>
      <c r="D232" s="444">
        <v>0</v>
      </c>
      <c r="E232" s="425"/>
      <c r="F232" s="435"/>
      <c r="G232" s="444"/>
      <c r="H232" s="435"/>
      <c r="I232" s="435"/>
      <c r="J232" s="435"/>
      <c r="K232" s="435"/>
    </row>
    <row r="233" spans="1:11" s="285" customFormat="1" x14ac:dyDescent="0.25">
      <c r="A233" s="118">
        <v>38</v>
      </c>
      <c r="B233" s="151">
        <v>1635</v>
      </c>
      <c r="C233" s="94" t="s">
        <v>180</v>
      </c>
      <c r="D233" s="444">
        <v>0</v>
      </c>
      <c r="E233" s="425"/>
      <c r="F233" s="435"/>
      <c r="G233" s="444"/>
      <c r="H233" s="435"/>
      <c r="I233" s="435"/>
      <c r="J233" s="435"/>
      <c r="K233" s="435"/>
    </row>
    <row r="234" spans="1:11" s="285" customFormat="1" x14ac:dyDescent="0.25">
      <c r="A234" s="118">
        <v>38</v>
      </c>
      <c r="B234" s="151">
        <v>1640</v>
      </c>
      <c r="C234" s="94" t="s">
        <v>184</v>
      </c>
      <c r="D234" s="444">
        <v>0</v>
      </c>
      <c r="E234" s="425"/>
      <c r="F234" s="435"/>
      <c r="G234" s="444"/>
      <c r="H234" s="435"/>
      <c r="I234" s="435"/>
      <c r="J234" s="435"/>
      <c r="K234" s="435"/>
    </row>
    <row r="235" spans="1:11" s="285" customFormat="1" x14ac:dyDescent="0.25">
      <c r="A235" s="118">
        <v>38</v>
      </c>
      <c r="B235" s="151">
        <v>1645</v>
      </c>
      <c r="C235" s="94" t="s">
        <v>77</v>
      </c>
      <c r="D235" s="444">
        <v>0</v>
      </c>
      <c r="E235" s="425"/>
      <c r="F235" s="435"/>
      <c r="G235" s="444"/>
      <c r="H235" s="435"/>
      <c r="I235" s="435"/>
      <c r="J235" s="435"/>
      <c r="K235" s="435"/>
    </row>
    <row r="236" spans="1:11" s="285" customFormat="1" x14ac:dyDescent="0.25">
      <c r="A236" s="118">
        <v>38</v>
      </c>
      <c r="B236" s="151">
        <v>1650</v>
      </c>
      <c r="C236" s="94" t="s">
        <v>78</v>
      </c>
      <c r="D236" s="444">
        <v>0</v>
      </c>
      <c r="E236" s="425"/>
      <c r="F236" s="435"/>
      <c r="G236" s="444"/>
      <c r="H236" s="435"/>
      <c r="I236" s="435"/>
      <c r="J236" s="435"/>
      <c r="K236" s="435"/>
    </row>
    <row r="237" spans="1:11" s="285" customFormat="1" x14ac:dyDescent="0.25">
      <c r="A237" s="118">
        <v>38</v>
      </c>
      <c r="B237" s="151"/>
      <c r="C237" s="94" t="s">
        <v>200</v>
      </c>
      <c r="D237" s="444">
        <v>0</v>
      </c>
      <c r="E237" s="425"/>
      <c r="F237" s="435"/>
      <c r="G237" s="444"/>
      <c r="H237" s="435"/>
      <c r="I237" s="435"/>
      <c r="J237" s="435"/>
      <c r="K237" s="435"/>
    </row>
    <row r="238" spans="1:11" s="285" customFormat="1" x14ac:dyDescent="0.25">
      <c r="A238" s="118">
        <v>38</v>
      </c>
      <c r="B238" s="151">
        <v>1660</v>
      </c>
      <c r="C238" s="94" t="s">
        <v>185</v>
      </c>
      <c r="D238" s="444">
        <v>0</v>
      </c>
      <c r="E238" s="425"/>
      <c r="F238" s="435"/>
      <c r="G238" s="444"/>
      <c r="H238" s="435"/>
      <c r="I238" s="435"/>
      <c r="J238" s="435"/>
      <c r="K238" s="435"/>
    </row>
    <row r="239" spans="1:11" s="285" customFormat="1" x14ac:dyDescent="0.25">
      <c r="A239" s="118">
        <v>38</v>
      </c>
      <c r="B239" s="151">
        <v>1665</v>
      </c>
      <c r="C239" s="94" t="s">
        <v>181</v>
      </c>
      <c r="D239" s="444">
        <v>0</v>
      </c>
      <c r="E239" s="425"/>
      <c r="F239" s="435"/>
      <c r="G239" s="444"/>
      <c r="H239" s="435"/>
      <c r="I239" s="435"/>
      <c r="J239" s="435"/>
      <c r="K239" s="435"/>
    </row>
    <row r="240" spans="1:11" s="285" customFormat="1" x14ac:dyDescent="0.25">
      <c r="A240" s="344"/>
      <c r="B240" s="151"/>
      <c r="C240" s="94"/>
      <c r="D240" s="436">
        <v>0</v>
      </c>
      <c r="E240" s="436">
        <f>SUM(E227:E239)</f>
        <v>0</v>
      </c>
      <c r="F240" s="436">
        <v>0</v>
      </c>
      <c r="G240" s="436">
        <v>0</v>
      </c>
      <c r="H240" s="436"/>
      <c r="I240" s="436"/>
      <c r="J240" s="436"/>
      <c r="K240" s="436"/>
    </row>
    <row r="241" spans="1:11" s="285" customFormat="1" x14ac:dyDescent="0.25">
      <c r="A241" s="344"/>
      <c r="B241" s="151"/>
      <c r="C241" s="93" t="s">
        <v>79</v>
      </c>
      <c r="D241" s="444"/>
      <c r="E241" s="435"/>
      <c r="F241" s="435"/>
      <c r="G241" s="444"/>
      <c r="H241" s="435"/>
      <c r="I241" s="435"/>
      <c r="J241" s="435"/>
      <c r="K241" s="435"/>
    </row>
    <row r="242" spans="1:11" s="285" customFormat="1" x14ac:dyDescent="0.25">
      <c r="A242" s="118">
        <v>38</v>
      </c>
      <c r="B242" s="151">
        <v>1705</v>
      </c>
      <c r="C242" s="94" t="s">
        <v>123</v>
      </c>
      <c r="D242" s="444">
        <v>0</v>
      </c>
      <c r="E242" s="435"/>
      <c r="F242" s="435"/>
      <c r="G242" s="444"/>
      <c r="H242" s="435"/>
      <c r="I242" s="435"/>
      <c r="J242" s="435"/>
      <c r="K242" s="435"/>
    </row>
    <row r="243" spans="1:11" s="285" customFormat="1" x14ac:dyDescent="0.25">
      <c r="A243" s="118">
        <v>38</v>
      </c>
      <c r="B243" s="151">
        <v>1710</v>
      </c>
      <c r="C243" s="94" t="s">
        <v>242</v>
      </c>
      <c r="D243" s="444">
        <v>0</v>
      </c>
      <c r="E243" s="435"/>
      <c r="F243" s="435"/>
      <c r="G243" s="444"/>
      <c r="H243" s="435"/>
      <c r="I243" s="435"/>
      <c r="J243" s="435"/>
      <c r="K243" s="435"/>
    </row>
    <row r="244" spans="1:11" s="285" customFormat="1" x14ac:dyDescent="0.25">
      <c r="A244" s="118">
        <v>38</v>
      </c>
      <c r="B244" s="151">
        <v>1715</v>
      </c>
      <c r="C244" s="94" t="s">
        <v>183</v>
      </c>
      <c r="D244" s="444">
        <v>0</v>
      </c>
      <c r="E244" s="435"/>
      <c r="F244" s="435"/>
      <c r="G244" s="444"/>
      <c r="H244" s="435"/>
      <c r="I244" s="435"/>
      <c r="J244" s="435"/>
      <c r="K244" s="435"/>
    </row>
    <row r="245" spans="1:11" s="285" customFormat="1" x14ac:dyDescent="0.25">
      <c r="A245" s="118">
        <v>38</v>
      </c>
      <c r="B245" s="151">
        <v>1720</v>
      </c>
      <c r="C245" s="94" t="s">
        <v>103</v>
      </c>
      <c r="D245" s="444">
        <v>0</v>
      </c>
      <c r="E245" s="435"/>
      <c r="F245" s="435"/>
      <c r="G245" s="444"/>
      <c r="H245" s="435"/>
      <c r="I245" s="435"/>
      <c r="J245" s="435"/>
      <c r="K245" s="435"/>
    </row>
    <row r="246" spans="1:11" s="285" customFormat="1" x14ac:dyDescent="0.25">
      <c r="A246" s="118">
        <v>38</v>
      </c>
      <c r="B246" s="151">
        <v>1725</v>
      </c>
      <c r="C246" s="94" t="s">
        <v>107</v>
      </c>
      <c r="D246" s="444">
        <v>0</v>
      </c>
      <c r="E246" s="435"/>
      <c r="F246" s="435"/>
      <c r="G246" s="444"/>
      <c r="H246" s="435"/>
      <c r="I246" s="435"/>
      <c r="J246" s="435"/>
      <c r="K246" s="435"/>
    </row>
    <row r="247" spans="1:11" s="285" customFormat="1" x14ac:dyDescent="0.25">
      <c r="A247" s="118">
        <v>38</v>
      </c>
      <c r="B247" s="151">
        <v>1730</v>
      </c>
      <c r="C247" s="94" t="s">
        <v>256</v>
      </c>
      <c r="D247" s="444">
        <v>0</v>
      </c>
      <c r="E247" s="435"/>
      <c r="F247" s="435"/>
      <c r="G247" s="444"/>
      <c r="H247" s="435"/>
      <c r="I247" s="435"/>
      <c r="J247" s="435"/>
      <c r="K247" s="435"/>
    </row>
    <row r="248" spans="1:11" s="285" customFormat="1" x14ac:dyDescent="0.25">
      <c r="A248" s="344"/>
      <c r="B248" s="151"/>
      <c r="C248" s="94"/>
      <c r="D248" s="436">
        <v>0</v>
      </c>
      <c r="E248" s="436">
        <f>SUM(E242:E247)</f>
        <v>0</v>
      </c>
      <c r="F248" s="436">
        <v>0</v>
      </c>
      <c r="G248" s="436">
        <v>0</v>
      </c>
      <c r="H248" s="436"/>
      <c r="I248" s="436"/>
      <c r="J248" s="436"/>
      <c r="K248" s="436"/>
    </row>
    <row r="249" spans="1:11" s="285" customFormat="1" x14ac:dyDescent="0.25">
      <c r="A249" s="344"/>
      <c r="B249" s="151"/>
      <c r="C249" s="93" t="s">
        <v>80</v>
      </c>
      <c r="D249" s="444"/>
      <c r="E249" s="435"/>
      <c r="F249" s="435"/>
      <c r="G249" s="444"/>
      <c r="H249" s="435"/>
      <c r="I249" s="435"/>
      <c r="J249" s="435"/>
      <c r="K249" s="435"/>
    </row>
    <row r="250" spans="1:11" s="285" customFormat="1" x14ac:dyDescent="0.25">
      <c r="A250" s="118">
        <v>38</v>
      </c>
      <c r="B250" s="151">
        <v>1805</v>
      </c>
      <c r="C250" s="94" t="s">
        <v>81</v>
      </c>
      <c r="D250" s="444">
        <v>0</v>
      </c>
      <c r="E250" s="425"/>
      <c r="F250" s="435"/>
      <c r="G250" s="444"/>
      <c r="H250" s="435"/>
      <c r="I250" s="435"/>
      <c r="J250" s="435"/>
      <c r="K250" s="435"/>
    </row>
    <row r="251" spans="1:11" s="285" customFormat="1" x14ac:dyDescent="0.25">
      <c r="A251" s="344"/>
      <c r="B251" s="151"/>
      <c r="C251" s="94"/>
      <c r="D251" s="436">
        <v>0</v>
      </c>
      <c r="E251" s="436">
        <f>E250</f>
        <v>0</v>
      </c>
      <c r="F251" s="436">
        <v>0</v>
      </c>
      <c r="G251" s="436">
        <v>0</v>
      </c>
      <c r="H251" s="436"/>
      <c r="I251" s="436"/>
      <c r="J251" s="436"/>
      <c r="K251" s="436"/>
    </row>
    <row r="252" spans="1:11" s="285" customFormat="1" x14ac:dyDescent="0.25">
      <c r="A252" s="344"/>
      <c r="B252" s="346"/>
      <c r="C252" s="93" t="s">
        <v>192</v>
      </c>
      <c r="D252" s="442">
        <f>SUM(D171:D251)/2</f>
        <v>15614</v>
      </c>
      <c r="E252" s="442">
        <f t="shared" ref="E252:K252" si="14">SUM(E171:E251)/2</f>
        <v>225000</v>
      </c>
      <c r="F252" s="442">
        <f t="shared" si="14"/>
        <v>225000</v>
      </c>
      <c r="G252" s="442">
        <f t="shared" si="14"/>
        <v>225000</v>
      </c>
      <c r="H252" s="442">
        <f t="shared" si="14"/>
        <v>247500</v>
      </c>
      <c r="I252" s="442">
        <f t="shared" si="14"/>
        <v>261855</v>
      </c>
      <c r="J252" s="442">
        <f t="shared" si="14"/>
        <v>276257.02499999997</v>
      </c>
      <c r="K252" s="442">
        <f t="shared" si="14"/>
        <v>290898.64732499997</v>
      </c>
    </row>
    <row r="253" spans="1:11" s="285" customFormat="1" x14ac:dyDescent="0.25">
      <c r="A253" s="344"/>
      <c r="B253" s="151"/>
      <c r="C253" s="94"/>
      <c r="D253" s="442"/>
      <c r="E253" s="442"/>
      <c r="F253" s="442"/>
      <c r="G253" s="442"/>
      <c r="H253" s="442"/>
      <c r="I253" s="442"/>
      <c r="J253" s="442"/>
      <c r="K253" s="442"/>
    </row>
    <row r="254" spans="1:11" s="285" customFormat="1" x14ac:dyDescent="0.25">
      <c r="A254" s="344"/>
      <c r="B254" s="151"/>
      <c r="C254" s="145" t="s">
        <v>193</v>
      </c>
      <c r="D254" s="445"/>
      <c r="E254" s="445"/>
      <c r="F254" s="445"/>
      <c r="G254" s="445"/>
      <c r="H254" s="445"/>
      <c r="I254" s="445"/>
      <c r="J254" s="445"/>
      <c r="K254" s="445"/>
    </row>
    <row r="255" spans="1:11" s="285" customFormat="1" x14ac:dyDescent="0.25">
      <c r="A255" s="118">
        <v>38</v>
      </c>
      <c r="B255" s="151">
        <v>1905</v>
      </c>
      <c r="C255" s="118" t="s">
        <v>194</v>
      </c>
      <c r="D255" s="127">
        <v>0</v>
      </c>
      <c r="E255" s="127">
        <v>0</v>
      </c>
      <c r="F255" s="127">
        <v>0</v>
      </c>
      <c r="G255" s="127">
        <v>0</v>
      </c>
      <c r="H255" s="127">
        <v>0</v>
      </c>
      <c r="I255" s="127">
        <v>0</v>
      </c>
      <c r="J255" s="127">
        <v>0</v>
      </c>
      <c r="K255" s="127">
        <v>0</v>
      </c>
    </row>
    <row r="256" spans="1:11" s="285" customFormat="1" x14ac:dyDescent="0.25">
      <c r="A256" s="344"/>
      <c r="B256" s="151"/>
      <c r="C256" s="94"/>
      <c r="D256" s="442">
        <v>0</v>
      </c>
      <c r="E256" s="442">
        <v>0</v>
      </c>
      <c r="F256" s="442">
        <v>0</v>
      </c>
      <c r="G256" s="442">
        <v>0</v>
      </c>
      <c r="H256" s="442">
        <v>0</v>
      </c>
      <c r="I256" s="442">
        <v>0</v>
      </c>
      <c r="J256" s="442">
        <v>0</v>
      </c>
      <c r="K256" s="442">
        <v>0</v>
      </c>
    </row>
    <row r="257" spans="1:11" s="285" customFormat="1" x14ac:dyDescent="0.25">
      <c r="A257" s="344"/>
      <c r="B257" s="151"/>
      <c r="C257" s="93" t="s">
        <v>189</v>
      </c>
      <c r="D257" s="442">
        <f>+D256+D252</f>
        <v>15614</v>
      </c>
      <c r="E257" s="442">
        <f t="shared" ref="E257:K257" si="15">+E256+E252</f>
        <v>225000</v>
      </c>
      <c r="F257" s="442">
        <f t="shared" si="15"/>
        <v>225000</v>
      </c>
      <c r="G257" s="442">
        <f t="shared" si="15"/>
        <v>225000</v>
      </c>
      <c r="H257" s="442">
        <f t="shared" si="15"/>
        <v>247500</v>
      </c>
      <c r="I257" s="442">
        <f t="shared" si="15"/>
        <v>261855</v>
      </c>
      <c r="J257" s="442">
        <f t="shared" si="15"/>
        <v>276257.02499999997</v>
      </c>
      <c r="K257" s="442">
        <f t="shared" si="15"/>
        <v>290898.64732499997</v>
      </c>
    </row>
    <row r="258" spans="1:11" s="285" customFormat="1" x14ac:dyDescent="0.25">
      <c r="A258" s="344"/>
      <c r="B258" s="151"/>
      <c r="C258" s="145" t="s">
        <v>195</v>
      </c>
      <c r="D258" s="445"/>
      <c r="E258" s="445"/>
      <c r="F258" s="445"/>
      <c r="G258" s="445"/>
      <c r="H258" s="445"/>
      <c r="I258" s="445"/>
      <c r="J258" s="445"/>
      <c r="K258" s="445"/>
    </row>
    <row r="259" spans="1:11" s="285" customFormat="1" x14ac:dyDescent="0.25">
      <c r="A259" s="118">
        <v>38</v>
      </c>
      <c r="B259" s="151">
        <v>1950</v>
      </c>
      <c r="C259" s="118" t="s">
        <v>196</v>
      </c>
      <c r="D259" s="127">
        <v>0</v>
      </c>
      <c r="E259" s="127">
        <v>0</v>
      </c>
      <c r="F259" s="127">
        <v>0</v>
      </c>
      <c r="G259" s="127">
        <v>0</v>
      </c>
      <c r="H259" s="127">
        <v>0</v>
      </c>
      <c r="I259" s="127">
        <v>0</v>
      </c>
      <c r="J259" s="127">
        <v>0</v>
      </c>
      <c r="K259" s="127">
        <v>0</v>
      </c>
    </row>
    <row r="260" spans="1:11" s="285" customFormat="1" x14ac:dyDescent="0.25">
      <c r="A260" s="344"/>
      <c r="B260" s="346"/>
      <c r="C260" s="94"/>
      <c r="D260" s="445">
        <v>0</v>
      </c>
      <c r="E260" s="445">
        <v>0</v>
      </c>
      <c r="F260" s="445">
        <v>0</v>
      </c>
      <c r="G260" s="445">
        <v>0</v>
      </c>
      <c r="H260" s="445">
        <v>0</v>
      </c>
      <c r="I260" s="445">
        <v>0</v>
      </c>
      <c r="J260" s="445">
        <v>0</v>
      </c>
      <c r="K260" s="445">
        <v>0</v>
      </c>
    </row>
    <row r="261" spans="1:11" s="285" customFormat="1" x14ac:dyDescent="0.25">
      <c r="A261" s="348"/>
      <c r="B261" s="351"/>
      <c r="C261" s="93" t="s">
        <v>197</v>
      </c>
      <c r="D261" s="448">
        <f>D257+D260</f>
        <v>15614</v>
      </c>
      <c r="E261" s="448">
        <f t="shared" ref="E261:K261" si="16">E257+E260</f>
        <v>225000</v>
      </c>
      <c r="F261" s="448">
        <f t="shared" si="16"/>
        <v>225000</v>
      </c>
      <c r="G261" s="448">
        <f t="shared" si="16"/>
        <v>225000</v>
      </c>
      <c r="H261" s="448">
        <f t="shared" si="16"/>
        <v>247500</v>
      </c>
      <c r="I261" s="448">
        <f t="shared" si="16"/>
        <v>261855</v>
      </c>
      <c r="J261" s="448">
        <f t="shared" si="16"/>
        <v>276257.02499999997</v>
      </c>
      <c r="K261" s="448">
        <f t="shared" si="16"/>
        <v>290898.64732499997</v>
      </c>
    </row>
    <row r="262" spans="1:11" s="285" customFormat="1" x14ac:dyDescent="0.25">
      <c r="A262" s="349"/>
      <c r="B262" s="154"/>
      <c r="C262" s="126" t="s">
        <v>82</v>
      </c>
      <c r="D262" s="449">
        <f t="shared" ref="D262:K262" si="17">D261-D165</f>
        <v>-922995</v>
      </c>
      <c r="E262" s="449">
        <f t="shared" si="17"/>
        <v>-1677771</v>
      </c>
      <c r="F262" s="449">
        <f t="shared" si="17"/>
        <v>-1677771</v>
      </c>
      <c r="G262" s="449">
        <f t="shared" si="17"/>
        <v>-1677772</v>
      </c>
      <c r="H262" s="449">
        <f t="shared" si="17"/>
        <v>-1800958.8</v>
      </c>
      <c r="I262" s="449">
        <f t="shared" si="17"/>
        <v>-2482730.2104000002</v>
      </c>
      <c r="J262" s="449">
        <f t="shared" si="17"/>
        <v>-2081230.3719720002</v>
      </c>
      <c r="K262" s="449">
        <f t="shared" si="17"/>
        <v>-2191535.5816865163</v>
      </c>
    </row>
    <row r="263" spans="1:11" s="285" customFormat="1" x14ac:dyDescent="0.25">
      <c r="A263" s="443"/>
      <c r="B263" s="352"/>
      <c r="C263" s="468"/>
      <c r="D263" s="468"/>
      <c r="E263" s="468"/>
      <c r="F263" s="468"/>
      <c r="G263" s="468"/>
      <c r="H263" s="468"/>
      <c r="I263" s="468"/>
      <c r="J263" s="468"/>
      <c r="K263" s="468"/>
    </row>
    <row r="264" spans="1:11" s="285" customFormat="1" x14ac:dyDescent="0.25">
      <c r="A264" s="443"/>
      <c r="B264" s="352"/>
      <c r="C264" s="468"/>
      <c r="D264" s="468"/>
      <c r="E264" s="468"/>
      <c r="F264" s="468"/>
      <c r="G264" s="468"/>
      <c r="H264" s="468"/>
      <c r="I264" s="468"/>
      <c r="J264" s="468"/>
      <c r="K264" s="468"/>
    </row>
    <row r="266" spans="1:11" x14ac:dyDescent="0.25">
      <c r="A266" s="434"/>
      <c r="C266" s="434"/>
      <c r="D266" s="434"/>
      <c r="E266" s="128"/>
      <c r="F266" s="128"/>
      <c r="H266" s="128"/>
      <c r="I266" s="128"/>
      <c r="J266" s="128"/>
      <c r="K266" s="434"/>
    </row>
    <row r="267" spans="1:11" x14ac:dyDescent="0.25">
      <c r="A267" s="434"/>
      <c r="C267" s="434"/>
      <c r="D267" s="434"/>
      <c r="E267" s="128"/>
      <c r="F267" s="128"/>
      <c r="H267" s="128"/>
      <c r="I267" s="128"/>
      <c r="J267" s="128"/>
      <c r="K267" s="109"/>
    </row>
    <row r="268" spans="1:11" x14ac:dyDescent="0.25">
      <c r="A268" s="434"/>
      <c r="C268" s="434"/>
      <c r="D268" s="434"/>
      <c r="E268" s="128"/>
      <c r="F268" s="128"/>
      <c r="H268" s="128"/>
      <c r="I268" s="128"/>
      <c r="J268" s="128"/>
      <c r="K268" s="434"/>
    </row>
  </sheetData>
  <mergeCells count="4">
    <mergeCell ref="A3:C3"/>
    <mergeCell ref="A4:B5"/>
    <mergeCell ref="A169:B170"/>
    <mergeCell ref="A1:K1"/>
  </mergeCells>
  <phoneticPr fontId="0" type="noConversion"/>
  <pageMargins left="0.75" right="0.75" top="1" bottom="1" header="0.5" footer="0.5"/>
  <pageSetup scale="56" orientation="portrait" r:id="rId1"/>
  <headerFooter alignWithMargins="0"/>
  <colBreaks count="1" manualBreakCount="1">
    <brk id="17" max="1048575" man="1"/>
  </col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>
    <tabColor rgb="FFFF0000"/>
    <pageSetUpPr fitToPage="1"/>
  </sheetPr>
  <dimension ref="A1:K268"/>
  <sheetViews>
    <sheetView view="pageBreakPreview" topLeftCell="A73" zoomScaleSheetLayoutView="100" workbookViewId="0">
      <selection activeCell="I161" sqref="I161:K161"/>
    </sheetView>
  </sheetViews>
  <sheetFormatPr defaultColWidth="9.109375" defaultRowHeight="13.2" x14ac:dyDescent="0.25"/>
  <cols>
    <col min="1" max="1" width="3.33203125" style="96" customWidth="1"/>
    <col min="2" max="2" width="9" style="131" customWidth="1"/>
    <col min="3" max="3" width="38.109375" style="96" customWidth="1"/>
    <col min="4" max="4" width="15" style="96" customWidth="1"/>
    <col min="5" max="5" width="15.88671875" style="96" customWidth="1"/>
    <col min="6" max="6" width="16.33203125" style="96" customWidth="1"/>
    <col min="7" max="7" width="16.33203125" style="434" customWidth="1"/>
    <col min="8" max="8" width="16.33203125" style="96" customWidth="1"/>
    <col min="9" max="9" width="16.33203125" style="434" customWidth="1"/>
    <col min="10" max="11" width="12.88671875" style="96" customWidth="1"/>
    <col min="12" max="16384" width="9.109375" style="96"/>
  </cols>
  <sheetData>
    <row r="1" spans="1:11" ht="12.75" customHeight="1" x14ac:dyDescent="0.25">
      <c r="A1" s="937" t="s">
        <v>362</v>
      </c>
      <c r="B1" s="938"/>
      <c r="C1" s="938"/>
      <c r="D1" s="938"/>
      <c r="E1" s="938"/>
      <c r="F1" s="938"/>
      <c r="G1" s="938"/>
      <c r="H1" s="938"/>
      <c r="I1" s="938"/>
      <c r="J1" s="938"/>
      <c r="K1" s="938"/>
    </row>
    <row r="2" spans="1:11" ht="12.75" customHeight="1" x14ac:dyDescent="0.25">
      <c r="A2" s="552"/>
      <c r="B2" s="553"/>
      <c r="C2" s="553"/>
      <c r="D2" s="553"/>
      <c r="E2" s="553"/>
      <c r="F2" s="553"/>
      <c r="G2" s="553"/>
      <c r="H2" s="553"/>
      <c r="I2" s="553"/>
      <c r="J2" s="553"/>
      <c r="K2" s="553"/>
    </row>
    <row r="3" spans="1:11" s="285" customFormat="1" x14ac:dyDescent="0.25">
      <c r="A3" s="941" t="s">
        <v>415</v>
      </c>
      <c r="B3" s="942"/>
      <c r="C3" s="943"/>
      <c r="D3" s="149"/>
      <c r="E3" s="338"/>
      <c r="F3" s="338"/>
      <c r="G3" s="563"/>
      <c r="H3" s="420"/>
      <c r="I3" s="581"/>
      <c r="J3" s="338"/>
      <c r="K3" s="338"/>
    </row>
    <row r="4" spans="1:11" s="285" customFormat="1" x14ac:dyDescent="0.25">
      <c r="A4" s="944" t="s">
        <v>21</v>
      </c>
      <c r="B4" s="945"/>
      <c r="C4" s="150" t="s">
        <v>22</v>
      </c>
      <c r="D4" s="103" t="s">
        <v>23</v>
      </c>
      <c r="E4" s="104" t="s">
        <v>24</v>
      </c>
      <c r="F4" s="103" t="s">
        <v>535</v>
      </c>
      <c r="G4" s="103" t="s">
        <v>413</v>
      </c>
      <c r="H4" s="104" t="s">
        <v>24</v>
      </c>
      <c r="I4" s="583" t="s">
        <v>24</v>
      </c>
      <c r="J4" s="583" t="s">
        <v>24</v>
      </c>
      <c r="K4" s="583" t="s">
        <v>24</v>
      </c>
    </row>
    <row r="5" spans="1:11" s="285" customFormat="1" x14ac:dyDescent="0.25">
      <c r="A5" s="946"/>
      <c r="B5" s="947"/>
      <c r="C5" s="106"/>
      <c r="D5" s="333" t="s">
        <v>257</v>
      </c>
      <c r="E5" s="107" t="s">
        <v>382</v>
      </c>
      <c r="F5" s="107" t="s">
        <v>382</v>
      </c>
      <c r="G5" s="107" t="s">
        <v>382</v>
      </c>
      <c r="H5" s="107" t="s">
        <v>407</v>
      </c>
      <c r="I5" s="586" t="s">
        <v>414</v>
      </c>
      <c r="J5" s="586" t="s">
        <v>530</v>
      </c>
      <c r="K5" s="586" t="s">
        <v>886</v>
      </c>
    </row>
    <row r="6" spans="1:11" s="285" customFormat="1" x14ac:dyDescent="0.25">
      <c r="A6" s="344"/>
      <c r="B6" s="151"/>
      <c r="C6" s="93" t="s">
        <v>33</v>
      </c>
      <c r="D6" s="85"/>
      <c r="E6" s="85"/>
      <c r="F6" s="85"/>
      <c r="G6" s="428"/>
      <c r="H6" s="85"/>
      <c r="I6" s="428"/>
      <c r="J6" s="85"/>
      <c r="K6" s="85"/>
    </row>
    <row r="7" spans="1:11" s="285" customFormat="1" x14ac:dyDescent="0.25">
      <c r="A7" s="118">
        <v>40</v>
      </c>
      <c r="B7" s="155">
        <v>5005</v>
      </c>
      <c r="C7" s="94" t="s">
        <v>241</v>
      </c>
      <c r="D7" s="85">
        <v>1440</v>
      </c>
      <c r="E7" s="85">
        <v>1600</v>
      </c>
      <c r="F7" s="85">
        <v>1600</v>
      </c>
      <c r="G7" s="428">
        <v>1600</v>
      </c>
      <c r="H7" s="428">
        <f t="shared" ref="H7:H17" si="0">(F7*0.068)+F7</f>
        <v>1708.8</v>
      </c>
      <c r="I7" s="428">
        <f>+H7*1.058</f>
        <v>1807.9104</v>
      </c>
      <c r="J7" s="428">
        <f>+I7*1.055</f>
        <v>1907.345472</v>
      </c>
      <c r="K7" s="428">
        <f>+J7*1.053</f>
        <v>2008.4347820159999</v>
      </c>
    </row>
    <row r="8" spans="1:11" s="285" customFormat="1" hidden="1" x14ac:dyDescent="0.25">
      <c r="A8" s="118">
        <v>40</v>
      </c>
      <c r="B8" s="151">
        <v>5010</v>
      </c>
      <c r="C8" s="94" t="s">
        <v>34</v>
      </c>
      <c r="D8" s="85">
        <v>0</v>
      </c>
      <c r="E8" s="85"/>
      <c r="F8" s="85">
        <v>0</v>
      </c>
      <c r="G8" s="428">
        <v>0</v>
      </c>
      <c r="H8" s="428">
        <f t="shared" si="0"/>
        <v>0</v>
      </c>
      <c r="I8" s="428">
        <f t="shared" ref="I8:I17" si="1">+H8*1.058</f>
        <v>0</v>
      </c>
      <c r="J8" s="428">
        <f t="shared" ref="J8:J17" si="2">+I8*1.055</f>
        <v>0</v>
      </c>
      <c r="K8" s="428">
        <f t="shared" ref="K8:K17" si="3">+J8*1.053</f>
        <v>0</v>
      </c>
    </row>
    <row r="9" spans="1:11" s="285" customFormat="1" hidden="1" x14ac:dyDescent="0.25">
      <c r="A9" s="118">
        <v>40</v>
      </c>
      <c r="B9" s="151">
        <v>5015</v>
      </c>
      <c r="C9" s="94" t="s">
        <v>35</v>
      </c>
      <c r="D9" s="85">
        <v>0</v>
      </c>
      <c r="E9" s="85"/>
      <c r="F9" s="85">
        <v>0</v>
      </c>
      <c r="G9" s="428">
        <v>0</v>
      </c>
      <c r="H9" s="428">
        <f t="shared" si="0"/>
        <v>0</v>
      </c>
      <c r="I9" s="428">
        <f t="shared" si="1"/>
        <v>0</v>
      </c>
      <c r="J9" s="428">
        <f t="shared" si="2"/>
        <v>0</v>
      </c>
      <c r="K9" s="428">
        <f t="shared" si="3"/>
        <v>0</v>
      </c>
    </row>
    <row r="10" spans="1:11" s="285" customFormat="1" hidden="1" x14ac:dyDescent="0.25">
      <c r="A10" s="118">
        <v>40</v>
      </c>
      <c r="B10" s="151">
        <v>5020</v>
      </c>
      <c r="C10" s="94" t="s">
        <v>350</v>
      </c>
      <c r="D10" s="85">
        <v>0</v>
      </c>
      <c r="E10" s="85"/>
      <c r="F10" s="85">
        <v>0</v>
      </c>
      <c r="G10" s="428">
        <v>0</v>
      </c>
      <c r="H10" s="428">
        <f t="shared" si="0"/>
        <v>0</v>
      </c>
      <c r="I10" s="428">
        <f t="shared" si="1"/>
        <v>0</v>
      </c>
      <c r="J10" s="428">
        <f t="shared" si="2"/>
        <v>0</v>
      </c>
      <c r="K10" s="428">
        <f t="shared" si="3"/>
        <v>0</v>
      </c>
    </row>
    <row r="11" spans="1:11" s="285" customFormat="1" hidden="1" x14ac:dyDescent="0.25">
      <c r="A11" s="118">
        <v>40</v>
      </c>
      <c r="B11" s="151">
        <v>5025</v>
      </c>
      <c r="C11" s="94" t="s">
        <v>36</v>
      </c>
      <c r="D11" s="85">
        <v>0</v>
      </c>
      <c r="E11" s="85"/>
      <c r="F11" s="85">
        <v>0</v>
      </c>
      <c r="G11" s="428">
        <v>0</v>
      </c>
      <c r="H11" s="428">
        <f t="shared" si="0"/>
        <v>0</v>
      </c>
      <c r="I11" s="428">
        <f t="shared" si="1"/>
        <v>0</v>
      </c>
      <c r="J11" s="428">
        <f t="shared" si="2"/>
        <v>0</v>
      </c>
      <c r="K11" s="428">
        <f t="shared" si="3"/>
        <v>0</v>
      </c>
    </row>
    <row r="12" spans="1:11" s="285" customFormat="1" x14ac:dyDescent="0.25">
      <c r="A12" s="118">
        <v>40</v>
      </c>
      <c r="B12" s="151">
        <v>5030</v>
      </c>
      <c r="C12" s="94" t="s">
        <v>85</v>
      </c>
      <c r="D12" s="85">
        <v>18860</v>
      </c>
      <c r="E12" s="85">
        <v>43000</v>
      </c>
      <c r="F12" s="85">
        <v>43000</v>
      </c>
      <c r="G12" s="428">
        <v>43000</v>
      </c>
      <c r="H12" s="428">
        <f t="shared" si="0"/>
        <v>45924</v>
      </c>
      <c r="I12" s="428">
        <f t="shared" si="1"/>
        <v>48587.592000000004</v>
      </c>
      <c r="J12" s="428">
        <f t="shared" si="2"/>
        <v>51259.90956</v>
      </c>
      <c r="K12" s="428">
        <f t="shared" si="3"/>
        <v>53976.684766679995</v>
      </c>
    </row>
    <row r="13" spans="1:11" s="285" customFormat="1" hidden="1" x14ac:dyDescent="0.25">
      <c r="A13" s="118">
        <v>40</v>
      </c>
      <c r="B13" s="151">
        <v>5035</v>
      </c>
      <c r="C13" s="94" t="s">
        <v>84</v>
      </c>
      <c r="D13" s="85">
        <v>0</v>
      </c>
      <c r="E13" s="85"/>
      <c r="F13" s="85">
        <v>0</v>
      </c>
      <c r="G13" s="428">
        <v>0</v>
      </c>
      <c r="H13" s="428">
        <f t="shared" si="0"/>
        <v>0</v>
      </c>
      <c r="I13" s="428">
        <f t="shared" si="1"/>
        <v>0</v>
      </c>
      <c r="J13" s="428">
        <f t="shared" si="2"/>
        <v>0</v>
      </c>
      <c r="K13" s="428">
        <f t="shared" si="3"/>
        <v>0</v>
      </c>
    </row>
    <row r="14" spans="1:11" s="285" customFormat="1" x14ac:dyDescent="0.25">
      <c r="A14" s="118">
        <v>40</v>
      </c>
      <c r="B14" s="151">
        <v>5040</v>
      </c>
      <c r="C14" s="94" t="s">
        <v>37</v>
      </c>
      <c r="D14" s="85">
        <v>126500</v>
      </c>
      <c r="E14" s="85">
        <v>179000</v>
      </c>
      <c r="F14" s="85">
        <v>179000</v>
      </c>
      <c r="G14" s="428">
        <v>179000</v>
      </c>
      <c r="H14" s="428">
        <f t="shared" si="0"/>
        <v>191172</v>
      </c>
      <c r="I14" s="428">
        <f t="shared" si="1"/>
        <v>202259.97600000002</v>
      </c>
      <c r="J14" s="428">
        <f t="shared" si="2"/>
        <v>213384.27468</v>
      </c>
      <c r="K14" s="428">
        <f t="shared" si="3"/>
        <v>224693.64123804</v>
      </c>
    </row>
    <row r="15" spans="1:11" s="285" customFormat="1" hidden="1" x14ac:dyDescent="0.25">
      <c r="A15" s="118">
        <v>40</v>
      </c>
      <c r="B15" s="151">
        <v>5045</v>
      </c>
      <c r="C15" s="94" t="s">
        <v>38</v>
      </c>
      <c r="D15" s="85">
        <v>0</v>
      </c>
      <c r="E15" s="85"/>
      <c r="F15" s="85">
        <v>0</v>
      </c>
      <c r="G15" s="428">
        <v>0</v>
      </c>
      <c r="H15" s="428">
        <f t="shared" si="0"/>
        <v>0</v>
      </c>
      <c r="I15" s="428">
        <f t="shared" si="1"/>
        <v>0</v>
      </c>
      <c r="J15" s="428">
        <f t="shared" si="2"/>
        <v>0</v>
      </c>
      <c r="K15" s="428">
        <f t="shared" si="3"/>
        <v>0</v>
      </c>
    </row>
    <row r="16" spans="1:11" s="285" customFormat="1" x14ac:dyDescent="0.25">
      <c r="A16" s="118">
        <v>40</v>
      </c>
      <c r="B16" s="151">
        <v>5050</v>
      </c>
      <c r="C16" s="94" t="s">
        <v>83</v>
      </c>
      <c r="D16" s="85">
        <v>117100</v>
      </c>
      <c r="E16" s="85">
        <v>96000</v>
      </c>
      <c r="F16" s="85">
        <v>96000</v>
      </c>
      <c r="G16" s="428">
        <v>96000</v>
      </c>
      <c r="H16" s="428">
        <f t="shared" si="0"/>
        <v>102528</v>
      </c>
      <c r="I16" s="428">
        <f t="shared" si="1"/>
        <v>108474.62400000001</v>
      </c>
      <c r="J16" s="428">
        <f t="shared" si="2"/>
        <v>114440.72832000001</v>
      </c>
      <c r="K16" s="428">
        <f t="shared" si="3"/>
        <v>120506.08692096001</v>
      </c>
    </row>
    <row r="17" spans="1:11" s="285" customFormat="1" x14ac:dyDescent="0.25">
      <c r="A17" s="118">
        <v>40</v>
      </c>
      <c r="B17" s="151">
        <v>5055</v>
      </c>
      <c r="C17" s="94" t="s">
        <v>511</v>
      </c>
      <c r="D17" s="85">
        <v>1620500</v>
      </c>
      <c r="E17" s="85">
        <v>2150000</v>
      </c>
      <c r="F17" s="85">
        <v>1550000</v>
      </c>
      <c r="G17" s="428">
        <v>1550000</v>
      </c>
      <c r="H17" s="428">
        <f t="shared" si="0"/>
        <v>1655400</v>
      </c>
      <c r="I17" s="428">
        <f t="shared" si="1"/>
        <v>1751413.2000000002</v>
      </c>
      <c r="J17" s="428">
        <f t="shared" si="2"/>
        <v>1847740.926</v>
      </c>
      <c r="K17" s="428">
        <f t="shared" si="3"/>
        <v>1945671.195078</v>
      </c>
    </row>
    <row r="18" spans="1:11" s="285" customFormat="1" x14ac:dyDescent="0.25">
      <c r="A18" s="344"/>
      <c r="B18" s="151"/>
      <c r="C18" s="94"/>
      <c r="D18" s="429">
        <f t="shared" ref="D18:K18" si="4">SUM(D7:D17)</f>
        <v>1884400</v>
      </c>
      <c r="E18" s="89">
        <f t="shared" si="4"/>
        <v>2469600</v>
      </c>
      <c r="F18" s="429">
        <f t="shared" si="4"/>
        <v>1869600</v>
      </c>
      <c r="G18" s="429">
        <f t="shared" si="4"/>
        <v>1869600</v>
      </c>
      <c r="H18" s="89">
        <f t="shared" si="4"/>
        <v>1996732.8</v>
      </c>
      <c r="I18" s="429">
        <f t="shared" si="4"/>
        <v>2112543.3024000004</v>
      </c>
      <c r="J18" s="429">
        <f t="shared" si="4"/>
        <v>2228733.1840320001</v>
      </c>
      <c r="K18" s="429">
        <f t="shared" si="4"/>
        <v>2346856.0427856958</v>
      </c>
    </row>
    <row r="19" spans="1:11" s="285" customFormat="1" x14ac:dyDescent="0.25">
      <c r="A19" s="344"/>
      <c r="B19" s="151"/>
      <c r="C19" s="93" t="s">
        <v>40</v>
      </c>
      <c r="D19" s="85"/>
      <c r="E19" s="86"/>
      <c r="F19" s="86"/>
      <c r="G19" s="86"/>
      <c r="H19" s="86"/>
      <c r="I19" s="86"/>
      <c r="J19" s="86"/>
      <c r="K19" s="86"/>
    </row>
    <row r="20" spans="1:11" s="285" customFormat="1" x14ac:dyDescent="0.25">
      <c r="A20" s="118">
        <v>40</v>
      </c>
      <c r="B20" s="151">
        <v>5105</v>
      </c>
      <c r="C20" s="94" t="s">
        <v>41</v>
      </c>
      <c r="D20" s="85">
        <v>51200</v>
      </c>
      <c r="E20" s="85">
        <v>130000</v>
      </c>
      <c r="F20" s="85">
        <v>130000</v>
      </c>
      <c r="G20" s="428">
        <v>130000</v>
      </c>
      <c r="H20" s="428">
        <f>(F20*0.068)+F20</f>
        <v>138840</v>
      </c>
      <c r="I20" s="428">
        <f>+H20*1.058</f>
        <v>146892.72</v>
      </c>
      <c r="J20" s="428">
        <f>+I20*1.055</f>
        <v>154971.81959999999</v>
      </c>
      <c r="K20" s="428">
        <f>+J20*1.053</f>
        <v>163185.32603879998</v>
      </c>
    </row>
    <row r="21" spans="1:11" s="285" customFormat="1" x14ac:dyDescent="0.25">
      <c r="A21" s="118">
        <v>40</v>
      </c>
      <c r="B21" s="151">
        <v>5115</v>
      </c>
      <c r="C21" s="94" t="s">
        <v>42</v>
      </c>
      <c r="D21" s="85">
        <v>118300</v>
      </c>
      <c r="E21" s="85">
        <v>225000</v>
      </c>
      <c r="F21" s="85">
        <v>225000</v>
      </c>
      <c r="G21" s="428">
        <v>225000</v>
      </c>
      <c r="H21" s="428">
        <f>(F21*0.068)+F21</f>
        <v>240300</v>
      </c>
      <c r="I21" s="428">
        <f>+H21*1.058</f>
        <v>254237.40000000002</v>
      </c>
      <c r="J21" s="428">
        <f>+I21*1.055</f>
        <v>268220.45699999999</v>
      </c>
      <c r="K21" s="428">
        <f>+J21*1.053</f>
        <v>282436.141221</v>
      </c>
    </row>
    <row r="22" spans="1:11" s="285" customFormat="1" x14ac:dyDescent="0.25">
      <c r="A22" s="118">
        <v>40</v>
      </c>
      <c r="B22" s="151">
        <v>5120</v>
      </c>
      <c r="C22" s="94" t="s">
        <v>43</v>
      </c>
      <c r="D22" s="85">
        <v>156400</v>
      </c>
      <c r="E22" s="85">
        <v>155000</v>
      </c>
      <c r="F22" s="85">
        <v>155000</v>
      </c>
      <c r="G22" s="428">
        <v>155000</v>
      </c>
      <c r="H22" s="428">
        <f>(F22*0.068)+F22</f>
        <v>165540</v>
      </c>
      <c r="I22" s="428">
        <f>+H22*1.058</f>
        <v>175141.32</v>
      </c>
      <c r="J22" s="428">
        <f>+I22*1.055</f>
        <v>184774.0926</v>
      </c>
      <c r="K22" s="428">
        <f>+J22*1.053</f>
        <v>194567.1195078</v>
      </c>
    </row>
    <row r="23" spans="1:11" s="285" customFormat="1" hidden="1" x14ac:dyDescent="0.25">
      <c r="A23" s="118">
        <v>40</v>
      </c>
      <c r="B23" s="151">
        <v>5125</v>
      </c>
      <c r="C23" s="94" t="s">
        <v>44</v>
      </c>
      <c r="D23" s="85">
        <v>0</v>
      </c>
      <c r="E23" s="85"/>
      <c r="F23" s="85">
        <v>0</v>
      </c>
      <c r="G23" s="428">
        <v>0</v>
      </c>
      <c r="H23" s="428">
        <f>(F23*0.068)+F23</f>
        <v>0</v>
      </c>
      <c r="I23" s="428">
        <f>+H23*1.058</f>
        <v>0</v>
      </c>
      <c r="J23" s="428">
        <f>+I23*1.055</f>
        <v>0</v>
      </c>
      <c r="K23" s="428">
        <f>+J23*1.053</f>
        <v>0</v>
      </c>
    </row>
    <row r="24" spans="1:11" s="285" customFormat="1" x14ac:dyDescent="0.25">
      <c r="A24" s="118">
        <v>40</v>
      </c>
      <c r="B24" s="151">
        <v>5130</v>
      </c>
      <c r="C24" s="94" t="s">
        <v>45</v>
      </c>
      <c r="D24" s="85">
        <v>17875</v>
      </c>
      <c r="E24" s="85">
        <v>26000</v>
      </c>
      <c r="F24" s="85">
        <v>26000</v>
      </c>
      <c r="G24" s="428">
        <v>26000</v>
      </c>
      <c r="H24" s="428">
        <f>(F24*0.068)+F24</f>
        <v>27768</v>
      </c>
      <c r="I24" s="428">
        <f>+H24*1.058</f>
        <v>29378.544000000002</v>
      </c>
      <c r="J24" s="428">
        <f>+I24*1.055</f>
        <v>30994.36392</v>
      </c>
      <c r="K24" s="428">
        <f>+J24*1.053</f>
        <v>32637.065207759999</v>
      </c>
    </row>
    <row r="25" spans="1:11" s="285" customFormat="1" x14ac:dyDescent="0.25">
      <c r="A25" s="344"/>
      <c r="B25" s="151"/>
      <c r="C25" s="94"/>
      <c r="D25" s="429">
        <f t="shared" ref="D25:K25" si="5">SUM(D20:D24)</f>
        <v>343775</v>
      </c>
      <c r="E25" s="89">
        <f t="shared" si="5"/>
        <v>536000</v>
      </c>
      <c r="F25" s="429">
        <f t="shared" si="5"/>
        <v>536000</v>
      </c>
      <c r="G25" s="429">
        <f t="shared" si="5"/>
        <v>536000</v>
      </c>
      <c r="H25" s="89">
        <f t="shared" si="5"/>
        <v>572448</v>
      </c>
      <c r="I25" s="429">
        <f t="shared" si="5"/>
        <v>605649.98399999994</v>
      </c>
      <c r="J25" s="429">
        <f t="shared" si="5"/>
        <v>638960.73311999999</v>
      </c>
      <c r="K25" s="429">
        <f t="shared" si="5"/>
        <v>672825.65197535988</v>
      </c>
    </row>
    <row r="26" spans="1:11" s="285" customFormat="1" x14ac:dyDescent="0.25">
      <c r="A26" s="344"/>
      <c r="B26" s="151"/>
      <c r="C26" s="93" t="s">
        <v>46</v>
      </c>
      <c r="D26" s="85"/>
      <c r="E26" s="86"/>
      <c r="F26" s="86"/>
      <c r="G26" s="86"/>
      <c r="H26" s="86"/>
      <c r="I26" s="86"/>
      <c r="J26" s="86"/>
      <c r="K26" s="86"/>
    </row>
    <row r="27" spans="1:11" s="285" customFormat="1" hidden="1" x14ac:dyDescent="0.25">
      <c r="A27" s="344"/>
      <c r="B27" s="151"/>
      <c r="C27" s="93" t="s">
        <v>47</v>
      </c>
      <c r="D27" s="85"/>
      <c r="E27" s="86"/>
      <c r="F27" s="86"/>
      <c r="G27" s="86"/>
      <c r="H27" s="86"/>
      <c r="I27" s="86"/>
      <c r="J27" s="86"/>
      <c r="K27" s="86"/>
    </row>
    <row r="28" spans="1:11" s="285" customFormat="1" hidden="1" x14ac:dyDescent="0.25">
      <c r="A28" s="118">
        <v>40</v>
      </c>
      <c r="B28" s="151">
        <v>5150</v>
      </c>
      <c r="C28" s="94" t="s">
        <v>48</v>
      </c>
      <c r="D28" s="85"/>
      <c r="E28" s="85"/>
      <c r="F28" s="85">
        <v>0</v>
      </c>
      <c r="G28" s="428">
        <v>0</v>
      </c>
      <c r="H28" s="85"/>
      <c r="I28" s="428"/>
      <c r="J28" s="85"/>
      <c r="K28" s="85"/>
    </row>
    <row r="29" spans="1:11" s="285" customFormat="1" hidden="1" x14ac:dyDescent="0.25">
      <c r="A29" s="344"/>
      <c r="B29" s="151"/>
      <c r="C29" s="94"/>
      <c r="D29" s="89"/>
      <c r="E29" s="89">
        <f>E28</f>
        <v>0</v>
      </c>
      <c r="F29" s="89">
        <v>0</v>
      </c>
      <c r="G29" s="429">
        <v>0</v>
      </c>
      <c r="H29" s="89"/>
      <c r="I29" s="429"/>
      <c r="J29" s="89"/>
      <c r="K29" s="89"/>
    </row>
    <row r="30" spans="1:11" s="285" customFormat="1" hidden="1" x14ac:dyDescent="0.25">
      <c r="A30" s="344"/>
      <c r="B30" s="151"/>
      <c r="C30" s="93" t="s">
        <v>49</v>
      </c>
      <c r="D30" s="85"/>
      <c r="E30" s="86"/>
      <c r="F30" s="86"/>
      <c r="G30" s="86"/>
      <c r="H30" s="86"/>
      <c r="I30" s="86"/>
      <c r="J30" s="86"/>
      <c r="K30" s="86"/>
    </row>
    <row r="31" spans="1:11" s="285" customFormat="1" hidden="1" x14ac:dyDescent="0.25">
      <c r="A31" s="118">
        <v>40</v>
      </c>
      <c r="B31" s="151">
        <v>5170</v>
      </c>
      <c r="C31" s="94" t="s">
        <v>341</v>
      </c>
      <c r="D31" s="85"/>
      <c r="E31" s="108"/>
      <c r="F31" s="85"/>
      <c r="G31" s="428"/>
      <c r="H31" s="85"/>
      <c r="I31" s="428"/>
      <c r="J31" s="85"/>
      <c r="K31" s="85"/>
    </row>
    <row r="32" spans="1:11" s="285" customFormat="1" hidden="1" x14ac:dyDescent="0.25">
      <c r="A32" s="344"/>
      <c r="B32" s="151"/>
      <c r="C32" s="94"/>
      <c r="D32" s="89"/>
      <c r="E32" s="89">
        <f>SUM(E31)</f>
        <v>0</v>
      </c>
      <c r="F32" s="89">
        <v>0</v>
      </c>
      <c r="G32" s="429">
        <v>0</v>
      </c>
      <c r="H32" s="89"/>
      <c r="I32" s="429"/>
      <c r="J32" s="89"/>
      <c r="K32" s="89"/>
    </row>
    <row r="33" spans="1:11" s="285" customFormat="1" hidden="1" x14ac:dyDescent="0.25">
      <c r="A33" s="344"/>
      <c r="B33" s="151"/>
      <c r="C33" s="93" t="s">
        <v>50</v>
      </c>
      <c r="D33" s="85"/>
      <c r="E33" s="86"/>
      <c r="F33" s="86"/>
      <c r="G33" s="86"/>
      <c r="H33" s="86"/>
      <c r="I33" s="86"/>
      <c r="J33" s="86"/>
      <c r="K33" s="86"/>
    </row>
    <row r="34" spans="1:11" s="285" customFormat="1" hidden="1" x14ac:dyDescent="0.25">
      <c r="A34" s="118">
        <v>40</v>
      </c>
      <c r="B34" s="151">
        <v>5180</v>
      </c>
      <c r="C34" s="94" t="s">
        <v>51</v>
      </c>
      <c r="D34" s="85"/>
      <c r="E34" s="108"/>
      <c r="F34" s="85"/>
      <c r="G34" s="428"/>
      <c r="H34" s="85"/>
      <c r="I34" s="428"/>
      <c r="J34" s="85"/>
      <c r="K34" s="108"/>
    </row>
    <row r="35" spans="1:11" s="285" customFormat="1" hidden="1" x14ac:dyDescent="0.25">
      <c r="A35" s="344"/>
      <c r="B35" s="151"/>
      <c r="C35" s="94"/>
      <c r="D35" s="89"/>
      <c r="E35" s="89">
        <f>SUM(E34)</f>
        <v>0</v>
      </c>
      <c r="F35" s="89">
        <v>0</v>
      </c>
      <c r="G35" s="429">
        <v>0</v>
      </c>
      <c r="H35" s="89"/>
      <c r="I35" s="429"/>
      <c r="J35" s="89"/>
      <c r="K35" s="89"/>
    </row>
    <row r="36" spans="1:11" s="285" customFormat="1" hidden="1" x14ac:dyDescent="0.25">
      <c r="A36" s="344"/>
      <c r="B36" s="151"/>
      <c r="C36" s="93" t="s">
        <v>52</v>
      </c>
      <c r="D36" s="85"/>
      <c r="E36" s="86"/>
      <c r="F36" s="86"/>
      <c r="G36" s="86"/>
      <c r="H36" s="86"/>
      <c r="I36" s="86"/>
      <c r="J36" s="86"/>
      <c r="K36" s="86"/>
    </row>
    <row r="37" spans="1:11" s="285" customFormat="1" hidden="1" x14ac:dyDescent="0.25">
      <c r="A37" s="118">
        <v>40</v>
      </c>
      <c r="B37" s="151">
        <v>5190</v>
      </c>
      <c r="C37" s="94" t="s">
        <v>53</v>
      </c>
      <c r="D37" s="85"/>
      <c r="E37" s="108"/>
      <c r="F37" s="85"/>
      <c r="G37" s="428"/>
      <c r="H37" s="85"/>
      <c r="I37" s="428"/>
      <c r="J37" s="85"/>
      <c r="K37" s="85"/>
    </row>
    <row r="38" spans="1:11" s="285" customFormat="1" hidden="1" x14ac:dyDescent="0.25">
      <c r="A38" s="344"/>
      <c r="B38" s="151"/>
      <c r="C38" s="94"/>
      <c r="D38" s="89"/>
      <c r="E38" s="89">
        <f>E37</f>
        <v>0</v>
      </c>
      <c r="F38" s="89">
        <v>0</v>
      </c>
      <c r="G38" s="429">
        <v>0</v>
      </c>
      <c r="H38" s="89"/>
      <c r="I38" s="429"/>
      <c r="J38" s="89"/>
      <c r="K38" s="89"/>
    </row>
    <row r="39" spans="1:11" s="285" customFormat="1" x14ac:dyDescent="0.25">
      <c r="A39" s="344"/>
      <c r="B39" s="151"/>
      <c r="C39" s="93" t="s">
        <v>54</v>
      </c>
      <c r="D39" s="85"/>
      <c r="E39" s="86"/>
      <c r="F39" s="86"/>
      <c r="G39" s="86"/>
      <c r="H39" s="86"/>
      <c r="I39" s="86"/>
      <c r="J39" s="86"/>
      <c r="K39" s="86"/>
    </row>
    <row r="40" spans="1:11" s="285" customFormat="1" hidden="1" x14ac:dyDescent="0.25">
      <c r="A40" s="118">
        <v>40</v>
      </c>
      <c r="B40" s="151">
        <v>5200</v>
      </c>
      <c r="C40" s="94" t="s">
        <v>55</v>
      </c>
      <c r="D40" s="85"/>
      <c r="E40" s="108"/>
      <c r="F40" s="85">
        <v>0</v>
      </c>
      <c r="G40" s="428">
        <v>0</v>
      </c>
      <c r="H40" s="85"/>
      <c r="I40" s="428"/>
      <c r="J40" s="85"/>
      <c r="K40" s="85"/>
    </row>
    <row r="41" spans="1:11" s="285" customFormat="1" x14ac:dyDescent="0.25">
      <c r="A41" s="118">
        <v>40</v>
      </c>
      <c r="B41" s="151">
        <v>5205</v>
      </c>
      <c r="C41" s="94" t="s">
        <v>56</v>
      </c>
      <c r="D41" s="85">
        <v>13500</v>
      </c>
      <c r="E41" s="85">
        <v>40000</v>
      </c>
      <c r="F41" s="85">
        <v>20000</v>
      </c>
      <c r="G41" s="428">
        <v>20000</v>
      </c>
      <c r="H41" s="85">
        <v>50000</v>
      </c>
      <c r="I41" s="428">
        <v>80000</v>
      </c>
      <c r="J41" s="85">
        <f t="shared" ref="J41:J57" si="6">+I41*1.055</f>
        <v>84400</v>
      </c>
      <c r="K41" s="85">
        <f t="shared" ref="K41:K57" si="7">+J41*1.053</f>
        <v>88873.2</v>
      </c>
    </row>
    <row r="42" spans="1:11" s="285" customFormat="1" hidden="1" x14ac:dyDescent="0.25">
      <c r="A42" s="118">
        <v>40</v>
      </c>
      <c r="B42" s="151">
        <v>5210</v>
      </c>
      <c r="C42" s="94" t="s">
        <v>57</v>
      </c>
      <c r="D42" s="85"/>
      <c r="E42" s="85"/>
      <c r="F42" s="85">
        <v>0</v>
      </c>
      <c r="G42" s="428">
        <v>0</v>
      </c>
      <c r="H42" s="85"/>
      <c r="I42" s="428"/>
      <c r="J42" s="85">
        <f t="shared" si="6"/>
        <v>0</v>
      </c>
      <c r="K42" s="85">
        <f t="shared" si="7"/>
        <v>0</v>
      </c>
    </row>
    <row r="43" spans="1:11" s="285" customFormat="1" hidden="1" x14ac:dyDescent="0.25">
      <c r="A43" s="118">
        <v>40</v>
      </c>
      <c r="B43" s="151">
        <v>5215</v>
      </c>
      <c r="C43" s="94" t="s">
        <v>95</v>
      </c>
      <c r="D43" s="85"/>
      <c r="E43" s="85"/>
      <c r="F43" s="85">
        <v>0</v>
      </c>
      <c r="G43" s="428">
        <v>0</v>
      </c>
      <c r="H43" s="85"/>
      <c r="I43" s="428"/>
      <c r="J43" s="85">
        <f t="shared" si="6"/>
        <v>0</v>
      </c>
      <c r="K43" s="85">
        <f t="shared" si="7"/>
        <v>0</v>
      </c>
    </row>
    <row r="44" spans="1:11" s="285" customFormat="1" x14ac:dyDescent="0.25">
      <c r="A44" s="118">
        <v>40</v>
      </c>
      <c r="B44" s="151">
        <v>5220</v>
      </c>
      <c r="C44" s="94" t="s">
        <v>58</v>
      </c>
      <c r="D44" s="85">
        <v>9000</v>
      </c>
      <c r="E44" s="85">
        <v>21000</v>
      </c>
      <c r="F44" s="85">
        <v>21000</v>
      </c>
      <c r="G44" s="428">
        <v>21000</v>
      </c>
      <c r="H44" s="85">
        <v>60000</v>
      </c>
      <c r="I44" s="428">
        <v>210000</v>
      </c>
      <c r="J44" s="85">
        <f t="shared" si="6"/>
        <v>221550</v>
      </c>
      <c r="K44" s="85">
        <f t="shared" si="7"/>
        <v>233292.15</v>
      </c>
    </row>
    <row r="45" spans="1:11" s="285" customFormat="1" hidden="1" x14ac:dyDescent="0.25">
      <c r="A45" s="118">
        <v>40</v>
      </c>
      <c r="B45" s="151">
        <v>5225</v>
      </c>
      <c r="C45" s="94" t="s">
        <v>92</v>
      </c>
      <c r="D45" s="85"/>
      <c r="E45" s="85"/>
      <c r="F45" s="85">
        <v>0</v>
      </c>
      <c r="G45" s="428">
        <v>0</v>
      </c>
      <c r="H45" s="85"/>
      <c r="I45" s="428"/>
      <c r="J45" s="85">
        <f t="shared" si="6"/>
        <v>0</v>
      </c>
      <c r="K45" s="85">
        <f t="shared" si="7"/>
        <v>0</v>
      </c>
    </row>
    <row r="46" spans="1:11" s="285" customFormat="1" hidden="1" x14ac:dyDescent="0.25">
      <c r="A46" s="118">
        <v>40</v>
      </c>
      <c r="B46" s="151">
        <v>5230</v>
      </c>
      <c r="C46" s="94" t="s">
        <v>86</v>
      </c>
      <c r="D46" s="85"/>
      <c r="E46" s="85"/>
      <c r="F46" s="85">
        <v>0</v>
      </c>
      <c r="G46" s="428">
        <v>0</v>
      </c>
      <c r="H46" s="85"/>
      <c r="I46" s="428"/>
      <c r="J46" s="85">
        <f t="shared" si="6"/>
        <v>0</v>
      </c>
      <c r="K46" s="85">
        <f t="shared" si="7"/>
        <v>0</v>
      </c>
    </row>
    <row r="47" spans="1:11" s="285" customFormat="1" hidden="1" x14ac:dyDescent="0.25">
      <c r="A47" s="118">
        <v>40</v>
      </c>
      <c r="B47" s="151">
        <v>5235</v>
      </c>
      <c r="C47" s="94" t="s">
        <v>124</v>
      </c>
      <c r="D47" s="85"/>
      <c r="E47" s="85"/>
      <c r="F47" s="85">
        <v>0</v>
      </c>
      <c r="G47" s="428">
        <v>0</v>
      </c>
      <c r="H47" s="85"/>
      <c r="I47" s="428"/>
      <c r="J47" s="85">
        <f t="shared" si="6"/>
        <v>0</v>
      </c>
      <c r="K47" s="85">
        <f t="shared" si="7"/>
        <v>0</v>
      </c>
    </row>
    <row r="48" spans="1:11" s="285" customFormat="1" hidden="1" x14ac:dyDescent="0.25">
      <c r="A48" s="118">
        <v>40</v>
      </c>
      <c r="B48" s="151">
        <v>5240</v>
      </c>
      <c r="C48" s="94" t="s">
        <v>59</v>
      </c>
      <c r="D48" s="85"/>
      <c r="E48" s="85"/>
      <c r="F48" s="85">
        <v>0</v>
      </c>
      <c r="G48" s="428">
        <v>0</v>
      </c>
      <c r="H48" s="85"/>
      <c r="I48" s="428"/>
      <c r="J48" s="85">
        <f t="shared" si="6"/>
        <v>0</v>
      </c>
      <c r="K48" s="85">
        <f t="shared" si="7"/>
        <v>0</v>
      </c>
    </row>
    <row r="49" spans="1:11" s="285" customFormat="1" hidden="1" x14ac:dyDescent="0.25">
      <c r="A49" s="118">
        <v>40</v>
      </c>
      <c r="B49" s="151">
        <v>5245</v>
      </c>
      <c r="C49" s="94" t="s">
        <v>91</v>
      </c>
      <c r="D49" s="85"/>
      <c r="E49" s="85"/>
      <c r="F49" s="85">
        <v>0</v>
      </c>
      <c r="G49" s="428">
        <v>0</v>
      </c>
      <c r="H49" s="85"/>
      <c r="I49" s="428"/>
      <c r="J49" s="85">
        <f t="shared" si="6"/>
        <v>0</v>
      </c>
      <c r="K49" s="85">
        <f t="shared" si="7"/>
        <v>0</v>
      </c>
    </row>
    <row r="50" spans="1:11" s="285" customFormat="1" x14ac:dyDescent="0.25">
      <c r="A50" s="118">
        <v>40</v>
      </c>
      <c r="B50" s="151">
        <v>5250</v>
      </c>
      <c r="C50" s="94" t="s">
        <v>88</v>
      </c>
      <c r="D50" s="85">
        <v>49227</v>
      </c>
      <c r="E50" s="85">
        <v>44000</v>
      </c>
      <c r="F50" s="85">
        <v>44000</v>
      </c>
      <c r="G50" s="428">
        <v>44000</v>
      </c>
      <c r="H50" s="85">
        <v>64000</v>
      </c>
      <c r="I50" s="428">
        <v>78000</v>
      </c>
      <c r="J50" s="85">
        <f t="shared" si="6"/>
        <v>82290</v>
      </c>
      <c r="K50" s="85">
        <f t="shared" si="7"/>
        <v>86651.37</v>
      </c>
    </row>
    <row r="51" spans="1:11" s="285" customFormat="1" hidden="1" x14ac:dyDescent="0.25">
      <c r="A51" s="118">
        <v>40</v>
      </c>
      <c r="B51" s="151">
        <v>5255</v>
      </c>
      <c r="C51" s="94" t="s">
        <v>125</v>
      </c>
      <c r="D51" s="85"/>
      <c r="E51" s="108"/>
      <c r="F51" s="85">
        <v>0</v>
      </c>
      <c r="G51" s="428">
        <v>0</v>
      </c>
      <c r="H51" s="85"/>
      <c r="I51" s="428"/>
      <c r="J51" s="85">
        <f t="shared" si="6"/>
        <v>0</v>
      </c>
      <c r="K51" s="85">
        <f t="shared" si="7"/>
        <v>0</v>
      </c>
    </row>
    <row r="52" spans="1:11" s="285" customFormat="1" hidden="1" x14ac:dyDescent="0.25">
      <c r="A52" s="118">
        <v>40</v>
      </c>
      <c r="B52" s="151">
        <v>5260</v>
      </c>
      <c r="C52" s="94" t="s">
        <v>90</v>
      </c>
      <c r="D52" s="85"/>
      <c r="E52" s="108"/>
      <c r="F52" s="85">
        <v>0</v>
      </c>
      <c r="G52" s="428">
        <v>0</v>
      </c>
      <c r="H52" s="85"/>
      <c r="I52" s="428"/>
      <c r="J52" s="85">
        <f t="shared" si="6"/>
        <v>0</v>
      </c>
      <c r="K52" s="85">
        <f t="shared" si="7"/>
        <v>0</v>
      </c>
    </row>
    <row r="53" spans="1:11" s="285" customFormat="1" hidden="1" x14ac:dyDescent="0.25">
      <c r="A53" s="118">
        <v>40</v>
      </c>
      <c r="B53" s="151">
        <v>5265</v>
      </c>
      <c r="C53" s="94" t="s">
        <v>87</v>
      </c>
      <c r="D53" s="85"/>
      <c r="E53" s="108"/>
      <c r="F53" s="85">
        <v>0</v>
      </c>
      <c r="G53" s="428">
        <v>0</v>
      </c>
      <c r="H53" s="85"/>
      <c r="I53" s="428"/>
      <c r="J53" s="85">
        <f t="shared" si="6"/>
        <v>0</v>
      </c>
      <c r="K53" s="85">
        <f t="shared" si="7"/>
        <v>0</v>
      </c>
    </row>
    <row r="54" spans="1:11" s="285" customFormat="1" hidden="1" x14ac:dyDescent="0.25">
      <c r="A54" s="118">
        <v>40</v>
      </c>
      <c r="B54" s="151">
        <v>5270</v>
      </c>
      <c r="C54" s="94" t="s">
        <v>89</v>
      </c>
      <c r="D54" s="85"/>
      <c r="E54" s="108"/>
      <c r="F54" s="85">
        <v>0</v>
      </c>
      <c r="G54" s="428">
        <v>0</v>
      </c>
      <c r="H54" s="85"/>
      <c r="I54" s="428"/>
      <c r="J54" s="85">
        <f t="shared" si="6"/>
        <v>0</v>
      </c>
      <c r="K54" s="85">
        <f t="shared" si="7"/>
        <v>0</v>
      </c>
    </row>
    <row r="55" spans="1:11" s="285" customFormat="1" hidden="1" x14ac:dyDescent="0.25">
      <c r="A55" s="118">
        <v>40</v>
      </c>
      <c r="B55" s="151">
        <v>5275</v>
      </c>
      <c r="C55" s="94" t="s">
        <v>93</v>
      </c>
      <c r="D55" s="85"/>
      <c r="E55" s="108"/>
      <c r="F55" s="85">
        <v>0</v>
      </c>
      <c r="G55" s="428">
        <v>0</v>
      </c>
      <c r="H55" s="85"/>
      <c r="I55" s="428"/>
      <c r="J55" s="85">
        <f t="shared" si="6"/>
        <v>0</v>
      </c>
      <c r="K55" s="85">
        <f t="shared" si="7"/>
        <v>0</v>
      </c>
    </row>
    <row r="56" spans="1:11" s="285" customFormat="1" hidden="1" x14ac:dyDescent="0.25">
      <c r="A56" s="118">
        <v>40</v>
      </c>
      <c r="B56" s="151">
        <v>5280</v>
      </c>
      <c r="C56" s="94" t="s">
        <v>94</v>
      </c>
      <c r="D56" s="85"/>
      <c r="E56" s="108"/>
      <c r="F56" s="85">
        <v>0</v>
      </c>
      <c r="G56" s="428">
        <v>0</v>
      </c>
      <c r="H56" s="85"/>
      <c r="I56" s="428"/>
      <c r="J56" s="85">
        <f t="shared" si="6"/>
        <v>0</v>
      </c>
      <c r="K56" s="85">
        <f t="shared" si="7"/>
        <v>0</v>
      </c>
    </row>
    <row r="57" spans="1:11" s="285" customFormat="1" x14ac:dyDescent="0.25">
      <c r="A57" s="118">
        <v>40</v>
      </c>
      <c r="B57" s="151">
        <v>5285</v>
      </c>
      <c r="C57" s="94" t="s">
        <v>60</v>
      </c>
      <c r="D57" s="85">
        <v>185635</v>
      </c>
      <c r="E57" s="85">
        <v>229500</v>
      </c>
      <c r="F57" s="85">
        <v>249500</v>
      </c>
      <c r="G57" s="428">
        <v>249500</v>
      </c>
      <c r="H57" s="85">
        <v>266400</v>
      </c>
      <c r="I57" s="428">
        <v>310000</v>
      </c>
      <c r="J57" s="85">
        <f t="shared" si="6"/>
        <v>327050</v>
      </c>
      <c r="K57" s="85">
        <f t="shared" si="7"/>
        <v>344383.64999999997</v>
      </c>
    </row>
    <row r="58" spans="1:11" s="285" customFormat="1" hidden="1" x14ac:dyDescent="0.25">
      <c r="A58" s="118">
        <v>40</v>
      </c>
      <c r="B58" s="151">
        <v>5290</v>
      </c>
      <c r="C58" s="94" t="s">
        <v>186</v>
      </c>
      <c r="D58" s="85"/>
      <c r="E58" s="108"/>
      <c r="F58" s="85">
        <v>0</v>
      </c>
      <c r="G58" s="428">
        <v>0</v>
      </c>
      <c r="H58" s="85">
        <f>0/8*12</f>
        <v>0</v>
      </c>
      <c r="I58" s="428"/>
      <c r="J58" s="85"/>
      <c r="K58" s="85"/>
    </row>
    <row r="59" spans="1:11" s="285" customFormat="1" x14ac:dyDescent="0.25">
      <c r="A59" s="344"/>
      <c r="B59" s="151"/>
      <c r="C59" s="94"/>
      <c r="D59" s="439">
        <f t="shared" ref="D59:K59" si="8">SUM(D40:D58)</f>
        <v>257362</v>
      </c>
      <c r="E59" s="110">
        <f t="shared" si="8"/>
        <v>334500</v>
      </c>
      <c r="F59" s="439">
        <f t="shared" si="8"/>
        <v>334500</v>
      </c>
      <c r="G59" s="439">
        <f t="shared" si="8"/>
        <v>334500</v>
      </c>
      <c r="H59" s="110">
        <f t="shared" si="8"/>
        <v>440400</v>
      </c>
      <c r="I59" s="439">
        <f t="shared" si="8"/>
        <v>678000</v>
      </c>
      <c r="J59" s="439">
        <f t="shared" si="8"/>
        <v>715290</v>
      </c>
      <c r="K59" s="439">
        <f t="shared" si="8"/>
        <v>753200.36999999988</v>
      </c>
    </row>
    <row r="60" spans="1:11" s="285" customFormat="1" x14ac:dyDescent="0.25">
      <c r="A60" s="344"/>
      <c r="B60" s="151"/>
      <c r="C60" s="93" t="s">
        <v>198</v>
      </c>
      <c r="D60" s="85"/>
      <c r="E60" s="112"/>
      <c r="F60" s="112"/>
      <c r="G60" s="112"/>
      <c r="H60" s="112"/>
      <c r="I60" s="112"/>
      <c r="J60" s="112"/>
      <c r="K60" s="112"/>
    </row>
    <row r="61" spans="1:11" s="285" customFormat="1" hidden="1" x14ac:dyDescent="0.25">
      <c r="A61" s="118">
        <v>40</v>
      </c>
      <c r="B61" s="151">
        <v>5400</v>
      </c>
      <c r="C61" s="94" t="s">
        <v>334</v>
      </c>
      <c r="D61" s="85"/>
      <c r="E61" s="86"/>
      <c r="F61" s="85"/>
      <c r="G61" s="428"/>
      <c r="H61" s="85">
        <f>0/8*12</f>
        <v>0</v>
      </c>
      <c r="I61" s="86"/>
      <c r="J61" s="86"/>
      <c r="K61" s="86"/>
    </row>
    <row r="62" spans="1:11" s="285" customFormat="1" x14ac:dyDescent="0.25">
      <c r="A62" s="118">
        <v>40</v>
      </c>
      <c r="B62" s="151">
        <v>5405</v>
      </c>
      <c r="C62" s="94" t="s">
        <v>335</v>
      </c>
      <c r="D62" s="85">
        <v>18951</v>
      </c>
      <c r="E62" s="108">
        <v>8484</v>
      </c>
      <c r="F62" s="108">
        <v>8484</v>
      </c>
      <c r="G62" s="425">
        <v>8485</v>
      </c>
      <c r="H62" s="108">
        <v>8484</v>
      </c>
      <c r="I62" s="425"/>
      <c r="J62" s="108"/>
      <c r="K62" s="108"/>
    </row>
    <row r="63" spans="1:11" s="285" customFormat="1" x14ac:dyDescent="0.25">
      <c r="A63" s="344"/>
      <c r="B63" s="151"/>
      <c r="C63" s="94"/>
      <c r="D63" s="429">
        <f>SUM(D61:D62)</f>
        <v>18951</v>
      </c>
      <c r="E63" s="89">
        <f>SUM(E61:E62)</f>
        <v>8484</v>
      </c>
      <c r="F63" s="89">
        <f>SUM(F61:F62)</f>
        <v>8484</v>
      </c>
      <c r="G63" s="429">
        <f>SUM(G61:G62)</f>
        <v>8485</v>
      </c>
      <c r="H63" s="429">
        <f>SUM(H61:H62)</f>
        <v>8484</v>
      </c>
      <c r="I63" s="429"/>
      <c r="J63" s="429"/>
      <c r="K63" s="429"/>
    </row>
    <row r="64" spans="1:11" s="285" customFormat="1" hidden="1" x14ac:dyDescent="0.25">
      <c r="A64" s="344"/>
      <c r="B64" s="151"/>
      <c r="C64" s="93" t="s">
        <v>61</v>
      </c>
      <c r="D64" s="85"/>
      <c r="E64" s="86"/>
      <c r="F64" s="86"/>
      <c r="G64" s="86"/>
      <c r="H64" s="86"/>
      <c r="I64" s="86"/>
      <c r="J64" s="86"/>
      <c r="K64" s="86"/>
    </row>
    <row r="65" spans="1:11" s="285" customFormat="1" hidden="1" x14ac:dyDescent="0.25">
      <c r="A65" s="118">
        <v>40</v>
      </c>
      <c r="B65" s="151">
        <v>5450</v>
      </c>
      <c r="C65" s="94" t="s">
        <v>351</v>
      </c>
      <c r="D65" s="85"/>
      <c r="E65" s="108"/>
      <c r="F65" s="85"/>
      <c r="G65" s="428"/>
      <c r="H65" s="85">
        <f>0/8*12</f>
        <v>0</v>
      </c>
      <c r="I65" s="428"/>
      <c r="J65" s="85"/>
      <c r="K65" s="108"/>
    </row>
    <row r="66" spans="1:11" s="285" customFormat="1" hidden="1" x14ac:dyDescent="0.25">
      <c r="A66" s="344"/>
      <c r="B66" s="151"/>
      <c r="C66" s="94"/>
      <c r="D66" s="89"/>
      <c r="E66" s="89">
        <f>E65</f>
        <v>0</v>
      </c>
      <c r="F66" s="89">
        <v>0</v>
      </c>
      <c r="G66" s="429">
        <v>0</v>
      </c>
      <c r="H66" s="89">
        <f>H65</f>
        <v>0</v>
      </c>
      <c r="I66" s="429"/>
      <c r="J66" s="89"/>
      <c r="K66" s="89"/>
    </row>
    <row r="67" spans="1:11" s="285" customFormat="1" hidden="1" x14ac:dyDescent="0.25">
      <c r="A67" s="344"/>
      <c r="B67" s="151"/>
      <c r="C67" s="93" t="s">
        <v>96</v>
      </c>
      <c r="D67" s="85"/>
      <c r="E67" s="86"/>
      <c r="F67" s="86"/>
      <c r="G67" s="86"/>
      <c r="H67" s="86"/>
      <c r="I67" s="86"/>
      <c r="J67" s="86"/>
      <c r="K67" s="86"/>
    </row>
    <row r="68" spans="1:11" s="285" customFormat="1" hidden="1" x14ac:dyDescent="0.25">
      <c r="A68" s="118">
        <v>40</v>
      </c>
      <c r="B68" s="151">
        <v>5470</v>
      </c>
      <c r="C68" s="94" t="s">
        <v>97</v>
      </c>
      <c r="D68" s="85"/>
      <c r="E68" s="86"/>
      <c r="F68" s="85">
        <v>0</v>
      </c>
      <c r="G68" s="428">
        <v>0</v>
      </c>
      <c r="H68" s="85">
        <f>0/8*12</f>
        <v>0</v>
      </c>
      <c r="I68" s="428"/>
      <c r="J68" s="85"/>
      <c r="K68" s="85"/>
    </row>
    <row r="69" spans="1:11" s="285" customFormat="1" hidden="1" x14ac:dyDescent="0.25">
      <c r="A69" s="118">
        <v>40</v>
      </c>
      <c r="B69" s="151">
        <v>5475</v>
      </c>
      <c r="C69" s="94" t="s">
        <v>134</v>
      </c>
      <c r="D69" s="85"/>
      <c r="E69" s="86"/>
      <c r="F69" s="85">
        <v>0</v>
      </c>
      <c r="G69" s="428">
        <v>0</v>
      </c>
      <c r="H69" s="85">
        <f>0/8*12</f>
        <v>0</v>
      </c>
      <c r="I69" s="428"/>
      <c r="J69" s="85"/>
      <c r="K69" s="85"/>
    </row>
    <row r="70" spans="1:11" s="285" customFormat="1" hidden="1" x14ac:dyDescent="0.25">
      <c r="A70" s="344"/>
      <c r="B70" s="151"/>
      <c r="C70" s="94"/>
      <c r="D70" s="110"/>
      <c r="E70" s="110">
        <f>SUM(E68:E69)</f>
        <v>0</v>
      </c>
      <c r="F70" s="110">
        <v>0</v>
      </c>
      <c r="G70" s="439">
        <v>0</v>
      </c>
      <c r="H70" s="110">
        <f>SUM(H68:H69)</f>
        <v>0</v>
      </c>
      <c r="I70" s="439"/>
      <c r="J70" s="110"/>
      <c r="K70" s="110"/>
    </row>
    <row r="71" spans="1:11" s="285" customFormat="1" x14ac:dyDescent="0.25">
      <c r="A71" s="344"/>
      <c r="B71" s="151"/>
      <c r="C71" s="93" t="s">
        <v>62</v>
      </c>
      <c r="D71" s="88"/>
      <c r="E71" s="113"/>
      <c r="F71" s="113"/>
      <c r="G71" s="113"/>
      <c r="H71" s="113"/>
      <c r="I71" s="113"/>
      <c r="J71" s="113"/>
      <c r="K71" s="113"/>
    </row>
    <row r="72" spans="1:11" s="285" customFormat="1" x14ac:dyDescent="0.25">
      <c r="A72" s="118">
        <v>40</v>
      </c>
      <c r="B72" s="151">
        <v>5505</v>
      </c>
      <c r="C72" s="94" t="s">
        <v>259</v>
      </c>
      <c r="D72" s="85"/>
      <c r="E72" s="85">
        <v>240000</v>
      </c>
      <c r="F72" s="85">
        <v>240000</v>
      </c>
      <c r="G72" s="428">
        <v>240000</v>
      </c>
      <c r="H72" s="85">
        <v>443000</v>
      </c>
      <c r="I72" s="428">
        <v>443000</v>
      </c>
      <c r="J72" s="85">
        <f t="shared" ref="J72:J119" si="9">+I72*1.055</f>
        <v>467365</v>
      </c>
      <c r="K72" s="85">
        <f t="shared" ref="K72:K119" si="10">+J72*1.053</f>
        <v>492135.34499999997</v>
      </c>
    </row>
    <row r="73" spans="1:11" s="285" customFormat="1" x14ac:dyDescent="0.25">
      <c r="A73" s="118">
        <v>40</v>
      </c>
      <c r="B73" s="151">
        <v>5510</v>
      </c>
      <c r="C73" s="94" t="s">
        <v>63</v>
      </c>
      <c r="D73" s="85"/>
      <c r="E73" s="85">
        <v>0</v>
      </c>
      <c r="F73" s="85">
        <v>0</v>
      </c>
      <c r="G73" s="428">
        <v>0</v>
      </c>
      <c r="H73" s="85"/>
      <c r="I73" s="428"/>
      <c r="J73" s="85">
        <f t="shared" si="9"/>
        <v>0</v>
      </c>
      <c r="K73" s="85">
        <f t="shared" si="10"/>
        <v>0</v>
      </c>
    </row>
    <row r="74" spans="1:11" s="285" customFormat="1" x14ac:dyDescent="0.25">
      <c r="A74" s="118">
        <v>40</v>
      </c>
      <c r="B74" s="151">
        <v>5520</v>
      </c>
      <c r="C74" s="94" t="s">
        <v>260</v>
      </c>
      <c r="D74" s="85">
        <v>36900</v>
      </c>
      <c r="E74" s="85">
        <v>48157</v>
      </c>
      <c r="F74" s="85">
        <v>70157</v>
      </c>
      <c r="G74" s="428">
        <v>70157</v>
      </c>
      <c r="H74" s="85">
        <v>44000</v>
      </c>
      <c r="I74" s="428">
        <v>44000</v>
      </c>
      <c r="J74" s="85">
        <f t="shared" si="9"/>
        <v>46420</v>
      </c>
      <c r="K74" s="85">
        <f t="shared" si="10"/>
        <v>48880.259999999995</v>
      </c>
    </row>
    <row r="75" spans="1:11" s="285" customFormat="1" hidden="1" x14ac:dyDescent="0.25">
      <c r="A75" s="118">
        <v>40</v>
      </c>
      <c r="B75" s="151">
        <v>5525</v>
      </c>
      <c r="C75" s="94" t="s">
        <v>261</v>
      </c>
      <c r="D75" s="85"/>
      <c r="E75" s="85"/>
      <c r="F75" s="85">
        <v>0</v>
      </c>
      <c r="G75" s="428">
        <v>0</v>
      </c>
      <c r="H75" s="85"/>
      <c r="I75" s="428"/>
      <c r="J75" s="85">
        <f t="shared" si="9"/>
        <v>0</v>
      </c>
      <c r="K75" s="85">
        <f t="shared" si="10"/>
        <v>0</v>
      </c>
    </row>
    <row r="76" spans="1:11" s="285" customFormat="1" hidden="1" x14ac:dyDescent="0.25">
      <c r="A76" s="118">
        <v>40</v>
      </c>
      <c r="B76" s="151">
        <v>5530</v>
      </c>
      <c r="C76" s="94" t="s">
        <v>262</v>
      </c>
      <c r="D76" s="85"/>
      <c r="E76" s="85"/>
      <c r="F76" s="85">
        <v>0</v>
      </c>
      <c r="G76" s="428">
        <v>0</v>
      </c>
      <c r="H76" s="85"/>
      <c r="I76" s="428"/>
      <c r="J76" s="85">
        <f t="shared" si="9"/>
        <v>0</v>
      </c>
      <c r="K76" s="85">
        <f t="shared" si="10"/>
        <v>0</v>
      </c>
    </row>
    <row r="77" spans="1:11" s="285" customFormat="1" hidden="1" x14ac:dyDescent="0.25">
      <c r="A77" s="118">
        <v>40</v>
      </c>
      <c r="B77" s="151">
        <v>5535</v>
      </c>
      <c r="C77" s="94" t="s">
        <v>263</v>
      </c>
      <c r="D77" s="85"/>
      <c r="E77" s="85"/>
      <c r="F77" s="85">
        <v>0</v>
      </c>
      <c r="G77" s="428">
        <v>0</v>
      </c>
      <c r="H77" s="85"/>
      <c r="I77" s="428"/>
      <c r="J77" s="85">
        <f t="shared" si="9"/>
        <v>0</v>
      </c>
      <c r="K77" s="85">
        <f t="shared" si="10"/>
        <v>0</v>
      </c>
    </row>
    <row r="78" spans="1:11" s="285" customFormat="1" hidden="1" x14ac:dyDescent="0.25">
      <c r="A78" s="118">
        <v>40</v>
      </c>
      <c r="B78" s="151">
        <v>5540</v>
      </c>
      <c r="C78" s="94" t="s">
        <v>264</v>
      </c>
      <c r="D78" s="85"/>
      <c r="E78" s="85"/>
      <c r="F78" s="85">
        <v>0</v>
      </c>
      <c r="G78" s="428">
        <v>0</v>
      </c>
      <c r="H78" s="85"/>
      <c r="I78" s="428"/>
      <c r="J78" s="85">
        <f t="shared" si="9"/>
        <v>0</v>
      </c>
      <c r="K78" s="85">
        <f t="shared" si="10"/>
        <v>0</v>
      </c>
    </row>
    <row r="79" spans="1:11" s="285" customFormat="1" ht="13.5" customHeight="1" x14ac:dyDescent="0.25">
      <c r="A79" s="118">
        <v>40</v>
      </c>
      <c r="B79" s="151">
        <v>5545</v>
      </c>
      <c r="C79" s="94" t="s">
        <v>265</v>
      </c>
      <c r="D79" s="85">
        <v>18900</v>
      </c>
      <c r="E79" s="85">
        <v>22000</v>
      </c>
      <c r="F79" s="85">
        <v>0</v>
      </c>
      <c r="G79" s="428">
        <v>0</v>
      </c>
      <c r="H79" s="85">
        <v>30000</v>
      </c>
      <c r="I79" s="428">
        <v>30000</v>
      </c>
      <c r="J79" s="85">
        <f t="shared" si="9"/>
        <v>31649.999999999996</v>
      </c>
      <c r="K79" s="85">
        <f t="shared" si="10"/>
        <v>33327.449999999997</v>
      </c>
    </row>
    <row r="80" spans="1:11" s="285" customFormat="1" x14ac:dyDescent="0.25">
      <c r="A80" s="118">
        <v>40</v>
      </c>
      <c r="B80" s="151">
        <v>5550</v>
      </c>
      <c r="C80" s="94" t="s">
        <v>267</v>
      </c>
      <c r="D80" s="85"/>
      <c r="E80" s="85"/>
      <c r="F80" s="85">
        <v>0</v>
      </c>
      <c r="G80" s="428">
        <v>0</v>
      </c>
      <c r="H80" s="85"/>
      <c r="I80" s="428"/>
      <c r="J80" s="85">
        <f t="shared" si="9"/>
        <v>0</v>
      </c>
      <c r="K80" s="85">
        <f t="shared" si="10"/>
        <v>0</v>
      </c>
    </row>
    <row r="81" spans="1:11" s="285" customFormat="1" x14ac:dyDescent="0.25">
      <c r="A81" s="118">
        <v>40</v>
      </c>
      <c r="B81" s="151">
        <v>5555</v>
      </c>
      <c r="C81" s="94" t="s">
        <v>268</v>
      </c>
      <c r="D81" s="85">
        <v>64088</v>
      </c>
      <c r="E81" s="85">
        <v>71561</v>
      </c>
      <c r="F81" s="85">
        <v>21561</v>
      </c>
      <c r="G81" s="428">
        <v>21561</v>
      </c>
      <c r="H81" s="85"/>
      <c r="I81" s="428"/>
      <c r="J81" s="85">
        <f t="shared" si="9"/>
        <v>0</v>
      </c>
      <c r="K81" s="85">
        <f t="shared" si="10"/>
        <v>0</v>
      </c>
    </row>
    <row r="82" spans="1:11" s="285" customFormat="1" x14ac:dyDescent="0.25">
      <c r="A82" s="118">
        <v>40</v>
      </c>
      <c r="B82" s="151">
        <v>5560</v>
      </c>
      <c r="C82" s="94" t="s">
        <v>269</v>
      </c>
      <c r="D82" s="85"/>
      <c r="E82" s="85"/>
      <c r="F82" s="85">
        <v>0</v>
      </c>
      <c r="G82" s="428">
        <v>0</v>
      </c>
      <c r="H82" s="85"/>
      <c r="I82" s="428"/>
      <c r="J82" s="85">
        <f t="shared" si="9"/>
        <v>0</v>
      </c>
      <c r="K82" s="85">
        <f t="shared" si="10"/>
        <v>0</v>
      </c>
    </row>
    <row r="83" spans="1:11" s="285" customFormat="1" x14ac:dyDescent="0.25">
      <c r="A83" s="118">
        <v>40</v>
      </c>
      <c r="B83" s="151">
        <v>5565</v>
      </c>
      <c r="C83" s="94" t="s">
        <v>246</v>
      </c>
      <c r="D83" s="85"/>
      <c r="E83" s="85"/>
      <c r="F83" s="85">
        <v>0</v>
      </c>
      <c r="G83" s="428">
        <v>0</v>
      </c>
      <c r="H83" s="85"/>
      <c r="I83" s="428"/>
      <c r="J83" s="85">
        <f t="shared" si="9"/>
        <v>0</v>
      </c>
      <c r="K83" s="85">
        <f t="shared" si="10"/>
        <v>0</v>
      </c>
    </row>
    <row r="84" spans="1:11" s="285" customFormat="1" x14ac:dyDescent="0.25">
      <c r="A84" s="118">
        <v>40</v>
      </c>
      <c r="B84" s="151">
        <v>5570</v>
      </c>
      <c r="C84" s="94" t="s">
        <v>270</v>
      </c>
      <c r="D84" s="85">
        <v>3865</v>
      </c>
      <c r="E84" s="85">
        <v>4220</v>
      </c>
      <c r="F84" s="85">
        <v>4220</v>
      </c>
      <c r="G84" s="428">
        <v>4220</v>
      </c>
      <c r="H84" s="85">
        <v>4220</v>
      </c>
      <c r="I84" s="428">
        <v>4220</v>
      </c>
      <c r="J84" s="85">
        <f t="shared" si="9"/>
        <v>4452.0999999999995</v>
      </c>
      <c r="K84" s="85">
        <f t="shared" si="10"/>
        <v>4688.0612999999994</v>
      </c>
    </row>
    <row r="85" spans="1:11" s="285" customFormat="1" hidden="1" x14ac:dyDescent="0.25">
      <c r="A85" s="118">
        <v>40</v>
      </c>
      <c r="B85" s="151">
        <v>5575</v>
      </c>
      <c r="C85" s="94" t="s">
        <v>271</v>
      </c>
      <c r="D85" s="85"/>
      <c r="E85" s="85"/>
      <c r="F85" s="85">
        <v>0</v>
      </c>
      <c r="G85" s="428">
        <v>0</v>
      </c>
      <c r="H85" s="85"/>
      <c r="I85" s="428"/>
      <c r="J85" s="85">
        <f t="shared" si="9"/>
        <v>0</v>
      </c>
      <c r="K85" s="85">
        <f t="shared" si="10"/>
        <v>0</v>
      </c>
    </row>
    <row r="86" spans="1:11" s="285" customFormat="1" hidden="1" x14ac:dyDescent="0.25">
      <c r="A86" s="118">
        <v>40</v>
      </c>
      <c r="B86" s="151">
        <v>5580</v>
      </c>
      <c r="C86" s="94" t="s">
        <v>272</v>
      </c>
      <c r="D86" s="85"/>
      <c r="E86" s="85"/>
      <c r="F86" s="85">
        <v>0</v>
      </c>
      <c r="G86" s="428">
        <v>0</v>
      </c>
      <c r="H86" s="85"/>
      <c r="I86" s="428"/>
      <c r="J86" s="85">
        <f t="shared" si="9"/>
        <v>0</v>
      </c>
      <c r="K86" s="85">
        <f t="shared" si="10"/>
        <v>0</v>
      </c>
    </row>
    <row r="87" spans="1:11" s="285" customFormat="1" hidden="1" x14ac:dyDescent="0.25">
      <c r="A87" s="118">
        <v>40</v>
      </c>
      <c r="B87" s="151">
        <v>5585</v>
      </c>
      <c r="C87" s="94" t="s">
        <v>273</v>
      </c>
      <c r="D87" s="86"/>
      <c r="E87" s="85"/>
      <c r="F87" s="85">
        <v>0</v>
      </c>
      <c r="G87" s="428">
        <v>0</v>
      </c>
      <c r="H87" s="85"/>
      <c r="I87" s="428"/>
      <c r="J87" s="85">
        <f t="shared" si="9"/>
        <v>0</v>
      </c>
      <c r="K87" s="85">
        <f t="shared" si="10"/>
        <v>0</v>
      </c>
    </row>
    <row r="88" spans="1:11" s="285" customFormat="1" hidden="1" x14ac:dyDescent="0.25">
      <c r="A88" s="118">
        <v>40</v>
      </c>
      <c r="B88" s="151">
        <v>5590</v>
      </c>
      <c r="C88" s="94" t="s">
        <v>274</v>
      </c>
      <c r="D88" s="86"/>
      <c r="E88" s="85"/>
      <c r="F88" s="85">
        <v>0</v>
      </c>
      <c r="G88" s="428">
        <v>0</v>
      </c>
      <c r="H88" s="85"/>
      <c r="I88" s="428"/>
      <c r="J88" s="85">
        <f t="shared" si="9"/>
        <v>0</v>
      </c>
      <c r="K88" s="85">
        <f t="shared" si="10"/>
        <v>0</v>
      </c>
    </row>
    <row r="89" spans="1:11" s="285" customFormat="1" hidden="1" x14ac:dyDescent="0.25">
      <c r="A89" s="118">
        <v>40</v>
      </c>
      <c r="B89" s="151">
        <v>5595</v>
      </c>
      <c r="C89" s="94" t="s">
        <v>275</v>
      </c>
      <c r="D89" s="85"/>
      <c r="E89" s="85"/>
      <c r="F89" s="85">
        <v>0</v>
      </c>
      <c r="G89" s="428">
        <v>0</v>
      </c>
      <c r="H89" s="85"/>
      <c r="I89" s="428"/>
      <c r="J89" s="85">
        <f t="shared" si="9"/>
        <v>0</v>
      </c>
      <c r="K89" s="85">
        <f t="shared" si="10"/>
        <v>0</v>
      </c>
    </row>
    <row r="90" spans="1:11" s="285" customFormat="1" hidden="1" x14ac:dyDescent="0.25">
      <c r="A90" s="118">
        <v>40</v>
      </c>
      <c r="B90" s="151">
        <v>5600</v>
      </c>
      <c r="C90" s="159" t="s">
        <v>276</v>
      </c>
      <c r="D90" s="85"/>
      <c r="E90" s="85"/>
      <c r="F90" s="85">
        <v>0</v>
      </c>
      <c r="G90" s="428">
        <v>0</v>
      </c>
      <c r="H90" s="85"/>
      <c r="I90" s="428"/>
      <c r="J90" s="85">
        <f t="shared" si="9"/>
        <v>0</v>
      </c>
      <c r="K90" s="85">
        <f t="shared" si="10"/>
        <v>0</v>
      </c>
    </row>
    <row r="91" spans="1:11" s="285" customFormat="1" hidden="1" x14ac:dyDescent="0.25">
      <c r="A91" s="118">
        <v>40</v>
      </c>
      <c r="B91" s="151">
        <v>5605</v>
      </c>
      <c r="C91" s="159" t="s">
        <v>277</v>
      </c>
      <c r="D91" s="85"/>
      <c r="E91" s="85"/>
      <c r="F91" s="85">
        <v>0</v>
      </c>
      <c r="G91" s="428">
        <v>0</v>
      </c>
      <c r="H91" s="85"/>
      <c r="I91" s="428"/>
      <c r="J91" s="85">
        <f t="shared" si="9"/>
        <v>0</v>
      </c>
      <c r="K91" s="85">
        <f t="shared" si="10"/>
        <v>0</v>
      </c>
    </row>
    <row r="92" spans="1:11" s="285" customFormat="1" hidden="1" x14ac:dyDescent="0.25">
      <c r="A92" s="118">
        <v>40</v>
      </c>
      <c r="B92" s="151">
        <v>5610</v>
      </c>
      <c r="C92" s="159" t="s">
        <v>278</v>
      </c>
      <c r="D92" s="85"/>
      <c r="E92" s="85"/>
      <c r="F92" s="85">
        <v>0</v>
      </c>
      <c r="G92" s="428"/>
      <c r="H92" s="85"/>
      <c r="I92" s="428"/>
      <c r="J92" s="85">
        <f t="shared" si="9"/>
        <v>0</v>
      </c>
      <c r="K92" s="85">
        <f t="shared" si="10"/>
        <v>0</v>
      </c>
    </row>
    <row r="93" spans="1:11" s="285" customFormat="1" hidden="1" x14ac:dyDescent="0.25">
      <c r="A93" s="118">
        <v>40</v>
      </c>
      <c r="B93" s="151">
        <v>5615</v>
      </c>
      <c r="C93" s="159" t="s">
        <v>279</v>
      </c>
      <c r="D93" s="85"/>
      <c r="E93" s="85"/>
      <c r="F93" s="85">
        <v>0</v>
      </c>
      <c r="G93" s="428"/>
      <c r="H93" s="85"/>
      <c r="I93" s="428"/>
      <c r="J93" s="85">
        <f t="shared" si="9"/>
        <v>0</v>
      </c>
      <c r="K93" s="85">
        <f t="shared" si="10"/>
        <v>0</v>
      </c>
    </row>
    <row r="94" spans="1:11" s="285" customFormat="1" hidden="1" x14ac:dyDescent="0.25">
      <c r="A94" s="118">
        <v>40</v>
      </c>
      <c r="B94" s="151">
        <v>5620</v>
      </c>
      <c r="C94" s="159" t="s">
        <v>280</v>
      </c>
      <c r="D94" s="85"/>
      <c r="E94" s="85"/>
      <c r="F94" s="85">
        <v>0</v>
      </c>
      <c r="G94" s="428"/>
      <c r="H94" s="85"/>
      <c r="I94" s="428"/>
      <c r="J94" s="85">
        <f t="shared" si="9"/>
        <v>0</v>
      </c>
      <c r="K94" s="85">
        <f t="shared" si="10"/>
        <v>0</v>
      </c>
    </row>
    <row r="95" spans="1:11" s="285" customFormat="1" hidden="1" x14ac:dyDescent="0.25">
      <c r="A95" s="118">
        <v>40</v>
      </c>
      <c r="B95" s="151">
        <v>5625</v>
      </c>
      <c r="C95" s="159" t="s">
        <v>281</v>
      </c>
      <c r="D95" s="85"/>
      <c r="E95" s="85"/>
      <c r="F95" s="85">
        <v>0</v>
      </c>
      <c r="G95" s="428"/>
      <c r="H95" s="85"/>
      <c r="I95" s="428"/>
      <c r="J95" s="85">
        <f t="shared" si="9"/>
        <v>0</v>
      </c>
      <c r="K95" s="85">
        <f t="shared" si="10"/>
        <v>0</v>
      </c>
    </row>
    <row r="96" spans="1:11" s="285" customFormat="1" hidden="1" x14ac:dyDescent="0.25">
      <c r="A96" s="118">
        <v>40</v>
      </c>
      <c r="B96" s="151">
        <v>5630</v>
      </c>
      <c r="C96" s="159" t="s">
        <v>282</v>
      </c>
      <c r="D96" s="85"/>
      <c r="E96" s="85"/>
      <c r="F96" s="85">
        <v>0</v>
      </c>
      <c r="G96" s="428"/>
      <c r="H96" s="85"/>
      <c r="I96" s="428"/>
      <c r="J96" s="85">
        <f t="shared" si="9"/>
        <v>0</v>
      </c>
      <c r="K96" s="85">
        <f t="shared" si="10"/>
        <v>0</v>
      </c>
    </row>
    <row r="97" spans="1:11" s="285" customFormat="1" hidden="1" x14ac:dyDescent="0.25">
      <c r="A97" s="118">
        <v>40</v>
      </c>
      <c r="B97" s="151">
        <v>5635</v>
      </c>
      <c r="C97" s="159" t="s">
        <v>283</v>
      </c>
      <c r="D97" s="85"/>
      <c r="E97" s="85"/>
      <c r="F97" s="85">
        <v>0</v>
      </c>
      <c r="G97" s="428"/>
      <c r="H97" s="85"/>
      <c r="I97" s="428"/>
      <c r="J97" s="85">
        <f t="shared" si="9"/>
        <v>0</v>
      </c>
      <c r="K97" s="85">
        <f t="shared" si="10"/>
        <v>0</v>
      </c>
    </row>
    <row r="98" spans="1:11" s="285" customFormat="1" hidden="1" x14ac:dyDescent="0.25">
      <c r="A98" s="118">
        <v>40</v>
      </c>
      <c r="B98" s="151">
        <v>5640</v>
      </c>
      <c r="C98" s="159" t="s">
        <v>284</v>
      </c>
      <c r="D98" s="85"/>
      <c r="E98" s="85"/>
      <c r="F98" s="85">
        <v>0</v>
      </c>
      <c r="G98" s="428"/>
      <c r="H98" s="85"/>
      <c r="I98" s="428"/>
      <c r="J98" s="85">
        <f t="shared" si="9"/>
        <v>0</v>
      </c>
      <c r="K98" s="85">
        <f t="shared" si="10"/>
        <v>0</v>
      </c>
    </row>
    <row r="99" spans="1:11" s="285" customFormat="1" hidden="1" x14ac:dyDescent="0.25">
      <c r="A99" s="118">
        <v>40</v>
      </c>
      <c r="B99" s="151">
        <v>5645</v>
      </c>
      <c r="C99" s="159" t="s">
        <v>285</v>
      </c>
      <c r="D99" s="85"/>
      <c r="E99" s="85"/>
      <c r="F99" s="85">
        <v>0</v>
      </c>
      <c r="G99" s="428"/>
      <c r="H99" s="85"/>
      <c r="I99" s="428"/>
      <c r="J99" s="85">
        <f t="shared" si="9"/>
        <v>0</v>
      </c>
      <c r="K99" s="85">
        <f t="shared" si="10"/>
        <v>0</v>
      </c>
    </row>
    <row r="100" spans="1:11" s="285" customFormat="1" hidden="1" x14ac:dyDescent="0.25">
      <c r="A100" s="118">
        <v>40</v>
      </c>
      <c r="B100" s="151">
        <v>5650</v>
      </c>
      <c r="C100" s="159" t="s">
        <v>286</v>
      </c>
      <c r="D100" s="85"/>
      <c r="E100" s="85"/>
      <c r="F100" s="85">
        <v>0</v>
      </c>
      <c r="G100" s="428"/>
      <c r="H100" s="85"/>
      <c r="I100" s="428"/>
      <c r="J100" s="85">
        <f t="shared" si="9"/>
        <v>0</v>
      </c>
      <c r="K100" s="85">
        <f t="shared" si="10"/>
        <v>0</v>
      </c>
    </row>
    <row r="101" spans="1:11" s="285" customFormat="1" hidden="1" x14ac:dyDescent="0.25">
      <c r="A101" s="118">
        <v>40</v>
      </c>
      <c r="B101" s="151">
        <v>5655</v>
      </c>
      <c r="C101" s="159" t="s">
        <v>287</v>
      </c>
      <c r="D101" s="85"/>
      <c r="E101" s="85"/>
      <c r="F101" s="85">
        <v>0</v>
      </c>
      <c r="G101" s="428"/>
      <c r="H101" s="85"/>
      <c r="I101" s="428"/>
      <c r="J101" s="85">
        <f t="shared" si="9"/>
        <v>0</v>
      </c>
      <c r="K101" s="85">
        <f t="shared" si="10"/>
        <v>0</v>
      </c>
    </row>
    <row r="102" spans="1:11" s="285" customFormat="1" hidden="1" x14ac:dyDescent="0.25">
      <c r="A102" s="118">
        <v>40</v>
      </c>
      <c r="B102" s="151">
        <v>5660</v>
      </c>
      <c r="C102" s="159" t="s">
        <v>288</v>
      </c>
      <c r="D102" s="85"/>
      <c r="E102" s="85"/>
      <c r="F102" s="85">
        <v>0</v>
      </c>
      <c r="G102" s="428"/>
      <c r="H102" s="85"/>
      <c r="I102" s="428"/>
      <c r="J102" s="85">
        <f t="shared" si="9"/>
        <v>0</v>
      </c>
      <c r="K102" s="85">
        <f t="shared" si="10"/>
        <v>0</v>
      </c>
    </row>
    <row r="103" spans="1:11" s="285" customFormat="1" hidden="1" x14ac:dyDescent="0.25">
      <c r="A103" s="118">
        <v>40</v>
      </c>
      <c r="B103" s="151">
        <v>5665</v>
      </c>
      <c r="C103" s="94" t="s">
        <v>289</v>
      </c>
      <c r="D103" s="85"/>
      <c r="E103" s="85"/>
      <c r="F103" s="85">
        <v>0</v>
      </c>
      <c r="G103" s="428"/>
      <c r="H103" s="85"/>
      <c r="I103" s="428"/>
      <c r="J103" s="85">
        <f t="shared" si="9"/>
        <v>0</v>
      </c>
      <c r="K103" s="85">
        <f t="shared" si="10"/>
        <v>0</v>
      </c>
    </row>
    <row r="104" spans="1:11" s="285" customFormat="1" hidden="1" x14ac:dyDescent="0.25">
      <c r="A104" s="118">
        <v>40</v>
      </c>
      <c r="B104" s="151">
        <v>5670</v>
      </c>
      <c r="C104" s="94" t="s">
        <v>290</v>
      </c>
      <c r="D104" s="85"/>
      <c r="E104" s="85"/>
      <c r="F104" s="85">
        <v>0</v>
      </c>
      <c r="G104" s="428"/>
      <c r="H104" s="85"/>
      <c r="I104" s="428"/>
      <c r="J104" s="85">
        <f t="shared" si="9"/>
        <v>0</v>
      </c>
      <c r="K104" s="85">
        <f t="shared" si="10"/>
        <v>0</v>
      </c>
    </row>
    <row r="105" spans="1:11" s="285" customFormat="1" hidden="1" x14ac:dyDescent="0.25">
      <c r="A105" s="118">
        <v>40</v>
      </c>
      <c r="B105" s="151">
        <v>5675</v>
      </c>
      <c r="C105" s="94" t="s">
        <v>291</v>
      </c>
      <c r="D105" s="85"/>
      <c r="E105" s="85"/>
      <c r="F105" s="85">
        <v>0</v>
      </c>
      <c r="G105" s="428"/>
      <c r="H105" s="85"/>
      <c r="I105" s="428"/>
      <c r="J105" s="85">
        <f t="shared" si="9"/>
        <v>0</v>
      </c>
      <c r="K105" s="85">
        <f t="shared" si="10"/>
        <v>0</v>
      </c>
    </row>
    <row r="106" spans="1:11" s="285" customFormat="1" hidden="1" x14ac:dyDescent="0.25">
      <c r="A106" s="118">
        <v>40</v>
      </c>
      <c r="B106" s="151">
        <v>5680</v>
      </c>
      <c r="C106" s="94" t="s">
        <v>292</v>
      </c>
      <c r="D106" s="85"/>
      <c r="E106" s="85"/>
      <c r="F106" s="85">
        <v>0</v>
      </c>
      <c r="G106" s="428"/>
      <c r="H106" s="85"/>
      <c r="I106" s="428"/>
      <c r="J106" s="85">
        <f t="shared" si="9"/>
        <v>0</v>
      </c>
      <c r="K106" s="85">
        <f t="shared" si="10"/>
        <v>0</v>
      </c>
    </row>
    <row r="107" spans="1:11" s="285" customFormat="1" hidden="1" x14ac:dyDescent="0.25">
      <c r="A107" s="118">
        <v>40</v>
      </c>
      <c r="B107" s="151">
        <v>5685</v>
      </c>
      <c r="C107" s="94" t="s">
        <v>293</v>
      </c>
      <c r="D107" s="85"/>
      <c r="E107" s="85"/>
      <c r="F107" s="85">
        <v>0</v>
      </c>
      <c r="G107" s="428"/>
      <c r="H107" s="85"/>
      <c r="I107" s="428"/>
      <c r="J107" s="85">
        <f t="shared" si="9"/>
        <v>0</v>
      </c>
      <c r="K107" s="85">
        <f t="shared" si="10"/>
        <v>0</v>
      </c>
    </row>
    <row r="108" spans="1:11" s="285" customFormat="1" hidden="1" x14ac:dyDescent="0.25">
      <c r="A108" s="118">
        <v>40</v>
      </c>
      <c r="B108" s="151">
        <v>5690</v>
      </c>
      <c r="C108" s="94" t="s">
        <v>247</v>
      </c>
      <c r="D108" s="85"/>
      <c r="E108" s="85"/>
      <c r="F108" s="85">
        <v>0</v>
      </c>
      <c r="G108" s="428"/>
      <c r="H108" s="85"/>
      <c r="I108" s="428"/>
      <c r="J108" s="85">
        <f t="shared" si="9"/>
        <v>0</v>
      </c>
      <c r="K108" s="85">
        <f t="shared" si="10"/>
        <v>0</v>
      </c>
    </row>
    <row r="109" spans="1:11" s="285" customFormat="1" hidden="1" x14ac:dyDescent="0.25">
      <c r="A109" s="118">
        <v>40</v>
      </c>
      <c r="B109" s="151">
        <v>5695</v>
      </c>
      <c r="C109" s="94" t="s">
        <v>294</v>
      </c>
      <c r="D109" s="85"/>
      <c r="E109" s="85"/>
      <c r="F109" s="85">
        <v>0</v>
      </c>
      <c r="G109" s="428"/>
      <c r="H109" s="85"/>
      <c r="I109" s="428"/>
      <c r="J109" s="85">
        <f t="shared" si="9"/>
        <v>0</v>
      </c>
      <c r="K109" s="85">
        <f t="shared" si="10"/>
        <v>0</v>
      </c>
    </row>
    <row r="110" spans="1:11" s="285" customFormat="1" x14ac:dyDescent="0.25">
      <c r="A110" s="118">
        <v>40</v>
      </c>
      <c r="B110" s="151">
        <v>5700</v>
      </c>
      <c r="C110" s="94" t="s">
        <v>295</v>
      </c>
      <c r="D110" s="85">
        <v>53865</v>
      </c>
      <c r="E110" s="85">
        <v>78100</v>
      </c>
      <c r="F110" s="85">
        <v>128100</v>
      </c>
      <c r="G110" s="428">
        <v>128100</v>
      </c>
      <c r="H110" s="85">
        <v>167300</v>
      </c>
      <c r="I110" s="428"/>
      <c r="J110" s="85">
        <f t="shared" si="9"/>
        <v>0</v>
      </c>
      <c r="K110" s="85">
        <f t="shared" si="10"/>
        <v>0</v>
      </c>
    </row>
    <row r="111" spans="1:11" s="285" customFormat="1" hidden="1" x14ac:dyDescent="0.25">
      <c r="A111" s="118">
        <v>40</v>
      </c>
      <c r="B111" s="151">
        <v>5710</v>
      </c>
      <c r="C111" s="94" t="s">
        <v>297</v>
      </c>
      <c r="D111" s="85"/>
      <c r="E111" s="85"/>
      <c r="F111" s="85">
        <v>0</v>
      </c>
      <c r="G111" s="428">
        <v>0</v>
      </c>
      <c r="H111" s="85"/>
      <c r="I111" s="428"/>
      <c r="J111" s="85">
        <f t="shared" si="9"/>
        <v>0</v>
      </c>
      <c r="K111" s="85">
        <f t="shared" si="10"/>
        <v>0</v>
      </c>
    </row>
    <row r="112" spans="1:11" s="285" customFormat="1" hidden="1" x14ac:dyDescent="0.25">
      <c r="A112" s="118">
        <v>40</v>
      </c>
      <c r="B112" s="151">
        <v>5715</v>
      </c>
      <c r="C112" s="94" t="s">
        <v>298</v>
      </c>
      <c r="D112" s="85"/>
      <c r="E112" s="85"/>
      <c r="F112" s="85">
        <v>0</v>
      </c>
      <c r="G112" s="428">
        <v>0</v>
      </c>
      <c r="H112" s="85"/>
      <c r="I112" s="428"/>
      <c r="J112" s="85">
        <f t="shared" si="9"/>
        <v>0</v>
      </c>
      <c r="K112" s="85">
        <f t="shared" si="10"/>
        <v>0</v>
      </c>
    </row>
    <row r="113" spans="1:11" s="285" customFormat="1" hidden="1" x14ac:dyDescent="0.25">
      <c r="A113" s="118">
        <v>40</v>
      </c>
      <c r="B113" s="151">
        <v>5720</v>
      </c>
      <c r="C113" s="94" t="s">
        <v>299</v>
      </c>
      <c r="D113" s="85"/>
      <c r="E113" s="85"/>
      <c r="F113" s="85">
        <v>0</v>
      </c>
      <c r="G113" s="428">
        <v>0</v>
      </c>
      <c r="H113" s="85"/>
      <c r="I113" s="428"/>
      <c r="J113" s="85">
        <f t="shared" si="9"/>
        <v>0</v>
      </c>
      <c r="K113" s="85">
        <f t="shared" si="10"/>
        <v>0</v>
      </c>
    </row>
    <row r="114" spans="1:11" s="285" customFormat="1" hidden="1" x14ac:dyDescent="0.25">
      <c r="A114" s="118">
        <v>40</v>
      </c>
      <c r="B114" s="151">
        <v>5730</v>
      </c>
      <c r="C114" s="94" t="s">
        <v>300</v>
      </c>
      <c r="D114" s="85"/>
      <c r="E114" s="85"/>
      <c r="F114" s="85">
        <v>0</v>
      </c>
      <c r="G114" s="428">
        <v>0</v>
      </c>
      <c r="H114" s="85"/>
      <c r="I114" s="428"/>
      <c r="J114" s="85">
        <f t="shared" si="9"/>
        <v>0</v>
      </c>
      <c r="K114" s="85">
        <f t="shared" si="10"/>
        <v>0</v>
      </c>
    </row>
    <row r="115" spans="1:11" s="285" customFormat="1" hidden="1" x14ac:dyDescent="0.25">
      <c r="A115" s="118">
        <v>40</v>
      </c>
      <c r="B115" s="151">
        <v>5735</v>
      </c>
      <c r="C115" s="94" t="s">
        <v>301</v>
      </c>
      <c r="D115" s="85"/>
      <c r="E115" s="85"/>
      <c r="F115" s="85">
        <v>0</v>
      </c>
      <c r="G115" s="428">
        <v>0</v>
      </c>
      <c r="H115" s="85"/>
      <c r="I115" s="428"/>
      <c r="J115" s="85">
        <f t="shared" si="9"/>
        <v>0</v>
      </c>
      <c r="K115" s="85">
        <f t="shared" si="10"/>
        <v>0</v>
      </c>
    </row>
    <row r="116" spans="1:11" s="285" customFormat="1" hidden="1" x14ac:dyDescent="0.25">
      <c r="A116" s="118">
        <v>40</v>
      </c>
      <c r="B116" s="151">
        <v>5740</v>
      </c>
      <c r="C116" s="94" t="s">
        <v>302</v>
      </c>
      <c r="D116" s="85"/>
      <c r="E116" s="85"/>
      <c r="F116" s="85">
        <v>0</v>
      </c>
      <c r="G116" s="428">
        <v>0</v>
      </c>
      <c r="H116" s="85"/>
      <c r="I116" s="428"/>
      <c r="J116" s="85">
        <f t="shared" si="9"/>
        <v>0</v>
      </c>
      <c r="K116" s="85">
        <f t="shared" si="10"/>
        <v>0</v>
      </c>
    </row>
    <row r="117" spans="1:11" s="285" customFormat="1" hidden="1" x14ac:dyDescent="0.25">
      <c r="A117" s="118">
        <v>40</v>
      </c>
      <c r="B117" s="151">
        <v>5745</v>
      </c>
      <c r="C117" s="94" t="s">
        <v>303</v>
      </c>
      <c r="D117" s="85"/>
      <c r="E117" s="85"/>
      <c r="F117" s="85">
        <v>0</v>
      </c>
      <c r="G117" s="428">
        <v>0</v>
      </c>
      <c r="H117" s="85"/>
      <c r="I117" s="428"/>
      <c r="J117" s="85">
        <f t="shared" si="9"/>
        <v>0</v>
      </c>
      <c r="K117" s="85">
        <f t="shared" si="10"/>
        <v>0</v>
      </c>
    </row>
    <row r="118" spans="1:11" s="285" customFormat="1" x14ac:dyDescent="0.25">
      <c r="A118" s="118">
        <v>40</v>
      </c>
      <c r="B118" s="151">
        <v>5750</v>
      </c>
      <c r="C118" s="94" t="s">
        <v>304</v>
      </c>
      <c r="D118" s="85">
        <v>835</v>
      </c>
      <c r="E118" s="85">
        <v>2300</v>
      </c>
      <c r="F118" s="85">
        <v>2300</v>
      </c>
      <c r="G118" s="428">
        <v>2300</v>
      </c>
      <c r="H118" s="85">
        <v>2300</v>
      </c>
      <c r="I118" s="428"/>
      <c r="J118" s="85">
        <f t="shared" si="9"/>
        <v>0</v>
      </c>
      <c r="K118" s="85">
        <f t="shared" si="10"/>
        <v>0</v>
      </c>
    </row>
    <row r="119" spans="1:11" s="285" customFormat="1" x14ac:dyDescent="0.25">
      <c r="A119" s="118">
        <v>40</v>
      </c>
      <c r="B119" s="151">
        <v>5755</v>
      </c>
      <c r="C119" s="94" t="s">
        <v>305</v>
      </c>
      <c r="D119" s="85">
        <v>13100</v>
      </c>
      <c r="E119" s="85">
        <v>25100</v>
      </c>
      <c r="F119" s="85">
        <v>25100</v>
      </c>
      <c r="G119" s="428">
        <v>25100</v>
      </c>
      <c r="H119" s="85">
        <v>25100</v>
      </c>
      <c r="I119" s="428"/>
      <c r="J119" s="85">
        <f t="shared" si="9"/>
        <v>0</v>
      </c>
      <c r="K119" s="85">
        <f t="shared" si="10"/>
        <v>0</v>
      </c>
    </row>
    <row r="120" spans="1:11" s="285" customFormat="1" ht="12" hidden="1" customHeight="1" x14ac:dyDescent="0.25">
      <c r="A120" s="118">
        <v>40</v>
      </c>
      <c r="B120" s="151">
        <v>5760</v>
      </c>
      <c r="C120" s="94" t="s">
        <v>306</v>
      </c>
      <c r="D120" s="85"/>
      <c r="E120" s="85"/>
      <c r="F120" s="85">
        <v>0</v>
      </c>
      <c r="G120" s="428">
        <v>0</v>
      </c>
      <c r="H120" s="85">
        <f t="shared" ref="H120:H147" si="11">0/8*12</f>
        <v>0</v>
      </c>
      <c r="I120" s="428"/>
      <c r="J120" s="85"/>
      <c r="K120" s="85"/>
    </row>
    <row r="121" spans="1:11" s="285" customFormat="1" hidden="1" x14ac:dyDescent="0.25">
      <c r="A121" s="118">
        <v>40</v>
      </c>
      <c r="B121" s="151">
        <v>5765</v>
      </c>
      <c r="C121" s="94" t="s">
        <v>307</v>
      </c>
      <c r="D121" s="85"/>
      <c r="E121" s="85"/>
      <c r="F121" s="85">
        <v>0</v>
      </c>
      <c r="G121" s="428">
        <v>0</v>
      </c>
      <c r="H121" s="85">
        <f t="shared" si="11"/>
        <v>0</v>
      </c>
      <c r="I121" s="428"/>
      <c r="J121" s="85"/>
      <c r="K121" s="85"/>
    </row>
    <row r="122" spans="1:11" s="285" customFormat="1" hidden="1" x14ac:dyDescent="0.25">
      <c r="A122" s="118">
        <v>40</v>
      </c>
      <c r="B122" s="151">
        <v>5770</v>
      </c>
      <c r="C122" s="94" t="s">
        <v>308</v>
      </c>
      <c r="D122" s="85"/>
      <c r="E122" s="85"/>
      <c r="F122" s="85">
        <v>0</v>
      </c>
      <c r="G122" s="428">
        <v>0</v>
      </c>
      <c r="H122" s="85">
        <f t="shared" si="11"/>
        <v>0</v>
      </c>
      <c r="I122" s="428"/>
      <c r="J122" s="85"/>
      <c r="K122" s="85"/>
    </row>
    <row r="123" spans="1:11" s="285" customFormat="1" hidden="1" x14ac:dyDescent="0.25">
      <c r="A123" s="118">
        <v>40</v>
      </c>
      <c r="B123" s="151">
        <v>5775</v>
      </c>
      <c r="C123" s="94" t="s">
        <v>309</v>
      </c>
      <c r="D123" s="85"/>
      <c r="E123" s="85"/>
      <c r="F123" s="85">
        <v>0</v>
      </c>
      <c r="G123" s="428">
        <v>0</v>
      </c>
      <c r="H123" s="85">
        <f t="shared" si="11"/>
        <v>0</v>
      </c>
      <c r="I123" s="428"/>
      <c r="J123" s="85"/>
      <c r="K123" s="85"/>
    </row>
    <row r="124" spans="1:11" s="285" customFormat="1" hidden="1" x14ac:dyDescent="0.25">
      <c r="A124" s="118">
        <v>40</v>
      </c>
      <c r="B124" s="151">
        <v>5780</v>
      </c>
      <c r="C124" s="94" t="s">
        <v>310</v>
      </c>
      <c r="D124" s="85"/>
      <c r="E124" s="85"/>
      <c r="F124" s="85">
        <v>0</v>
      </c>
      <c r="G124" s="428">
        <v>0</v>
      </c>
      <c r="H124" s="85">
        <f t="shared" si="11"/>
        <v>0</v>
      </c>
      <c r="I124" s="428"/>
      <c r="J124" s="85"/>
      <c r="K124" s="85"/>
    </row>
    <row r="125" spans="1:11" s="285" customFormat="1" hidden="1" x14ac:dyDescent="0.25">
      <c r="A125" s="118">
        <v>40</v>
      </c>
      <c r="B125" s="151">
        <v>5785</v>
      </c>
      <c r="C125" s="94" t="s">
        <v>311</v>
      </c>
      <c r="D125" s="85"/>
      <c r="E125" s="85"/>
      <c r="F125" s="85">
        <v>0</v>
      </c>
      <c r="G125" s="428">
        <v>0</v>
      </c>
      <c r="H125" s="85">
        <f t="shared" si="11"/>
        <v>0</v>
      </c>
      <c r="I125" s="428"/>
      <c r="J125" s="85"/>
      <c r="K125" s="85"/>
    </row>
    <row r="126" spans="1:11" s="285" customFormat="1" hidden="1" x14ac:dyDescent="0.25">
      <c r="A126" s="118">
        <v>40</v>
      </c>
      <c r="B126" s="151">
        <v>5790</v>
      </c>
      <c r="C126" s="94" t="s">
        <v>312</v>
      </c>
      <c r="D126" s="85"/>
      <c r="E126" s="85"/>
      <c r="F126" s="85">
        <v>0</v>
      </c>
      <c r="G126" s="428">
        <v>0</v>
      </c>
      <c r="H126" s="85">
        <f t="shared" si="11"/>
        <v>0</v>
      </c>
      <c r="I126" s="428"/>
      <c r="J126" s="85"/>
      <c r="K126" s="85"/>
    </row>
    <row r="127" spans="1:11" s="285" customFormat="1" hidden="1" x14ac:dyDescent="0.25">
      <c r="A127" s="118">
        <v>40</v>
      </c>
      <c r="B127" s="151">
        <v>5795</v>
      </c>
      <c r="C127" s="94" t="s">
        <v>313</v>
      </c>
      <c r="D127" s="85"/>
      <c r="E127" s="85"/>
      <c r="F127" s="85">
        <v>0</v>
      </c>
      <c r="G127" s="428">
        <v>0</v>
      </c>
      <c r="H127" s="85">
        <f t="shared" si="11"/>
        <v>0</v>
      </c>
      <c r="I127" s="428"/>
      <c r="J127" s="85"/>
      <c r="K127" s="85"/>
    </row>
    <row r="128" spans="1:11" s="285" customFormat="1" hidden="1" x14ac:dyDescent="0.25">
      <c r="A128" s="118">
        <v>40</v>
      </c>
      <c r="B128" s="151">
        <v>5800</v>
      </c>
      <c r="C128" s="94" t="s">
        <v>314</v>
      </c>
      <c r="D128" s="85"/>
      <c r="E128" s="85"/>
      <c r="F128" s="85">
        <v>0</v>
      </c>
      <c r="G128" s="428">
        <v>0</v>
      </c>
      <c r="H128" s="85">
        <f t="shared" si="11"/>
        <v>0</v>
      </c>
      <c r="I128" s="428"/>
      <c r="J128" s="85"/>
      <c r="K128" s="85"/>
    </row>
    <row r="129" spans="1:11" s="285" customFormat="1" hidden="1" x14ac:dyDescent="0.25">
      <c r="A129" s="118">
        <v>40</v>
      </c>
      <c r="B129" s="151">
        <v>5805</v>
      </c>
      <c r="C129" s="94" t="s">
        <v>315</v>
      </c>
      <c r="D129" s="85"/>
      <c r="E129" s="85"/>
      <c r="F129" s="85">
        <v>0</v>
      </c>
      <c r="G129" s="428">
        <v>0</v>
      </c>
      <c r="H129" s="85">
        <f t="shared" si="11"/>
        <v>0</v>
      </c>
      <c r="I129" s="428"/>
      <c r="J129" s="85"/>
      <c r="K129" s="85"/>
    </row>
    <row r="130" spans="1:11" s="285" customFormat="1" hidden="1" x14ac:dyDescent="0.25">
      <c r="A130" s="118">
        <v>40</v>
      </c>
      <c r="B130" s="151">
        <v>5810</v>
      </c>
      <c r="C130" s="94" t="s">
        <v>316</v>
      </c>
      <c r="D130" s="85"/>
      <c r="E130" s="85"/>
      <c r="F130" s="85">
        <v>0</v>
      </c>
      <c r="G130" s="428">
        <v>0</v>
      </c>
      <c r="H130" s="85">
        <f t="shared" si="11"/>
        <v>0</v>
      </c>
      <c r="I130" s="428"/>
      <c r="J130" s="85"/>
      <c r="K130" s="85"/>
    </row>
    <row r="131" spans="1:11" s="285" customFormat="1" hidden="1" x14ac:dyDescent="0.25">
      <c r="A131" s="118">
        <v>40</v>
      </c>
      <c r="B131" s="151">
        <v>5815</v>
      </c>
      <c r="C131" s="94" t="s">
        <v>99</v>
      </c>
      <c r="D131" s="85"/>
      <c r="E131" s="85"/>
      <c r="F131" s="85">
        <v>0</v>
      </c>
      <c r="G131" s="428">
        <v>0</v>
      </c>
      <c r="H131" s="85">
        <f t="shared" si="11"/>
        <v>0</v>
      </c>
      <c r="I131" s="428"/>
      <c r="J131" s="85"/>
      <c r="K131" s="85"/>
    </row>
    <row r="132" spans="1:11" s="285" customFormat="1" hidden="1" x14ac:dyDescent="0.25">
      <c r="A132" s="118">
        <v>40</v>
      </c>
      <c r="B132" s="151">
        <v>5820</v>
      </c>
      <c r="C132" s="94" t="s">
        <v>114</v>
      </c>
      <c r="D132" s="86"/>
      <c r="E132" s="85"/>
      <c r="F132" s="85">
        <v>0</v>
      </c>
      <c r="G132" s="428"/>
      <c r="H132" s="85">
        <f t="shared" si="11"/>
        <v>0</v>
      </c>
      <c r="I132" s="428"/>
      <c r="J132" s="85"/>
      <c r="K132" s="85"/>
    </row>
    <row r="133" spans="1:11" s="285" customFormat="1" hidden="1" x14ac:dyDescent="0.25">
      <c r="A133" s="118">
        <v>40</v>
      </c>
      <c r="B133" s="151">
        <v>5825</v>
      </c>
      <c r="C133" s="94" t="s">
        <v>317</v>
      </c>
      <c r="D133" s="86"/>
      <c r="E133" s="85"/>
      <c r="F133" s="85">
        <v>0</v>
      </c>
      <c r="G133" s="428"/>
      <c r="H133" s="85">
        <f t="shared" si="11"/>
        <v>0</v>
      </c>
      <c r="I133" s="428"/>
      <c r="J133" s="85"/>
      <c r="K133" s="85"/>
    </row>
    <row r="134" spans="1:11" s="285" customFormat="1" hidden="1" x14ac:dyDescent="0.25">
      <c r="A134" s="118">
        <v>40</v>
      </c>
      <c r="B134" s="151">
        <v>5830</v>
      </c>
      <c r="C134" s="94" t="s">
        <v>318</v>
      </c>
      <c r="D134" s="86"/>
      <c r="E134" s="85"/>
      <c r="F134" s="85">
        <v>0</v>
      </c>
      <c r="G134" s="428"/>
      <c r="H134" s="85">
        <f t="shared" si="11"/>
        <v>0</v>
      </c>
      <c r="I134" s="428"/>
      <c r="J134" s="85"/>
      <c r="K134" s="85"/>
    </row>
    <row r="135" spans="1:11" s="285" customFormat="1" hidden="1" x14ac:dyDescent="0.25">
      <c r="A135" s="118">
        <v>40</v>
      </c>
      <c r="B135" s="151">
        <v>5835</v>
      </c>
      <c r="C135" s="94" t="s">
        <v>319</v>
      </c>
      <c r="D135" s="86"/>
      <c r="E135" s="85"/>
      <c r="F135" s="85">
        <v>0</v>
      </c>
      <c r="G135" s="428"/>
      <c r="H135" s="85">
        <f t="shared" si="11"/>
        <v>0</v>
      </c>
      <c r="I135" s="428"/>
      <c r="J135" s="85"/>
      <c r="K135" s="85"/>
    </row>
    <row r="136" spans="1:11" s="285" customFormat="1" hidden="1" x14ac:dyDescent="0.25">
      <c r="A136" s="118">
        <v>40</v>
      </c>
      <c r="B136" s="151">
        <v>5840</v>
      </c>
      <c r="C136" s="94" t="s">
        <v>332</v>
      </c>
      <c r="D136" s="115"/>
      <c r="E136" s="85"/>
      <c r="F136" s="85">
        <v>0</v>
      </c>
      <c r="G136" s="428"/>
      <c r="H136" s="85">
        <f t="shared" si="11"/>
        <v>0</v>
      </c>
      <c r="I136" s="428"/>
      <c r="J136" s="85"/>
      <c r="K136" s="85"/>
    </row>
    <row r="137" spans="1:11" s="285" customFormat="1" hidden="1" x14ac:dyDescent="0.25">
      <c r="A137" s="118">
        <v>40</v>
      </c>
      <c r="B137" s="151">
        <v>5845</v>
      </c>
      <c r="C137" s="94" t="s">
        <v>320</v>
      </c>
      <c r="D137" s="86"/>
      <c r="E137" s="85"/>
      <c r="F137" s="85">
        <v>0</v>
      </c>
      <c r="G137" s="428"/>
      <c r="H137" s="85">
        <f t="shared" si="11"/>
        <v>0</v>
      </c>
      <c r="I137" s="428"/>
      <c r="J137" s="85"/>
      <c r="K137" s="85"/>
    </row>
    <row r="138" spans="1:11" s="285" customFormat="1" hidden="1" x14ac:dyDescent="0.25">
      <c r="A138" s="118">
        <v>40</v>
      </c>
      <c r="B138" s="151">
        <v>5855</v>
      </c>
      <c r="C138" s="94" t="s">
        <v>321</v>
      </c>
      <c r="D138" s="85"/>
      <c r="E138" s="85"/>
      <c r="F138" s="85">
        <v>0</v>
      </c>
      <c r="G138" s="428"/>
      <c r="H138" s="85">
        <f t="shared" si="11"/>
        <v>0</v>
      </c>
      <c r="I138" s="428"/>
      <c r="J138" s="85"/>
      <c r="K138" s="85"/>
    </row>
    <row r="139" spans="1:11" s="285" customFormat="1" hidden="1" x14ac:dyDescent="0.25">
      <c r="A139" s="118">
        <v>40</v>
      </c>
      <c r="B139" s="151">
        <v>5860</v>
      </c>
      <c r="C139" s="94" t="s">
        <v>322</v>
      </c>
      <c r="D139" s="85"/>
      <c r="E139" s="85"/>
      <c r="F139" s="85">
        <v>0</v>
      </c>
      <c r="G139" s="428"/>
      <c r="H139" s="85">
        <f t="shared" si="11"/>
        <v>0</v>
      </c>
      <c r="I139" s="428"/>
      <c r="J139" s="85"/>
      <c r="K139" s="85"/>
    </row>
    <row r="140" spans="1:11" s="285" customFormat="1" hidden="1" x14ac:dyDescent="0.25">
      <c r="A140" s="118">
        <v>40</v>
      </c>
      <c r="B140" s="151">
        <v>5865</v>
      </c>
      <c r="C140" s="94" t="s">
        <v>323</v>
      </c>
      <c r="D140" s="85"/>
      <c r="E140" s="85"/>
      <c r="F140" s="85">
        <v>0</v>
      </c>
      <c r="G140" s="428"/>
      <c r="H140" s="85">
        <f t="shared" si="11"/>
        <v>0</v>
      </c>
      <c r="I140" s="428"/>
      <c r="J140" s="85"/>
      <c r="K140" s="85"/>
    </row>
    <row r="141" spans="1:11" s="285" customFormat="1" hidden="1" x14ac:dyDescent="0.25">
      <c r="A141" s="118">
        <v>40</v>
      </c>
      <c r="B141" s="151">
        <v>5870</v>
      </c>
      <c r="C141" s="94" t="s">
        <v>324</v>
      </c>
      <c r="D141" s="85"/>
      <c r="E141" s="85"/>
      <c r="F141" s="85">
        <v>0</v>
      </c>
      <c r="G141" s="428"/>
      <c r="H141" s="85">
        <f t="shared" si="11"/>
        <v>0</v>
      </c>
      <c r="I141" s="428"/>
      <c r="J141" s="85"/>
      <c r="K141" s="85"/>
    </row>
    <row r="142" spans="1:11" s="285" customFormat="1" hidden="1" x14ac:dyDescent="0.25">
      <c r="A142" s="118">
        <v>40</v>
      </c>
      <c r="B142" s="151">
        <v>5875</v>
      </c>
      <c r="C142" s="94" t="s">
        <v>325</v>
      </c>
      <c r="D142" s="85"/>
      <c r="E142" s="85"/>
      <c r="F142" s="85">
        <v>0</v>
      </c>
      <c r="G142" s="428"/>
      <c r="H142" s="85">
        <f t="shared" si="11"/>
        <v>0</v>
      </c>
      <c r="I142" s="428"/>
      <c r="J142" s="85"/>
      <c r="K142" s="85"/>
    </row>
    <row r="143" spans="1:11" s="285" customFormat="1" hidden="1" x14ac:dyDescent="0.25">
      <c r="A143" s="118">
        <v>40</v>
      </c>
      <c r="B143" s="151">
        <v>5880</v>
      </c>
      <c r="C143" s="94" t="s">
        <v>326</v>
      </c>
      <c r="D143" s="85"/>
      <c r="E143" s="85"/>
      <c r="F143" s="85">
        <v>0</v>
      </c>
      <c r="G143" s="428"/>
      <c r="H143" s="85">
        <f t="shared" si="11"/>
        <v>0</v>
      </c>
      <c r="I143" s="428"/>
      <c r="J143" s="85"/>
      <c r="K143" s="85"/>
    </row>
    <row r="144" spans="1:11" s="285" customFormat="1" hidden="1" x14ac:dyDescent="0.25">
      <c r="A144" s="118">
        <v>40</v>
      </c>
      <c r="B144" s="151">
        <v>5885</v>
      </c>
      <c r="C144" s="94" t="s">
        <v>331</v>
      </c>
      <c r="D144" s="85"/>
      <c r="E144" s="85"/>
      <c r="F144" s="85">
        <v>0</v>
      </c>
      <c r="G144" s="428"/>
      <c r="H144" s="85">
        <f t="shared" si="11"/>
        <v>0</v>
      </c>
      <c r="I144" s="428"/>
      <c r="J144" s="85"/>
      <c r="K144" s="85"/>
    </row>
    <row r="145" spans="1:11" s="285" customFormat="1" hidden="1" x14ac:dyDescent="0.25">
      <c r="A145" s="118">
        <v>40</v>
      </c>
      <c r="B145" s="151">
        <v>5890</v>
      </c>
      <c r="C145" s="94" t="s">
        <v>327</v>
      </c>
      <c r="D145" s="85"/>
      <c r="E145" s="85"/>
      <c r="F145" s="85">
        <v>0</v>
      </c>
      <c r="G145" s="428"/>
      <c r="H145" s="85">
        <f t="shared" si="11"/>
        <v>0</v>
      </c>
      <c r="I145" s="428"/>
      <c r="J145" s="85"/>
      <c r="K145" s="85"/>
    </row>
    <row r="146" spans="1:11" s="285" customFormat="1" hidden="1" x14ac:dyDescent="0.25">
      <c r="A146" s="118">
        <v>40</v>
      </c>
      <c r="B146" s="151">
        <v>5895</v>
      </c>
      <c r="C146" s="94" t="s">
        <v>328</v>
      </c>
      <c r="D146" s="85"/>
      <c r="E146" s="85"/>
      <c r="F146" s="85">
        <v>0</v>
      </c>
      <c r="G146" s="428"/>
      <c r="H146" s="85">
        <f t="shared" si="11"/>
        <v>0</v>
      </c>
      <c r="I146" s="428"/>
      <c r="J146" s="85"/>
      <c r="K146" s="85"/>
    </row>
    <row r="147" spans="1:11" s="285" customFormat="1" hidden="1" x14ac:dyDescent="0.25">
      <c r="A147" s="118">
        <v>40</v>
      </c>
      <c r="B147" s="151">
        <v>5910</v>
      </c>
      <c r="C147" s="94" t="s">
        <v>330</v>
      </c>
      <c r="D147" s="85"/>
      <c r="E147" s="85"/>
      <c r="F147" s="85">
        <v>0</v>
      </c>
      <c r="G147" s="428"/>
      <c r="H147" s="85">
        <f t="shared" si="11"/>
        <v>0</v>
      </c>
      <c r="I147" s="428"/>
      <c r="J147" s="85"/>
      <c r="K147" s="85"/>
    </row>
    <row r="148" spans="1:11" s="285" customFormat="1" x14ac:dyDescent="0.25">
      <c r="A148" s="344"/>
      <c r="B148" s="151"/>
      <c r="C148" s="94"/>
      <c r="D148" s="429">
        <f t="shared" ref="D148:K148" si="12">SUM(D72:D147)</f>
        <v>191553</v>
      </c>
      <c r="E148" s="89">
        <f t="shared" si="12"/>
        <v>491438</v>
      </c>
      <c r="F148" s="429">
        <f t="shared" si="12"/>
        <v>491438</v>
      </c>
      <c r="G148" s="429">
        <f t="shared" si="12"/>
        <v>491438</v>
      </c>
      <c r="H148" s="89">
        <f t="shared" si="12"/>
        <v>715920</v>
      </c>
      <c r="I148" s="429">
        <f t="shared" si="12"/>
        <v>521220</v>
      </c>
      <c r="J148" s="429">
        <f t="shared" si="12"/>
        <v>549887.1</v>
      </c>
      <c r="K148" s="429">
        <f t="shared" si="12"/>
        <v>579031.11629999988</v>
      </c>
    </row>
    <row r="149" spans="1:11" s="285" customFormat="1" x14ac:dyDescent="0.25">
      <c r="A149" s="344"/>
      <c r="B149" s="151"/>
      <c r="C149" s="93" t="s">
        <v>187</v>
      </c>
      <c r="D149" s="85"/>
      <c r="E149" s="108"/>
      <c r="F149" s="108"/>
      <c r="G149" s="425"/>
      <c r="H149" s="108"/>
      <c r="I149" s="425"/>
      <c r="J149" s="108"/>
      <c r="K149" s="108"/>
    </row>
    <row r="150" spans="1:11" s="285" customFormat="1" x14ac:dyDescent="0.25">
      <c r="A150" s="118">
        <v>40</v>
      </c>
      <c r="B150" s="151">
        <v>6005</v>
      </c>
      <c r="C150" s="94" t="s">
        <v>188</v>
      </c>
      <c r="D150" s="85">
        <v>0</v>
      </c>
      <c r="E150" s="108"/>
      <c r="F150" s="85">
        <v>0</v>
      </c>
      <c r="G150" s="428">
        <v>0</v>
      </c>
      <c r="H150" s="85">
        <f>0/8*12</f>
        <v>0</v>
      </c>
      <c r="I150" s="428"/>
      <c r="J150" s="85"/>
      <c r="K150" s="108"/>
    </row>
    <row r="151" spans="1:11" s="285" customFormat="1" x14ac:dyDescent="0.25">
      <c r="A151" s="344"/>
      <c r="B151" s="151"/>
      <c r="C151" s="94"/>
      <c r="D151" s="89">
        <v>0</v>
      </c>
      <c r="E151" s="89">
        <f>SUM(E150)</f>
        <v>0</v>
      </c>
      <c r="F151" s="89">
        <v>0</v>
      </c>
      <c r="G151" s="429">
        <v>0</v>
      </c>
      <c r="H151" s="89">
        <f>SUM(H150)</f>
        <v>0</v>
      </c>
      <c r="I151" s="429">
        <f>SUM(I150)</f>
        <v>0</v>
      </c>
      <c r="J151" s="429">
        <f>SUM(J150)</f>
        <v>0</v>
      </c>
      <c r="K151" s="429">
        <f>SUM(K150)</f>
        <v>0</v>
      </c>
    </row>
    <row r="152" spans="1:11" s="285" customFormat="1" x14ac:dyDescent="0.25">
      <c r="A152" s="344"/>
      <c r="B152" s="151"/>
      <c r="C152" s="93" t="s">
        <v>64</v>
      </c>
      <c r="D152" s="88"/>
      <c r="E152" s="113"/>
      <c r="F152" s="113"/>
      <c r="G152" s="113"/>
      <c r="H152" s="113"/>
      <c r="I152" s="113"/>
      <c r="J152" s="113"/>
      <c r="K152" s="113"/>
    </row>
    <row r="153" spans="1:11" s="285" customFormat="1" x14ac:dyDescent="0.25">
      <c r="A153" s="118">
        <v>40</v>
      </c>
      <c r="B153" s="151">
        <v>6105</v>
      </c>
      <c r="C153" s="94" t="s">
        <v>336</v>
      </c>
      <c r="D153" s="85">
        <v>0</v>
      </c>
      <c r="E153" s="108"/>
      <c r="F153" s="85">
        <v>0</v>
      </c>
      <c r="G153" s="428">
        <v>0</v>
      </c>
      <c r="H153" s="85"/>
      <c r="I153" s="428">
        <v>272300</v>
      </c>
      <c r="J153" s="85"/>
      <c r="K153" s="108"/>
    </row>
    <row r="154" spans="1:11" s="285" customFormat="1" x14ac:dyDescent="0.25">
      <c r="A154" s="118">
        <v>40</v>
      </c>
      <c r="B154" s="151">
        <v>6110</v>
      </c>
      <c r="C154" s="94" t="s">
        <v>337</v>
      </c>
      <c r="D154" s="85">
        <v>0</v>
      </c>
      <c r="E154" s="108">
        <v>260000</v>
      </c>
      <c r="F154" s="85">
        <v>260000</v>
      </c>
      <c r="G154" s="428">
        <v>260000</v>
      </c>
      <c r="H154" s="85"/>
      <c r="I154" s="428"/>
      <c r="J154" s="85"/>
      <c r="K154" s="108"/>
    </row>
    <row r="155" spans="1:11" s="285" customFormat="1" hidden="1" x14ac:dyDescent="0.25">
      <c r="A155" s="118">
        <v>40</v>
      </c>
      <c r="B155" s="151">
        <v>6115</v>
      </c>
      <c r="C155" s="94" t="s">
        <v>60</v>
      </c>
      <c r="D155" s="85">
        <v>0</v>
      </c>
      <c r="E155" s="108"/>
      <c r="F155" s="85">
        <v>0</v>
      </c>
      <c r="G155" s="428">
        <v>0</v>
      </c>
      <c r="H155" s="85"/>
      <c r="I155" s="428"/>
      <c r="J155" s="85"/>
      <c r="K155" s="108"/>
    </row>
    <row r="156" spans="1:11" s="285" customFormat="1" x14ac:dyDescent="0.25">
      <c r="A156" s="344"/>
      <c r="B156" s="151"/>
      <c r="C156" s="94"/>
      <c r="D156" s="89">
        <v>0</v>
      </c>
      <c r="E156" s="89">
        <f t="shared" ref="E156:K156" si="13">SUM(E153:E155)</f>
        <v>260000</v>
      </c>
      <c r="F156" s="429">
        <f t="shared" si="13"/>
        <v>260000</v>
      </c>
      <c r="G156" s="429">
        <f t="shared" si="13"/>
        <v>260000</v>
      </c>
      <c r="H156" s="429">
        <f t="shared" si="13"/>
        <v>0</v>
      </c>
      <c r="I156" s="429">
        <f t="shared" si="13"/>
        <v>272300</v>
      </c>
      <c r="J156" s="429">
        <f t="shared" si="13"/>
        <v>0</v>
      </c>
      <c r="K156" s="429">
        <f t="shared" si="13"/>
        <v>0</v>
      </c>
    </row>
    <row r="157" spans="1:11" s="285" customFormat="1" hidden="1" x14ac:dyDescent="0.25">
      <c r="A157" s="344"/>
      <c r="B157" s="151"/>
      <c r="C157" s="184" t="s">
        <v>65</v>
      </c>
      <c r="D157" s="88"/>
      <c r="E157" s="113"/>
      <c r="F157" s="113"/>
      <c r="G157" s="113"/>
      <c r="H157" s="113"/>
      <c r="I157" s="113"/>
      <c r="J157" s="113"/>
      <c r="K157" s="113"/>
    </row>
    <row r="158" spans="1:11" s="285" customFormat="1" hidden="1" x14ac:dyDescent="0.25">
      <c r="A158" s="118">
        <v>40</v>
      </c>
      <c r="B158" s="151">
        <v>6205</v>
      </c>
      <c r="C158" s="94" t="s">
        <v>338</v>
      </c>
      <c r="D158" s="85">
        <v>0</v>
      </c>
      <c r="E158" s="108"/>
      <c r="F158" s="85">
        <v>0</v>
      </c>
      <c r="G158" s="428">
        <v>0</v>
      </c>
      <c r="H158" s="85"/>
      <c r="I158" s="428"/>
      <c r="J158" s="85"/>
      <c r="K158" s="85"/>
    </row>
    <row r="159" spans="1:11" s="285" customFormat="1" hidden="1" x14ac:dyDescent="0.25">
      <c r="A159" s="118">
        <v>40</v>
      </c>
      <c r="B159" s="151">
        <v>6210</v>
      </c>
      <c r="C159" s="94" t="s">
        <v>339</v>
      </c>
      <c r="D159" s="85">
        <v>0</v>
      </c>
      <c r="E159" s="85"/>
      <c r="F159" s="85">
        <v>0</v>
      </c>
      <c r="G159" s="428">
        <v>0</v>
      </c>
      <c r="H159" s="85"/>
      <c r="I159" s="428"/>
      <c r="J159" s="85"/>
      <c r="K159" s="85"/>
    </row>
    <row r="160" spans="1:11" s="285" customFormat="1" hidden="1" x14ac:dyDescent="0.25">
      <c r="A160" s="344"/>
      <c r="B160" s="346"/>
      <c r="C160" s="347"/>
      <c r="D160" s="116">
        <v>0</v>
      </c>
      <c r="E160" s="116">
        <f>SUM(E158:E159)</f>
        <v>0</v>
      </c>
      <c r="F160" s="116">
        <v>0</v>
      </c>
      <c r="G160" s="441">
        <v>0</v>
      </c>
      <c r="H160" s="116"/>
      <c r="I160" s="441"/>
      <c r="J160" s="116"/>
      <c r="K160" s="116"/>
    </row>
    <row r="161" spans="1:11" s="285" customFormat="1" x14ac:dyDescent="0.25">
      <c r="A161" s="344"/>
      <c r="B161" s="346"/>
      <c r="C161" s="93" t="s">
        <v>189</v>
      </c>
      <c r="D161" s="116">
        <v>2696041</v>
      </c>
      <c r="E161" s="116">
        <f>E160+E156+E151+E148+E70+E66+E63+E59+E38+E35+E32+E29+E25+E18</f>
        <v>4100022</v>
      </c>
      <c r="F161" s="116">
        <f>F160+F156+F151+F148+F70+F66+F63+F59+F38+F35+F32+F29+F25+F18</f>
        <v>3500022</v>
      </c>
      <c r="G161" s="441">
        <v>3500023</v>
      </c>
      <c r="H161" s="116">
        <f>H160+H156+H151+H148+H70+H66+H63+H59+H38+H35+H32+H29+H25+H18</f>
        <v>3733984.8</v>
      </c>
      <c r="I161" s="441">
        <f>I160+I156+I151+I148+I70+I66+I63+I59+I38+I35+I32+I29+I25+I18</f>
        <v>4189713.2864000006</v>
      </c>
      <c r="J161" s="441">
        <f>J160+J156+J151+J148+J70+J66+J63+J59+J38+J35+J32+J29+J25+J18</f>
        <v>4132871.0171520002</v>
      </c>
      <c r="K161" s="441">
        <f>K160+K156+K151+K148+K70+K66+K63+K59+K38+K35+K32+K29+K25+K18</f>
        <v>4351913.1810610555</v>
      </c>
    </row>
    <row r="162" spans="1:11" s="285" customFormat="1" hidden="1" x14ac:dyDescent="0.25">
      <c r="A162" s="344"/>
      <c r="B162" s="151"/>
      <c r="C162" s="93" t="s">
        <v>258</v>
      </c>
      <c r="D162" s="117"/>
      <c r="E162" s="117"/>
      <c r="F162" s="117"/>
      <c r="G162" s="442"/>
      <c r="H162" s="117"/>
      <c r="I162" s="442"/>
      <c r="J162" s="442"/>
      <c r="K162" s="442"/>
    </row>
    <row r="163" spans="1:11" s="285" customFormat="1" hidden="1" x14ac:dyDescent="0.25">
      <c r="A163" s="118">
        <v>40</v>
      </c>
      <c r="B163" s="151">
        <v>6305</v>
      </c>
      <c r="C163" s="94" t="s">
        <v>190</v>
      </c>
      <c r="D163" s="85">
        <v>0</v>
      </c>
      <c r="E163" s="85"/>
      <c r="F163" s="85">
        <f>0/8*12</f>
        <v>0</v>
      </c>
      <c r="G163" s="428">
        <v>0</v>
      </c>
      <c r="H163" s="85"/>
      <c r="I163" s="428"/>
      <c r="J163" s="428"/>
      <c r="K163" s="428"/>
    </row>
    <row r="164" spans="1:11" s="285" customFormat="1" hidden="1" x14ac:dyDescent="0.25">
      <c r="A164" s="344"/>
      <c r="B164" s="151"/>
      <c r="C164" s="94"/>
      <c r="D164" s="116">
        <v>0</v>
      </c>
      <c r="E164" s="116">
        <f>E163</f>
        <v>0</v>
      </c>
      <c r="F164" s="116">
        <f>F163</f>
        <v>0</v>
      </c>
      <c r="G164" s="441">
        <v>0</v>
      </c>
      <c r="H164" s="116"/>
      <c r="I164" s="441"/>
      <c r="J164" s="441"/>
      <c r="K164" s="441"/>
    </row>
    <row r="165" spans="1:11" s="285" customFormat="1" x14ac:dyDescent="0.25">
      <c r="A165" s="348"/>
      <c r="B165" s="152"/>
      <c r="C165" s="119" t="s">
        <v>191</v>
      </c>
      <c r="D165" s="448">
        <f t="shared" ref="D165:K165" si="14">SUM(D161+D164)</f>
        <v>2696041</v>
      </c>
      <c r="E165" s="160">
        <f t="shared" si="14"/>
        <v>4100022</v>
      </c>
      <c r="F165" s="160">
        <f t="shared" si="14"/>
        <v>3500022</v>
      </c>
      <c r="G165" s="448">
        <f t="shared" si="14"/>
        <v>3500023</v>
      </c>
      <c r="H165" s="160">
        <f t="shared" si="14"/>
        <v>3733984.8</v>
      </c>
      <c r="I165" s="448">
        <f t="shared" si="14"/>
        <v>4189713.2864000006</v>
      </c>
      <c r="J165" s="448">
        <f t="shared" si="14"/>
        <v>4132871.0171520002</v>
      </c>
      <c r="K165" s="448">
        <f t="shared" si="14"/>
        <v>4351913.1810610555</v>
      </c>
    </row>
    <row r="166" spans="1:11" s="285" customFormat="1" x14ac:dyDescent="0.25">
      <c r="A166" s="344"/>
      <c r="B166" s="130"/>
      <c r="C166" s="115"/>
      <c r="D166" s="111"/>
      <c r="E166" s="120"/>
      <c r="F166" s="120"/>
      <c r="G166" s="120"/>
      <c r="H166" s="120"/>
      <c r="I166" s="120"/>
      <c r="J166" s="120"/>
      <c r="K166" s="120"/>
    </row>
    <row r="167" spans="1:11" s="285" customFormat="1" x14ac:dyDescent="0.25">
      <c r="A167" s="344"/>
      <c r="B167" s="130"/>
      <c r="C167" s="115"/>
      <c r="D167" s="111"/>
      <c r="E167" s="111"/>
      <c r="F167" s="111"/>
      <c r="G167" s="111"/>
      <c r="H167" s="111"/>
      <c r="I167" s="111"/>
      <c r="J167" s="111"/>
      <c r="K167" s="111"/>
    </row>
    <row r="168" spans="1:11" s="285" customFormat="1" x14ac:dyDescent="0.25">
      <c r="A168" s="349"/>
      <c r="B168" s="546" t="s">
        <v>416</v>
      </c>
      <c r="C168" s="546"/>
      <c r="D168" s="547"/>
      <c r="E168" s="338"/>
      <c r="F168" s="338"/>
      <c r="G168" s="563"/>
      <c r="H168" s="420"/>
      <c r="I168" s="581"/>
      <c r="J168" s="338"/>
      <c r="K168" s="338"/>
    </row>
    <row r="169" spans="1:11" s="285" customFormat="1" x14ac:dyDescent="0.25">
      <c r="A169" s="944" t="s">
        <v>21</v>
      </c>
      <c r="B169" s="945"/>
      <c r="C169" s="150" t="s">
        <v>22</v>
      </c>
      <c r="D169" s="103" t="s">
        <v>880</v>
      </c>
      <c r="E169" s="104" t="s">
        <v>24</v>
      </c>
      <c r="F169" s="103" t="s">
        <v>535</v>
      </c>
      <c r="G169" s="103" t="s">
        <v>413</v>
      </c>
      <c r="H169" s="104" t="s">
        <v>24</v>
      </c>
      <c r="I169" s="583" t="s">
        <v>24</v>
      </c>
      <c r="J169" s="583" t="s">
        <v>24</v>
      </c>
      <c r="K169" s="583" t="s">
        <v>24</v>
      </c>
    </row>
    <row r="170" spans="1:11" s="285" customFormat="1" x14ac:dyDescent="0.25">
      <c r="A170" s="946"/>
      <c r="B170" s="947"/>
      <c r="C170" s="106"/>
      <c r="D170" s="333" t="s">
        <v>257</v>
      </c>
      <c r="E170" s="107" t="s">
        <v>382</v>
      </c>
      <c r="F170" s="107" t="s">
        <v>382</v>
      </c>
      <c r="G170" s="107" t="s">
        <v>382</v>
      </c>
      <c r="H170" s="107" t="s">
        <v>407</v>
      </c>
      <c r="I170" s="586" t="s">
        <v>414</v>
      </c>
      <c r="J170" s="586" t="s">
        <v>530</v>
      </c>
      <c r="K170" s="586" t="s">
        <v>886</v>
      </c>
    </row>
    <row r="171" spans="1:11" s="285" customFormat="1" hidden="1" x14ac:dyDescent="0.25">
      <c r="A171" s="350"/>
      <c r="B171" s="153"/>
      <c r="C171" s="93" t="s">
        <v>98</v>
      </c>
      <c r="D171" s="122"/>
      <c r="E171" s="98"/>
      <c r="F171" s="98"/>
      <c r="G171" s="435"/>
      <c r="H171" s="98"/>
      <c r="I171" s="435"/>
      <c r="J171" s="98"/>
      <c r="K171" s="98"/>
    </row>
    <row r="172" spans="1:11" s="285" customFormat="1" hidden="1" x14ac:dyDescent="0.25">
      <c r="A172" s="118">
        <v>40</v>
      </c>
      <c r="B172" s="151">
        <v>1237</v>
      </c>
      <c r="C172" s="94" t="s">
        <v>99</v>
      </c>
      <c r="D172" s="122"/>
      <c r="E172" s="108"/>
      <c r="F172" s="98">
        <f>E172/8*12</f>
        <v>0</v>
      </c>
      <c r="G172" s="435"/>
      <c r="H172" s="98"/>
      <c r="I172" s="435"/>
      <c r="J172" s="98"/>
      <c r="K172" s="108"/>
    </row>
    <row r="173" spans="1:11" s="285" customFormat="1" hidden="1" x14ac:dyDescent="0.25">
      <c r="A173" s="118">
        <v>40</v>
      </c>
      <c r="B173" s="151">
        <v>5725</v>
      </c>
      <c r="C173" s="94" t="s">
        <v>400</v>
      </c>
      <c r="D173" s="85"/>
      <c r="E173" s="85">
        <v>0</v>
      </c>
      <c r="F173" s="85">
        <f>(0/8*12)*-1</f>
        <v>0</v>
      </c>
      <c r="G173" s="428"/>
      <c r="H173" s="85"/>
      <c r="I173" s="428"/>
      <c r="J173" s="85"/>
      <c r="K173" s="85"/>
    </row>
    <row r="174" spans="1:11" s="285" customFormat="1" hidden="1" x14ac:dyDescent="0.25">
      <c r="A174" s="344"/>
      <c r="B174" s="151"/>
      <c r="C174" s="94"/>
      <c r="D174" s="99"/>
      <c r="E174" s="99">
        <f>SUM(E172)</f>
        <v>0</v>
      </c>
      <c r="F174" s="99">
        <f>SUM(F172)</f>
        <v>0</v>
      </c>
      <c r="G174" s="436"/>
      <c r="H174" s="99"/>
      <c r="I174" s="436"/>
      <c r="J174" s="99"/>
      <c r="K174" s="99"/>
    </row>
    <row r="175" spans="1:11" s="285" customFormat="1" x14ac:dyDescent="0.25">
      <c r="A175" s="344"/>
      <c r="B175" s="151"/>
      <c r="C175" s="93" t="s">
        <v>100</v>
      </c>
      <c r="D175" s="122"/>
      <c r="E175" s="98"/>
      <c r="F175" s="98"/>
      <c r="G175" s="435"/>
      <c r="H175" s="98"/>
      <c r="I175" s="435"/>
      <c r="J175" s="98"/>
      <c r="K175" s="98"/>
    </row>
    <row r="176" spans="1:11" s="285" customFormat="1" hidden="1" x14ac:dyDescent="0.25">
      <c r="A176" s="118">
        <v>40</v>
      </c>
      <c r="B176" s="151">
        <v>1147</v>
      </c>
      <c r="C176" s="94" t="s">
        <v>102</v>
      </c>
      <c r="D176" s="122"/>
      <c r="E176" s="98"/>
      <c r="F176" s="98">
        <f>E176/8*12</f>
        <v>0</v>
      </c>
      <c r="G176" s="435"/>
      <c r="H176" s="98"/>
      <c r="I176" s="435"/>
      <c r="J176" s="98"/>
      <c r="K176" s="98"/>
    </row>
    <row r="177" spans="1:11" s="285" customFormat="1" hidden="1" x14ac:dyDescent="0.25">
      <c r="A177" s="118">
        <v>40</v>
      </c>
      <c r="B177" s="151">
        <v>1202</v>
      </c>
      <c r="C177" s="94" t="s">
        <v>343</v>
      </c>
      <c r="D177" s="122"/>
      <c r="E177" s="98"/>
      <c r="F177" s="98">
        <f>E177/8*12</f>
        <v>0</v>
      </c>
      <c r="G177" s="435"/>
      <c r="H177" s="98"/>
      <c r="I177" s="435"/>
      <c r="J177" s="98"/>
      <c r="K177" s="98"/>
    </row>
    <row r="178" spans="1:11" s="285" customFormat="1" hidden="1" x14ac:dyDescent="0.25">
      <c r="A178" s="118">
        <v>40</v>
      </c>
      <c r="B178" s="151">
        <v>1207</v>
      </c>
      <c r="C178" s="94" t="s">
        <v>104</v>
      </c>
      <c r="D178" s="122"/>
      <c r="E178" s="98"/>
      <c r="F178" s="98">
        <f>E178/8*12</f>
        <v>0</v>
      </c>
      <c r="G178" s="435"/>
      <c r="H178" s="98"/>
      <c r="I178" s="435"/>
      <c r="J178" s="98"/>
      <c r="K178" s="98"/>
    </row>
    <row r="179" spans="1:11" s="285" customFormat="1" hidden="1" x14ac:dyDescent="0.25">
      <c r="A179" s="118">
        <v>40</v>
      </c>
      <c r="B179" s="151">
        <v>1153</v>
      </c>
      <c r="C179" s="94" t="s">
        <v>115</v>
      </c>
      <c r="D179" s="122"/>
      <c r="E179" s="98"/>
      <c r="F179" s="98">
        <f>E179/8*12</f>
        <v>0</v>
      </c>
      <c r="G179" s="435"/>
      <c r="H179" s="98"/>
      <c r="I179" s="435"/>
      <c r="J179" s="98"/>
      <c r="K179" s="98"/>
    </row>
    <row r="180" spans="1:11" s="285" customFormat="1" hidden="1" x14ac:dyDescent="0.25">
      <c r="A180" s="118">
        <v>40</v>
      </c>
      <c r="B180" s="151">
        <v>1143</v>
      </c>
      <c r="C180" s="94" t="s">
        <v>109</v>
      </c>
      <c r="D180" s="122"/>
      <c r="E180" s="98"/>
      <c r="F180" s="98">
        <f>E180/8*12</f>
        <v>0</v>
      </c>
      <c r="G180" s="435"/>
      <c r="H180" s="98"/>
      <c r="I180" s="435"/>
      <c r="J180" s="98"/>
      <c r="K180" s="98"/>
    </row>
    <row r="181" spans="1:11" s="285" customFormat="1" x14ac:dyDescent="0.25">
      <c r="A181" s="118">
        <v>40</v>
      </c>
      <c r="B181" s="151">
        <v>5500</v>
      </c>
      <c r="C181" s="94" t="s">
        <v>266</v>
      </c>
      <c r="D181" s="85">
        <v>-106317</v>
      </c>
      <c r="E181" s="85">
        <v>-113230</v>
      </c>
      <c r="F181" s="428">
        <v>-113230</v>
      </c>
      <c r="G181" s="428">
        <v>-113230</v>
      </c>
      <c r="H181" s="85">
        <f t="shared" ref="H181:H205" si="15">(F181*0.1)+F181</f>
        <v>-124553</v>
      </c>
      <c r="I181" s="428">
        <f>+H181*1.058</f>
        <v>-131777.07399999999</v>
      </c>
      <c r="J181" s="85">
        <f>+I181*1.055</f>
        <v>-139024.81306999997</v>
      </c>
      <c r="K181" s="85">
        <f>+J181*1.053</f>
        <v>-146393.12816270997</v>
      </c>
    </row>
    <row r="182" spans="1:11" s="285" customFormat="1" hidden="1" x14ac:dyDescent="0.25">
      <c r="A182" s="118">
        <v>40</v>
      </c>
      <c r="B182" s="151">
        <v>5705</v>
      </c>
      <c r="C182" s="94" t="s">
        <v>296</v>
      </c>
      <c r="D182" s="85"/>
      <c r="E182" s="85"/>
      <c r="F182" s="428"/>
      <c r="G182" s="428"/>
      <c r="H182" s="85">
        <f t="shared" si="15"/>
        <v>0</v>
      </c>
      <c r="I182" s="428">
        <f t="shared" ref="I182:I205" si="16">+H182*1.058</f>
        <v>0</v>
      </c>
      <c r="J182" s="428">
        <f t="shared" ref="J182:J205" si="17">+I182*1.055</f>
        <v>0</v>
      </c>
      <c r="K182" s="428">
        <f t="shared" ref="K182:K205" si="18">+J182*1.053</f>
        <v>0</v>
      </c>
    </row>
    <row r="183" spans="1:11" s="285" customFormat="1" hidden="1" x14ac:dyDescent="0.25">
      <c r="A183" s="118">
        <v>40</v>
      </c>
      <c r="B183" s="151">
        <v>1140</v>
      </c>
      <c r="C183" s="94" t="s">
        <v>113</v>
      </c>
      <c r="D183" s="122"/>
      <c r="E183" s="98"/>
      <c r="F183" s="435"/>
      <c r="G183" s="435"/>
      <c r="H183" s="85">
        <f t="shared" si="15"/>
        <v>0</v>
      </c>
      <c r="I183" s="428">
        <f t="shared" si="16"/>
        <v>0</v>
      </c>
      <c r="J183" s="428">
        <f t="shared" si="17"/>
        <v>0</v>
      </c>
      <c r="K183" s="428">
        <f t="shared" si="18"/>
        <v>0</v>
      </c>
    </row>
    <row r="184" spans="1:11" s="285" customFormat="1" hidden="1" x14ac:dyDescent="0.25">
      <c r="A184" s="118">
        <v>40</v>
      </c>
      <c r="B184" s="151">
        <v>1145</v>
      </c>
      <c r="C184" s="94" t="s">
        <v>132</v>
      </c>
      <c r="D184" s="122"/>
      <c r="E184" s="98"/>
      <c r="F184" s="435"/>
      <c r="G184" s="435"/>
      <c r="H184" s="85">
        <f t="shared" si="15"/>
        <v>0</v>
      </c>
      <c r="I184" s="428">
        <f t="shared" si="16"/>
        <v>0</v>
      </c>
      <c r="J184" s="428">
        <f t="shared" si="17"/>
        <v>0</v>
      </c>
      <c r="K184" s="428">
        <f t="shared" si="18"/>
        <v>0</v>
      </c>
    </row>
    <row r="185" spans="1:11" s="285" customFormat="1" hidden="1" x14ac:dyDescent="0.25">
      <c r="A185" s="118">
        <v>40</v>
      </c>
      <c r="B185" s="151">
        <v>1150</v>
      </c>
      <c r="C185" s="94" t="s">
        <v>120</v>
      </c>
      <c r="D185" s="122"/>
      <c r="E185" s="98"/>
      <c r="F185" s="435"/>
      <c r="G185" s="435"/>
      <c r="H185" s="85">
        <f t="shared" si="15"/>
        <v>0</v>
      </c>
      <c r="I185" s="428">
        <f t="shared" si="16"/>
        <v>0</v>
      </c>
      <c r="J185" s="428">
        <f t="shared" si="17"/>
        <v>0</v>
      </c>
      <c r="K185" s="428">
        <f t="shared" si="18"/>
        <v>0</v>
      </c>
    </row>
    <row r="186" spans="1:11" s="285" customFormat="1" hidden="1" x14ac:dyDescent="0.25">
      <c r="A186" s="118">
        <v>40</v>
      </c>
      <c r="B186" s="151">
        <v>1155</v>
      </c>
      <c r="C186" s="94" t="s">
        <v>116</v>
      </c>
      <c r="D186" s="122"/>
      <c r="E186" s="98"/>
      <c r="F186" s="435"/>
      <c r="G186" s="435"/>
      <c r="H186" s="85">
        <f t="shared" si="15"/>
        <v>0</v>
      </c>
      <c r="I186" s="428">
        <f t="shared" si="16"/>
        <v>0</v>
      </c>
      <c r="J186" s="428">
        <f t="shared" si="17"/>
        <v>0</v>
      </c>
      <c r="K186" s="428">
        <f t="shared" si="18"/>
        <v>0</v>
      </c>
    </row>
    <row r="187" spans="1:11" s="285" customFormat="1" hidden="1" x14ac:dyDescent="0.25">
      <c r="A187" s="118">
        <v>40</v>
      </c>
      <c r="B187" s="151">
        <v>1160</v>
      </c>
      <c r="C187" s="94" t="s">
        <v>101</v>
      </c>
      <c r="D187" s="122"/>
      <c r="E187" s="98"/>
      <c r="F187" s="435"/>
      <c r="G187" s="435"/>
      <c r="H187" s="85">
        <f t="shared" si="15"/>
        <v>0</v>
      </c>
      <c r="I187" s="428">
        <f t="shared" si="16"/>
        <v>0</v>
      </c>
      <c r="J187" s="428">
        <f t="shared" si="17"/>
        <v>0</v>
      </c>
      <c r="K187" s="428">
        <f t="shared" si="18"/>
        <v>0</v>
      </c>
    </row>
    <row r="188" spans="1:11" s="285" customFormat="1" hidden="1" x14ac:dyDescent="0.25">
      <c r="A188" s="118">
        <v>40</v>
      </c>
      <c r="B188" s="151">
        <v>1165</v>
      </c>
      <c r="C188" s="94" t="s">
        <v>114</v>
      </c>
      <c r="D188" s="122"/>
      <c r="E188" s="98"/>
      <c r="F188" s="435"/>
      <c r="G188" s="435"/>
      <c r="H188" s="85">
        <f t="shared" si="15"/>
        <v>0</v>
      </c>
      <c r="I188" s="428">
        <f t="shared" si="16"/>
        <v>0</v>
      </c>
      <c r="J188" s="428">
        <f t="shared" si="17"/>
        <v>0</v>
      </c>
      <c r="K188" s="428">
        <f t="shared" si="18"/>
        <v>0</v>
      </c>
    </row>
    <row r="189" spans="1:11" s="285" customFormat="1" hidden="1" x14ac:dyDescent="0.25">
      <c r="A189" s="118"/>
      <c r="B189" s="151"/>
      <c r="C189" s="94" t="s">
        <v>401</v>
      </c>
      <c r="D189" s="122"/>
      <c r="E189" s="98"/>
      <c r="F189" s="435"/>
      <c r="G189" s="435"/>
      <c r="H189" s="85">
        <f t="shared" si="15"/>
        <v>0</v>
      </c>
      <c r="I189" s="428">
        <f t="shared" si="16"/>
        <v>0</v>
      </c>
      <c r="J189" s="428">
        <f t="shared" si="17"/>
        <v>0</v>
      </c>
      <c r="K189" s="428">
        <f t="shared" si="18"/>
        <v>0</v>
      </c>
    </row>
    <row r="190" spans="1:11" s="285" customFormat="1" hidden="1" x14ac:dyDescent="0.25">
      <c r="A190" s="118">
        <v>40</v>
      </c>
      <c r="B190" s="151">
        <v>1180</v>
      </c>
      <c r="C190" s="94" t="s">
        <v>402</v>
      </c>
      <c r="D190" s="122"/>
      <c r="E190" s="98"/>
      <c r="F190" s="435"/>
      <c r="G190" s="435"/>
      <c r="H190" s="85">
        <f t="shared" si="15"/>
        <v>0</v>
      </c>
      <c r="I190" s="428">
        <f t="shared" si="16"/>
        <v>0</v>
      </c>
      <c r="J190" s="428">
        <f t="shared" si="17"/>
        <v>0</v>
      </c>
      <c r="K190" s="428">
        <f t="shared" si="18"/>
        <v>0</v>
      </c>
    </row>
    <row r="191" spans="1:11" s="285" customFormat="1" hidden="1" x14ac:dyDescent="0.25">
      <c r="A191" s="118">
        <v>40</v>
      </c>
      <c r="B191" s="151">
        <v>1185</v>
      </c>
      <c r="C191" s="94" t="s">
        <v>403</v>
      </c>
      <c r="D191" s="122"/>
      <c r="E191" s="98"/>
      <c r="F191" s="435"/>
      <c r="G191" s="435"/>
      <c r="H191" s="85">
        <f t="shared" si="15"/>
        <v>0</v>
      </c>
      <c r="I191" s="428">
        <f t="shared" si="16"/>
        <v>0</v>
      </c>
      <c r="J191" s="428">
        <f t="shared" si="17"/>
        <v>0</v>
      </c>
      <c r="K191" s="428">
        <f t="shared" si="18"/>
        <v>0</v>
      </c>
    </row>
    <row r="192" spans="1:11" s="285" customFormat="1" hidden="1" x14ac:dyDescent="0.25">
      <c r="A192" s="118">
        <v>40</v>
      </c>
      <c r="B192" s="151">
        <v>1190</v>
      </c>
      <c r="C192" s="94" t="s">
        <v>404</v>
      </c>
      <c r="D192" s="122"/>
      <c r="E192" s="98"/>
      <c r="F192" s="435"/>
      <c r="G192" s="435"/>
      <c r="H192" s="85">
        <f t="shared" si="15"/>
        <v>0</v>
      </c>
      <c r="I192" s="428">
        <f t="shared" si="16"/>
        <v>0</v>
      </c>
      <c r="J192" s="428">
        <f t="shared" si="17"/>
        <v>0</v>
      </c>
      <c r="K192" s="428">
        <f t="shared" si="18"/>
        <v>0</v>
      </c>
    </row>
    <row r="193" spans="1:11" s="285" customFormat="1" hidden="1" x14ac:dyDescent="0.25">
      <c r="A193" s="118"/>
      <c r="B193" s="151"/>
      <c r="C193" s="94" t="s">
        <v>405</v>
      </c>
      <c r="D193" s="122"/>
      <c r="E193" s="98"/>
      <c r="F193" s="435"/>
      <c r="G193" s="435"/>
      <c r="H193" s="85">
        <f t="shared" si="15"/>
        <v>0</v>
      </c>
      <c r="I193" s="428">
        <f t="shared" si="16"/>
        <v>0</v>
      </c>
      <c r="J193" s="428">
        <f t="shared" si="17"/>
        <v>0</v>
      </c>
      <c r="K193" s="428">
        <f t="shared" si="18"/>
        <v>0</v>
      </c>
    </row>
    <row r="194" spans="1:11" s="285" customFormat="1" hidden="1" x14ac:dyDescent="0.25">
      <c r="A194" s="118">
        <v>40</v>
      </c>
      <c r="B194" s="151">
        <v>1195</v>
      </c>
      <c r="C194" s="94" t="s">
        <v>199</v>
      </c>
      <c r="D194" s="122"/>
      <c r="E194" s="98"/>
      <c r="F194" s="435"/>
      <c r="G194" s="435"/>
      <c r="H194" s="85">
        <f t="shared" si="15"/>
        <v>0</v>
      </c>
      <c r="I194" s="428">
        <f t="shared" si="16"/>
        <v>0</v>
      </c>
      <c r="J194" s="428">
        <f t="shared" si="17"/>
        <v>0</v>
      </c>
      <c r="K194" s="428">
        <f t="shared" si="18"/>
        <v>0</v>
      </c>
    </row>
    <row r="195" spans="1:11" s="285" customFormat="1" hidden="1" x14ac:dyDescent="0.25">
      <c r="A195" s="118">
        <v>40</v>
      </c>
      <c r="B195" s="151">
        <v>1200</v>
      </c>
      <c r="C195" s="94" t="s">
        <v>117</v>
      </c>
      <c r="D195" s="122"/>
      <c r="E195" s="98"/>
      <c r="F195" s="435"/>
      <c r="G195" s="435"/>
      <c r="H195" s="85">
        <f t="shared" si="15"/>
        <v>0</v>
      </c>
      <c r="I195" s="428">
        <f t="shared" si="16"/>
        <v>0</v>
      </c>
      <c r="J195" s="428">
        <f t="shared" si="17"/>
        <v>0</v>
      </c>
      <c r="K195" s="428">
        <f t="shared" si="18"/>
        <v>0</v>
      </c>
    </row>
    <row r="196" spans="1:11" s="285" customFormat="1" hidden="1" x14ac:dyDescent="0.25">
      <c r="A196" s="118">
        <v>40</v>
      </c>
      <c r="B196" s="151">
        <v>1205</v>
      </c>
      <c r="C196" s="115" t="s">
        <v>105</v>
      </c>
      <c r="D196" s="122"/>
      <c r="E196" s="98"/>
      <c r="F196" s="435"/>
      <c r="G196" s="435"/>
      <c r="H196" s="85">
        <f t="shared" si="15"/>
        <v>0</v>
      </c>
      <c r="I196" s="428">
        <f t="shared" si="16"/>
        <v>0</v>
      </c>
      <c r="J196" s="428">
        <f t="shared" si="17"/>
        <v>0</v>
      </c>
      <c r="K196" s="428">
        <f t="shared" si="18"/>
        <v>0</v>
      </c>
    </row>
    <row r="197" spans="1:11" s="285" customFormat="1" hidden="1" x14ac:dyDescent="0.25">
      <c r="A197" s="118">
        <v>40</v>
      </c>
      <c r="B197" s="151">
        <v>1210</v>
      </c>
      <c r="C197" s="94" t="s">
        <v>118</v>
      </c>
      <c r="D197" s="122"/>
      <c r="E197" s="98"/>
      <c r="F197" s="435"/>
      <c r="G197" s="435"/>
      <c r="H197" s="85">
        <f t="shared" si="15"/>
        <v>0</v>
      </c>
      <c r="I197" s="428">
        <f t="shared" si="16"/>
        <v>0</v>
      </c>
      <c r="J197" s="428">
        <f t="shared" si="17"/>
        <v>0</v>
      </c>
      <c r="K197" s="428">
        <f t="shared" si="18"/>
        <v>0</v>
      </c>
    </row>
    <row r="198" spans="1:11" s="285" customFormat="1" hidden="1" x14ac:dyDescent="0.25">
      <c r="A198" s="118">
        <v>40</v>
      </c>
      <c r="B198" s="151">
        <v>1215</v>
      </c>
      <c r="C198" s="94" t="s">
        <v>133</v>
      </c>
      <c r="D198" s="122"/>
      <c r="E198" s="98"/>
      <c r="F198" s="435"/>
      <c r="G198" s="435"/>
      <c r="H198" s="85">
        <f t="shared" si="15"/>
        <v>0</v>
      </c>
      <c r="I198" s="428">
        <f t="shared" si="16"/>
        <v>0</v>
      </c>
      <c r="J198" s="428">
        <f t="shared" si="17"/>
        <v>0</v>
      </c>
      <c r="K198" s="428">
        <f t="shared" si="18"/>
        <v>0</v>
      </c>
    </row>
    <row r="199" spans="1:11" s="285" customFormat="1" hidden="1" x14ac:dyDescent="0.25">
      <c r="A199" s="118">
        <v>40</v>
      </c>
      <c r="B199" s="151">
        <v>5905</v>
      </c>
      <c r="C199" s="94" t="s">
        <v>329</v>
      </c>
      <c r="D199" s="85"/>
      <c r="E199" s="85"/>
      <c r="F199" s="428"/>
      <c r="G199" s="428"/>
      <c r="H199" s="85">
        <f t="shared" si="15"/>
        <v>0</v>
      </c>
      <c r="I199" s="428">
        <f t="shared" si="16"/>
        <v>0</v>
      </c>
      <c r="J199" s="428">
        <f t="shared" si="17"/>
        <v>0</v>
      </c>
      <c r="K199" s="428">
        <f t="shared" si="18"/>
        <v>0</v>
      </c>
    </row>
    <row r="200" spans="1:11" s="285" customFormat="1" x14ac:dyDescent="0.25">
      <c r="A200" s="118">
        <v>40</v>
      </c>
      <c r="B200" s="151">
        <v>5900</v>
      </c>
      <c r="C200" s="94" t="s">
        <v>333</v>
      </c>
      <c r="D200" s="85">
        <v>-80625</v>
      </c>
      <c r="E200" s="85">
        <v>-85119</v>
      </c>
      <c r="F200" s="428">
        <v>-85119</v>
      </c>
      <c r="G200" s="428">
        <v>-85119</v>
      </c>
      <c r="H200" s="85">
        <f t="shared" si="15"/>
        <v>-93630.9</v>
      </c>
      <c r="I200" s="428">
        <f t="shared" si="16"/>
        <v>-99061.492199999993</v>
      </c>
      <c r="J200" s="428">
        <f t="shared" si="17"/>
        <v>-104509.87427099999</v>
      </c>
      <c r="K200" s="428">
        <f t="shared" si="18"/>
        <v>-110048.89760736299</v>
      </c>
    </row>
    <row r="201" spans="1:11" s="285" customFormat="1" hidden="1" x14ac:dyDescent="0.25">
      <c r="A201" s="118">
        <v>40</v>
      </c>
      <c r="B201" s="151">
        <v>1220</v>
      </c>
      <c r="C201" s="94" t="s">
        <v>340</v>
      </c>
      <c r="D201" s="122"/>
      <c r="E201" s="98">
        <v>0</v>
      </c>
      <c r="F201" s="85">
        <f>E201-D201</f>
        <v>0</v>
      </c>
      <c r="G201" s="428">
        <v>0</v>
      </c>
      <c r="H201" s="85">
        <f t="shared" si="15"/>
        <v>0</v>
      </c>
      <c r="I201" s="428">
        <f t="shared" si="16"/>
        <v>0</v>
      </c>
      <c r="J201" s="428">
        <f t="shared" si="17"/>
        <v>0</v>
      </c>
      <c r="K201" s="428">
        <f t="shared" si="18"/>
        <v>0</v>
      </c>
    </row>
    <row r="202" spans="1:11" s="285" customFormat="1" hidden="1" x14ac:dyDescent="0.25">
      <c r="A202" s="118">
        <v>40</v>
      </c>
      <c r="B202" s="151">
        <v>1225</v>
      </c>
      <c r="C202" s="94" t="s">
        <v>370</v>
      </c>
      <c r="D202" s="122"/>
      <c r="E202" s="98">
        <v>0</v>
      </c>
      <c r="F202" s="85">
        <f>E202-D202</f>
        <v>0</v>
      </c>
      <c r="G202" s="428">
        <v>0</v>
      </c>
      <c r="H202" s="85">
        <f t="shared" si="15"/>
        <v>0</v>
      </c>
      <c r="I202" s="428">
        <f t="shared" si="16"/>
        <v>0</v>
      </c>
      <c r="J202" s="428">
        <f t="shared" si="17"/>
        <v>0</v>
      </c>
      <c r="K202" s="428">
        <f t="shared" si="18"/>
        <v>0</v>
      </c>
    </row>
    <row r="203" spans="1:11" s="285" customFormat="1" hidden="1" x14ac:dyDescent="0.25">
      <c r="A203" s="118">
        <v>40</v>
      </c>
      <c r="B203" s="151">
        <v>1230</v>
      </c>
      <c r="C203" s="94" t="s">
        <v>119</v>
      </c>
      <c r="D203" s="122"/>
      <c r="E203" s="98">
        <v>0</v>
      </c>
      <c r="F203" s="85">
        <f>E203-D203</f>
        <v>0</v>
      </c>
      <c r="G203" s="428">
        <v>0</v>
      </c>
      <c r="H203" s="85">
        <f t="shared" si="15"/>
        <v>0</v>
      </c>
      <c r="I203" s="428">
        <f t="shared" si="16"/>
        <v>0</v>
      </c>
      <c r="J203" s="428">
        <f t="shared" si="17"/>
        <v>0</v>
      </c>
      <c r="K203" s="428">
        <f t="shared" si="18"/>
        <v>0</v>
      </c>
    </row>
    <row r="204" spans="1:11" s="285" customFormat="1" hidden="1" x14ac:dyDescent="0.25">
      <c r="A204" s="118">
        <v>40</v>
      </c>
      <c r="B204" s="151">
        <v>1235</v>
      </c>
      <c r="C204" s="94" t="s">
        <v>347</v>
      </c>
      <c r="D204" s="122"/>
      <c r="E204" s="98">
        <v>0</v>
      </c>
      <c r="F204" s="85">
        <f>E204-D204</f>
        <v>0</v>
      </c>
      <c r="G204" s="428">
        <v>0</v>
      </c>
      <c r="H204" s="85">
        <f t="shared" si="15"/>
        <v>0</v>
      </c>
      <c r="I204" s="428">
        <f t="shared" si="16"/>
        <v>0</v>
      </c>
      <c r="J204" s="428">
        <f t="shared" si="17"/>
        <v>0</v>
      </c>
      <c r="K204" s="428">
        <f t="shared" si="18"/>
        <v>0</v>
      </c>
    </row>
    <row r="205" spans="1:11" s="285" customFormat="1" x14ac:dyDescent="0.25">
      <c r="A205" s="118"/>
      <c r="B205" s="151"/>
      <c r="C205" s="94" t="s">
        <v>510</v>
      </c>
      <c r="D205" s="225"/>
      <c r="E205" s="85"/>
      <c r="F205" s="85">
        <f>E205-D205</f>
        <v>0</v>
      </c>
      <c r="G205" s="428">
        <v>0</v>
      </c>
      <c r="H205" s="85">
        <f t="shared" si="15"/>
        <v>0</v>
      </c>
      <c r="I205" s="428">
        <f t="shared" si="16"/>
        <v>0</v>
      </c>
      <c r="J205" s="428">
        <f t="shared" si="17"/>
        <v>0</v>
      </c>
      <c r="K205" s="428">
        <f t="shared" si="18"/>
        <v>0</v>
      </c>
    </row>
    <row r="206" spans="1:11" s="285" customFormat="1" x14ac:dyDescent="0.25">
      <c r="A206" s="344"/>
      <c r="B206" s="151"/>
      <c r="C206" s="94"/>
      <c r="D206" s="100">
        <v>-186942</v>
      </c>
      <c r="E206" s="100">
        <f>SUM(E176:E204)</f>
        <v>-198349</v>
      </c>
      <c r="F206" s="100">
        <f>SUM(F176:F204)</f>
        <v>-198349</v>
      </c>
      <c r="G206" s="437">
        <v>-11407</v>
      </c>
      <c r="H206" s="100">
        <f>SUM(H176:H204)</f>
        <v>-218183.9</v>
      </c>
      <c r="I206" s="437">
        <f>SUM(I176:I204)</f>
        <v>-230838.5662</v>
      </c>
      <c r="J206" s="437">
        <f>SUM(J176:J204)</f>
        <v>-243534.68734099995</v>
      </c>
      <c r="K206" s="437">
        <f>SUM(K176:K204)</f>
        <v>-256442.02577007294</v>
      </c>
    </row>
    <row r="207" spans="1:11" s="285" customFormat="1" hidden="1" x14ac:dyDescent="0.25">
      <c r="A207" s="344"/>
      <c r="B207" s="151"/>
      <c r="C207" s="93" t="s">
        <v>66</v>
      </c>
      <c r="D207" s="122"/>
      <c r="E207" s="98"/>
      <c r="F207" s="98"/>
      <c r="G207" s="435"/>
      <c r="H207" s="98"/>
      <c r="I207" s="435"/>
      <c r="J207" s="435"/>
      <c r="K207" s="435"/>
    </row>
    <row r="208" spans="1:11" s="285" customFormat="1" hidden="1" x14ac:dyDescent="0.25">
      <c r="A208" s="118">
        <v>40</v>
      </c>
      <c r="B208" s="151">
        <v>1305</v>
      </c>
      <c r="C208" s="94" t="s">
        <v>342</v>
      </c>
      <c r="D208" s="122">
        <v>0</v>
      </c>
      <c r="E208" s="98"/>
      <c r="F208" s="98">
        <f>E208/8*12</f>
        <v>0</v>
      </c>
      <c r="G208" s="435">
        <v>0</v>
      </c>
      <c r="H208" s="98"/>
      <c r="I208" s="435"/>
      <c r="J208" s="435"/>
      <c r="K208" s="435"/>
    </row>
    <row r="209" spans="1:11" s="285" customFormat="1" hidden="1" x14ac:dyDescent="0.25">
      <c r="A209" s="118">
        <v>40</v>
      </c>
      <c r="B209" s="151">
        <v>1310</v>
      </c>
      <c r="C209" s="94" t="s">
        <v>344</v>
      </c>
      <c r="D209" s="122">
        <v>0</v>
      </c>
      <c r="E209" s="98"/>
      <c r="F209" s="98">
        <f>E209/8*12</f>
        <v>0</v>
      </c>
      <c r="G209" s="435">
        <v>0</v>
      </c>
      <c r="H209" s="98"/>
      <c r="I209" s="435"/>
      <c r="J209" s="435"/>
      <c r="K209" s="435"/>
    </row>
    <row r="210" spans="1:11" s="285" customFormat="1" hidden="1" x14ac:dyDescent="0.25">
      <c r="A210" s="118">
        <v>40</v>
      </c>
      <c r="B210" s="151">
        <v>1320</v>
      </c>
      <c r="C210" s="94" t="s">
        <v>345</v>
      </c>
      <c r="D210" s="122">
        <v>0</v>
      </c>
      <c r="E210" s="98"/>
      <c r="F210" s="98">
        <f>E210/8*12</f>
        <v>0</v>
      </c>
      <c r="G210" s="435">
        <v>0</v>
      </c>
      <c r="H210" s="98"/>
      <c r="I210" s="435"/>
      <c r="J210" s="435"/>
      <c r="K210" s="435"/>
    </row>
    <row r="211" spans="1:11" s="285" customFormat="1" hidden="1" x14ac:dyDescent="0.25">
      <c r="A211" s="118">
        <v>40</v>
      </c>
      <c r="B211" s="151">
        <v>1315</v>
      </c>
      <c r="C211" s="94" t="s">
        <v>346</v>
      </c>
      <c r="D211" s="122">
        <v>0</v>
      </c>
      <c r="E211" s="108"/>
      <c r="F211" s="98">
        <f>E211/8*12</f>
        <v>0</v>
      </c>
      <c r="G211" s="435">
        <v>0</v>
      </c>
      <c r="H211" s="98"/>
      <c r="I211" s="435"/>
      <c r="J211" s="435"/>
      <c r="K211" s="435"/>
    </row>
    <row r="212" spans="1:11" s="285" customFormat="1" hidden="1" x14ac:dyDescent="0.25">
      <c r="A212" s="344"/>
      <c r="B212" s="151"/>
      <c r="C212" s="94"/>
      <c r="D212" s="99">
        <v>0</v>
      </c>
      <c r="E212" s="99">
        <f>SUM(E208:E211)</f>
        <v>0</v>
      </c>
      <c r="F212" s="99">
        <f>SUM(F208:F211)</f>
        <v>0</v>
      </c>
      <c r="G212" s="436">
        <v>0</v>
      </c>
      <c r="H212" s="99"/>
      <c r="I212" s="436"/>
      <c r="J212" s="436"/>
      <c r="K212" s="436"/>
    </row>
    <row r="213" spans="1:11" s="285" customFormat="1" hidden="1" x14ac:dyDescent="0.25">
      <c r="A213" s="344"/>
      <c r="B213" s="151"/>
      <c r="C213" s="93" t="s">
        <v>67</v>
      </c>
      <c r="D213" s="122"/>
      <c r="E213" s="98"/>
      <c r="F213" s="98"/>
      <c r="G213" s="435"/>
      <c r="H213" s="98"/>
      <c r="I213" s="435"/>
      <c r="J213" s="435"/>
      <c r="K213" s="435"/>
    </row>
    <row r="214" spans="1:11" s="285" customFormat="1" hidden="1" x14ac:dyDescent="0.25">
      <c r="A214" s="118">
        <v>40</v>
      </c>
      <c r="B214" s="151">
        <v>1400</v>
      </c>
      <c r="C214" s="94" t="s">
        <v>68</v>
      </c>
      <c r="D214" s="122">
        <v>0</v>
      </c>
      <c r="E214" s="108"/>
      <c r="F214" s="98">
        <f>E214/8*12</f>
        <v>0</v>
      </c>
      <c r="G214" s="435">
        <v>0</v>
      </c>
      <c r="H214" s="98"/>
      <c r="I214" s="435"/>
      <c r="J214" s="435"/>
      <c r="K214" s="435"/>
    </row>
    <row r="215" spans="1:11" s="285" customFormat="1" hidden="1" x14ac:dyDescent="0.25">
      <c r="A215" s="118">
        <v>40</v>
      </c>
      <c r="B215" s="151">
        <v>1405</v>
      </c>
      <c r="C215" s="94" t="s">
        <v>69</v>
      </c>
      <c r="D215" s="122">
        <v>0</v>
      </c>
      <c r="E215" s="108"/>
      <c r="F215" s="98">
        <f>E215/8*12</f>
        <v>0</v>
      </c>
      <c r="G215" s="435">
        <v>0</v>
      </c>
      <c r="H215" s="98"/>
      <c r="I215" s="435"/>
      <c r="J215" s="435"/>
      <c r="K215" s="435"/>
    </row>
    <row r="216" spans="1:11" s="285" customFormat="1" hidden="1" x14ac:dyDescent="0.25">
      <c r="A216" s="344"/>
      <c r="B216" s="151"/>
      <c r="C216" s="94"/>
      <c r="D216" s="99">
        <v>0</v>
      </c>
      <c r="E216" s="99">
        <f>SUM(E214:E215)</f>
        <v>0</v>
      </c>
      <c r="F216" s="99">
        <f>SUM(F214:F215)</f>
        <v>0</v>
      </c>
      <c r="G216" s="436">
        <v>0</v>
      </c>
      <c r="H216" s="99"/>
      <c r="I216" s="436"/>
      <c r="J216" s="436"/>
      <c r="K216" s="436"/>
    </row>
    <row r="217" spans="1:11" s="285" customFormat="1" hidden="1" x14ac:dyDescent="0.25">
      <c r="A217" s="344"/>
      <c r="B217" s="151"/>
      <c r="C217" s="93" t="s">
        <v>70</v>
      </c>
      <c r="D217" s="122"/>
      <c r="E217" s="98"/>
      <c r="F217" s="98"/>
      <c r="G217" s="435"/>
      <c r="H217" s="98"/>
      <c r="I217" s="435"/>
      <c r="J217" s="435"/>
      <c r="K217" s="435"/>
    </row>
    <row r="218" spans="1:11" s="285" customFormat="1" hidden="1" x14ac:dyDescent="0.25">
      <c r="A218" s="118">
        <v>40</v>
      </c>
      <c r="B218" s="151">
        <v>1500</v>
      </c>
      <c r="C218" s="94" t="s">
        <v>106</v>
      </c>
      <c r="D218" s="122">
        <v>0</v>
      </c>
      <c r="E218" s="108"/>
      <c r="F218" s="98">
        <f>E218/8*12</f>
        <v>0</v>
      </c>
      <c r="G218" s="435">
        <v>0</v>
      </c>
      <c r="H218" s="98"/>
      <c r="I218" s="435"/>
      <c r="J218" s="435"/>
      <c r="K218" s="435"/>
    </row>
    <row r="219" spans="1:11" s="285" customFormat="1" hidden="1" x14ac:dyDescent="0.25">
      <c r="A219" s="118">
        <v>40</v>
      </c>
      <c r="B219" s="151">
        <v>1505</v>
      </c>
      <c r="C219" s="94" t="s">
        <v>71</v>
      </c>
      <c r="D219" s="122">
        <v>0</v>
      </c>
      <c r="E219" s="108"/>
      <c r="F219" s="98">
        <f>E219/8*12</f>
        <v>0</v>
      </c>
      <c r="G219" s="435">
        <v>0</v>
      </c>
      <c r="H219" s="98"/>
      <c r="I219" s="435"/>
      <c r="J219" s="435"/>
      <c r="K219" s="435"/>
    </row>
    <row r="220" spans="1:11" s="285" customFormat="1" hidden="1" x14ac:dyDescent="0.25">
      <c r="A220" s="118">
        <v>40</v>
      </c>
      <c r="B220" s="151">
        <v>1510</v>
      </c>
      <c r="C220" s="94" t="s">
        <v>72</v>
      </c>
      <c r="D220" s="122">
        <v>0</v>
      </c>
      <c r="E220" s="108"/>
      <c r="F220" s="98">
        <f>E220/8*12</f>
        <v>0</v>
      </c>
      <c r="G220" s="435">
        <v>0</v>
      </c>
      <c r="H220" s="98"/>
      <c r="I220" s="435"/>
      <c r="J220" s="435"/>
      <c r="K220" s="435"/>
    </row>
    <row r="221" spans="1:11" s="285" customFormat="1" hidden="1" x14ac:dyDescent="0.25">
      <c r="A221" s="344"/>
      <c r="B221" s="151"/>
      <c r="C221" s="94"/>
      <c r="D221" s="99">
        <v>0</v>
      </c>
      <c r="E221" s="99">
        <f>SUM(E218:E220)</f>
        <v>0</v>
      </c>
      <c r="F221" s="99">
        <f>SUM(F218:F220)</f>
        <v>0</v>
      </c>
      <c r="G221" s="436">
        <v>0</v>
      </c>
      <c r="H221" s="99"/>
      <c r="I221" s="436"/>
      <c r="J221" s="436"/>
      <c r="K221" s="436"/>
    </row>
    <row r="222" spans="1:11" s="285" customFormat="1" hidden="1" x14ac:dyDescent="0.25">
      <c r="A222" s="344"/>
      <c r="B222" s="151"/>
      <c r="C222" s="93" t="s">
        <v>73</v>
      </c>
      <c r="D222" s="122"/>
      <c r="E222" s="98"/>
      <c r="F222" s="98"/>
      <c r="G222" s="435"/>
      <c r="H222" s="98"/>
      <c r="I222" s="435"/>
      <c r="J222" s="435"/>
      <c r="K222" s="435"/>
    </row>
    <row r="223" spans="1:11" s="285" customFormat="1" hidden="1" x14ac:dyDescent="0.25">
      <c r="A223" s="118">
        <v>40</v>
      </c>
      <c r="B223" s="151">
        <v>1550</v>
      </c>
      <c r="C223" s="94" t="s">
        <v>349</v>
      </c>
      <c r="D223" s="122">
        <v>0</v>
      </c>
      <c r="E223" s="98"/>
      <c r="F223" s="98">
        <f>E223/8*12</f>
        <v>0</v>
      </c>
      <c r="G223" s="435">
        <v>0</v>
      </c>
      <c r="H223" s="98"/>
      <c r="I223" s="435"/>
      <c r="J223" s="435"/>
      <c r="K223" s="435"/>
    </row>
    <row r="224" spans="1:11" s="285" customFormat="1" hidden="1" x14ac:dyDescent="0.25">
      <c r="A224" s="118">
        <v>40</v>
      </c>
      <c r="B224" s="151">
        <v>1555</v>
      </c>
      <c r="C224" s="94" t="s">
        <v>348</v>
      </c>
      <c r="D224" s="122">
        <v>0</v>
      </c>
      <c r="E224" s="98"/>
      <c r="F224" s="98">
        <f>E224/8*12</f>
        <v>0</v>
      </c>
      <c r="G224" s="435">
        <v>0</v>
      </c>
      <c r="H224" s="98"/>
      <c r="I224" s="435"/>
      <c r="J224" s="435"/>
      <c r="K224" s="435"/>
    </row>
    <row r="225" spans="1:11" s="285" customFormat="1" hidden="1" x14ac:dyDescent="0.25">
      <c r="A225" s="344"/>
      <c r="B225" s="151"/>
      <c r="C225" s="94"/>
      <c r="D225" s="100">
        <v>0</v>
      </c>
      <c r="E225" s="100">
        <f>SUM(E223:E224)</f>
        <v>0</v>
      </c>
      <c r="F225" s="100">
        <f>SUM(F223:F224)</f>
        <v>0</v>
      </c>
      <c r="G225" s="437">
        <v>0</v>
      </c>
      <c r="H225" s="100"/>
      <c r="I225" s="437"/>
      <c r="J225" s="437"/>
      <c r="K225" s="437"/>
    </row>
    <row r="226" spans="1:11" s="285" customFormat="1" ht="13.5" hidden="1" customHeight="1" x14ac:dyDescent="0.25">
      <c r="A226" s="344"/>
      <c r="B226" s="151"/>
      <c r="C226" s="93" t="s">
        <v>74</v>
      </c>
      <c r="D226" s="122"/>
      <c r="E226" s="98"/>
      <c r="F226" s="98"/>
      <c r="G226" s="435"/>
      <c r="H226" s="98"/>
      <c r="I226" s="435"/>
      <c r="J226" s="435"/>
      <c r="K226" s="435"/>
    </row>
    <row r="227" spans="1:11" s="285" customFormat="1" hidden="1" x14ac:dyDescent="0.25">
      <c r="A227" s="118">
        <v>40</v>
      </c>
      <c r="B227" s="151">
        <v>1605</v>
      </c>
      <c r="C227" s="94" t="s">
        <v>75</v>
      </c>
      <c r="D227" s="122">
        <v>0</v>
      </c>
      <c r="E227" s="98"/>
      <c r="F227" s="98">
        <f t="shared" ref="F227:F239" si="19">E227/8*12</f>
        <v>0</v>
      </c>
      <c r="G227" s="435">
        <v>0</v>
      </c>
      <c r="H227" s="98"/>
      <c r="I227" s="435"/>
      <c r="J227" s="435"/>
      <c r="K227" s="435"/>
    </row>
    <row r="228" spans="1:11" s="285" customFormat="1" hidden="1" x14ac:dyDescent="0.25">
      <c r="A228" s="118">
        <v>40</v>
      </c>
      <c r="B228" s="151">
        <v>1610</v>
      </c>
      <c r="C228" s="94" t="s">
        <v>131</v>
      </c>
      <c r="D228" s="122">
        <v>0</v>
      </c>
      <c r="E228" s="108"/>
      <c r="F228" s="98">
        <f t="shared" si="19"/>
        <v>0</v>
      </c>
      <c r="G228" s="435">
        <v>0</v>
      </c>
      <c r="H228" s="98"/>
      <c r="I228" s="435"/>
      <c r="J228" s="435"/>
      <c r="K228" s="435"/>
    </row>
    <row r="229" spans="1:11" s="285" customFormat="1" hidden="1" x14ac:dyDescent="0.25">
      <c r="A229" s="118">
        <v>40</v>
      </c>
      <c r="B229" s="151">
        <v>1615</v>
      </c>
      <c r="C229" s="94" t="s">
        <v>182</v>
      </c>
      <c r="D229" s="122">
        <v>0</v>
      </c>
      <c r="E229" s="108"/>
      <c r="F229" s="98">
        <f t="shared" si="19"/>
        <v>0</v>
      </c>
      <c r="G229" s="435">
        <v>0</v>
      </c>
      <c r="H229" s="98"/>
      <c r="I229" s="435"/>
      <c r="J229" s="435"/>
      <c r="K229" s="435"/>
    </row>
    <row r="230" spans="1:11" s="285" customFormat="1" hidden="1" x14ac:dyDescent="0.25">
      <c r="A230" s="118">
        <v>40</v>
      </c>
      <c r="B230" s="151">
        <v>1620</v>
      </c>
      <c r="C230" s="94" t="s">
        <v>255</v>
      </c>
      <c r="D230" s="122">
        <v>0</v>
      </c>
      <c r="E230" s="108"/>
      <c r="F230" s="98">
        <f t="shared" si="19"/>
        <v>0</v>
      </c>
      <c r="G230" s="435">
        <v>0</v>
      </c>
      <c r="H230" s="98"/>
      <c r="I230" s="435"/>
      <c r="J230" s="435"/>
      <c r="K230" s="435"/>
    </row>
    <row r="231" spans="1:11" s="285" customFormat="1" hidden="1" x14ac:dyDescent="0.25">
      <c r="A231" s="118">
        <v>40</v>
      </c>
      <c r="B231" s="151">
        <v>1625</v>
      </c>
      <c r="C231" s="94" t="s">
        <v>108</v>
      </c>
      <c r="D231" s="122">
        <v>0</v>
      </c>
      <c r="E231" s="108"/>
      <c r="F231" s="98">
        <f t="shared" si="19"/>
        <v>0</v>
      </c>
      <c r="G231" s="435">
        <v>0</v>
      </c>
      <c r="H231" s="98"/>
      <c r="I231" s="435"/>
      <c r="J231" s="435"/>
      <c r="K231" s="435"/>
    </row>
    <row r="232" spans="1:11" s="285" customFormat="1" hidden="1" x14ac:dyDescent="0.25">
      <c r="A232" s="118">
        <v>40</v>
      </c>
      <c r="B232" s="151">
        <v>1630</v>
      </c>
      <c r="C232" s="94" t="s">
        <v>76</v>
      </c>
      <c r="D232" s="122">
        <v>0</v>
      </c>
      <c r="E232" s="108"/>
      <c r="F232" s="98">
        <f t="shared" si="19"/>
        <v>0</v>
      </c>
      <c r="G232" s="435">
        <v>0</v>
      </c>
      <c r="H232" s="98"/>
      <c r="I232" s="435"/>
      <c r="J232" s="435"/>
      <c r="K232" s="435"/>
    </row>
    <row r="233" spans="1:11" s="285" customFormat="1" hidden="1" x14ac:dyDescent="0.25">
      <c r="A233" s="118">
        <v>40</v>
      </c>
      <c r="B233" s="151">
        <v>1635</v>
      </c>
      <c r="C233" s="94" t="s">
        <v>180</v>
      </c>
      <c r="D233" s="122">
        <v>0</v>
      </c>
      <c r="E233" s="108"/>
      <c r="F233" s="98">
        <f t="shared" si="19"/>
        <v>0</v>
      </c>
      <c r="G233" s="435">
        <v>0</v>
      </c>
      <c r="H233" s="98"/>
      <c r="I233" s="435"/>
      <c r="J233" s="435"/>
      <c r="K233" s="435"/>
    </row>
    <row r="234" spans="1:11" s="285" customFormat="1" hidden="1" x14ac:dyDescent="0.25">
      <c r="A234" s="118">
        <v>40</v>
      </c>
      <c r="B234" s="151">
        <v>1640</v>
      </c>
      <c r="C234" s="94" t="s">
        <v>184</v>
      </c>
      <c r="D234" s="122">
        <v>0</v>
      </c>
      <c r="E234" s="108"/>
      <c r="F234" s="98">
        <f t="shared" si="19"/>
        <v>0</v>
      </c>
      <c r="G234" s="435">
        <v>0</v>
      </c>
      <c r="H234" s="98"/>
      <c r="I234" s="435"/>
      <c r="J234" s="435"/>
      <c r="K234" s="435"/>
    </row>
    <row r="235" spans="1:11" s="285" customFormat="1" hidden="1" x14ac:dyDescent="0.25">
      <c r="A235" s="118">
        <v>40</v>
      </c>
      <c r="B235" s="151">
        <v>1645</v>
      </c>
      <c r="C235" s="94" t="s">
        <v>77</v>
      </c>
      <c r="D235" s="122">
        <v>0</v>
      </c>
      <c r="E235" s="108"/>
      <c r="F235" s="98">
        <f t="shared" si="19"/>
        <v>0</v>
      </c>
      <c r="G235" s="435">
        <v>0</v>
      </c>
      <c r="H235" s="98"/>
      <c r="I235" s="435"/>
      <c r="J235" s="435"/>
      <c r="K235" s="435"/>
    </row>
    <row r="236" spans="1:11" s="285" customFormat="1" hidden="1" x14ac:dyDescent="0.25">
      <c r="A236" s="118">
        <v>40</v>
      </c>
      <c r="B236" s="151">
        <v>1650</v>
      </c>
      <c r="C236" s="94" t="s">
        <v>78</v>
      </c>
      <c r="D236" s="122">
        <v>0</v>
      </c>
      <c r="E236" s="108"/>
      <c r="F236" s="98">
        <f t="shared" si="19"/>
        <v>0</v>
      </c>
      <c r="G236" s="435">
        <v>0</v>
      </c>
      <c r="H236" s="98"/>
      <c r="I236" s="435"/>
      <c r="J236" s="435"/>
      <c r="K236" s="435"/>
    </row>
    <row r="237" spans="1:11" s="285" customFormat="1" hidden="1" x14ac:dyDescent="0.25">
      <c r="A237" s="118">
        <v>40</v>
      </c>
      <c r="B237" s="151"/>
      <c r="C237" s="94" t="s">
        <v>200</v>
      </c>
      <c r="D237" s="122">
        <v>0</v>
      </c>
      <c r="E237" s="108"/>
      <c r="F237" s="98">
        <f t="shared" si="19"/>
        <v>0</v>
      </c>
      <c r="G237" s="435">
        <v>0</v>
      </c>
      <c r="H237" s="98"/>
      <c r="I237" s="435"/>
      <c r="J237" s="435"/>
      <c r="K237" s="435"/>
    </row>
    <row r="238" spans="1:11" s="285" customFormat="1" hidden="1" x14ac:dyDescent="0.25">
      <c r="A238" s="118">
        <v>40</v>
      </c>
      <c r="B238" s="151">
        <v>1660</v>
      </c>
      <c r="C238" s="94" t="s">
        <v>185</v>
      </c>
      <c r="D238" s="122">
        <v>0</v>
      </c>
      <c r="E238" s="108"/>
      <c r="F238" s="98">
        <f t="shared" si="19"/>
        <v>0</v>
      </c>
      <c r="G238" s="435">
        <v>0</v>
      </c>
      <c r="H238" s="98"/>
      <c r="I238" s="435"/>
      <c r="J238" s="435"/>
      <c r="K238" s="435"/>
    </row>
    <row r="239" spans="1:11" s="285" customFormat="1" hidden="1" x14ac:dyDescent="0.25">
      <c r="A239" s="118">
        <v>40</v>
      </c>
      <c r="B239" s="151">
        <v>1665</v>
      </c>
      <c r="C239" s="94" t="s">
        <v>181</v>
      </c>
      <c r="D239" s="122">
        <v>0</v>
      </c>
      <c r="E239" s="108"/>
      <c r="F239" s="98">
        <f t="shared" si="19"/>
        <v>0</v>
      </c>
      <c r="G239" s="435">
        <v>0</v>
      </c>
      <c r="H239" s="98"/>
      <c r="I239" s="435"/>
      <c r="J239" s="435"/>
      <c r="K239" s="435"/>
    </row>
    <row r="240" spans="1:11" s="285" customFormat="1" hidden="1" x14ac:dyDescent="0.25">
      <c r="A240" s="344"/>
      <c r="B240" s="151"/>
      <c r="C240" s="94"/>
      <c r="D240" s="99">
        <v>0</v>
      </c>
      <c r="E240" s="99">
        <f>SUM(E227:E239)</f>
        <v>0</v>
      </c>
      <c r="F240" s="99">
        <f>SUM(F227:F239)</f>
        <v>0</v>
      </c>
      <c r="G240" s="436">
        <v>0</v>
      </c>
      <c r="H240" s="99"/>
      <c r="I240" s="436"/>
      <c r="J240" s="436"/>
      <c r="K240" s="436"/>
    </row>
    <row r="241" spans="1:11" s="285" customFormat="1" hidden="1" x14ac:dyDescent="0.25">
      <c r="A241" s="344"/>
      <c r="B241" s="151"/>
      <c r="C241" s="93" t="s">
        <v>79</v>
      </c>
      <c r="D241" s="122"/>
      <c r="E241" s="98"/>
      <c r="F241" s="98"/>
      <c r="G241" s="435"/>
      <c r="H241" s="98"/>
      <c r="I241" s="435"/>
      <c r="J241" s="435"/>
      <c r="K241" s="435"/>
    </row>
    <row r="242" spans="1:11" s="285" customFormat="1" hidden="1" x14ac:dyDescent="0.25">
      <c r="A242" s="118">
        <v>40</v>
      </c>
      <c r="B242" s="151">
        <v>1705</v>
      </c>
      <c r="C242" s="94" t="s">
        <v>123</v>
      </c>
      <c r="D242" s="122">
        <v>0</v>
      </c>
      <c r="E242" s="98"/>
      <c r="F242" s="98">
        <f t="shared" ref="F242:F247" si="20">E242/8*12</f>
        <v>0</v>
      </c>
      <c r="G242" s="435">
        <v>0</v>
      </c>
      <c r="H242" s="98"/>
      <c r="I242" s="435"/>
      <c r="J242" s="435"/>
      <c r="K242" s="435"/>
    </row>
    <row r="243" spans="1:11" s="285" customFormat="1" hidden="1" x14ac:dyDescent="0.25">
      <c r="A243" s="118">
        <v>40</v>
      </c>
      <c r="B243" s="151">
        <v>1710</v>
      </c>
      <c r="C243" s="94" t="s">
        <v>242</v>
      </c>
      <c r="D243" s="122">
        <v>0</v>
      </c>
      <c r="E243" s="98"/>
      <c r="F243" s="98">
        <f t="shared" si="20"/>
        <v>0</v>
      </c>
      <c r="G243" s="435">
        <v>0</v>
      </c>
      <c r="H243" s="98"/>
      <c r="I243" s="435"/>
      <c r="J243" s="435"/>
      <c r="K243" s="435"/>
    </row>
    <row r="244" spans="1:11" s="285" customFormat="1" hidden="1" x14ac:dyDescent="0.25">
      <c r="A244" s="118">
        <v>40</v>
      </c>
      <c r="B244" s="151">
        <v>1715</v>
      </c>
      <c r="C244" s="94" t="s">
        <v>183</v>
      </c>
      <c r="D244" s="122">
        <v>0</v>
      </c>
      <c r="E244" s="98"/>
      <c r="F244" s="98">
        <f t="shared" si="20"/>
        <v>0</v>
      </c>
      <c r="G244" s="435">
        <v>0</v>
      </c>
      <c r="H244" s="98"/>
      <c r="I244" s="435"/>
      <c r="J244" s="435"/>
      <c r="K244" s="435"/>
    </row>
    <row r="245" spans="1:11" s="285" customFormat="1" hidden="1" x14ac:dyDescent="0.25">
      <c r="A245" s="118">
        <v>40</v>
      </c>
      <c r="B245" s="151">
        <v>1720</v>
      </c>
      <c r="C245" s="94" t="s">
        <v>103</v>
      </c>
      <c r="D245" s="122">
        <v>0</v>
      </c>
      <c r="E245" s="98"/>
      <c r="F245" s="98">
        <f t="shared" si="20"/>
        <v>0</v>
      </c>
      <c r="G245" s="435">
        <v>0</v>
      </c>
      <c r="H245" s="98"/>
      <c r="I245" s="435"/>
      <c r="J245" s="435"/>
      <c r="K245" s="435"/>
    </row>
    <row r="246" spans="1:11" s="285" customFormat="1" hidden="1" x14ac:dyDescent="0.25">
      <c r="A246" s="118">
        <v>40</v>
      </c>
      <c r="B246" s="151">
        <v>1725</v>
      </c>
      <c r="C246" s="94" t="s">
        <v>107</v>
      </c>
      <c r="D246" s="122">
        <v>0</v>
      </c>
      <c r="E246" s="98"/>
      <c r="F246" s="98">
        <f t="shared" si="20"/>
        <v>0</v>
      </c>
      <c r="G246" s="435">
        <v>0</v>
      </c>
      <c r="H246" s="98"/>
      <c r="I246" s="435"/>
      <c r="J246" s="435"/>
      <c r="K246" s="435"/>
    </row>
    <row r="247" spans="1:11" s="285" customFormat="1" hidden="1" x14ac:dyDescent="0.25">
      <c r="A247" s="118">
        <v>40</v>
      </c>
      <c r="B247" s="151">
        <v>1730</v>
      </c>
      <c r="C247" s="94" t="s">
        <v>256</v>
      </c>
      <c r="D247" s="122">
        <v>0</v>
      </c>
      <c r="E247" s="98"/>
      <c r="F247" s="98">
        <f t="shared" si="20"/>
        <v>0</v>
      </c>
      <c r="G247" s="435">
        <v>0</v>
      </c>
      <c r="H247" s="98"/>
      <c r="I247" s="435"/>
      <c r="J247" s="435"/>
      <c r="K247" s="435"/>
    </row>
    <row r="248" spans="1:11" s="285" customFormat="1" hidden="1" x14ac:dyDescent="0.25">
      <c r="A248" s="344"/>
      <c r="B248" s="151"/>
      <c r="C248" s="94"/>
      <c r="D248" s="99">
        <v>0</v>
      </c>
      <c r="E248" s="99">
        <f>SUM(E242:E247)</f>
        <v>0</v>
      </c>
      <c r="F248" s="99">
        <f>SUM(F242:F247)</f>
        <v>0</v>
      </c>
      <c r="G248" s="436">
        <v>0</v>
      </c>
      <c r="H248" s="99"/>
      <c r="I248" s="436"/>
      <c r="J248" s="436"/>
      <c r="K248" s="436"/>
    </row>
    <row r="249" spans="1:11" s="285" customFormat="1" hidden="1" x14ac:dyDescent="0.25">
      <c r="A249" s="344"/>
      <c r="B249" s="151"/>
      <c r="C249" s="93" t="s">
        <v>80</v>
      </c>
      <c r="D249" s="122"/>
      <c r="E249" s="98"/>
      <c r="F249" s="98"/>
      <c r="G249" s="435"/>
      <c r="H249" s="98"/>
      <c r="I249" s="435"/>
      <c r="J249" s="435"/>
      <c r="K249" s="435"/>
    </row>
    <row r="250" spans="1:11" s="285" customFormat="1" hidden="1" x14ac:dyDescent="0.25">
      <c r="A250" s="118">
        <v>40</v>
      </c>
      <c r="B250" s="151">
        <v>1805</v>
      </c>
      <c r="C250" s="94" t="s">
        <v>81</v>
      </c>
      <c r="D250" s="122">
        <v>0</v>
      </c>
      <c r="E250" s="108"/>
      <c r="F250" s="98">
        <f>E250/8*12</f>
        <v>0</v>
      </c>
      <c r="G250" s="435">
        <v>0</v>
      </c>
      <c r="H250" s="98"/>
      <c r="I250" s="435"/>
      <c r="J250" s="435"/>
      <c r="K250" s="435"/>
    </row>
    <row r="251" spans="1:11" s="285" customFormat="1" hidden="1" x14ac:dyDescent="0.25">
      <c r="A251" s="344"/>
      <c r="B251" s="151"/>
      <c r="C251" s="94"/>
      <c r="D251" s="99">
        <v>0</v>
      </c>
      <c r="E251" s="99">
        <f>E250</f>
        <v>0</v>
      </c>
      <c r="F251" s="99">
        <f>F250</f>
        <v>0</v>
      </c>
      <c r="G251" s="436">
        <v>0</v>
      </c>
      <c r="H251" s="99"/>
      <c r="I251" s="436"/>
      <c r="J251" s="436"/>
      <c r="K251" s="436"/>
    </row>
    <row r="252" spans="1:11" s="285" customFormat="1" x14ac:dyDescent="0.25">
      <c r="A252" s="344"/>
      <c r="B252" s="346"/>
      <c r="C252" s="93" t="s">
        <v>192</v>
      </c>
      <c r="D252" s="117">
        <v>-186942</v>
      </c>
      <c r="E252" s="117">
        <f>SUM(E171:E251)/2</f>
        <v>-198349</v>
      </c>
      <c r="F252" s="117">
        <f>SUM(F171:F251)/2</f>
        <v>-198349</v>
      </c>
      <c r="G252" s="442">
        <v>-11407</v>
      </c>
      <c r="H252" s="117">
        <f>SUM(H171:H251)/2</f>
        <v>-218183.9</v>
      </c>
      <c r="I252" s="442">
        <f>SUM(I171:I251)/2</f>
        <v>-230838.5662</v>
      </c>
      <c r="J252" s="442">
        <f>SUM(J171:J251)/2</f>
        <v>-243534.68734099995</v>
      </c>
      <c r="K252" s="442">
        <f>SUM(K171:K251)/2</f>
        <v>-256442.02577007294</v>
      </c>
    </row>
    <row r="253" spans="1:11" s="285" customFormat="1" hidden="1" x14ac:dyDescent="0.25">
      <c r="A253" s="344"/>
      <c r="B253" s="151"/>
      <c r="C253" s="94"/>
      <c r="D253" s="117"/>
      <c r="E253" s="117"/>
      <c r="F253" s="117"/>
      <c r="G253" s="442"/>
      <c r="H253" s="117"/>
      <c r="I253" s="442"/>
      <c r="J253" s="442"/>
      <c r="K253" s="442"/>
    </row>
    <row r="254" spans="1:11" s="285" customFormat="1" hidden="1" x14ac:dyDescent="0.25">
      <c r="A254" s="344"/>
      <c r="B254" s="151"/>
      <c r="C254" s="145" t="s">
        <v>193</v>
      </c>
      <c r="D254" s="124"/>
      <c r="E254" s="146"/>
      <c r="F254" s="124"/>
      <c r="G254" s="445"/>
      <c r="H254" s="124"/>
      <c r="I254" s="445"/>
      <c r="J254" s="445"/>
      <c r="K254" s="445"/>
    </row>
    <row r="255" spans="1:11" s="285" customFormat="1" hidden="1" x14ac:dyDescent="0.25">
      <c r="A255" s="118">
        <v>40</v>
      </c>
      <c r="B255" s="151">
        <v>1905</v>
      </c>
      <c r="C255" s="118" t="s">
        <v>194</v>
      </c>
      <c r="D255" s="127">
        <v>0</v>
      </c>
      <c r="E255" s="147"/>
      <c r="F255" s="98">
        <f>E255/8*12</f>
        <v>0</v>
      </c>
      <c r="G255" s="435">
        <v>0</v>
      </c>
      <c r="H255" s="98"/>
      <c r="I255" s="435"/>
      <c r="J255" s="435"/>
      <c r="K255" s="435"/>
    </row>
    <row r="256" spans="1:11" s="285" customFormat="1" hidden="1" x14ac:dyDescent="0.25">
      <c r="A256" s="344"/>
      <c r="B256" s="151"/>
      <c r="C256" s="94"/>
      <c r="D256" s="117">
        <v>0</v>
      </c>
      <c r="E256" s="117">
        <f>SUM(E255)</f>
        <v>0</v>
      </c>
      <c r="F256" s="117">
        <f>SUM(F255)</f>
        <v>0</v>
      </c>
      <c r="G256" s="442">
        <v>0</v>
      </c>
      <c r="H256" s="117"/>
      <c r="I256" s="442"/>
      <c r="J256" s="442"/>
      <c r="K256" s="442"/>
    </row>
    <row r="257" spans="1:11" s="285" customFormat="1" x14ac:dyDescent="0.25">
      <c r="A257" s="344"/>
      <c r="B257" s="151"/>
      <c r="C257" s="93" t="s">
        <v>189</v>
      </c>
      <c r="D257" s="117">
        <v>-186942</v>
      </c>
      <c r="E257" s="117">
        <f>E252+E256</f>
        <v>-198349</v>
      </c>
      <c r="F257" s="117">
        <f>F252+F256</f>
        <v>-198349</v>
      </c>
      <c r="G257" s="442">
        <v>-11407</v>
      </c>
      <c r="H257" s="117">
        <f>H252+H256</f>
        <v>-218183.9</v>
      </c>
      <c r="I257" s="442">
        <f>I252+I256</f>
        <v>-230838.5662</v>
      </c>
      <c r="J257" s="442">
        <f>J252+J256</f>
        <v>-243534.68734099995</v>
      </c>
      <c r="K257" s="442">
        <f>K252+K256</f>
        <v>-256442.02577007294</v>
      </c>
    </row>
    <row r="258" spans="1:11" s="285" customFormat="1" hidden="1" x14ac:dyDescent="0.25">
      <c r="A258" s="344"/>
      <c r="B258" s="151"/>
      <c r="C258" s="145" t="s">
        <v>195</v>
      </c>
      <c r="D258" s="124"/>
      <c r="E258" s="148"/>
      <c r="F258" s="125"/>
      <c r="G258" s="446"/>
      <c r="H258" s="125"/>
      <c r="I258" s="446"/>
      <c r="J258" s="446"/>
      <c r="K258" s="446"/>
    </row>
    <row r="259" spans="1:11" s="285" customFormat="1" hidden="1" x14ac:dyDescent="0.25">
      <c r="A259" s="118">
        <v>40</v>
      </c>
      <c r="B259" s="151">
        <v>1950</v>
      </c>
      <c r="C259" s="118" t="s">
        <v>196</v>
      </c>
      <c r="D259" s="127">
        <v>0</v>
      </c>
      <c r="E259" s="147"/>
      <c r="F259" s="98">
        <f>E259/8*12</f>
        <v>0</v>
      </c>
      <c r="G259" s="435">
        <v>0</v>
      </c>
      <c r="H259" s="98">
        <f>F259/8*12</f>
        <v>0</v>
      </c>
      <c r="I259" s="435">
        <f>G259/8*12</f>
        <v>0</v>
      </c>
      <c r="J259" s="435">
        <f>H259/8*12</f>
        <v>0</v>
      </c>
      <c r="K259" s="435">
        <f>I259/8*12</f>
        <v>0</v>
      </c>
    </row>
    <row r="260" spans="1:11" s="285" customFormat="1" hidden="1" x14ac:dyDescent="0.25">
      <c r="A260" s="344"/>
      <c r="B260" s="346"/>
      <c r="C260" s="94"/>
      <c r="D260" s="124">
        <v>0</v>
      </c>
      <c r="E260" s="124">
        <f>E259</f>
        <v>0</v>
      </c>
      <c r="F260" s="124">
        <f>F259</f>
        <v>0</v>
      </c>
      <c r="G260" s="445">
        <v>0</v>
      </c>
      <c r="H260" s="124">
        <f>H259</f>
        <v>0</v>
      </c>
      <c r="I260" s="445">
        <f>I259</f>
        <v>0</v>
      </c>
      <c r="J260" s="445">
        <f>J259</f>
        <v>0</v>
      </c>
      <c r="K260" s="445">
        <f>K259</f>
        <v>0</v>
      </c>
    </row>
    <row r="261" spans="1:11" s="285" customFormat="1" x14ac:dyDescent="0.25">
      <c r="A261" s="348"/>
      <c r="B261" s="351"/>
      <c r="C261" s="93" t="s">
        <v>197</v>
      </c>
      <c r="D261" s="448">
        <f t="shared" ref="D261:K261" si="21">D257+D260</f>
        <v>-186942</v>
      </c>
      <c r="E261" s="160">
        <f t="shared" si="21"/>
        <v>-198349</v>
      </c>
      <c r="F261" s="160">
        <f t="shared" si="21"/>
        <v>-198349</v>
      </c>
      <c r="G261" s="448">
        <f t="shared" si="21"/>
        <v>-11407</v>
      </c>
      <c r="H261" s="160">
        <f t="shared" si="21"/>
        <v>-218183.9</v>
      </c>
      <c r="I261" s="448">
        <f t="shared" si="21"/>
        <v>-230838.5662</v>
      </c>
      <c r="J261" s="448">
        <f t="shared" si="21"/>
        <v>-243534.68734099995</v>
      </c>
      <c r="K261" s="448">
        <f t="shared" si="21"/>
        <v>-256442.02577007294</v>
      </c>
    </row>
    <row r="262" spans="1:11" s="285" customFormat="1" x14ac:dyDescent="0.25">
      <c r="A262" s="349"/>
      <c r="B262" s="154"/>
      <c r="C262" s="126" t="s">
        <v>82</v>
      </c>
      <c r="D262" s="449">
        <f t="shared" ref="D262:K262" si="22">D261-D165</f>
        <v>-2882983</v>
      </c>
      <c r="E262" s="161">
        <f t="shared" si="22"/>
        <v>-4298371</v>
      </c>
      <c r="F262" s="161">
        <f t="shared" si="22"/>
        <v>-3698371</v>
      </c>
      <c r="G262" s="449">
        <f t="shared" si="22"/>
        <v>-3511430</v>
      </c>
      <c r="H262" s="449">
        <f t="shared" si="22"/>
        <v>-3952168.6999999997</v>
      </c>
      <c r="I262" s="449">
        <f t="shared" si="22"/>
        <v>-4420551.8526000008</v>
      </c>
      <c r="J262" s="449">
        <f t="shared" si="22"/>
        <v>-4376405.7044930002</v>
      </c>
      <c r="K262" s="449">
        <f t="shared" si="22"/>
        <v>-4608355.2068311283</v>
      </c>
    </row>
    <row r="263" spans="1:11" s="285" customFormat="1" x14ac:dyDescent="0.25">
      <c r="A263" s="284"/>
      <c r="B263" s="352"/>
      <c r="G263" s="468"/>
      <c r="I263" s="468"/>
    </row>
    <row r="264" spans="1:11" s="285" customFormat="1" x14ac:dyDescent="0.25">
      <c r="A264" s="284"/>
      <c r="B264" s="352"/>
      <c r="G264" s="468"/>
      <c r="I264" s="468"/>
    </row>
    <row r="265" spans="1:11" s="285" customFormat="1" x14ac:dyDescent="0.25">
      <c r="B265" s="352"/>
      <c r="G265" s="468"/>
      <c r="I265" s="468"/>
    </row>
    <row r="266" spans="1:11" x14ac:dyDescent="0.25">
      <c r="E266" s="128"/>
      <c r="F266" s="128"/>
      <c r="G266" s="128"/>
      <c r="H266" s="128"/>
      <c r="I266" s="128"/>
      <c r="J266" s="128"/>
    </row>
    <row r="267" spans="1:11" x14ac:dyDescent="0.25">
      <c r="E267" s="128"/>
      <c r="F267" s="128"/>
      <c r="G267" s="128"/>
      <c r="H267" s="128"/>
      <c r="I267" s="128"/>
      <c r="J267" s="128"/>
      <c r="K267" s="109"/>
    </row>
    <row r="268" spans="1:11" x14ac:dyDescent="0.25">
      <c r="E268" s="128"/>
      <c r="F268" s="128"/>
      <c r="G268" s="128"/>
      <c r="H268" s="128"/>
      <c r="I268" s="128"/>
      <c r="J268" s="128"/>
    </row>
  </sheetData>
  <mergeCells count="4">
    <mergeCell ref="A3:C3"/>
    <mergeCell ref="A4:B5"/>
    <mergeCell ref="A169:B170"/>
    <mergeCell ref="A1:K1"/>
  </mergeCells>
  <phoneticPr fontId="0" type="noConversion"/>
  <pageMargins left="0.75" right="0.75" top="1" bottom="1" header="0.5" footer="0.5"/>
  <pageSetup scale="52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>
    <tabColor rgb="FFFF0000"/>
    <pageSetUpPr fitToPage="1"/>
  </sheetPr>
  <dimension ref="A1:M268"/>
  <sheetViews>
    <sheetView view="pageBreakPreview" topLeftCell="A148" zoomScaleSheetLayoutView="100" workbookViewId="0">
      <selection activeCell="I165" sqref="I165:K165"/>
    </sheetView>
  </sheetViews>
  <sheetFormatPr defaultColWidth="9.109375" defaultRowHeight="13.2" x14ac:dyDescent="0.25"/>
  <cols>
    <col min="1" max="1" width="3.33203125" style="96" customWidth="1"/>
    <col min="2" max="2" width="9" style="131" customWidth="1"/>
    <col min="3" max="3" width="38.109375" style="96" customWidth="1"/>
    <col min="4" max="4" width="15" style="96" customWidth="1"/>
    <col min="5" max="5" width="15.88671875" style="96" customWidth="1"/>
    <col min="6" max="6" width="16.33203125" style="96" customWidth="1"/>
    <col min="7" max="7" width="16.33203125" style="434" customWidth="1"/>
    <col min="8" max="8" width="16.33203125" style="96" customWidth="1"/>
    <col min="9" max="9" width="16.33203125" style="434" customWidth="1"/>
    <col min="10" max="11" width="12.88671875" style="96" customWidth="1"/>
    <col min="12" max="16384" width="9.109375" style="96"/>
  </cols>
  <sheetData>
    <row r="1" spans="1:11" ht="12.75" customHeight="1" x14ac:dyDescent="0.25">
      <c r="A1" s="937" t="s">
        <v>882</v>
      </c>
      <c r="B1" s="938"/>
      <c r="C1" s="938"/>
      <c r="D1" s="938"/>
      <c r="E1" s="938"/>
      <c r="F1" s="938"/>
      <c r="G1" s="938"/>
      <c r="H1" s="938"/>
      <c r="I1" s="938"/>
      <c r="J1" s="938"/>
      <c r="K1" s="938"/>
    </row>
    <row r="2" spans="1:11" ht="12.75" customHeight="1" x14ac:dyDescent="0.25">
      <c r="A2" s="552"/>
      <c r="B2" s="553"/>
      <c r="C2" s="553"/>
      <c r="D2" s="553"/>
      <c r="E2" s="553"/>
      <c r="F2" s="553"/>
      <c r="G2" s="553"/>
      <c r="H2" s="553"/>
      <c r="I2" s="553"/>
      <c r="J2" s="553"/>
      <c r="K2" s="553"/>
    </row>
    <row r="3" spans="1:11" s="285" customFormat="1" x14ac:dyDescent="0.25">
      <c r="A3" s="941" t="s">
        <v>415</v>
      </c>
      <c r="B3" s="942"/>
      <c r="C3" s="943"/>
      <c r="D3" s="149"/>
      <c r="E3" s="338"/>
      <c r="F3" s="338"/>
      <c r="G3" s="563"/>
      <c r="H3" s="420"/>
      <c r="I3" s="581"/>
      <c r="J3" s="338"/>
      <c r="K3" s="338"/>
    </row>
    <row r="4" spans="1:11" s="285" customFormat="1" x14ac:dyDescent="0.25">
      <c r="A4" s="944" t="s">
        <v>21</v>
      </c>
      <c r="B4" s="945"/>
      <c r="C4" s="150" t="s">
        <v>22</v>
      </c>
      <c r="D4" s="103" t="s">
        <v>23</v>
      </c>
      <c r="E4" s="104" t="s">
        <v>24</v>
      </c>
      <c r="F4" s="103" t="s">
        <v>535</v>
      </c>
      <c r="G4" s="103" t="s">
        <v>413</v>
      </c>
      <c r="H4" s="104" t="s">
        <v>24</v>
      </c>
      <c r="I4" s="583" t="s">
        <v>24</v>
      </c>
      <c r="J4" s="583" t="s">
        <v>24</v>
      </c>
      <c r="K4" s="583" t="s">
        <v>24</v>
      </c>
    </row>
    <row r="5" spans="1:11" s="285" customFormat="1" x14ac:dyDescent="0.25">
      <c r="A5" s="946"/>
      <c r="B5" s="947"/>
      <c r="C5" s="106"/>
      <c r="D5" s="333" t="s">
        <v>257</v>
      </c>
      <c r="E5" s="107" t="s">
        <v>382</v>
      </c>
      <c r="F5" s="107" t="s">
        <v>382</v>
      </c>
      <c r="G5" s="107" t="s">
        <v>382</v>
      </c>
      <c r="H5" s="107" t="s">
        <v>407</v>
      </c>
      <c r="I5" s="586" t="s">
        <v>414</v>
      </c>
      <c r="J5" s="586" t="s">
        <v>530</v>
      </c>
      <c r="K5" s="586" t="s">
        <v>886</v>
      </c>
    </row>
    <row r="6" spans="1:11" s="285" customFormat="1" x14ac:dyDescent="0.25">
      <c r="A6" s="344"/>
      <c r="B6" s="151"/>
      <c r="C6" s="93" t="s">
        <v>33</v>
      </c>
      <c r="D6" s="85"/>
      <c r="E6" s="85"/>
      <c r="F6" s="85"/>
      <c r="G6" s="428"/>
      <c r="H6" s="85"/>
      <c r="I6" s="428"/>
      <c r="J6" s="85"/>
      <c r="K6" s="85"/>
    </row>
    <row r="7" spans="1:11" s="285" customFormat="1" hidden="1" x14ac:dyDescent="0.25">
      <c r="A7" s="118">
        <v>42</v>
      </c>
      <c r="B7" s="155">
        <v>5005</v>
      </c>
      <c r="C7" s="94" t="s">
        <v>241</v>
      </c>
      <c r="D7" s="85"/>
      <c r="E7" s="85">
        <v>0</v>
      </c>
      <c r="F7" s="85"/>
      <c r="G7" s="428"/>
      <c r="H7" s="428">
        <f t="shared" ref="H7:H17" si="0">(F7*0.068)+F7</f>
        <v>0</v>
      </c>
      <c r="I7" s="428"/>
      <c r="J7" s="428">
        <f>(H7*0.068)+H7</f>
        <v>0</v>
      </c>
      <c r="K7" s="428">
        <f>(J7*0.068)+J7</f>
        <v>0</v>
      </c>
    </row>
    <row r="8" spans="1:11" s="285" customFormat="1" hidden="1" x14ac:dyDescent="0.25">
      <c r="A8" s="118">
        <v>42</v>
      </c>
      <c r="B8" s="151">
        <v>5010</v>
      </c>
      <c r="C8" s="94" t="s">
        <v>34</v>
      </c>
      <c r="D8" s="85"/>
      <c r="E8" s="85"/>
      <c r="F8" s="85"/>
      <c r="G8" s="428"/>
      <c r="H8" s="428">
        <f t="shared" si="0"/>
        <v>0</v>
      </c>
      <c r="I8" s="428"/>
      <c r="J8" s="428">
        <f>(H8*0.068)+H8</f>
        <v>0</v>
      </c>
      <c r="K8" s="428">
        <f>(J8*0.068)+J8</f>
        <v>0</v>
      </c>
    </row>
    <row r="9" spans="1:11" s="285" customFormat="1" hidden="1" x14ac:dyDescent="0.25">
      <c r="A9" s="118">
        <v>42</v>
      </c>
      <c r="B9" s="151">
        <v>5015</v>
      </c>
      <c r="C9" s="94" t="s">
        <v>35</v>
      </c>
      <c r="D9" s="85"/>
      <c r="E9" s="85">
        <v>0</v>
      </c>
      <c r="F9" s="85"/>
      <c r="G9" s="428"/>
      <c r="H9" s="428">
        <f t="shared" si="0"/>
        <v>0</v>
      </c>
      <c r="I9" s="428"/>
      <c r="J9" s="428">
        <f>(H9*0.068)+H9</f>
        <v>0</v>
      </c>
      <c r="K9" s="428">
        <f>(J9*0.068)+J9</f>
        <v>0</v>
      </c>
    </row>
    <row r="10" spans="1:11" s="285" customFormat="1" hidden="1" x14ac:dyDescent="0.25">
      <c r="A10" s="118">
        <v>42</v>
      </c>
      <c r="B10" s="151">
        <v>5020</v>
      </c>
      <c r="C10" s="94" t="s">
        <v>350</v>
      </c>
      <c r="D10" s="85"/>
      <c r="E10" s="85"/>
      <c r="F10" s="85"/>
      <c r="G10" s="428"/>
      <c r="H10" s="428">
        <f t="shared" si="0"/>
        <v>0</v>
      </c>
      <c r="I10" s="428"/>
      <c r="J10" s="428">
        <f>(H10*0.068)+H10</f>
        <v>0</v>
      </c>
      <c r="K10" s="428">
        <f>(J10*0.068)+J10</f>
        <v>0</v>
      </c>
    </row>
    <row r="11" spans="1:11" s="285" customFormat="1" hidden="1" x14ac:dyDescent="0.25">
      <c r="A11" s="118">
        <v>42</v>
      </c>
      <c r="B11" s="151">
        <v>5025</v>
      </c>
      <c r="C11" s="94" t="s">
        <v>36</v>
      </c>
      <c r="D11" s="85"/>
      <c r="E11" s="85"/>
      <c r="F11" s="85"/>
      <c r="G11" s="428"/>
      <c r="H11" s="428">
        <f t="shared" si="0"/>
        <v>0</v>
      </c>
      <c r="I11" s="428"/>
      <c r="J11" s="428">
        <f>(H11*0.068)+H11</f>
        <v>0</v>
      </c>
      <c r="K11" s="428">
        <f>(J11*0.068)+J11</f>
        <v>0</v>
      </c>
    </row>
    <row r="12" spans="1:11" s="285" customFormat="1" x14ac:dyDescent="0.25">
      <c r="A12" s="118">
        <v>42</v>
      </c>
      <c r="B12" s="151">
        <v>5030</v>
      </c>
      <c r="C12" s="94" t="s">
        <v>85</v>
      </c>
      <c r="D12" s="85">
        <v>21200</v>
      </c>
      <c r="E12" s="85">
        <v>26000</v>
      </c>
      <c r="F12" s="85">
        <v>26000</v>
      </c>
      <c r="G12" s="428">
        <v>26000</v>
      </c>
      <c r="H12" s="428">
        <f t="shared" si="0"/>
        <v>27768</v>
      </c>
      <c r="I12" s="428">
        <f t="shared" ref="I12:I17" si="1">+H12*1.058</f>
        <v>29378.544000000002</v>
      </c>
      <c r="J12" s="428">
        <f t="shared" ref="J12:J17" si="2">+I12*1.055</f>
        <v>30994.36392</v>
      </c>
      <c r="K12" s="428">
        <f t="shared" ref="K12:K17" si="3">+J12*1.053</f>
        <v>32637.065207759999</v>
      </c>
    </row>
    <row r="13" spans="1:11" s="285" customFormat="1" hidden="1" x14ac:dyDescent="0.25">
      <c r="A13" s="118">
        <v>42</v>
      </c>
      <c r="B13" s="151">
        <v>5035</v>
      </c>
      <c r="C13" s="94" t="s">
        <v>84</v>
      </c>
      <c r="D13" s="85">
        <v>0</v>
      </c>
      <c r="E13" s="85"/>
      <c r="F13" s="85">
        <v>0</v>
      </c>
      <c r="G13" s="428">
        <v>0</v>
      </c>
      <c r="H13" s="428">
        <f t="shared" si="0"/>
        <v>0</v>
      </c>
      <c r="I13" s="428">
        <f t="shared" si="1"/>
        <v>0</v>
      </c>
      <c r="J13" s="428">
        <f t="shared" si="2"/>
        <v>0</v>
      </c>
      <c r="K13" s="428">
        <f t="shared" si="3"/>
        <v>0</v>
      </c>
    </row>
    <row r="14" spans="1:11" s="285" customFormat="1" x14ac:dyDescent="0.25">
      <c r="A14" s="118">
        <v>42</v>
      </c>
      <c r="B14" s="151">
        <v>5040</v>
      </c>
      <c r="C14" s="94" t="s">
        <v>37</v>
      </c>
      <c r="D14" s="85">
        <v>219500</v>
      </c>
      <c r="E14" s="85">
        <v>340000</v>
      </c>
      <c r="F14" s="85">
        <v>340000</v>
      </c>
      <c r="G14" s="428">
        <v>340000</v>
      </c>
      <c r="H14" s="428">
        <f t="shared" si="0"/>
        <v>363120</v>
      </c>
      <c r="I14" s="428">
        <f t="shared" si="1"/>
        <v>384180.96</v>
      </c>
      <c r="J14" s="428">
        <f t="shared" si="2"/>
        <v>405310.91279999999</v>
      </c>
      <c r="K14" s="428">
        <f t="shared" si="3"/>
        <v>426792.39117839996</v>
      </c>
    </row>
    <row r="15" spans="1:11" s="285" customFormat="1" hidden="1" x14ac:dyDescent="0.25">
      <c r="A15" s="118">
        <v>42</v>
      </c>
      <c r="B15" s="151">
        <v>5045</v>
      </c>
      <c r="C15" s="94" t="s">
        <v>38</v>
      </c>
      <c r="D15" s="85">
        <v>0</v>
      </c>
      <c r="E15" s="85"/>
      <c r="F15" s="85">
        <v>0</v>
      </c>
      <c r="G15" s="428">
        <v>0</v>
      </c>
      <c r="H15" s="428">
        <f t="shared" si="0"/>
        <v>0</v>
      </c>
      <c r="I15" s="428">
        <f t="shared" si="1"/>
        <v>0</v>
      </c>
      <c r="J15" s="428">
        <f t="shared" si="2"/>
        <v>0</v>
      </c>
      <c r="K15" s="428">
        <f t="shared" si="3"/>
        <v>0</v>
      </c>
    </row>
    <row r="16" spans="1:11" s="285" customFormat="1" x14ac:dyDescent="0.25">
      <c r="A16" s="118">
        <v>42</v>
      </c>
      <c r="B16" s="151">
        <v>5050</v>
      </c>
      <c r="C16" s="94" t="s">
        <v>83</v>
      </c>
      <c r="D16" s="85">
        <v>90670</v>
      </c>
      <c r="E16" s="85">
        <v>140000</v>
      </c>
      <c r="F16" s="85">
        <v>140000</v>
      </c>
      <c r="G16" s="428">
        <v>140000</v>
      </c>
      <c r="H16" s="428">
        <v>110000</v>
      </c>
      <c r="I16" s="428">
        <f t="shared" si="1"/>
        <v>116380</v>
      </c>
      <c r="J16" s="428">
        <f t="shared" si="2"/>
        <v>122780.9</v>
      </c>
      <c r="K16" s="428">
        <f t="shared" si="3"/>
        <v>129288.28769999999</v>
      </c>
    </row>
    <row r="17" spans="1:11" s="285" customFormat="1" x14ac:dyDescent="0.25">
      <c r="A17" s="118">
        <v>42</v>
      </c>
      <c r="B17" s="151">
        <v>5055</v>
      </c>
      <c r="C17" s="94" t="s">
        <v>511</v>
      </c>
      <c r="D17" s="85">
        <v>2631000</v>
      </c>
      <c r="E17" s="85">
        <v>4080000</v>
      </c>
      <c r="F17" s="85">
        <v>3880000</v>
      </c>
      <c r="G17" s="428">
        <v>3880000</v>
      </c>
      <c r="H17" s="428">
        <f t="shared" si="0"/>
        <v>4143840</v>
      </c>
      <c r="I17" s="428">
        <f t="shared" si="1"/>
        <v>4384182.7200000007</v>
      </c>
      <c r="J17" s="428">
        <f t="shared" si="2"/>
        <v>4625312.7696000002</v>
      </c>
      <c r="K17" s="428">
        <f t="shared" si="3"/>
        <v>4870454.3463888001</v>
      </c>
    </row>
    <row r="18" spans="1:11" s="285" customFormat="1" x14ac:dyDescent="0.25">
      <c r="A18" s="344"/>
      <c r="B18" s="151"/>
      <c r="C18" s="94"/>
      <c r="D18" s="429">
        <f t="shared" ref="D18:K18" si="4">SUM(D7:D17)</f>
        <v>2962370</v>
      </c>
      <c r="E18" s="89">
        <f t="shared" si="4"/>
        <v>4586000</v>
      </c>
      <c r="F18" s="429">
        <f t="shared" si="4"/>
        <v>4386000</v>
      </c>
      <c r="G18" s="429">
        <f t="shared" si="4"/>
        <v>4386000</v>
      </c>
      <c r="H18" s="89">
        <f t="shared" si="4"/>
        <v>4644728</v>
      </c>
      <c r="I18" s="429">
        <f t="shared" si="4"/>
        <v>4914122.2240000004</v>
      </c>
      <c r="J18" s="429">
        <f t="shared" si="4"/>
        <v>5184398.9463200001</v>
      </c>
      <c r="K18" s="429">
        <f t="shared" si="4"/>
        <v>5459172.0904749604</v>
      </c>
    </row>
    <row r="19" spans="1:11" s="285" customFormat="1" x14ac:dyDescent="0.25">
      <c r="A19" s="344"/>
      <c r="B19" s="151"/>
      <c r="C19" s="93" t="s">
        <v>40</v>
      </c>
      <c r="D19" s="85"/>
      <c r="E19" s="86"/>
      <c r="F19" s="86"/>
      <c r="G19" s="86"/>
      <c r="H19" s="86"/>
      <c r="I19" s="86"/>
      <c r="J19" s="86"/>
      <c r="K19" s="86"/>
    </row>
    <row r="20" spans="1:11" s="285" customFormat="1" x14ac:dyDescent="0.25">
      <c r="A20" s="118">
        <v>42</v>
      </c>
      <c r="B20" s="151">
        <v>5105</v>
      </c>
      <c r="C20" s="94" t="s">
        <v>41</v>
      </c>
      <c r="D20" s="85">
        <v>136800</v>
      </c>
      <c r="E20" s="85">
        <v>215000</v>
      </c>
      <c r="F20" s="85">
        <v>215000</v>
      </c>
      <c r="G20" s="428">
        <v>215000</v>
      </c>
      <c r="H20" s="428">
        <f>(F20*0.068)+F20</f>
        <v>229620</v>
      </c>
      <c r="I20" s="428">
        <f>+H20*1.058</f>
        <v>242937.96000000002</v>
      </c>
      <c r="J20" s="428">
        <f>+I20*1.055</f>
        <v>256299.5478</v>
      </c>
      <c r="K20" s="428">
        <f>+J20*1.053</f>
        <v>269883.42383340001</v>
      </c>
    </row>
    <row r="21" spans="1:11" s="285" customFormat="1" x14ac:dyDescent="0.25">
      <c r="A21" s="118">
        <v>42</v>
      </c>
      <c r="B21" s="151">
        <v>5115</v>
      </c>
      <c r="C21" s="94" t="s">
        <v>42</v>
      </c>
      <c r="D21" s="85">
        <v>300100</v>
      </c>
      <c r="E21" s="85">
        <v>550000</v>
      </c>
      <c r="F21" s="85">
        <v>550000</v>
      </c>
      <c r="G21" s="428">
        <v>550000</v>
      </c>
      <c r="H21" s="428">
        <f>(F21*0.068)+F21</f>
        <v>587400</v>
      </c>
      <c r="I21" s="428">
        <f>+H21*1.058</f>
        <v>621469.20000000007</v>
      </c>
      <c r="J21" s="428">
        <f>+I21*1.055</f>
        <v>655650.00600000005</v>
      </c>
      <c r="K21" s="428">
        <f>+J21*1.053</f>
        <v>690399.45631799998</v>
      </c>
    </row>
    <row r="22" spans="1:11" s="285" customFormat="1" x14ac:dyDescent="0.25">
      <c r="A22" s="118">
        <v>42</v>
      </c>
      <c r="B22" s="151">
        <v>5120</v>
      </c>
      <c r="C22" s="94" t="s">
        <v>43</v>
      </c>
      <c r="D22" s="85">
        <v>191900</v>
      </c>
      <c r="E22" s="85">
        <v>165000</v>
      </c>
      <c r="F22" s="85">
        <v>165000</v>
      </c>
      <c r="G22" s="428">
        <v>165000</v>
      </c>
      <c r="H22" s="428">
        <f>(F22*0.068)+F22</f>
        <v>176220</v>
      </c>
      <c r="I22" s="428">
        <f>+H22*1.058</f>
        <v>186440.76</v>
      </c>
      <c r="J22" s="428">
        <f>+I22*1.055</f>
        <v>196695.0018</v>
      </c>
      <c r="K22" s="428">
        <f>+J22*1.053</f>
        <v>207119.83689539999</v>
      </c>
    </row>
    <row r="23" spans="1:11" s="285" customFormat="1" hidden="1" x14ac:dyDescent="0.25">
      <c r="A23" s="118">
        <v>42</v>
      </c>
      <c r="B23" s="151">
        <v>5125</v>
      </c>
      <c r="C23" s="94" t="s">
        <v>44</v>
      </c>
      <c r="D23" s="85">
        <v>0</v>
      </c>
      <c r="E23" s="85"/>
      <c r="F23" s="85">
        <v>0</v>
      </c>
      <c r="G23" s="428">
        <v>0</v>
      </c>
      <c r="H23" s="428">
        <f>(F23*0.068)+F23</f>
        <v>0</v>
      </c>
      <c r="I23" s="428">
        <f>+H23*1.058</f>
        <v>0</v>
      </c>
      <c r="J23" s="428">
        <f>+I23*1.055</f>
        <v>0</v>
      </c>
      <c r="K23" s="428">
        <f>+J23*1.053</f>
        <v>0</v>
      </c>
    </row>
    <row r="24" spans="1:11" s="285" customFormat="1" x14ac:dyDescent="0.25">
      <c r="A24" s="118">
        <v>42</v>
      </c>
      <c r="B24" s="151">
        <v>5130</v>
      </c>
      <c r="C24" s="94" t="s">
        <v>45</v>
      </c>
      <c r="D24" s="85">
        <v>28400</v>
      </c>
      <c r="E24" s="85">
        <v>46000</v>
      </c>
      <c r="F24" s="85">
        <v>46000</v>
      </c>
      <c r="G24" s="428">
        <v>46000</v>
      </c>
      <c r="H24" s="428">
        <f>(F24*0.068)+F24</f>
        <v>49128</v>
      </c>
      <c r="I24" s="428">
        <f>+H24*1.058</f>
        <v>51977.423999999999</v>
      </c>
      <c r="J24" s="428">
        <f>+I24*1.055</f>
        <v>54836.182319999993</v>
      </c>
      <c r="K24" s="428">
        <f>+J24*1.053</f>
        <v>57742.499982959991</v>
      </c>
    </row>
    <row r="25" spans="1:11" s="285" customFormat="1" x14ac:dyDescent="0.25">
      <c r="A25" s="344"/>
      <c r="B25" s="151"/>
      <c r="C25" s="94"/>
      <c r="D25" s="429">
        <f t="shared" ref="D25:K25" si="5">SUM(D20:D24)</f>
        <v>657200</v>
      </c>
      <c r="E25" s="89">
        <f t="shared" si="5"/>
        <v>976000</v>
      </c>
      <c r="F25" s="429">
        <f t="shared" si="5"/>
        <v>976000</v>
      </c>
      <c r="G25" s="429">
        <f t="shared" si="5"/>
        <v>976000</v>
      </c>
      <c r="H25" s="89">
        <f t="shared" si="5"/>
        <v>1042368</v>
      </c>
      <c r="I25" s="429">
        <f t="shared" si="5"/>
        <v>1102825.344</v>
      </c>
      <c r="J25" s="429">
        <f t="shared" si="5"/>
        <v>1163480.73792</v>
      </c>
      <c r="K25" s="429">
        <f t="shared" si="5"/>
        <v>1225145.2170297601</v>
      </c>
    </row>
    <row r="26" spans="1:11" s="285" customFormat="1" x14ac:dyDescent="0.25">
      <c r="A26" s="344"/>
      <c r="B26" s="151"/>
      <c r="C26" s="93" t="s">
        <v>46</v>
      </c>
      <c r="D26" s="85"/>
      <c r="E26" s="86"/>
      <c r="F26" s="86"/>
      <c r="G26" s="86"/>
      <c r="H26" s="86"/>
      <c r="I26" s="86"/>
      <c r="J26" s="86"/>
      <c r="K26" s="86"/>
    </row>
    <row r="27" spans="1:11" s="285" customFormat="1" hidden="1" x14ac:dyDescent="0.25">
      <c r="A27" s="344"/>
      <c r="B27" s="151"/>
      <c r="C27" s="93" t="s">
        <v>47</v>
      </c>
      <c r="D27" s="85"/>
      <c r="E27" s="86"/>
      <c r="F27" s="86"/>
      <c r="G27" s="86"/>
      <c r="H27" s="86"/>
      <c r="I27" s="86"/>
      <c r="J27" s="86"/>
      <c r="K27" s="86"/>
    </row>
    <row r="28" spans="1:11" s="285" customFormat="1" hidden="1" x14ac:dyDescent="0.25">
      <c r="A28" s="118">
        <v>42</v>
      </c>
      <c r="B28" s="151">
        <v>5150</v>
      </c>
      <c r="C28" s="94" t="s">
        <v>48</v>
      </c>
      <c r="D28" s="85"/>
      <c r="E28" s="85"/>
      <c r="F28" s="85">
        <v>0</v>
      </c>
      <c r="G28" s="428">
        <v>0</v>
      </c>
      <c r="H28" s="85"/>
      <c r="I28" s="428"/>
      <c r="J28" s="85"/>
      <c r="K28" s="85"/>
    </row>
    <row r="29" spans="1:11" s="285" customFormat="1" hidden="1" x14ac:dyDescent="0.25">
      <c r="A29" s="344"/>
      <c r="B29" s="151"/>
      <c r="C29" s="94"/>
      <c r="D29" s="89"/>
      <c r="E29" s="89">
        <f>E28</f>
        <v>0</v>
      </c>
      <c r="F29" s="89">
        <v>0</v>
      </c>
      <c r="G29" s="429">
        <v>0</v>
      </c>
      <c r="H29" s="89"/>
      <c r="I29" s="429"/>
      <c r="J29" s="89"/>
      <c r="K29" s="89"/>
    </row>
    <row r="30" spans="1:11" s="285" customFormat="1" x14ac:dyDescent="0.25">
      <c r="A30" s="344"/>
      <c r="B30" s="151"/>
      <c r="C30" s="93" t="s">
        <v>49</v>
      </c>
      <c r="D30" s="85"/>
      <c r="E30" s="86"/>
      <c r="F30" s="86"/>
      <c r="G30" s="86"/>
      <c r="H30" s="86"/>
      <c r="I30" s="86"/>
      <c r="J30" s="86"/>
      <c r="K30" s="86"/>
    </row>
    <row r="31" spans="1:11" s="285" customFormat="1" x14ac:dyDescent="0.25">
      <c r="A31" s="118">
        <v>42</v>
      </c>
      <c r="B31" s="151">
        <v>5170</v>
      </c>
      <c r="C31" s="94" t="s">
        <v>341</v>
      </c>
      <c r="D31" s="85">
        <v>3793068</v>
      </c>
      <c r="E31" s="85">
        <v>4075692.309568</v>
      </c>
      <c r="F31" s="85">
        <v>75692.309568000026</v>
      </c>
      <c r="G31" s="428">
        <v>75692.309568000026</v>
      </c>
      <c r="H31" s="530">
        <f>+(F31*0.1)+F31</f>
        <v>83261.540524800032</v>
      </c>
      <c r="I31" s="530"/>
      <c r="J31" s="530"/>
      <c r="K31" s="530"/>
    </row>
    <row r="32" spans="1:11" s="285" customFormat="1" x14ac:dyDescent="0.25">
      <c r="A32" s="344"/>
      <c r="B32" s="151"/>
      <c r="C32" s="94"/>
      <c r="D32" s="429">
        <f>SUM(D31)</f>
        <v>3793068</v>
      </c>
      <c r="E32" s="89">
        <f>SUM(E31)</f>
        <v>4075692.309568</v>
      </c>
      <c r="F32" s="429">
        <f>SUM(F31)</f>
        <v>75692.309568000026</v>
      </c>
      <c r="G32" s="429">
        <f>SUM(G31)</f>
        <v>75692.309568000026</v>
      </c>
      <c r="H32" s="429">
        <f>SUM(H31)</f>
        <v>83261.540524800032</v>
      </c>
      <c r="I32" s="429"/>
      <c r="J32" s="429"/>
      <c r="K32" s="429"/>
    </row>
    <row r="33" spans="1:11" s="285" customFormat="1" hidden="1" x14ac:dyDescent="0.25">
      <c r="A33" s="344"/>
      <c r="B33" s="151"/>
      <c r="C33" s="93" t="s">
        <v>50</v>
      </c>
      <c r="D33" s="85"/>
      <c r="E33" s="86"/>
      <c r="F33" s="86"/>
      <c r="G33" s="86"/>
      <c r="H33" s="86"/>
      <c r="I33" s="86"/>
      <c r="J33" s="86"/>
      <c r="K33" s="86"/>
    </row>
    <row r="34" spans="1:11" s="285" customFormat="1" hidden="1" x14ac:dyDescent="0.25">
      <c r="A34" s="118">
        <v>42</v>
      </c>
      <c r="B34" s="151">
        <v>5180</v>
      </c>
      <c r="C34" s="94" t="s">
        <v>51</v>
      </c>
      <c r="D34" s="85"/>
      <c r="E34" s="108"/>
      <c r="F34" s="85"/>
      <c r="G34" s="428"/>
      <c r="H34" s="85"/>
      <c r="I34" s="428"/>
      <c r="J34" s="85"/>
      <c r="K34" s="108"/>
    </row>
    <row r="35" spans="1:11" s="285" customFormat="1" hidden="1" x14ac:dyDescent="0.25">
      <c r="A35" s="344"/>
      <c r="B35" s="151"/>
      <c r="C35" s="94"/>
      <c r="D35" s="89"/>
      <c r="E35" s="89">
        <f>SUM(E34)</f>
        <v>0</v>
      </c>
      <c r="F35" s="89">
        <v>0</v>
      </c>
      <c r="G35" s="429"/>
      <c r="H35" s="89"/>
      <c r="I35" s="429"/>
      <c r="J35" s="89"/>
      <c r="K35" s="89"/>
    </row>
    <row r="36" spans="1:11" s="285" customFormat="1" hidden="1" x14ac:dyDescent="0.25">
      <c r="A36" s="344"/>
      <c r="B36" s="151"/>
      <c r="C36" s="93" t="s">
        <v>52</v>
      </c>
      <c r="D36" s="85"/>
      <c r="E36" s="86"/>
      <c r="F36" s="86"/>
      <c r="G36" s="86"/>
      <c r="H36" s="86"/>
      <c r="I36" s="86"/>
      <c r="J36" s="86"/>
      <c r="K36" s="86"/>
    </row>
    <row r="37" spans="1:11" s="285" customFormat="1" hidden="1" x14ac:dyDescent="0.25">
      <c r="A37" s="118">
        <v>42</v>
      </c>
      <c r="B37" s="151">
        <v>5190</v>
      </c>
      <c r="C37" s="94" t="s">
        <v>53</v>
      </c>
      <c r="D37" s="85"/>
      <c r="E37" s="108"/>
      <c r="F37" s="85"/>
      <c r="G37" s="428"/>
      <c r="H37" s="85"/>
      <c r="I37" s="428"/>
      <c r="J37" s="85"/>
      <c r="K37" s="85"/>
    </row>
    <row r="38" spans="1:11" s="285" customFormat="1" hidden="1" x14ac:dyDescent="0.25">
      <c r="A38" s="344"/>
      <c r="B38" s="151"/>
      <c r="C38" s="94"/>
      <c r="D38" s="89"/>
      <c r="E38" s="89">
        <f>E37</f>
        <v>0</v>
      </c>
      <c r="F38" s="89">
        <v>0</v>
      </c>
      <c r="G38" s="429"/>
      <c r="H38" s="89"/>
      <c r="I38" s="429"/>
      <c r="J38" s="89"/>
      <c r="K38" s="89"/>
    </row>
    <row r="39" spans="1:11" s="285" customFormat="1" x14ac:dyDescent="0.25">
      <c r="A39" s="344"/>
      <c r="B39" s="151"/>
      <c r="C39" s="93" t="s">
        <v>54</v>
      </c>
      <c r="D39" s="85"/>
      <c r="E39" s="86"/>
      <c r="F39" s="86"/>
      <c r="G39" s="86"/>
      <c r="H39" s="86"/>
      <c r="I39" s="86"/>
      <c r="J39" s="86"/>
      <c r="K39" s="86"/>
    </row>
    <row r="40" spans="1:11" s="285" customFormat="1" hidden="1" x14ac:dyDescent="0.25">
      <c r="A40" s="118">
        <v>42</v>
      </c>
      <c r="B40" s="151">
        <v>5200</v>
      </c>
      <c r="C40" s="94" t="s">
        <v>55</v>
      </c>
      <c r="D40" s="85"/>
      <c r="E40" s="108"/>
      <c r="F40" s="85">
        <v>0</v>
      </c>
      <c r="G40" s="428"/>
      <c r="H40" s="85"/>
      <c r="I40" s="428"/>
      <c r="J40" s="85"/>
      <c r="K40" s="85"/>
    </row>
    <row r="41" spans="1:11" s="285" customFormat="1" hidden="1" x14ac:dyDescent="0.25">
      <c r="A41" s="118">
        <v>42</v>
      </c>
      <c r="B41" s="151">
        <v>5205</v>
      </c>
      <c r="C41" s="94" t="s">
        <v>56</v>
      </c>
      <c r="D41" s="85"/>
      <c r="E41" s="108"/>
      <c r="F41" s="85">
        <v>0</v>
      </c>
      <c r="G41" s="428"/>
      <c r="H41" s="85"/>
      <c r="I41" s="428"/>
      <c r="J41" s="85"/>
      <c r="K41" s="85"/>
    </row>
    <row r="42" spans="1:11" s="285" customFormat="1" hidden="1" x14ac:dyDescent="0.25">
      <c r="A42" s="118">
        <v>42</v>
      </c>
      <c r="B42" s="151">
        <v>5210</v>
      </c>
      <c r="C42" s="94" t="s">
        <v>57</v>
      </c>
      <c r="D42" s="85"/>
      <c r="E42" s="108"/>
      <c r="F42" s="85">
        <v>0</v>
      </c>
      <c r="G42" s="428"/>
      <c r="H42" s="85"/>
      <c r="I42" s="428"/>
      <c r="J42" s="85"/>
      <c r="K42" s="85"/>
    </row>
    <row r="43" spans="1:11" s="285" customFormat="1" hidden="1" x14ac:dyDescent="0.25">
      <c r="A43" s="118">
        <v>42</v>
      </c>
      <c r="B43" s="151">
        <v>5215</v>
      </c>
      <c r="C43" s="94" t="s">
        <v>95</v>
      </c>
      <c r="D43" s="85"/>
      <c r="E43" s="108"/>
      <c r="F43" s="85">
        <v>0</v>
      </c>
      <c r="G43" s="428"/>
      <c r="H43" s="85"/>
      <c r="I43" s="428"/>
      <c r="J43" s="85"/>
      <c r="K43" s="85"/>
    </row>
    <row r="44" spans="1:11" s="285" customFormat="1" hidden="1" x14ac:dyDescent="0.25">
      <c r="A44" s="118">
        <v>42</v>
      </c>
      <c r="B44" s="151">
        <v>5220</v>
      </c>
      <c r="C44" s="94" t="s">
        <v>58</v>
      </c>
      <c r="D44" s="85"/>
      <c r="E44" s="108"/>
      <c r="F44" s="85">
        <v>0</v>
      </c>
      <c r="G44" s="428"/>
      <c r="H44" s="85"/>
      <c r="I44" s="428"/>
      <c r="J44" s="85"/>
      <c r="K44" s="85"/>
    </row>
    <row r="45" spans="1:11" s="285" customFormat="1" x14ac:dyDescent="0.25">
      <c r="A45" s="118"/>
      <c r="B45" s="151" t="s">
        <v>410</v>
      </c>
      <c r="C45" s="94" t="s">
        <v>92</v>
      </c>
      <c r="D45" s="85">
        <v>186476</v>
      </c>
      <c r="E45" s="85">
        <v>350000</v>
      </c>
      <c r="F45" s="85">
        <v>434000</v>
      </c>
      <c r="G45" s="428">
        <v>434000</v>
      </c>
      <c r="H45" s="85">
        <v>250000</v>
      </c>
      <c r="I45" s="428">
        <v>250000</v>
      </c>
      <c r="J45" s="85">
        <f t="shared" ref="J45:J57" si="6">+I45*1.055</f>
        <v>263750</v>
      </c>
      <c r="K45" s="85">
        <f t="shared" ref="K45:K57" si="7">+J45*1.053</f>
        <v>277728.75</v>
      </c>
    </row>
    <row r="46" spans="1:11" s="285" customFormat="1" hidden="1" x14ac:dyDescent="0.25">
      <c r="A46" s="118">
        <v>42</v>
      </c>
      <c r="B46" s="151">
        <v>5230</v>
      </c>
      <c r="C46" s="94" t="s">
        <v>86</v>
      </c>
      <c r="D46" s="85"/>
      <c r="E46" s="85"/>
      <c r="F46" s="85">
        <v>0</v>
      </c>
      <c r="G46" s="428">
        <v>0</v>
      </c>
      <c r="H46" s="85"/>
      <c r="I46" s="428"/>
      <c r="J46" s="85">
        <f t="shared" si="6"/>
        <v>0</v>
      </c>
      <c r="K46" s="85">
        <f t="shared" si="7"/>
        <v>0</v>
      </c>
    </row>
    <row r="47" spans="1:11" s="285" customFormat="1" hidden="1" x14ac:dyDescent="0.25">
      <c r="A47" s="118">
        <v>42</v>
      </c>
      <c r="B47" s="151">
        <v>5235</v>
      </c>
      <c r="C47" s="94" t="s">
        <v>124</v>
      </c>
      <c r="D47" s="85"/>
      <c r="E47" s="85"/>
      <c r="F47" s="85">
        <v>0</v>
      </c>
      <c r="G47" s="428">
        <v>0</v>
      </c>
      <c r="H47" s="85"/>
      <c r="I47" s="428"/>
      <c r="J47" s="85">
        <f t="shared" si="6"/>
        <v>0</v>
      </c>
      <c r="K47" s="85">
        <f t="shared" si="7"/>
        <v>0</v>
      </c>
    </row>
    <row r="48" spans="1:11" s="285" customFormat="1" hidden="1" x14ac:dyDescent="0.25">
      <c r="A48" s="118">
        <v>42</v>
      </c>
      <c r="B48" s="151">
        <v>5240</v>
      </c>
      <c r="C48" s="94" t="s">
        <v>59</v>
      </c>
      <c r="D48" s="85"/>
      <c r="E48" s="85"/>
      <c r="F48" s="85">
        <v>0</v>
      </c>
      <c r="G48" s="428">
        <v>0</v>
      </c>
      <c r="H48" s="85"/>
      <c r="I48" s="428"/>
      <c r="J48" s="85">
        <f t="shared" si="6"/>
        <v>0</v>
      </c>
      <c r="K48" s="85">
        <f t="shared" si="7"/>
        <v>0</v>
      </c>
    </row>
    <row r="49" spans="1:11" s="285" customFormat="1" hidden="1" x14ac:dyDescent="0.25">
      <c r="A49" s="118">
        <v>42</v>
      </c>
      <c r="B49" s="151">
        <v>5245</v>
      </c>
      <c r="C49" s="94" t="s">
        <v>91</v>
      </c>
      <c r="D49" s="85"/>
      <c r="E49" s="85"/>
      <c r="F49" s="85">
        <v>0</v>
      </c>
      <c r="G49" s="428">
        <v>0</v>
      </c>
      <c r="H49" s="85"/>
      <c r="I49" s="428"/>
      <c r="J49" s="85">
        <f t="shared" si="6"/>
        <v>0</v>
      </c>
      <c r="K49" s="85">
        <f t="shared" si="7"/>
        <v>0</v>
      </c>
    </row>
    <row r="50" spans="1:11" s="285" customFormat="1" x14ac:dyDescent="0.25">
      <c r="A50" s="118">
        <v>42</v>
      </c>
      <c r="B50" s="151">
        <v>5250</v>
      </c>
      <c r="C50" s="94" t="s">
        <v>88</v>
      </c>
      <c r="D50" s="85">
        <v>5018</v>
      </c>
      <c r="E50" s="85">
        <v>6000</v>
      </c>
      <c r="F50" s="85">
        <v>6000</v>
      </c>
      <c r="G50" s="428">
        <v>6000</v>
      </c>
      <c r="H50" s="85">
        <v>6000</v>
      </c>
      <c r="I50" s="428">
        <v>6000</v>
      </c>
      <c r="J50" s="85">
        <f t="shared" si="6"/>
        <v>6330</v>
      </c>
      <c r="K50" s="85">
        <f t="shared" si="7"/>
        <v>6665.49</v>
      </c>
    </row>
    <row r="51" spans="1:11" s="285" customFormat="1" hidden="1" x14ac:dyDescent="0.25">
      <c r="A51" s="118">
        <v>42</v>
      </c>
      <c r="B51" s="151">
        <v>5255</v>
      </c>
      <c r="C51" s="94" t="s">
        <v>125</v>
      </c>
      <c r="D51" s="85"/>
      <c r="E51" s="85"/>
      <c r="F51" s="85">
        <v>0</v>
      </c>
      <c r="G51" s="428">
        <v>0</v>
      </c>
      <c r="H51" s="85"/>
      <c r="I51" s="428"/>
      <c r="J51" s="85">
        <f t="shared" si="6"/>
        <v>0</v>
      </c>
      <c r="K51" s="85">
        <f t="shared" si="7"/>
        <v>0</v>
      </c>
    </row>
    <row r="52" spans="1:11" s="285" customFormat="1" hidden="1" x14ac:dyDescent="0.25">
      <c r="A52" s="118">
        <v>42</v>
      </c>
      <c r="B52" s="151">
        <v>5260</v>
      </c>
      <c r="C52" s="94" t="s">
        <v>90</v>
      </c>
      <c r="D52" s="85"/>
      <c r="E52" s="85"/>
      <c r="F52" s="85">
        <v>0</v>
      </c>
      <c r="G52" s="428">
        <v>0</v>
      </c>
      <c r="H52" s="85"/>
      <c r="I52" s="428"/>
      <c r="J52" s="85">
        <f t="shared" si="6"/>
        <v>0</v>
      </c>
      <c r="K52" s="85">
        <f t="shared" si="7"/>
        <v>0</v>
      </c>
    </row>
    <row r="53" spans="1:11" s="285" customFormat="1" hidden="1" x14ac:dyDescent="0.25">
      <c r="A53" s="118">
        <v>42</v>
      </c>
      <c r="B53" s="151">
        <v>5265</v>
      </c>
      <c r="C53" s="94" t="s">
        <v>87</v>
      </c>
      <c r="D53" s="85"/>
      <c r="E53" s="85"/>
      <c r="F53" s="85">
        <v>0</v>
      </c>
      <c r="G53" s="428">
        <v>0</v>
      </c>
      <c r="H53" s="85"/>
      <c r="I53" s="428"/>
      <c r="J53" s="85">
        <f t="shared" si="6"/>
        <v>0</v>
      </c>
      <c r="K53" s="85">
        <f t="shared" si="7"/>
        <v>0</v>
      </c>
    </row>
    <row r="54" spans="1:11" s="285" customFormat="1" hidden="1" x14ac:dyDescent="0.25">
      <c r="A54" s="118">
        <v>42</v>
      </c>
      <c r="B54" s="151">
        <v>5270</v>
      </c>
      <c r="C54" s="94" t="s">
        <v>89</v>
      </c>
      <c r="D54" s="85"/>
      <c r="E54" s="85"/>
      <c r="F54" s="85">
        <v>0</v>
      </c>
      <c r="G54" s="428">
        <v>0</v>
      </c>
      <c r="H54" s="85"/>
      <c r="I54" s="428"/>
      <c r="J54" s="85">
        <f t="shared" si="6"/>
        <v>0</v>
      </c>
      <c r="K54" s="85">
        <f t="shared" si="7"/>
        <v>0</v>
      </c>
    </row>
    <row r="55" spans="1:11" s="285" customFormat="1" hidden="1" x14ac:dyDescent="0.25">
      <c r="A55" s="118">
        <v>42</v>
      </c>
      <c r="B55" s="151">
        <v>5275</v>
      </c>
      <c r="C55" s="94" t="s">
        <v>93</v>
      </c>
      <c r="D55" s="85"/>
      <c r="E55" s="85"/>
      <c r="F55" s="85">
        <v>0</v>
      </c>
      <c r="G55" s="428">
        <v>0</v>
      </c>
      <c r="H55" s="85"/>
      <c r="I55" s="428"/>
      <c r="J55" s="85">
        <f t="shared" si="6"/>
        <v>0</v>
      </c>
      <c r="K55" s="85">
        <f t="shared" si="7"/>
        <v>0</v>
      </c>
    </row>
    <row r="56" spans="1:11" s="285" customFormat="1" hidden="1" x14ac:dyDescent="0.25">
      <c r="A56" s="118">
        <v>42</v>
      </c>
      <c r="B56" s="151">
        <v>5280</v>
      </c>
      <c r="C56" s="94" t="s">
        <v>94</v>
      </c>
      <c r="D56" s="85"/>
      <c r="E56" s="85"/>
      <c r="F56" s="85">
        <v>0</v>
      </c>
      <c r="G56" s="428">
        <v>0</v>
      </c>
      <c r="H56" s="85"/>
      <c r="I56" s="428"/>
      <c r="J56" s="85">
        <f t="shared" si="6"/>
        <v>0</v>
      </c>
      <c r="K56" s="85">
        <f t="shared" si="7"/>
        <v>0</v>
      </c>
    </row>
    <row r="57" spans="1:11" s="285" customFormat="1" x14ac:dyDescent="0.25">
      <c r="A57" s="118">
        <v>42</v>
      </c>
      <c r="B57" s="151">
        <v>5285</v>
      </c>
      <c r="C57" s="94" t="s">
        <v>60</v>
      </c>
      <c r="D57" s="85">
        <v>12000</v>
      </c>
      <c r="E57" s="85">
        <v>212200</v>
      </c>
      <c r="F57" s="85">
        <v>232200</v>
      </c>
      <c r="G57" s="428">
        <v>232200</v>
      </c>
      <c r="H57" s="85">
        <v>347200</v>
      </c>
      <c r="I57" s="428">
        <v>440400</v>
      </c>
      <c r="J57" s="85">
        <f t="shared" si="6"/>
        <v>464622</v>
      </c>
      <c r="K57" s="85">
        <f t="shared" si="7"/>
        <v>489246.96599999996</v>
      </c>
    </row>
    <row r="58" spans="1:11" s="285" customFormat="1" hidden="1" x14ac:dyDescent="0.25">
      <c r="A58" s="118">
        <v>42</v>
      </c>
      <c r="B58" s="151">
        <v>5290</v>
      </c>
      <c r="C58" s="94" t="s">
        <v>186</v>
      </c>
      <c r="D58" s="85"/>
      <c r="E58" s="108"/>
      <c r="F58" s="85">
        <v>0</v>
      </c>
      <c r="G58" s="428">
        <v>0</v>
      </c>
      <c r="H58" s="85">
        <f>0/8*12</f>
        <v>0</v>
      </c>
      <c r="I58" s="428"/>
      <c r="J58" s="85"/>
      <c r="K58" s="85"/>
    </row>
    <row r="59" spans="1:11" s="285" customFormat="1" x14ac:dyDescent="0.25">
      <c r="A59" s="344"/>
      <c r="B59" s="151"/>
      <c r="C59" s="94"/>
      <c r="D59" s="439">
        <f t="shared" ref="D59:K59" si="8">SUM(D40:D58)</f>
        <v>203494</v>
      </c>
      <c r="E59" s="110">
        <f t="shared" si="8"/>
        <v>568200</v>
      </c>
      <c r="F59" s="439">
        <f t="shared" si="8"/>
        <v>672200</v>
      </c>
      <c r="G59" s="439">
        <f t="shared" si="8"/>
        <v>672200</v>
      </c>
      <c r="H59" s="439">
        <f t="shared" si="8"/>
        <v>603200</v>
      </c>
      <c r="I59" s="439">
        <f t="shared" si="8"/>
        <v>696400</v>
      </c>
      <c r="J59" s="439">
        <f t="shared" si="8"/>
        <v>734702</v>
      </c>
      <c r="K59" s="439">
        <f t="shared" si="8"/>
        <v>773641.20600000001</v>
      </c>
    </row>
    <row r="60" spans="1:11" s="285" customFormat="1" hidden="1" x14ac:dyDescent="0.25">
      <c r="A60" s="344"/>
      <c r="B60" s="151"/>
      <c r="C60" s="93" t="s">
        <v>198</v>
      </c>
      <c r="D60" s="85"/>
      <c r="E60" s="112"/>
      <c r="F60" s="112"/>
      <c r="G60" s="112"/>
      <c r="H60" s="112"/>
      <c r="I60" s="112"/>
      <c r="J60" s="112"/>
      <c r="K60" s="112"/>
    </row>
    <row r="61" spans="1:11" s="285" customFormat="1" hidden="1" x14ac:dyDescent="0.25">
      <c r="A61" s="118">
        <v>42</v>
      </c>
      <c r="B61" s="151">
        <v>5400</v>
      </c>
      <c r="C61" s="94" t="s">
        <v>334</v>
      </c>
      <c r="D61" s="85"/>
      <c r="E61" s="86"/>
      <c r="F61" s="85"/>
      <c r="G61" s="428"/>
      <c r="H61" s="85">
        <f>0/8*12</f>
        <v>0</v>
      </c>
      <c r="I61" s="86"/>
      <c r="J61" s="86"/>
      <c r="K61" s="86"/>
    </row>
    <row r="62" spans="1:11" s="285" customFormat="1" hidden="1" x14ac:dyDescent="0.25">
      <c r="A62" s="118">
        <v>42</v>
      </c>
      <c r="B62" s="151">
        <v>5405</v>
      </c>
      <c r="C62" s="94" t="s">
        <v>335</v>
      </c>
      <c r="D62" s="85"/>
      <c r="E62" s="108"/>
      <c r="F62" s="85"/>
      <c r="G62" s="428"/>
      <c r="H62" s="85">
        <f>0/8*12</f>
        <v>0</v>
      </c>
      <c r="I62" s="428"/>
      <c r="J62" s="85"/>
      <c r="K62" s="108"/>
    </row>
    <row r="63" spans="1:11" s="285" customFormat="1" hidden="1" x14ac:dyDescent="0.25">
      <c r="A63" s="344"/>
      <c r="B63" s="151"/>
      <c r="C63" s="94"/>
      <c r="D63" s="89"/>
      <c r="E63" s="89">
        <f>SUM(E61:E62)</f>
        <v>0</v>
      </c>
      <c r="F63" s="89">
        <v>0</v>
      </c>
      <c r="G63" s="429">
        <v>0</v>
      </c>
      <c r="H63" s="89">
        <f>SUM(H61:H62)</f>
        <v>0</v>
      </c>
      <c r="I63" s="429"/>
      <c r="J63" s="89"/>
      <c r="K63" s="89"/>
    </row>
    <row r="64" spans="1:11" s="285" customFormat="1" hidden="1" x14ac:dyDescent="0.25">
      <c r="A64" s="344"/>
      <c r="B64" s="151"/>
      <c r="C64" s="93" t="s">
        <v>61</v>
      </c>
      <c r="D64" s="85"/>
      <c r="E64" s="86"/>
      <c r="F64" s="86"/>
      <c r="G64" s="86"/>
      <c r="H64" s="86"/>
      <c r="I64" s="86"/>
      <c r="J64" s="86"/>
      <c r="K64" s="86"/>
    </row>
    <row r="65" spans="1:11" s="285" customFormat="1" hidden="1" x14ac:dyDescent="0.25">
      <c r="A65" s="118">
        <v>42</v>
      </c>
      <c r="B65" s="151">
        <v>5450</v>
      </c>
      <c r="C65" s="94" t="s">
        <v>351</v>
      </c>
      <c r="D65" s="85"/>
      <c r="E65" s="108"/>
      <c r="F65" s="85"/>
      <c r="G65" s="428"/>
      <c r="H65" s="85">
        <f>0/8*12</f>
        <v>0</v>
      </c>
      <c r="I65" s="428"/>
      <c r="J65" s="85"/>
      <c r="K65" s="108"/>
    </row>
    <row r="66" spans="1:11" s="285" customFormat="1" hidden="1" x14ac:dyDescent="0.25">
      <c r="A66" s="344"/>
      <c r="B66" s="151"/>
      <c r="C66" s="94"/>
      <c r="D66" s="89"/>
      <c r="E66" s="89">
        <f>E65</f>
        <v>0</v>
      </c>
      <c r="F66" s="89">
        <v>0</v>
      </c>
      <c r="G66" s="429">
        <v>0</v>
      </c>
      <c r="H66" s="89">
        <f>H65</f>
        <v>0</v>
      </c>
      <c r="I66" s="429"/>
      <c r="J66" s="89"/>
      <c r="K66" s="89"/>
    </row>
    <row r="67" spans="1:11" s="285" customFormat="1" hidden="1" x14ac:dyDescent="0.25">
      <c r="A67" s="344"/>
      <c r="B67" s="151"/>
      <c r="C67" s="93" t="s">
        <v>96</v>
      </c>
      <c r="D67" s="85"/>
      <c r="E67" s="86"/>
      <c r="F67" s="86"/>
      <c r="G67" s="86"/>
      <c r="H67" s="86"/>
      <c r="I67" s="86"/>
      <c r="J67" s="86"/>
      <c r="K67" s="86"/>
    </row>
    <row r="68" spans="1:11" s="285" customFormat="1" hidden="1" x14ac:dyDescent="0.25">
      <c r="A68" s="118">
        <v>42</v>
      </c>
      <c r="B68" s="151">
        <v>5470</v>
      </c>
      <c r="C68" s="94" t="s">
        <v>97</v>
      </c>
      <c r="D68" s="85"/>
      <c r="E68" s="86"/>
      <c r="F68" s="85">
        <v>0</v>
      </c>
      <c r="G68" s="428">
        <v>0</v>
      </c>
      <c r="H68" s="85">
        <f>0/8*12</f>
        <v>0</v>
      </c>
      <c r="I68" s="428"/>
      <c r="J68" s="85"/>
      <c r="K68" s="85"/>
    </row>
    <row r="69" spans="1:11" s="285" customFormat="1" hidden="1" x14ac:dyDescent="0.25">
      <c r="A69" s="118">
        <v>42</v>
      </c>
      <c r="B69" s="151">
        <v>5475</v>
      </c>
      <c r="C69" s="94" t="s">
        <v>134</v>
      </c>
      <c r="D69" s="85"/>
      <c r="E69" s="86"/>
      <c r="F69" s="85">
        <v>0</v>
      </c>
      <c r="G69" s="428">
        <v>0</v>
      </c>
      <c r="H69" s="85">
        <f>0/8*12</f>
        <v>0</v>
      </c>
      <c r="I69" s="428"/>
      <c r="J69" s="85"/>
      <c r="K69" s="85"/>
    </row>
    <row r="70" spans="1:11" s="285" customFormat="1" hidden="1" x14ac:dyDescent="0.25">
      <c r="A70" s="344"/>
      <c r="B70" s="151"/>
      <c r="C70" s="94"/>
      <c r="D70" s="110"/>
      <c r="E70" s="110">
        <f>SUM(E68:E69)</f>
        <v>0</v>
      </c>
      <c r="F70" s="110">
        <v>0</v>
      </c>
      <c r="G70" s="439">
        <v>0</v>
      </c>
      <c r="H70" s="110">
        <f>SUM(H68:H69)</f>
        <v>0</v>
      </c>
      <c r="I70" s="439"/>
      <c r="J70" s="110"/>
      <c r="K70" s="110"/>
    </row>
    <row r="71" spans="1:11" s="285" customFormat="1" x14ac:dyDescent="0.25">
      <c r="A71" s="344"/>
      <c r="B71" s="151"/>
      <c r="C71" s="93" t="s">
        <v>62</v>
      </c>
      <c r="D71" s="88"/>
      <c r="E71" s="113"/>
      <c r="F71" s="113"/>
      <c r="G71" s="113"/>
      <c r="H71" s="113"/>
      <c r="I71" s="113"/>
      <c r="J71" s="113"/>
      <c r="K71" s="113"/>
    </row>
    <row r="72" spans="1:11" s="285" customFormat="1" x14ac:dyDescent="0.25">
      <c r="A72" s="118">
        <v>42</v>
      </c>
      <c r="B72" s="151">
        <v>5505</v>
      </c>
      <c r="C72" s="94" t="s">
        <v>259</v>
      </c>
      <c r="D72" s="85"/>
      <c r="E72" s="85">
        <v>420000</v>
      </c>
      <c r="F72" s="85">
        <v>420000</v>
      </c>
      <c r="G72" s="428">
        <v>420000</v>
      </c>
      <c r="H72" s="85">
        <v>585000</v>
      </c>
      <c r="I72" s="428"/>
      <c r="J72" s="85"/>
      <c r="K72" s="85"/>
    </row>
    <row r="73" spans="1:11" s="285" customFormat="1" x14ac:dyDescent="0.25">
      <c r="A73" s="118">
        <v>42</v>
      </c>
      <c r="B73" s="151">
        <v>5510</v>
      </c>
      <c r="C73" s="94" t="s">
        <v>63</v>
      </c>
      <c r="D73" s="85"/>
      <c r="E73" s="85">
        <v>21645</v>
      </c>
      <c r="F73" s="85">
        <v>21645</v>
      </c>
      <c r="G73" s="428">
        <v>21645</v>
      </c>
      <c r="H73" s="85">
        <v>22000</v>
      </c>
      <c r="I73" s="428"/>
      <c r="J73" s="85"/>
      <c r="K73" s="85"/>
    </row>
    <row r="74" spans="1:11" s="285" customFormat="1" hidden="1" x14ac:dyDescent="0.25">
      <c r="A74" s="118">
        <v>42</v>
      </c>
      <c r="B74" s="151">
        <v>5520</v>
      </c>
      <c r="C74" s="94" t="s">
        <v>260</v>
      </c>
      <c r="D74" s="85"/>
      <c r="E74" s="85"/>
      <c r="F74" s="85">
        <v>0</v>
      </c>
      <c r="G74" s="428">
        <v>0</v>
      </c>
      <c r="H74" s="85"/>
      <c r="I74" s="428"/>
      <c r="J74" s="85"/>
      <c r="K74" s="85"/>
    </row>
    <row r="75" spans="1:11" s="285" customFormat="1" hidden="1" x14ac:dyDescent="0.25">
      <c r="A75" s="118">
        <v>42</v>
      </c>
      <c r="B75" s="151">
        <v>5525</v>
      </c>
      <c r="C75" s="94" t="s">
        <v>261</v>
      </c>
      <c r="D75" s="85"/>
      <c r="E75" s="85"/>
      <c r="F75" s="85">
        <v>0</v>
      </c>
      <c r="G75" s="428">
        <v>0</v>
      </c>
      <c r="H75" s="85"/>
      <c r="I75" s="428"/>
      <c r="J75" s="85"/>
      <c r="K75" s="85"/>
    </row>
    <row r="76" spans="1:11" s="285" customFormat="1" hidden="1" x14ac:dyDescent="0.25">
      <c r="A76" s="118">
        <v>42</v>
      </c>
      <c r="B76" s="151">
        <v>5530</v>
      </c>
      <c r="C76" s="94" t="s">
        <v>262</v>
      </c>
      <c r="D76" s="85"/>
      <c r="E76" s="85"/>
      <c r="F76" s="85">
        <v>0</v>
      </c>
      <c r="G76" s="428">
        <v>0</v>
      </c>
      <c r="H76" s="85"/>
      <c r="I76" s="428"/>
      <c r="J76" s="85"/>
      <c r="K76" s="85"/>
    </row>
    <row r="77" spans="1:11" s="285" customFormat="1" hidden="1" x14ac:dyDescent="0.25">
      <c r="A77" s="118">
        <v>42</v>
      </c>
      <c r="B77" s="151">
        <v>5535</v>
      </c>
      <c r="C77" s="94" t="s">
        <v>263</v>
      </c>
      <c r="D77" s="85"/>
      <c r="E77" s="85"/>
      <c r="F77" s="85">
        <v>0</v>
      </c>
      <c r="G77" s="428">
        <v>0</v>
      </c>
      <c r="H77" s="85"/>
      <c r="I77" s="428"/>
      <c r="J77" s="85"/>
      <c r="K77" s="85"/>
    </row>
    <row r="78" spans="1:11" s="285" customFormat="1" hidden="1" x14ac:dyDescent="0.25">
      <c r="A78" s="118">
        <v>42</v>
      </c>
      <c r="B78" s="151">
        <v>5540</v>
      </c>
      <c r="C78" s="94" t="s">
        <v>264</v>
      </c>
      <c r="D78" s="85"/>
      <c r="E78" s="85"/>
      <c r="F78" s="85">
        <v>0</v>
      </c>
      <c r="G78" s="428">
        <v>0</v>
      </c>
      <c r="H78" s="85"/>
      <c r="I78" s="428"/>
      <c r="J78" s="85"/>
      <c r="K78" s="85"/>
    </row>
    <row r="79" spans="1:11" s="285" customFormat="1" ht="13.5" hidden="1" customHeight="1" x14ac:dyDescent="0.25">
      <c r="A79" s="118">
        <v>42</v>
      </c>
      <c r="B79" s="151">
        <v>5545</v>
      </c>
      <c r="C79" s="94" t="s">
        <v>265</v>
      </c>
      <c r="D79" s="85"/>
      <c r="E79" s="85"/>
      <c r="F79" s="85">
        <v>0</v>
      </c>
      <c r="G79" s="428">
        <v>0</v>
      </c>
      <c r="H79" s="85"/>
      <c r="I79" s="428"/>
      <c r="J79" s="85"/>
      <c r="K79" s="85"/>
    </row>
    <row r="80" spans="1:11" s="285" customFormat="1" hidden="1" x14ac:dyDescent="0.25">
      <c r="A80" s="118">
        <v>42</v>
      </c>
      <c r="B80" s="151">
        <v>5550</v>
      </c>
      <c r="C80" s="94" t="s">
        <v>267</v>
      </c>
      <c r="D80" s="85"/>
      <c r="E80" s="85"/>
      <c r="F80" s="85">
        <v>0</v>
      </c>
      <c r="G80" s="428">
        <v>0</v>
      </c>
      <c r="H80" s="85"/>
      <c r="I80" s="428"/>
      <c r="J80" s="85"/>
      <c r="K80" s="85"/>
    </row>
    <row r="81" spans="1:11" s="285" customFormat="1" x14ac:dyDescent="0.25">
      <c r="A81" s="118">
        <v>42</v>
      </c>
      <c r="B81" s="151">
        <v>5555</v>
      </c>
      <c r="C81" s="94" t="s">
        <v>268</v>
      </c>
      <c r="D81" s="85">
        <v>115840</v>
      </c>
      <c r="E81" s="85">
        <v>117979</v>
      </c>
      <c r="F81" s="85">
        <v>117979</v>
      </c>
      <c r="G81" s="428">
        <v>117979</v>
      </c>
      <c r="H81" s="85"/>
      <c r="I81" s="428"/>
      <c r="J81" s="85"/>
      <c r="K81" s="85"/>
    </row>
    <row r="82" spans="1:11" s="285" customFormat="1" hidden="1" x14ac:dyDescent="0.25">
      <c r="A82" s="118">
        <v>42</v>
      </c>
      <c r="B82" s="151">
        <v>5560</v>
      </c>
      <c r="C82" s="94" t="s">
        <v>269</v>
      </c>
      <c r="D82" s="85"/>
      <c r="E82" s="85"/>
      <c r="F82" s="85">
        <v>0</v>
      </c>
      <c r="G82" s="428">
        <v>0</v>
      </c>
      <c r="H82" s="85"/>
      <c r="I82" s="428"/>
      <c r="J82" s="85"/>
      <c r="K82" s="85"/>
    </row>
    <row r="83" spans="1:11" s="285" customFormat="1" hidden="1" x14ac:dyDescent="0.25">
      <c r="A83" s="118">
        <v>42</v>
      </c>
      <c r="B83" s="151">
        <v>5565</v>
      </c>
      <c r="C83" s="94" t="s">
        <v>246</v>
      </c>
      <c r="D83" s="85"/>
      <c r="E83" s="85"/>
      <c r="F83" s="85">
        <v>0</v>
      </c>
      <c r="G83" s="428">
        <v>0</v>
      </c>
      <c r="H83" s="85"/>
      <c r="I83" s="428"/>
      <c r="J83" s="85"/>
      <c r="K83" s="85"/>
    </row>
    <row r="84" spans="1:11" s="285" customFormat="1" x14ac:dyDescent="0.25">
      <c r="A84" s="118">
        <v>42</v>
      </c>
      <c r="B84" s="151">
        <v>5570</v>
      </c>
      <c r="C84" s="94" t="s">
        <v>270</v>
      </c>
      <c r="D84" s="85">
        <v>4294</v>
      </c>
      <c r="E84" s="85">
        <v>4748.5549999999994</v>
      </c>
      <c r="F84" s="85">
        <v>4748.5549999999994</v>
      </c>
      <c r="G84" s="428">
        <v>4748.5549999999994</v>
      </c>
      <c r="H84" s="85">
        <v>4800</v>
      </c>
      <c r="I84" s="428"/>
      <c r="J84" s="85"/>
      <c r="K84" s="85"/>
    </row>
    <row r="85" spans="1:11" s="285" customFormat="1" hidden="1" x14ac:dyDescent="0.25">
      <c r="A85" s="118">
        <v>42</v>
      </c>
      <c r="B85" s="151">
        <v>5575</v>
      </c>
      <c r="C85" s="94" t="s">
        <v>271</v>
      </c>
      <c r="D85" s="85"/>
      <c r="E85" s="85"/>
      <c r="F85" s="85">
        <v>0</v>
      </c>
      <c r="G85" s="428">
        <v>0</v>
      </c>
      <c r="H85" s="85"/>
      <c r="I85" s="428"/>
      <c r="J85" s="85"/>
      <c r="K85" s="85"/>
    </row>
    <row r="86" spans="1:11" s="285" customFormat="1" hidden="1" x14ac:dyDescent="0.25">
      <c r="A86" s="118">
        <v>42</v>
      </c>
      <c r="B86" s="151">
        <v>5580</v>
      </c>
      <c r="C86" s="94" t="s">
        <v>272</v>
      </c>
      <c r="D86" s="85"/>
      <c r="E86" s="85"/>
      <c r="F86" s="85">
        <v>0</v>
      </c>
      <c r="G86" s="428">
        <v>0</v>
      </c>
      <c r="H86" s="85"/>
      <c r="I86" s="428"/>
      <c r="J86" s="85"/>
      <c r="K86" s="85"/>
    </row>
    <row r="87" spans="1:11" s="285" customFormat="1" hidden="1" x14ac:dyDescent="0.25">
      <c r="A87" s="118">
        <v>42</v>
      </c>
      <c r="B87" s="151">
        <v>5585</v>
      </c>
      <c r="C87" s="94" t="s">
        <v>273</v>
      </c>
      <c r="D87" s="86"/>
      <c r="E87" s="85"/>
      <c r="F87" s="85">
        <v>0</v>
      </c>
      <c r="G87" s="428">
        <v>0</v>
      </c>
      <c r="H87" s="85"/>
      <c r="I87" s="428"/>
      <c r="J87" s="85"/>
      <c r="K87" s="85"/>
    </row>
    <row r="88" spans="1:11" s="285" customFormat="1" hidden="1" x14ac:dyDescent="0.25">
      <c r="A88" s="118">
        <v>42</v>
      </c>
      <c r="B88" s="151">
        <v>5590</v>
      </c>
      <c r="C88" s="94" t="s">
        <v>274</v>
      </c>
      <c r="D88" s="86"/>
      <c r="E88" s="85"/>
      <c r="F88" s="85">
        <v>0</v>
      </c>
      <c r="G88" s="428">
        <v>0</v>
      </c>
      <c r="H88" s="85"/>
      <c r="I88" s="428"/>
      <c r="J88" s="85"/>
      <c r="K88" s="85"/>
    </row>
    <row r="89" spans="1:11" s="285" customFormat="1" hidden="1" x14ac:dyDescent="0.25">
      <c r="A89" s="118">
        <v>42</v>
      </c>
      <c r="B89" s="151">
        <v>5595</v>
      </c>
      <c r="C89" s="94" t="s">
        <v>275</v>
      </c>
      <c r="D89" s="85"/>
      <c r="E89" s="85"/>
      <c r="F89" s="85">
        <v>0</v>
      </c>
      <c r="G89" s="428">
        <v>0</v>
      </c>
      <c r="H89" s="85"/>
      <c r="I89" s="428"/>
      <c r="J89" s="85"/>
      <c r="K89" s="85"/>
    </row>
    <row r="90" spans="1:11" s="285" customFormat="1" hidden="1" x14ac:dyDescent="0.25">
      <c r="A90" s="118">
        <v>42</v>
      </c>
      <c r="B90" s="151">
        <v>5600</v>
      </c>
      <c r="C90" s="159" t="s">
        <v>276</v>
      </c>
      <c r="D90" s="85"/>
      <c r="E90" s="85"/>
      <c r="F90" s="85">
        <v>0</v>
      </c>
      <c r="G90" s="428">
        <v>0</v>
      </c>
      <c r="H90" s="85"/>
      <c r="I90" s="428"/>
      <c r="J90" s="85"/>
      <c r="K90" s="85"/>
    </row>
    <row r="91" spans="1:11" s="285" customFormat="1" hidden="1" x14ac:dyDescent="0.25">
      <c r="A91" s="118">
        <v>42</v>
      </c>
      <c r="B91" s="151">
        <v>5605</v>
      </c>
      <c r="C91" s="159" t="s">
        <v>277</v>
      </c>
      <c r="D91" s="85"/>
      <c r="E91" s="85"/>
      <c r="F91" s="85">
        <v>0</v>
      </c>
      <c r="G91" s="428">
        <v>0</v>
      </c>
      <c r="H91" s="85"/>
      <c r="I91" s="428"/>
      <c r="J91" s="85"/>
      <c r="K91" s="85"/>
    </row>
    <row r="92" spans="1:11" s="285" customFormat="1" hidden="1" x14ac:dyDescent="0.25">
      <c r="A92" s="118">
        <v>42</v>
      </c>
      <c r="B92" s="151">
        <v>5610</v>
      </c>
      <c r="C92" s="159" t="s">
        <v>278</v>
      </c>
      <c r="D92" s="85"/>
      <c r="E92" s="85"/>
      <c r="F92" s="85">
        <v>0</v>
      </c>
      <c r="G92" s="428">
        <v>0</v>
      </c>
      <c r="H92" s="85"/>
      <c r="I92" s="428"/>
      <c r="J92" s="85"/>
      <c r="K92" s="85"/>
    </row>
    <row r="93" spans="1:11" s="285" customFormat="1" hidden="1" x14ac:dyDescent="0.25">
      <c r="A93" s="118">
        <v>42</v>
      </c>
      <c r="B93" s="151">
        <v>5615</v>
      </c>
      <c r="C93" s="159" t="s">
        <v>279</v>
      </c>
      <c r="D93" s="85"/>
      <c r="E93" s="85"/>
      <c r="F93" s="85">
        <v>0</v>
      </c>
      <c r="G93" s="428">
        <v>0</v>
      </c>
      <c r="H93" s="85"/>
      <c r="I93" s="428"/>
      <c r="J93" s="85"/>
      <c r="K93" s="85"/>
    </row>
    <row r="94" spans="1:11" s="285" customFormat="1" hidden="1" x14ac:dyDescent="0.25">
      <c r="A94" s="118">
        <v>42</v>
      </c>
      <c r="B94" s="151">
        <v>5620</v>
      </c>
      <c r="C94" s="159" t="s">
        <v>280</v>
      </c>
      <c r="D94" s="85"/>
      <c r="E94" s="85"/>
      <c r="F94" s="85">
        <v>0</v>
      </c>
      <c r="G94" s="428">
        <v>0</v>
      </c>
      <c r="H94" s="85"/>
      <c r="I94" s="428"/>
      <c r="J94" s="85"/>
      <c r="K94" s="85"/>
    </row>
    <row r="95" spans="1:11" s="285" customFormat="1" hidden="1" x14ac:dyDescent="0.25">
      <c r="A95" s="118">
        <v>42</v>
      </c>
      <c r="B95" s="151">
        <v>5625</v>
      </c>
      <c r="C95" s="159" t="s">
        <v>281</v>
      </c>
      <c r="D95" s="85"/>
      <c r="E95" s="85"/>
      <c r="F95" s="85">
        <v>0</v>
      </c>
      <c r="G95" s="428">
        <v>0</v>
      </c>
      <c r="H95" s="85"/>
      <c r="I95" s="428"/>
      <c r="J95" s="85"/>
      <c r="K95" s="85"/>
    </row>
    <row r="96" spans="1:11" s="285" customFormat="1" hidden="1" x14ac:dyDescent="0.25">
      <c r="A96" s="118">
        <v>42</v>
      </c>
      <c r="B96" s="151">
        <v>5630</v>
      </c>
      <c r="C96" s="159" t="s">
        <v>282</v>
      </c>
      <c r="D96" s="85"/>
      <c r="E96" s="85"/>
      <c r="F96" s="85">
        <v>0</v>
      </c>
      <c r="G96" s="428">
        <v>0</v>
      </c>
      <c r="H96" s="85"/>
      <c r="I96" s="428"/>
      <c r="J96" s="85"/>
      <c r="K96" s="85"/>
    </row>
    <row r="97" spans="1:11" s="285" customFormat="1" hidden="1" x14ac:dyDescent="0.25">
      <c r="A97" s="118">
        <v>42</v>
      </c>
      <c r="B97" s="151">
        <v>5635</v>
      </c>
      <c r="C97" s="159" t="s">
        <v>283</v>
      </c>
      <c r="D97" s="85"/>
      <c r="E97" s="85"/>
      <c r="F97" s="85">
        <v>0</v>
      </c>
      <c r="G97" s="428">
        <v>0</v>
      </c>
      <c r="H97" s="85"/>
      <c r="I97" s="428"/>
      <c r="J97" s="85"/>
      <c r="K97" s="85"/>
    </row>
    <row r="98" spans="1:11" s="285" customFormat="1" hidden="1" x14ac:dyDescent="0.25">
      <c r="A98" s="118">
        <v>42</v>
      </c>
      <c r="B98" s="151">
        <v>5640</v>
      </c>
      <c r="C98" s="159" t="s">
        <v>284</v>
      </c>
      <c r="D98" s="85"/>
      <c r="E98" s="85"/>
      <c r="F98" s="85">
        <v>0</v>
      </c>
      <c r="G98" s="428">
        <v>0</v>
      </c>
      <c r="H98" s="85"/>
      <c r="I98" s="428"/>
      <c r="J98" s="85"/>
      <c r="K98" s="85"/>
    </row>
    <row r="99" spans="1:11" s="285" customFormat="1" hidden="1" x14ac:dyDescent="0.25">
      <c r="A99" s="118">
        <v>42</v>
      </c>
      <c r="B99" s="151">
        <v>5645</v>
      </c>
      <c r="C99" s="159" t="s">
        <v>285</v>
      </c>
      <c r="D99" s="85"/>
      <c r="E99" s="85"/>
      <c r="F99" s="85">
        <v>0</v>
      </c>
      <c r="G99" s="428">
        <v>0</v>
      </c>
      <c r="H99" s="85"/>
      <c r="I99" s="428"/>
      <c r="J99" s="85"/>
      <c r="K99" s="85"/>
    </row>
    <row r="100" spans="1:11" s="285" customFormat="1" hidden="1" x14ac:dyDescent="0.25">
      <c r="A100" s="118">
        <v>42</v>
      </c>
      <c r="B100" s="151">
        <v>5650</v>
      </c>
      <c r="C100" s="159" t="s">
        <v>286</v>
      </c>
      <c r="D100" s="85"/>
      <c r="E100" s="85"/>
      <c r="F100" s="85">
        <v>0</v>
      </c>
      <c r="G100" s="428">
        <v>0</v>
      </c>
      <c r="H100" s="85"/>
      <c r="I100" s="428"/>
      <c r="J100" s="85"/>
      <c r="K100" s="85"/>
    </row>
    <row r="101" spans="1:11" s="285" customFormat="1" hidden="1" x14ac:dyDescent="0.25">
      <c r="A101" s="118">
        <v>42</v>
      </c>
      <c r="B101" s="151">
        <v>5655</v>
      </c>
      <c r="C101" s="159" t="s">
        <v>287</v>
      </c>
      <c r="D101" s="85"/>
      <c r="E101" s="85"/>
      <c r="F101" s="85">
        <v>0</v>
      </c>
      <c r="G101" s="428">
        <v>0</v>
      </c>
      <c r="H101" s="85"/>
      <c r="I101" s="428"/>
      <c r="J101" s="85"/>
      <c r="K101" s="85"/>
    </row>
    <row r="102" spans="1:11" s="285" customFormat="1" hidden="1" x14ac:dyDescent="0.25">
      <c r="A102" s="118">
        <v>42</v>
      </c>
      <c r="B102" s="151">
        <v>5660</v>
      </c>
      <c r="C102" s="159" t="s">
        <v>288</v>
      </c>
      <c r="D102" s="85"/>
      <c r="E102" s="85"/>
      <c r="F102" s="85">
        <v>0</v>
      </c>
      <c r="G102" s="428">
        <v>0</v>
      </c>
      <c r="H102" s="85"/>
      <c r="I102" s="428"/>
      <c r="J102" s="85"/>
      <c r="K102" s="85"/>
    </row>
    <row r="103" spans="1:11" s="285" customFormat="1" hidden="1" x14ac:dyDescent="0.25">
      <c r="A103" s="118">
        <v>42</v>
      </c>
      <c r="B103" s="151">
        <v>5665</v>
      </c>
      <c r="C103" s="94" t="s">
        <v>289</v>
      </c>
      <c r="D103" s="85"/>
      <c r="E103" s="85"/>
      <c r="F103" s="85">
        <v>0</v>
      </c>
      <c r="G103" s="428">
        <v>0</v>
      </c>
      <c r="H103" s="85"/>
      <c r="I103" s="428"/>
      <c r="J103" s="85"/>
      <c r="K103" s="85"/>
    </row>
    <row r="104" spans="1:11" s="285" customFormat="1" hidden="1" x14ac:dyDescent="0.25">
      <c r="A104" s="118">
        <v>42</v>
      </c>
      <c r="B104" s="151">
        <v>5670</v>
      </c>
      <c r="C104" s="94" t="s">
        <v>290</v>
      </c>
      <c r="D104" s="85"/>
      <c r="E104" s="85"/>
      <c r="F104" s="85">
        <v>0</v>
      </c>
      <c r="G104" s="428">
        <v>0</v>
      </c>
      <c r="H104" s="85"/>
      <c r="I104" s="428"/>
      <c r="J104" s="85"/>
      <c r="K104" s="85"/>
    </row>
    <row r="105" spans="1:11" s="285" customFormat="1" hidden="1" x14ac:dyDescent="0.25">
      <c r="A105" s="118">
        <v>42</v>
      </c>
      <c r="B105" s="151">
        <v>5675</v>
      </c>
      <c r="C105" s="94" t="s">
        <v>291</v>
      </c>
      <c r="D105" s="85"/>
      <c r="E105" s="85"/>
      <c r="F105" s="85">
        <v>0</v>
      </c>
      <c r="G105" s="428">
        <v>0</v>
      </c>
      <c r="H105" s="85"/>
      <c r="I105" s="428"/>
      <c r="J105" s="85"/>
      <c r="K105" s="85"/>
    </row>
    <row r="106" spans="1:11" s="285" customFormat="1" hidden="1" x14ac:dyDescent="0.25">
      <c r="A106" s="118">
        <v>42</v>
      </c>
      <c r="B106" s="151">
        <v>5680</v>
      </c>
      <c r="C106" s="94" t="s">
        <v>292</v>
      </c>
      <c r="D106" s="85"/>
      <c r="E106" s="85"/>
      <c r="F106" s="85">
        <v>0</v>
      </c>
      <c r="G106" s="428">
        <v>0</v>
      </c>
      <c r="H106" s="85"/>
      <c r="I106" s="428"/>
      <c r="J106" s="85"/>
      <c r="K106" s="85"/>
    </row>
    <row r="107" spans="1:11" s="285" customFormat="1" hidden="1" x14ac:dyDescent="0.25">
      <c r="A107" s="118">
        <v>42</v>
      </c>
      <c r="B107" s="151">
        <v>5685</v>
      </c>
      <c r="C107" s="94" t="s">
        <v>293</v>
      </c>
      <c r="D107" s="85"/>
      <c r="E107" s="85"/>
      <c r="F107" s="85">
        <v>0</v>
      </c>
      <c r="G107" s="428">
        <v>0</v>
      </c>
      <c r="H107" s="85"/>
      <c r="I107" s="428"/>
      <c r="J107" s="85"/>
      <c r="K107" s="85"/>
    </row>
    <row r="108" spans="1:11" s="285" customFormat="1" hidden="1" x14ac:dyDescent="0.25">
      <c r="A108" s="118">
        <v>42</v>
      </c>
      <c r="B108" s="151">
        <v>5690</v>
      </c>
      <c r="C108" s="94" t="s">
        <v>247</v>
      </c>
      <c r="D108" s="85"/>
      <c r="E108" s="85"/>
      <c r="F108" s="85">
        <v>0</v>
      </c>
      <c r="G108" s="428">
        <v>0</v>
      </c>
      <c r="H108" s="85"/>
      <c r="I108" s="428"/>
      <c r="J108" s="85"/>
      <c r="K108" s="85"/>
    </row>
    <row r="109" spans="1:11" s="285" customFormat="1" hidden="1" x14ac:dyDescent="0.25">
      <c r="A109" s="118">
        <v>42</v>
      </c>
      <c r="B109" s="151">
        <v>5695</v>
      </c>
      <c r="C109" s="94" t="s">
        <v>294</v>
      </c>
      <c r="D109" s="85"/>
      <c r="E109" s="85"/>
      <c r="F109" s="85">
        <v>0</v>
      </c>
      <c r="G109" s="428">
        <v>0</v>
      </c>
      <c r="H109" s="85"/>
      <c r="I109" s="428"/>
      <c r="J109" s="85"/>
      <c r="K109" s="85"/>
    </row>
    <row r="110" spans="1:11" s="285" customFormat="1" x14ac:dyDescent="0.25">
      <c r="A110" s="118">
        <v>42</v>
      </c>
      <c r="B110" s="151">
        <v>5700</v>
      </c>
      <c r="C110" s="94" t="s">
        <v>295</v>
      </c>
      <c r="D110" s="85">
        <v>42968</v>
      </c>
      <c r="E110" s="85">
        <v>170000</v>
      </c>
      <c r="F110" s="85">
        <v>170000</v>
      </c>
      <c r="G110" s="428">
        <v>170000</v>
      </c>
      <c r="H110" s="85">
        <v>120000</v>
      </c>
      <c r="I110" s="428"/>
      <c r="J110" s="85"/>
      <c r="K110" s="85"/>
    </row>
    <row r="111" spans="1:11" s="285" customFormat="1" hidden="1" x14ac:dyDescent="0.25">
      <c r="A111" s="118">
        <v>42</v>
      </c>
      <c r="B111" s="151">
        <v>5710</v>
      </c>
      <c r="C111" s="94" t="s">
        <v>297</v>
      </c>
      <c r="D111" s="85"/>
      <c r="E111" s="85"/>
      <c r="F111" s="85">
        <v>0</v>
      </c>
      <c r="G111" s="428">
        <v>0</v>
      </c>
      <c r="H111" s="85"/>
      <c r="I111" s="428"/>
      <c r="J111" s="85"/>
      <c r="K111" s="85"/>
    </row>
    <row r="112" spans="1:11" s="285" customFormat="1" hidden="1" x14ac:dyDescent="0.25">
      <c r="A112" s="118">
        <v>42</v>
      </c>
      <c r="B112" s="151">
        <v>5715</v>
      </c>
      <c r="C112" s="94" t="s">
        <v>298</v>
      </c>
      <c r="D112" s="85"/>
      <c r="E112" s="85"/>
      <c r="F112" s="85">
        <v>0</v>
      </c>
      <c r="G112" s="428">
        <v>0</v>
      </c>
      <c r="H112" s="85"/>
      <c r="I112" s="428"/>
      <c r="J112" s="85"/>
      <c r="K112" s="85"/>
    </row>
    <row r="113" spans="1:11" s="285" customFormat="1" hidden="1" x14ac:dyDescent="0.25">
      <c r="A113" s="118">
        <v>42</v>
      </c>
      <c r="B113" s="151">
        <v>5720</v>
      </c>
      <c r="C113" s="94" t="s">
        <v>299</v>
      </c>
      <c r="D113" s="85"/>
      <c r="E113" s="85"/>
      <c r="F113" s="85">
        <v>0</v>
      </c>
      <c r="G113" s="428">
        <v>0</v>
      </c>
      <c r="H113" s="85"/>
      <c r="I113" s="428"/>
      <c r="J113" s="85"/>
      <c r="K113" s="85"/>
    </row>
    <row r="114" spans="1:11" s="285" customFormat="1" hidden="1" x14ac:dyDescent="0.25">
      <c r="A114" s="118">
        <v>42</v>
      </c>
      <c r="B114" s="151">
        <v>5730</v>
      </c>
      <c r="C114" s="94" t="s">
        <v>300</v>
      </c>
      <c r="D114" s="85"/>
      <c r="E114" s="85"/>
      <c r="F114" s="85">
        <v>0</v>
      </c>
      <c r="G114" s="428">
        <v>0</v>
      </c>
      <c r="H114" s="85"/>
      <c r="I114" s="428"/>
      <c r="J114" s="85"/>
      <c r="K114" s="85"/>
    </row>
    <row r="115" spans="1:11" s="285" customFormat="1" hidden="1" x14ac:dyDescent="0.25">
      <c r="A115" s="118">
        <v>42</v>
      </c>
      <c r="B115" s="151">
        <v>5735</v>
      </c>
      <c r="C115" s="94" t="s">
        <v>301</v>
      </c>
      <c r="D115" s="85"/>
      <c r="E115" s="85"/>
      <c r="F115" s="85">
        <v>0</v>
      </c>
      <c r="G115" s="428">
        <v>0</v>
      </c>
      <c r="H115" s="85"/>
      <c r="I115" s="428"/>
      <c r="J115" s="85"/>
      <c r="K115" s="85"/>
    </row>
    <row r="116" spans="1:11" s="285" customFormat="1" hidden="1" x14ac:dyDescent="0.25">
      <c r="A116" s="118">
        <v>42</v>
      </c>
      <c r="B116" s="151">
        <v>5740</v>
      </c>
      <c r="C116" s="94" t="s">
        <v>302</v>
      </c>
      <c r="D116" s="85"/>
      <c r="E116" s="85"/>
      <c r="F116" s="85">
        <v>0</v>
      </c>
      <c r="G116" s="428">
        <v>0</v>
      </c>
      <c r="H116" s="85"/>
      <c r="I116" s="428"/>
      <c r="J116" s="85"/>
      <c r="K116" s="85"/>
    </row>
    <row r="117" spans="1:11" s="285" customFormat="1" hidden="1" x14ac:dyDescent="0.25">
      <c r="A117" s="118">
        <v>42</v>
      </c>
      <c r="B117" s="151">
        <v>5745</v>
      </c>
      <c r="C117" s="94" t="s">
        <v>303</v>
      </c>
      <c r="D117" s="85"/>
      <c r="E117" s="85"/>
      <c r="F117" s="85">
        <v>0</v>
      </c>
      <c r="G117" s="428">
        <v>0</v>
      </c>
      <c r="H117" s="85"/>
      <c r="I117" s="428"/>
      <c r="J117" s="85"/>
      <c r="K117" s="85"/>
    </row>
    <row r="118" spans="1:11" s="285" customFormat="1" x14ac:dyDescent="0.25">
      <c r="A118" s="118">
        <v>42</v>
      </c>
      <c r="B118" s="151">
        <v>5750</v>
      </c>
      <c r="C118" s="94" t="s">
        <v>304</v>
      </c>
      <c r="D118" s="85">
        <v>1562</v>
      </c>
      <c r="E118" s="85">
        <v>4600</v>
      </c>
      <c r="F118" s="85">
        <v>4600</v>
      </c>
      <c r="G118" s="428">
        <v>4600</v>
      </c>
      <c r="H118" s="85">
        <v>5000</v>
      </c>
      <c r="I118" s="428">
        <f>+H118*1.08</f>
        <v>5400</v>
      </c>
      <c r="J118" s="85">
        <f>+I118*1.055</f>
        <v>5697</v>
      </c>
      <c r="K118" s="85">
        <f>+J118*1.053</f>
        <v>5998.9409999999998</v>
      </c>
    </row>
    <row r="119" spans="1:11" s="285" customFormat="1" x14ac:dyDescent="0.25">
      <c r="A119" s="118">
        <v>42</v>
      </c>
      <c r="B119" s="151">
        <v>5755</v>
      </c>
      <c r="C119" s="94" t="s">
        <v>305</v>
      </c>
      <c r="D119" s="85">
        <v>19250</v>
      </c>
      <c r="E119" s="85">
        <v>44000</v>
      </c>
      <c r="F119" s="85">
        <v>44000</v>
      </c>
      <c r="G119" s="428">
        <v>44000</v>
      </c>
      <c r="H119" s="85">
        <v>44000</v>
      </c>
      <c r="I119" s="428"/>
      <c r="J119" s="85"/>
      <c r="K119" s="85"/>
    </row>
    <row r="120" spans="1:11" s="285" customFormat="1" ht="12" hidden="1" customHeight="1" x14ac:dyDescent="0.25">
      <c r="A120" s="118">
        <v>42</v>
      </c>
      <c r="B120" s="151">
        <v>5760</v>
      </c>
      <c r="C120" s="94" t="s">
        <v>306</v>
      </c>
      <c r="D120" s="85"/>
      <c r="E120" s="85">
        <v>0</v>
      </c>
      <c r="F120" s="85">
        <v>0</v>
      </c>
      <c r="G120" s="428">
        <v>0</v>
      </c>
      <c r="H120" s="85"/>
      <c r="I120" s="428"/>
      <c r="J120" s="85"/>
      <c r="K120" s="85"/>
    </row>
    <row r="121" spans="1:11" s="285" customFormat="1" hidden="1" x14ac:dyDescent="0.25">
      <c r="A121" s="118">
        <v>42</v>
      </c>
      <c r="B121" s="151">
        <v>5765</v>
      </c>
      <c r="C121" s="94" t="s">
        <v>307</v>
      </c>
      <c r="D121" s="85"/>
      <c r="E121" s="85">
        <v>0</v>
      </c>
      <c r="F121" s="85">
        <v>0</v>
      </c>
      <c r="G121" s="428">
        <v>0</v>
      </c>
      <c r="H121" s="85"/>
      <c r="I121" s="428"/>
      <c r="J121" s="85"/>
      <c r="K121" s="85"/>
    </row>
    <row r="122" spans="1:11" s="285" customFormat="1" hidden="1" x14ac:dyDescent="0.25">
      <c r="A122" s="118">
        <v>42</v>
      </c>
      <c r="B122" s="151">
        <v>5770</v>
      </c>
      <c r="C122" s="94" t="s">
        <v>308</v>
      </c>
      <c r="D122" s="85"/>
      <c r="E122" s="85">
        <v>0</v>
      </c>
      <c r="F122" s="85">
        <v>0</v>
      </c>
      <c r="G122" s="428">
        <v>0</v>
      </c>
      <c r="H122" s="85"/>
      <c r="I122" s="428"/>
      <c r="J122" s="85"/>
      <c r="K122" s="85"/>
    </row>
    <row r="123" spans="1:11" s="285" customFormat="1" hidden="1" x14ac:dyDescent="0.25">
      <c r="A123" s="118">
        <v>42</v>
      </c>
      <c r="B123" s="151">
        <v>5775</v>
      </c>
      <c r="C123" s="94" t="s">
        <v>309</v>
      </c>
      <c r="D123" s="85"/>
      <c r="E123" s="85">
        <v>0</v>
      </c>
      <c r="F123" s="85">
        <v>0</v>
      </c>
      <c r="G123" s="428">
        <v>0</v>
      </c>
      <c r="H123" s="85"/>
      <c r="I123" s="428"/>
      <c r="J123" s="85"/>
      <c r="K123" s="85"/>
    </row>
    <row r="124" spans="1:11" s="285" customFormat="1" hidden="1" x14ac:dyDescent="0.25">
      <c r="A124" s="118">
        <v>42</v>
      </c>
      <c r="B124" s="151">
        <v>5780</v>
      </c>
      <c r="C124" s="94" t="s">
        <v>310</v>
      </c>
      <c r="D124" s="85"/>
      <c r="E124" s="85">
        <v>0</v>
      </c>
      <c r="F124" s="85">
        <v>0</v>
      </c>
      <c r="G124" s="428">
        <v>0</v>
      </c>
      <c r="H124" s="85"/>
      <c r="I124" s="428"/>
      <c r="J124" s="85"/>
      <c r="K124" s="85"/>
    </row>
    <row r="125" spans="1:11" s="285" customFormat="1" hidden="1" x14ac:dyDescent="0.25">
      <c r="A125" s="118">
        <v>42</v>
      </c>
      <c r="B125" s="151">
        <v>5785</v>
      </c>
      <c r="C125" s="94" t="s">
        <v>311</v>
      </c>
      <c r="D125" s="85"/>
      <c r="E125" s="85">
        <v>0</v>
      </c>
      <c r="F125" s="85">
        <v>0</v>
      </c>
      <c r="G125" s="428">
        <v>0</v>
      </c>
      <c r="H125" s="85"/>
      <c r="I125" s="428"/>
      <c r="J125" s="85"/>
      <c r="K125" s="85"/>
    </row>
    <row r="126" spans="1:11" s="285" customFormat="1" hidden="1" x14ac:dyDescent="0.25">
      <c r="A126" s="118">
        <v>42</v>
      </c>
      <c r="B126" s="151">
        <v>5790</v>
      </c>
      <c r="C126" s="94" t="s">
        <v>312</v>
      </c>
      <c r="D126" s="85"/>
      <c r="E126" s="85">
        <v>0</v>
      </c>
      <c r="F126" s="85">
        <v>0</v>
      </c>
      <c r="G126" s="428">
        <v>0</v>
      </c>
      <c r="H126" s="85"/>
      <c r="I126" s="428"/>
      <c r="J126" s="85"/>
      <c r="K126" s="85"/>
    </row>
    <row r="127" spans="1:11" s="285" customFormat="1" hidden="1" x14ac:dyDescent="0.25">
      <c r="A127" s="118">
        <v>42</v>
      </c>
      <c r="B127" s="151">
        <v>5795</v>
      </c>
      <c r="C127" s="94" t="s">
        <v>313</v>
      </c>
      <c r="D127" s="85"/>
      <c r="E127" s="85">
        <v>0</v>
      </c>
      <c r="F127" s="85">
        <v>0</v>
      </c>
      <c r="G127" s="428">
        <v>0</v>
      </c>
      <c r="H127" s="85"/>
      <c r="I127" s="428"/>
      <c r="J127" s="85"/>
      <c r="K127" s="85"/>
    </row>
    <row r="128" spans="1:11" s="285" customFormat="1" hidden="1" x14ac:dyDescent="0.25">
      <c r="A128" s="118">
        <v>42</v>
      </c>
      <c r="B128" s="151">
        <v>5800</v>
      </c>
      <c r="C128" s="94" t="s">
        <v>314</v>
      </c>
      <c r="D128" s="85"/>
      <c r="E128" s="85">
        <v>0</v>
      </c>
      <c r="F128" s="85">
        <v>0</v>
      </c>
      <c r="G128" s="428">
        <v>0</v>
      </c>
      <c r="H128" s="85"/>
      <c r="I128" s="428"/>
      <c r="J128" s="85"/>
      <c r="K128" s="85"/>
    </row>
    <row r="129" spans="1:11" s="285" customFormat="1" hidden="1" x14ac:dyDescent="0.25">
      <c r="A129" s="118">
        <v>42</v>
      </c>
      <c r="B129" s="151">
        <v>5805</v>
      </c>
      <c r="C129" s="94" t="s">
        <v>315</v>
      </c>
      <c r="D129" s="85"/>
      <c r="E129" s="85">
        <v>0</v>
      </c>
      <c r="F129" s="85">
        <v>0</v>
      </c>
      <c r="G129" s="428">
        <v>0</v>
      </c>
      <c r="H129" s="85"/>
      <c r="I129" s="428"/>
      <c r="J129" s="85"/>
      <c r="K129" s="85"/>
    </row>
    <row r="130" spans="1:11" s="285" customFormat="1" hidden="1" x14ac:dyDescent="0.25">
      <c r="A130" s="118">
        <v>42</v>
      </c>
      <c r="B130" s="151">
        <v>5810</v>
      </c>
      <c r="C130" s="94" t="s">
        <v>316</v>
      </c>
      <c r="D130" s="85"/>
      <c r="E130" s="85">
        <v>0</v>
      </c>
      <c r="F130" s="85">
        <v>0</v>
      </c>
      <c r="G130" s="428">
        <v>0</v>
      </c>
      <c r="H130" s="85"/>
      <c r="I130" s="428"/>
      <c r="J130" s="85"/>
      <c r="K130" s="85"/>
    </row>
    <row r="131" spans="1:11" s="285" customFormat="1" hidden="1" x14ac:dyDescent="0.25">
      <c r="A131" s="118">
        <v>42</v>
      </c>
      <c r="B131" s="151">
        <v>5815</v>
      </c>
      <c r="C131" s="94" t="s">
        <v>99</v>
      </c>
      <c r="D131" s="85"/>
      <c r="E131" s="85">
        <v>0</v>
      </c>
      <c r="F131" s="85">
        <v>0</v>
      </c>
      <c r="G131" s="428">
        <v>0</v>
      </c>
      <c r="H131" s="85"/>
      <c r="I131" s="428"/>
      <c r="J131" s="85"/>
      <c r="K131" s="85"/>
    </row>
    <row r="132" spans="1:11" s="285" customFormat="1" hidden="1" x14ac:dyDescent="0.25">
      <c r="A132" s="118">
        <v>42</v>
      </c>
      <c r="B132" s="151">
        <v>5820</v>
      </c>
      <c r="C132" s="94" t="s">
        <v>114</v>
      </c>
      <c r="D132" s="86"/>
      <c r="E132" s="85">
        <v>0</v>
      </c>
      <c r="F132" s="85">
        <v>0</v>
      </c>
      <c r="G132" s="428">
        <v>0</v>
      </c>
      <c r="H132" s="85"/>
      <c r="I132" s="428"/>
      <c r="J132" s="85"/>
      <c r="K132" s="85"/>
    </row>
    <row r="133" spans="1:11" s="285" customFormat="1" x14ac:dyDescent="0.25">
      <c r="A133" s="118">
        <v>42</v>
      </c>
      <c r="B133" s="151">
        <v>5825</v>
      </c>
      <c r="C133" s="94" t="s">
        <v>317</v>
      </c>
      <c r="D133" s="86">
        <v>76650</v>
      </c>
      <c r="E133" s="85">
        <v>84747.095000000001</v>
      </c>
      <c r="F133" s="85">
        <v>84747.095000000001</v>
      </c>
      <c r="G133" s="428">
        <v>84747.095000000001</v>
      </c>
      <c r="H133" s="85">
        <v>500000</v>
      </c>
      <c r="I133" s="428"/>
      <c r="J133" s="85"/>
      <c r="K133" s="85"/>
    </row>
    <row r="134" spans="1:11" s="285" customFormat="1" hidden="1" x14ac:dyDescent="0.25">
      <c r="A134" s="118">
        <v>42</v>
      </c>
      <c r="B134" s="151">
        <v>5830</v>
      </c>
      <c r="C134" s="94" t="s">
        <v>318</v>
      </c>
      <c r="D134" s="86"/>
      <c r="E134" s="85"/>
      <c r="F134" s="85">
        <v>0</v>
      </c>
      <c r="G134" s="428"/>
      <c r="H134" s="85">
        <f t="shared" ref="H134:H147" si="9">0/8*12</f>
        <v>0</v>
      </c>
      <c r="I134" s="428"/>
      <c r="J134" s="85"/>
      <c r="K134" s="85"/>
    </row>
    <row r="135" spans="1:11" s="285" customFormat="1" hidden="1" x14ac:dyDescent="0.25">
      <c r="A135" s="118">
        <v>42</v>
      </c>
      <c r="B135" s="151">
        <v>5835</v>
      </c>
      <c r="C135" s="94" t="s">
        <v>319</v>
      </c>
      <c r="D135" s="86"/>
      <c r="E135" s="85"/>
      <c r="F135" s="85">
        <v>0</v>
      </c>
      <c r="G135" s="428"/>
      <c r="H135" s="85">
        <f t="shared" si="9"/>
        <v>0</v>
      </c>
      <c r="I135" s="428"/>
      <c r="J135" s="85"/>
      <c r="K135" s="85"/>
    </row>
    <row r="136" spans="1:11" s="285" customFormat="1" hidden="1" x14ac:dyDescent="0.25">
      <c r="A136" s="118">
        <v>42</v>
      </c>
      <c r="B136" s="151">
        <v>5840</v>
      </c>
      <c r="C136" s="94" t="s">
        <v>332</v>
      </c>
      <c r="D136" s="115"/>
      <c r="E136" s="85"/>
      <c r="F136" s="85">
        <v>0</v>
      </c>
      <c r="G136" s="428"/>
      <c r="H136" s="85">
        <f t="shared" si="9"/>
        <v>0</v>
      </c>
      <c r="I136" s="428"/>
      <c r="J136" s="85"/>
      <c r="K136" s="85"/>
    </row>
    <row r="137" spans="1:11" s="285" customFormat="1" hidden="1" x14ac:dyDescent="0.25">
      <c r="A137" s="118">
        <v>42</v>
      </c>
      <c r="B137" s="151">
        <v>5845</v>
      </c>
      <c r="C137" s="94" t="s">
        <v>320</v>
      </c>
      <c r="D137" s="86"/>
      <c r="E137" s="85"/>
      <c r="F137" s="85">
        <v>0</v>
      </c>
      <c r="G137" s="428"/>
      <c r="H137" s="85">
        <f t="shared" si="9"/>
        <v>0</v>
      </c>
      <c r="I137" s="428"/>
      <c r="J137" s="85"/>
      <c r="K137" s="85"/>
    </row>
    <row r="138" spans="1:11" s="285" customFormat="1" hidden="1" x14ac:dyDescent="0.25">
      <c r="A138" s="118">
        <v>42</v>
      </c>
      <c r="B138" s="151">
        <v>5855</v>
      </c>
      <c r="C138" s="94" t="s">
        <v>321</v>
      </c>
      <c r="D138" s="85"/>
      <c r="E138" s="85"/>
      <c r="F138" s="85">
        <v>0</v>
      </c>
      <c r="G138" s="428"/>
      <c r="H138" s="85">
        <f t="shared" si="9"/>
        <v>0</v>
      </c>
      <c r="I138" s="428"/>
      <c r="J138" s="85"/>
      <c r="K138" s="85"/>
    </row>
    <row r="139" spans="1:11" s="285" customFormat="1" hidden="1" x14ac:dyDescent="0.25">
      <c r="A139" s="118">
        <v>42</v>
      </c>
      <c r="B139" s="151">
        <v>5860</v>
      </c>
      <c r="C139" s="94" t="s">
        <v>322</v>
      </c>
      <c r="D139" s="85"/>
      <c r="E139" s="85"/>
      <c r="F139" s="85">
        <v>0</v>
      </c>
      <c r="G139" s="428"/>
      <c r="H139" s="85">
        <f t="shared" si="9"/>
        <v>0</v>
      </c>
      <c r="I139" s="428"/>
      <c r="J139" s="85"/>
      <c r="K139" s="85"/>
    </row>
    <row r="140" spans="1:11" s="285" customFormat="1" hidden="1" x14ac:dyDescent="0.25">
      <c r="A140" s="118">
        <v>42</v>
      </c>
      <c r="B140" s="151">
        <v>5865</v>
      </c>
      <c r="C140" s="94" t="s">
        <v>323</v>
      </c>
      <c r="D140" s="85"/>
      <c r="E140" s="85"/>
      <c r="F140" s="85">
        <v>0</v>
      </c>
      <c r="G140" s="428"/>
      <c r="H140" s="85">
        <f t="shared" si="9"/>
        <v>0</v>
      </c>
      <c r="I140" s="428"/>
      <c r="J140" s="85"/>
      <c r="K140" s="85"/>
    </row>
    <row r="141" spans="1:11" s="285" customFormat="1" hidden="1" x14ac:dyDescent="0.25">
      <c r="A141" s="118">
        <v>42</v>
      </c>
      <c r="B141" s="151">
        <v>5870</v>
      </c>
      <c r="C141" s="94" t="s">
        <v>324</v>
      </c>
      <c r="D141" s="85"/>
      <c r="E141" s="85"/>
      <c r="F141" s="85">
        <v>0</v>
      </c>
      <c r="G141" s="428"/>
      <c r="H141" s="85">
        <f t="shared" si="9"/>
        <v>0</v>
      </c>
      <c r="I141" s="428"/>
      <c r="J141" s="85"/>
      <c r="K141" s="85"/>
    </row>
    <row r="142" spans="1:11" s="285" customFormat="1" hidden="1" x14ac:dyDescent="0.25">
      <c r="A142" s="118">
        <v>42</v>
      </c>
      <c r="B142" s="151">
        <v>5875</v>
      </c>
      <c r="C142" s="94" t="s">
        <v>325</v>
      </c>
      <c r="D142" s="85"/>
      <c r="E142" s="85"/>
      <c r="F142" s="85">
        <v>0</v>
      </c>
      <c r="G142" s="428"/>
      <c r="H142" s="85">
        <f t="shared" si="9"/>
        <v>0</v>
      </c>
      <c r="I142" s="428"/>
      <c r="J142" s="85"/>
      <c r="K142" s="85"/>
    </row>
    <row r="143" spans="1:11" s="285" customFormat="1" hidden="1" x14ac:dyDescent="0.25">
      <c r="A143" s="118">
        <v>42</v>
      </c>
      <c r="B143" s="151">
        <v>5880</v>
      </c>
      <c r="C143" s="94" t="s">
        <v>326</v>
      </c>
      <c r="D143" s="85"/>
      <c r="E143" s="85"/>
      <c r="F143" s="85">
        <v>0</v>
      </c>
      <c r="G143" s="428"/>
      <c r="H143" s="85">
        <f t="shared" si="9"/>
        <v>0</v>
      </c>
      <c r="I143" s="428"/>
      <c r="J143" s="85"/>
      <c r="K143" s="85"/>
    </row>
    <row r="144" spans="1:11" s="285" customFormat="1" hidden="1" x14ac:dyDescent="0.25">
      <c r="A144" s="118">
        <v>42</v>
      </c>
      <c r="B144" s="151">
        <v>5885</v>
      </c>
      <c r="C144" s="94" t="s">
        <v>331</v>
      </c>
      <c r="D144" s="85"/>
      <c r="E144" s="85"/>
      <c r="F144" s="85">
        <v>0</v>
      </c>
      <c r="G144" s="428"/>
      <c r="H144" s="85">
        <f t="shared" si="9"/>
        <v>0</v>
      </c>
      <c r="I144" s="428"/>
      <c r="J144" s="85"/>
      <c r="K144" s="85"/>
    </row>
    <row r="145" spans="1:12" s="285" customFormat="1" hidden="1" x14ac:dyDescent="0.25">
      <c r="A145" s="118">
        <v>42</v>
      </c>
      <c r="B145" s="151">
        <v>5890</v>
      </c>
      <c r="C145" s="94" t="s">
        <v>327</v>
      </c>
      <c r="D145" s="85"/>
      <c r="E145" s="85"/>
      <c r="F145" s="85">
        <v>0</v>
      </c>
      <c r="G145" s="428"/>
      <c r="H145" s="85">
        <f t="shared" si="9"/>
        <v>0</v>
      </c>
      <c r="I145" s="428"/>
      <c r="J145" s="85"/>
      <c r="K145" s="85"/>
    </row>
    <row r="146" spans="1:12" s="285" customFormat="1" hidden="1" x14ac:dyDescent="0.25">
      <c r="A146" s="118">
        <v>42</v>
      </c>
      <c r="B146" s="151">
        <v>5895</v>
      </c>
      <c r="C146" s="94" t="s">
        <v>328</v>
      </c>
      <c r="D146" s="85"/>
      <c r="E146" s="85"/>
      <c r="F146" s="85">
        <v>0</v>
      </c>
      <c r="G146" s="428"/>
      <c r="H146" s="85">
        <f t="shared" si="9"/>
        <v>0</v>
      </c>
      <c r="I146" s="428"/>
      <c r="J146" s="85"/>
      <c r="K146" s="85"/>
    </row>
    <row r="147" spans="1:12" s="285" customFormat="1" hidden="1" x14ac:dyDescent="0.25">
      <c r="A147" s="118">
        <v>42</v>
      </c>
      <c r="B147" s="151">
        <v>5910</v>
      </c>
      <c r="C147" s="94" t="s">
        <v>330</v>
      </c>
      <c r="D147" s="85"/>
      <c r="E147" s="85"/>
      <c r="F147" s="85">
        <v>0</v>
      </c>
      <c r="G147" s="428"/>
      <c r="H147" s="85">
        <f t="shared" si="9"/>
        <v>0</v>
      </c>
      <c r="I147" s="428"/>
      <c r="J147" s="85"/>
      <c r="K147" s="85"/>
    </row>
    <row r="148" spans="1:12" s="285" customFormat="1" x14ac:dyDescent="0.25">
      <c r="A148" s="344"/>
      <c r="B148" s="151"/>
      <c r="C148" s="94"/>
      <c r="D148" s="89">
        <v>260564</v>
      </c>
      <c r="E148" s="89">
        <f>SUM(E72:E147)</f>
        <v>867719.65</v>
      </c>
      <c r="F148" s="89">
        <v>867719.65</v>
      </c>
      <c r="G148" s="429">
        <v>867719.65</v>
      </c>
      <c r="H148" s="89">
        <f>SUM(H72:H147)</f>
        <v>1280800</v>
      </c>
      <c r="I148" s="429">
        <f>SUM(I72:I147)</f>
        <v>5400</v>
      </c>
      <c r="J148" s="429">
        <f>SUM(J72:J147)</f>
        <v>5697</v>
      </c>
      <c r="K148" s="429">
        <f>SUM(K72:K147)</f>
        <v>5998.9409999999998</v>
      </c>
    </row>
    <row r="149" spans="1:12" s="285" customFormat="1" hidden="1" x14ac:dyDescent="0.25">
      <c r="A149" s="344"/>
      <c r="B149" s="151"/>
      <c r="C149" s="93" t="s">
        <v>187</v>
      </c>
      <c r="D149" s="85"/>
      <c r="E149" s="108"/>
      <c r="F149" s="108"/>
      <c r="G149" s="425"/>
      <c r="H149" s="108"/>
      <c r="I149" s="425"/>
      <c r="J149" s="108"/>
      <c r="K149" s="108"/>
    </row>
    <row r="150" spans="1:12" s="285" customFormat="1" hidden="1" x14ac:dyDescent="0.25">
      <c r="A150" s="118">
        <v>42</v>
      </c>
      <c r="B150" s="151">
        <v>6005</v>
      </c>
      <c r="C150" s="94" t="s">
        <v>188</v>
      </c>
      <c r="D150" s="85"/>
      <c r="E150" s="108"/>
      <c r="F150" s="85">
        <v>0</v>
      </c>
      <c r="G150" s="428"/>
      <c r="H150" s="85">
        <f>0/8*12</f>
        <v>0</v>
      </c>
      <c r="I150" s="428"/>
      <c r="J150" s="428"/>
      <c r="K150" s="428"/>
      <c r="L150" s="428"/>
    </row>
    <row r="151" spans="1:12" s="285" customFormat="1" hidden="1" x14ac:dyDescent="0.25">
      <c r="A151" s="344"/>
      <c r="B151" s="151"/>
      <c r="C151" s="94"/>
      <c r="D151" s="89"/>
      <c r="E151" s="89">
        <f>SUM(E150)</f>
        <v>0</v>
      </c>
      <c r="F151" s="89">
        <v>0</v>
      </c>
      <c r="G151" s="429"/>
      <c r="H151" s="89">
        <f>SUM(H150)</f>
        <v>0</v>
      </c>
      <c r="I151" s="429"/>
      <c r="J151" s="429"/>
      <c r="K151" s="429"/>
    </row>
    <row r="152" spans="1:12" s="593" customFormat="1" ht="10.199999999999999" x14ac:dyDescent="0.2">
      <c r="C152" s="593" t="s">
        <v>64</v>
      </c>
    </row>
    <row r="153" spans="1:12" s="593" customFormat="1" ht="10.199999999999999" hidden="1" x14ac:dyDescent="0.2">
      <c r="A153" s="593">
        <v>42</v>
      </c>
      <c r="B153" s="593">
        <v>6105</v>
      </c>
      <c r="C153" s="593" t="s">
        <v>336</v>
      </c>
      <c r="F153" s="593">
        <v>0</v>
      </c>
      <c r="H153" s="593">
        <f>0/8*12</f>
        <v>0</v>
      </c>
    </row>
    <row r="154" spans="1:12" s="593" customFormat="1" ht="10.199999999999999" hidden="1" x14ac:dyDescent="0.2">
      <c r="A154" s="593">
        <v>42</v>
      </c>
      <c r="B154" s="593">
        <v>6110</v>
      </c>
      <c r="C154" s="593" t="s">
        <v>337</v>
      </c>
      <c r="E154" s="593">
        <v>0</v>
      </c>
      <c r="F154" s="593">
        <v>0</v>
      </c>
      <c r="H154" s="593">
        <f>0/8*12</f>
        <v>0</v>
      </c>
    </row>
    <row r="155" spans="1:12" s="593" customFormat="1" ht="10.199999999999999" x14ac:dyDescent="0.2">
      <c r="A155" s="593">
        <v>42</v>
      </c>
      <c r="B155" s="593">
        <v>6115</v>
      </c>
      <c r="C155" s="593" t="s">
        <v>60</v>
      </c>
      <c r="H155" s="593">
        <v>2575200</v>
      </c>
      <c r="I155" s="593">
        <v>2832720</v>
      </c>
    </row>
    <row r="156" spans="1:12" s="285" customFormat="1" x14ac:dyDescent="0.25">
      <c r="A156" s="344"/>
      <c r="B156" s="151"/>
      <c r="C156" s="94"/>
      <c r="D156" s="89">
        <v>0</v>
      </c>
      <c r="E156" s="89">
        <f>SUM(E153:E155)</f>
        <v>0</v>
      </c>
      <c r="F156" s="89">
        <v>0</v>
      </c>
      <c r="G156" s="429"/>
      <c r="H156" s="89">
        <f>SUM(H153:H155)</f>
        <v>2575200</v>
      </c>
      <c r="I156" s="429">
        <f>SUM(I153:I155)</f>
        <v>2832720</v>
      </c>
      <c r="J156" s="429">
        <f>SUM(J153:J155)</f>
        <v>0</v>
      </c>
      <c r="K156" s="429">
        <f>SUM(K153:K155)</f>
        <v>0</v>
      </c>
    </row>
    <row r="157" spans="1:12" s="285" customFormat="1" hidden="1" x14ac:dyDescent="0.25">
      <c r="A157" s="344"/>
      <c r="B157" s="151"/>
      <c r="C157" s="184" t="s">
        <v>65</v>
      </c>
      <c r="D157" s="88"/>
      <c r="E157" s="113"/>
      <c r="F157" s="113"/>
      <c r="G157" s="113"/>
      <c r="H157" s="113"/>
      <c r="I157" s="113"/>
      <c r="J157" s="113"/>
      <c r="K157" s="113"/>
    </row>
    <row r="158" spans="1:12" s="285" customFormat="1" hidden="1" x14ac:dyDescent="0.25">
      <c r="A158" s="118">
        <v>42</v>
      </c>
      <c r="B158" s="151">
        <v>6205</v>
      </c>
      <c r="C158" s="94" t="s">
        <v>338</v>
      </c>
      <c r="D158" s="85">
        <v>0</v>
      </c>
      <c r="E158" s="108"/>
      <c r="F158" s="85">
        <v>0</v>
      </c>
      <c r="G158" s="428"/>
      <c r="H158" s="85">
        <f>0/8*12</f>
        <v>0</v>
      </c>
      <c r="I158" s="428"/>
      <c r="J158" s="85"/>
      <c r="K158" s="85"/>
    </row>
    <row r="159" spans="1:12" s="285" customFormat="1" hidden="1" x14ac:dyDescent="0.25">
      <c r="A159" s="118">
        <v>42</v>
      </c>
      <c r="B159" s="151">
        <v>6210</v>
      </c>
      <c r="C159" s="94" t="s">
        <v>339</v>
      </c>
      <c r="D159" s="85">
        <v>0</v>
      </c>
      <c r="E159" s="85"/>
      <c r="F159" s="85">
        <v>0</v>
      </c>
      <c r="G159" s="428"/>
      <c r="H159" s="85">
        <f>0/8*12</f>
        <v>0</v>
      </c>
      <c r="I159" s="428"/>
      <c r="J159" s="85"/>
      <c r="K159" s="85"/>
    </row>
    <row r="160" spans="1:12" s="285" customFormat="1" hidden="1" x14ac:dyDescent="0.25">
      <c r="A160" s="344"/>
      <c r="B160" s="346"/>
      <c r="C160" s="347"/>
      <c r="D160" s="116">
        <v>0</v>
      </c>
      <c r="E160" s="116">
        <f>SUM(E158:E159)</f>
        <v>0</v>
      </c>
      <c r="F160" s="116">
        <v>0</v>
      </c>
      <c r="G160" s="441"/>
      <c r="H160" s="116">
        <f>SUM(H158:H159)</f>
        <v>0</v>
      </c>
      <c r="I160" s="441"/>
      <c r="J160" s="116"/>
      <c r="K160" s="116"/>
    </row>
    <row r="161" spans="1:13" s="285" customFormat="1" x14ac:dyDescent="0.25">
      <c r="A161" s="344"/>
      <c r="B161" s="346"/>
      <c r="C161" s="93" t="s">
        <v>189</v>
      </c>
      <c r="D161" s="116">
        <v>7876696</v>
      </c>
      <c r="E161" s="116">
        <f t="shared" ref="E161:K161" si="10">E160+E156+E151+E148+E70+E66+E63+E59+E38+E35+E32+E29+E25+E18</f>
        <v>11073611.959567999</v>
      </c>
      <c r="F161" s="116">
        <f t="shared" si="10"/>
        <v>6977611.9595679995</v>
      </c>
      <c r="G161" s="441">
        <v>6977611.9595679995</v>
      </c>
      <c r="H161" s="116">
        <f t="shared" si="10"/>
        <v>10229557.540524799</v>
      </c>
      <c r="I161" s="441">
        <f t="shared" si="10"/>
        <v>9551467.568</v>
      </c>
      <c r="J161" s="441">
        <f t="shared" si="10"/>
        <v>7088278.6842400003</v>
      </c>
      <c r="K161" s="441">
        <f t="shared" si="10"/>
        <v>7463957.4545047209</v>
      </c>
    </row>
    <row r="162" spans="1:13" s="285" customFormat="1" x14ac:dyDescent="0.25">
      <c r="A162" s="344"/>
      <c r="B162" s="151"/>
      <c r="C162" s="93" t="s">
        <v>258</v>
      </c>
      <c r="D162" s="117"/>
      <c r="E162" s="117"/>
      <c r="F162" s="117"/>
      <c r="G162" s="442"/>
      <c r="H162" s="116"/>
      <c r="I162" s="441"/>
      <c r="J162" s="116"/>
      <c r="K162" s="116"/>
    </row>
    <row r="163" spans="1:13" s="285" customFormat="1" x14ac:dyDescent="0.25">
      <c r="A163" s="118">
        <v>42</v>
      </c>
      <c r="B163" s="151">
        <v>6305</v>
      </c>
      <c r="C163" s="94" t="s">
        <v>190</v>
      </c>
      <c r="D163" s="85">
        <v>0</v>
      </c>
      <c r="E163" s="85"/>
      <c r="F163" s="85"/>
      <c r="G163" s="428"/>
      <c r="H163" s="116"/>
      <c r="I163" s="441"/>
      <c r="J163" s="116"/>
      <c r="K163" s="116"/>
    </row>
    <row r="164" spans="1:13" s="285" customFormat="1" x14ac:dyDescent="0.25">
      <c r="A164" s="344"/>
      <c r="B164" s="151"/>
      <c r="C164" s="94"/>
      <c r="D164" s="116">
        <v>0</v>
      </c>
      <c r="E164" s="116">
        <f>E163</f>
        <v>0</v>
      </c>
      <c r="F164" s="116">
        <v>0</v>
      </c>
      <c r="G164" s="441"/>
      <c r="H164" s="116"/>
      <c r="I164" s="441"/>
      <c r="J164" s="116"/>
      <c r="K164" s="116"/>
    </row>
    <row r="165" spans="1:13" s="285" customFormat="1" x14ac:dyDescent="0.25">
      <c r="A165" s="348"/>
      <c r="B165" s="152"/>
      <c r="C165" s="119" t="s">
        <v>191</v>
      </c>
      <c r="D165" s="448">
        <f t="shared" ref="D165:K165" si="11">SUM(D161+D164)</f>
        <v>7876696</v>
      </c>
      <c r="E165" s="160">
        <f t="shared" si="11"/>
        <v>11073611.959567999</v>
      </c>
      <c r="F165" s="448">
        <f t="shared" si="11"/>
        <v>6977611.9595679995</v>
      </c>
      <c r="G165" s="448">
        <f t="shared" si="11"/>
        <v>6977611.9595679995</v>
      </c>
      <c r="H165" s="448">
        <f t="shared" si="11"/>
        <v>10229557.540524799</v>
      </c>
      <c r="I165" s="448">
        <f t="shared" si="11"/>
        <v>9551467.568</v>
      </c>
      <c r="J165" s="448">
        <f t="shared" si="11"/>
        <v>7088278.6842400003</v>
      </c>
      <c r="K165" s="448">
        <f t="shared" si="11"/>
        <v>7463957.4545047209</v>
      </c>
    </row>
    <row r="166" spans="1:13" s="285" customFormat="1" x14ac:dyDescent="0.25">
      <c r="A166" s="344"/>
      <c r="B166" s="130"/>
      <c r="C166" s="115"/>
      <c r="D166" s="111"/>
      <c r="E166" s="120"/>
      <c r="F166" s="120"/>
      <c r="G166" s="111"/>
      <c r="H166" s="120"/>
      <c r="I166" s="111"/>
      <c r="J166" s="111"/>
      <c r="K166" s="398"/>
      <c r="M166" s="443"/>
    </row>
    <row r="167" spans="1:13" s="285" customFormat="1" x14ac:dyDescent="0.25">
      <c r="A167" s="344"/>
      <c r="B167" s="130"/>
      <c r="C167" s="115"/>
      <c r="D167" s="111"/>
      <c r="E167" s="111"/>
      <c r="F167" s="111"/>
      <c r="G167" s="111"/>
      <c r="H167" s="580"/>
      <c r="I167" s="580"/>
      <c r="J167" s="580"/>
      <c r="K167" s="579"/>
    </row>
    <row r="168" spans="1:13" s="285" customFormat="1" x14ac:dyDescent="0.25">
      <c r="A168" s="349"/>
      <c r="B168" s="546" t="s">
        <v>416</v>
      </c>
      <c r="C168" s="546"/>
      <c r="D168" s="547"/>
      <c r="E168" s="338"/>
      <c r="F168" s="338"/>
      <c r="G168" s="563"/>
      <c r="H168" s="160"/>
      <c r="I168" s="448"/>
      <c r="J168" s="160"/>
      <c r="K168" s="449"/>
    </row>
    <row r="169" spans="1:13" s="285" customFormat="1" x14ac:dyDescent="0.25">
      <c r="A169" s="944" t="s">
        <v>21</v>
      </c>
      <c r="B169" s="945"/>
      <c r="C169" s="150" t="s">
        <v>22</v>
      </c>
      <c r="D169" s="103" t="s">
        <v>878</v>
      </c>
      <c r="E169" s="104" t="s">
        <v>24</v>
      </c>
      <c r="F169" s="103" t="s">
        <v>535</v>
      </c>
      <c r="G169" s="103" t="s">
        <v>413</v>
      </c>
      <c r="H169" s="104" t="s">
        <v>24</v>
      </c>
      <c r="I169" s="583" t="s">
        <v>24</v>
      </c>
      <c r="J169" s="583" t="s">
        <v>24</v>
      </c>
      <c r="K169" s="583" t="s">
        <v>24</v>
      </c>
    </row>
    <row r="170" spans="1:13" s="285" customFormat="1" x14ac:dyDescent="0.25">
      <c r="A170" s="946"/>
      <c r="B170" s="947"/>
      <c r="C170" s="106"/>
      <c r="D170" s="333" t="s">
        <v>257</v>
      </c>
      <c r="E170" s="107" t="s">
        <v>382</v>
      </c>
      <c r="F170" s="107" t="s">
        <v>382</v>
      </c>
      <c r="G170" s="107" t="s">
        <v>382</v>
      </c>
      <c r="H170" s="107" t="s">
        <v>407</v>
      </c>
      <c r="I170" s="586" t="s">
        <v>414</v>
      </c>
      <c r="J170" s="586" t="s">
        <v>530</v>
      </c>
      <c r="K170" s="586" t="s">
        <v>886</v>
      </c>
    </row>
    <row r="171" spans="1:13" s="285" customFormat="1" hidden="1" x14ac:dyDescent="0.25">
      <c r="A171" s="350"/>
      <c r="B171" s="153"/>
      <c r="C171" s="93" t="s">
        <v>98</v>
      </c>
      <c r="D171" s="122"/>
      <c r="E171" s="98"/>
      <c r="F171" s="98"/>
      <c r="G171" s="435"/>
      <c r="H171" s="98"/>
      <c r="I171" s="435"/>
      <c r="J171" s="98"/>
      <c r="K171" s="98"/>
    </row>
    <row r="172" spans="1:13" s="285" customFormat="1" hidden="1" x14ac:dyDescent="0.25">
      <c r="A172" s="118">
        <v>42</v>
      </c>
      <c r="B172" s="151">
        <v>1237</v>
      </c>
      <c r="C172" s="94" t="s">
        <v>99</v>
      </c>
      <c r="D172" s="122"/>
      <c r="E172" s="108"/>
      <c r="F172" s="98">
        <v>0</v>
      </c>
      <c r="G172" s="435"/>
      <c r="H172" s="98"/>
      <c r="I172" s="435"/>
      <c r="J172" s="98"/>
      <c r="K172" s="108"/>
    </row>
    <row r="173" spans="1:13" s="285" customFormat="1" hidden="1" x14ac:dyDescent="0.25">
      <c r="A173" s="118">
        <v>42</v>
      </c>
      <c r="B173" s="151">
        <v>5725</v>
      </c>
      <c r="C173" s="94" t="s">
        <v>400</v>
      </c>
      <c r="D173" s="85"/>
      <c r="E173" s="85">
        <v>0</v>
      </c>
      <c r="F173" s="85">
        <v>0</v>
      </c>
      <c r="G173" s="428"/>
      <c r="H173" s="85"/>
      <c r="I173" s="428"/>
      <c r="J173" s="85"/>
      <c r="K173" s="85"/>
    </row>
    <row r="174" spans="1:13" s="285" customFormat="1" hidden="1" x14ac:dyDescent="0.25">
      <c r="A174" s="344"/>
      <c r="B174" s="151"/>
      <c r="C174" s="94"/>
      <c r="D174" s="99"/>
      <c r="E174" s="99">
        <f>SUM(E173)</f>
        <v>0</v>
      </c>
      <c r="F174" s="99">
        <v>0</v>
      </c>
      <c r="G174" s="436"/>
      <c r="H174" s="99"/>
      <c r="I174" s="436"/>
      <c r="J174" s="99"/>
      <c r="K174" s="99"/>
    </row>
    <row r="175" spans="1:13" s="285" customFormat="1" x14ac:dyDescent="0.25">
      <c r="A175" s="344"/>
      <c r="B175" s="151"/>
      <c r="C175" s="93" t="s">
        <v>100</v>
      </c>
      <c r="D175" s="122"/>
      <c r="E175" s="98"/>
      <c r="F175" s="98"/>
      <c r="G175" s="435"/>
      <c r="H175" s="98"/>
      <c r="I175" s="435"/>
      <c r="J175" s="98"/>
      <c r="K175" s="98"/>
    </row>
    <row r="176" spans="1:13" s="285" customFormat="1" hidden="1" x14ac:dyDescent="0.25">
      <c r="A176" s="118">
        <v>42</v>
      </c>
      <c r="B176" s="151">
        <v>1147</v>
      </c>
      <c r="C176" s="94" t="s">
        <v>102</v>
      </c>
      <c r="D176" s="122"/>
      <c r="E176" s="98"/>
      <c r="F176" s="98">
        <v>0</v>
      </c>
      <c r="G176" s="435"/>
      <c r="H176" s="98"/>
      <c r="I176" s="435"/>
      <c r="J176" s="98"/>
      <c r="K176" s="98"/>
    </row>
    <row r="177" spans="1:11" s="285" customFormat="1" hidden="1" x14ac:dyDescent="0.25">
      <c r="A177" s="118">
        <v>42</v>
      </c>
      <c r="B177" s="151">
        <v>1202</v>
      </c>
      <c r="C177" s="94" t="s">
        <v>343</v>
      </c>
      <c r="D177" s="122"/>
      <c r="E177" s="98"/>
      <c r="F177" s="98">
        <v>0</v>
      </c>
      <c r="G177" s="435"/>
      <c r="H177" s="98"/>
      <c r="I177" s="435"/>
      <c r="J177" s="98"/>
      <c r="K177" s="98"/>
    </row>
    <row r="178" spans="1:11" s="285" customFormat="1" hidden="1" x14ac:dyDescent="0.25">
      <c r="A178" s="118">
        <v>42</v>
      </c>
      <c r="B178" s="151">
        <v>1207</v>
      </c>
      <c r="C178" s="94" t="s">
        <v>104</v>
      </c>
      <c r="D178" s="122"/>
      <c r="E178" s="98"/>
      <c r="F178" s="98">
        <v>0</v>
      </c>
      <c r="G178" s="435"/>
      <c r="H178" s="98"/>
      <c r="I178" s="435"/>
      <c r="J178" s="98"/>
      <c r="K178" s="98"/>
    </row>
    <row r="179" spans="1:11" s="285" customFormat="1" hidden="1" x14ac:dyDescent="0.25">
      <c r="A179" s="118">
        <v>42</v>
      </c>
      <c r="B179" s="151">
        <v>1153</v>
      </c>
      <c r="C179" s="94" t="s">
        <v>115</v>
      </c>
      <c r="D179" s="122"/>
      <c r="E179" s="98"/>
      <c r="F179" s="98">
        <v>0</v>
      </c>
      <c r="G179" s="435"/>
      <c r="H179" s="98"/>
      <c r="I179" s="435"/>
      <c r="J179" s="98"/>
      <c r="K179" s="98"/>
    </row>
    <row r="180" spans="1:11" s="285" customFormat="1" hidden="1" x14ac:dyDescent="0.25">
      <c r="A180" s="118">
        <v>42</v>
      </c>
      <c r="B180" s="151">
        <v>1143</v>
      </c>
      <c r="C180" s="94" t="s">
        <v>109</v>
      </c>
      <c r="D180" s="122"/>
      <c r="E180" s="98"/>
      <c r="F180" s="98">
        <v>0</v>
      </c>
      <c r="G180" s="435"/>
      <c r="H180" s="98"/>
      <c r="I180" s="435"/>
      <c r="J180" s="98"/>
      <c r="K180" s="98"/>
    </row>
    <row r="181" spans="1:11" s="285" customFormat="1" ht="13.5" customHeight="1" x14ac:dyDescent="0.25">
      <c r="A181" s="118">
        <v>42</v>
      </c>
      <c r="B181" s="151">
        <v>5500</v>
      </c>
      <c r="C181" s="94" t="s">
        <v>266</v>
      </c>
      <c r="D181" s="85">
        <v>-31895</v>
      </c>
      <c r="E181" s="85">
        <v>-33969</v>
      </c>
      <c r="F181" s="85">
        <v>-33969</v>
      </c>
      <c r="G181" s="428">
        <v>-33969</v>
      </c>
      <c r="H181" s="85">
        <f t="shared" ref="H181:H205" si="12">(F181*0.1)+F181</f>
        <v>-37365.9</v>
      </c>
      <c r="I181" s="428">
        <f>+H181*1.71428571428571*1.058</f>
        <v>-67771.066628571265</v>
      </c>
      <c r="J181" s="85">
        <f>+I181*1.055</f>
        <v>-71498.475293142677</v>
      </c>
      <c r="K181" s="85">
        <f>+J181*1.053</f>
        <v>-75287.894483679236</v>
      </c>
    </row>
    <row r="182" spans="1:11" s="285" customFormat="1" hidden="1" x14ac:dyDescent="0.25">
      <c r="A182" s="118">
        <v>42</v>
      </c>
      <c r="B182" s="151">
        <v>5705</v>
      </c>
      <c r="C182" s="94" t="s">
        <v>296</v>
      </c>
      <c r="D182" s="85">
        <v>0</v>
      </c>
      <c r="E182" s="85"/>
      <c r="F182" s="85">
        <v>0</v>
      </c>
      <c r="G182" s="428">
        <v>0</v>
      </c>
      <c r="H182" s="85">
        <f t="shared" si="12"/>
        <v>0</v>
      </c>
      <c r="I182" s="428"/>
      <c r="J182" s="428">
        <f t="shared" ref="J182:J205" si="13">+I182*1.055</f>
        <v>0</v>
      </c>
      <c r="K182" s="428">
        <f t="shared" ref="K182:K205" si="14">+J182*1.053</f>
        <v>0</v>
      </c>
    </row>
    <row r="183" spans="1:11" s="285" customFormat="1" hidden="1" x14ac:dyDescent="0.25">
      <c r="A183" s="118">
        <v>42</v>
      </c>
      <c r="B183" s="151">
        <v>1140</v>
      </c>
      <c r="C183" s="94" t="s">
        <v>113</v>
      </c>
      <c r="D183" s="122">
        <v>0</v>
      </c>
      <c r="E183" s="98"/>
      <c r="F183" s="85">
        <v>0</v>
      </c>
      <c r="G183" s="428">
        <v>0</v>
      </c>
      <c r="H183" s="85">
        <f t="shared" si="12"/>
        <v>0</v>
      </c>
      <c r="I183" s="428"/>
      <c r="J183" s="428">
        <f t="shared" si="13"/>
        <v>0</v>
      </c>
      <c r="K183" s="428">
        <f t="shared" si="14"/>
        <v>0</v>
      </c>
    </row>
    <row r="184" spans="1:11" s="285" customFormat="1" hidden="1" x14ac:dyDescent="0.25">
      <c r="A184" s="118">
        <v>42</v>
      </c>
      <c r="B184" s="151">
        <v>1145</v>
      </c>
      <c r="C184" s="94" t="s">
        <v>132</v>
      </c>
      <c r="D184" s="122">
        <v>0</v>
      </c>
      <c r="E184" s="98"/>
      <c r="F184" s="85">
        <v>0</v>
      </c>
      <c r="G184" s="428">
        <v>0</v>
      </c>
      <c r="H184" s="85">
        <f t="shared" si="12"/>
        <v>0</v>
      </c>
      <c r="I184" s="428"/>
      <c r="J184" s="428">
        <f t="shared" si="13"/>
        <v>0</v>
      </c>
      <c r="K184" s="428">
        <f t="shared" si="14"/>
        <v>0</v>
      </c>
    </row>
    <row r="185" spans="1:11" s="285" customFormat="1" hidden="1" x14ac:dyDescent="0.25">
      <c r="A185" s="118">
        <v>42</v>
      </c>
      <c r="B185" s="151">
        <v>1150</v>
      </c>
      <c r="C185" s="94" t="s">
        <v>120</v>
      </c>
      <c r="D185" s="122">
        <v>0</v>
      </c>
      <c r="E185" s="98"/>
      <c r="F185" s="85">
        <v>0</v>
      </c>
      <c r="G185" s="428">
        <v>0</v>
      </c>
      <c r="H185" s="85">
        <f t="shared" si="12"/>
        <v>0</v>
      </c>
      <c r="I185" s="428"/>
      <c r="J185" s="428">
        <f t="shared" si="13"/>
        <v>0</v>
      </c>
      <c r="K185" s="428">
        <f t="shared" si="14"/>
        <v>0</v>
      </c>
    </row>
    <row r="186" spans="1:11" s="285" customFormat="1" hidden="1" x14ac:dyDescent="0.25">
      <c r="A186" s="118">
        <v>42</v>
      </c>
      <c r="B186" s="151">
        <v>1155</v>
      </c>
      <c r="C186" s="94" t="s">
        <v>116</v>
      </c>
      <c r="D186" s="122">
        <v>0</v>
      </c>
      <c r="E186" s="98"/>
      <c r="F186" s="85">
        <v>0</v>
      </c>
      <c r="G186" s="428">
        <v>0</v>
      </c>
      <c r="H186" s="85">
        <f t="shared" si="12"/>
        <v>0</v>
      </c>
      <c r="I186" s="428"/>
      <c r="J186" s="428">
        <f t="shared" si="13"/>
        <v>0</v>
      </c>
      <c r="K186" s="428">
        <f t="shared" si="14"/>
        <v>0</v>
      </c>
    </row>
    <row r="187" spans="1:11" s="285" customFormat="1" hidden="1" x14ac:dyDescent="0.25">
      <c r="A187" s="118">
        <v>42</v>
      </c>
      <c r="B187" s="151">
        <v>1160</v>
      </c>
      <c r="C187" s="94" t="s">
        <v>101</v>
      </c>
      <c r="D187" s="122">
        <v>0</v>
      </c>
      <c r="E187" s="98"/>
      <c r="F187" s="85">
        <v>0</v>
      </c>
      <c r="G187" s="428">
        <v>0</v>
      </c>
      <c r="H187" s="85">
        <f t="shared" si="12"/>
        <v>0</v>
      </c>
      <c r="I187" s="428"/>
      <c r="J187" s="428">
        <f t="shared" si="13"/>
        <v>0</v>
      </c>
      <c r="K187" s="428">
        <f t="shared" si="14"/>
        <v>0</v>
      </c>
    </row>
    <row r="188" spans="1:11" s="285" customFormat="1" x14ac:dyDescent="0.25">
      <c r="A188" s="118">
        <v>42</v>
      </c>
      <c r="B188" s="151">
        <v>1165</v>
      </c>
      <c r="C188" s="94" t="s">
        <v>114</v>
      </c>
      <c r="D188" s="122">
        <v>8674688.0800000001</v>
      </c>
      <c r="E188" s="98">
        <v>9195169.3648000006</v>
      </c>
      <c r="F188" s="85">
        <v>9495169.3648000006</v>
      </c>
      <c r="G188" s="428">
        <v>9495169.3648000006</v>
      </c>
      <c r="H188" s="85">
        <f t="shared" si="12"/>
        <v>10444686.301280001</v>
      </c>
      <c r="I188" s="428">
        <f>6933731*1.5*1.058</f>
        <v>11003831.097000001</v>
      </c>
      <c r="J188" s="428">
        <f t="shared" si="13"/>
        <v>11609041.807335</v>
      </c>
      <c r="K188" s="428">
        <f t="shared" si="14"/>
        <v>12224321.023123754</v>
      </c>
    </row>
    <row r="189" spans="1:11" s="285" customFormat="1" x14ac:dyDescent="0.25">
      <c r="A189" s="118">
        <v>42</v>
      </c>
      <c r="B189" s="151">
        <v>5905</v>
      </c>
      <c r="C189" s="94" t="s">
        <v>401</v>
      </c>
      <c r="D189" s="122">
        <v>-2700000</v>
      </c>
      <c r="E189" s="98">
        <v>-2862000</v>
      </c>
      <c r="F189" s="85">
        <v>-1462000</v>
      </c>
      <c r="G189" s="428">
        <v>-1462000</v>
      </c>
      <c r="H189" s="85">
        <f t="shared" si="12"/>
        <v>-1608200</v>
      </c>
      <c r="I189" s="428">
        <f>+-1322337*1.5*1.058</f>
        <v>-2098548.8190000001</v>
      </c>
      <c r="J189" s="428">
        <f>+I189*1.053</f>
        <v>-2209771.906407</v>
      </c>
      <c r="K189" s="428">
        <f t="shared" si="14"/>
        <v>-2326889.8174465708</v>
      </c>
    </row>
    <row r="190" spans="1:11" s="285" customFormat="1" hidden="1" x14ac:dyDescent="0.25">
      <c r="A190" s="118">
        <v>42</v>
      </c>
      <c r="B190" s="151">
        <v>1180</v>
      </c>
      <c r="C190" s="94" t="s">
        <v>402</v>
      </c>
      <c r="D190" s="122">
        <v>0</v>
      </c>
      <c r="E190" s="98"/>
      <c r="F190" s="85">
        <v>0</v>
      </c>
      <c r="G190" s="428">
        <v>0</v>
      </c>
      <c r="H190" s="85">
        <f t="shared" si="12"/>
        <v>0</v>
      </c>
      <c r="I190" s="428"/>
      <c r="J190" s="428">
        <f t="shared" si="13"/>
        <v>0</v>
      </c>
      <c r="K190" s="428">
        <f t="shared" si="14"/>
        <v>0</v>
      </c>
    </row>
    <row r="191" spans="1:11" s="285" customFormat="1" hidden="1" x14ac:dyDescent="0.25">
      <c r="A191" s="118">
        <v>42</v>
      </c>
      <c r="B191" s="151">
        <v>1185</v>
      </c>
      <c r="C191" s="94" t="s">
        <v>403</v>
      </c>
      <c r="D191" s="122">
        <v>0</v>
      </c>
      <c r="E191" s="98"/>
      <c r="F191" s="85">
        <v>0</v>
      </c>
      <c r="G191" s="428">
        <v>0</v>
      </c>
      <c r="H191" s="85">
        <f t="shared" si="12"/>
        <v>0</v>
      </c>
      <c r="I191" s="428"/>
      <c r="J191" s="428">
        <f t="shared" si="13"/>
        <v>0</v>
      </c>
      <c r="K191" s="428">
        <f t="shared" si="14"/>
        <v>0</v>
      </c>
    </row>
    <row r="192" spans="1:11" s="285" customFormat="1" hidden="1" x14ac:dyDescent="0.25">
      <c r="A192" s="118">
        <v>42</v>
      </c>
      <c r="B192" s="151">
        <v>1190</v>
      </c>
      <c r="C192" s="94" t="s">
        <v>404</v>
      </c>
      <c r="D192" s="122">
        <v>0</v>
      </c>
      <c r="E192" s="98"/>
      <c r="F192" s="85">
        <v>0</v>
      </c>
      <c r="G192" s="428">
        <v>0</v>
      </c>
      <c r="H192" s="85">
        <f t="shared" si="12"/>
        <v>0</v>
      </c>
      <c r="I192" s="428"/>
      <c r="J192" s="428">
        <f t="shared" si="13"/>
        <v>0</v>
      </c>
      <c r="K192" s="428">
        <f t="shared" si="14"/>
        <v>0</v>
      </c>
    </row>
    <row r="193" spans="1:11" s="285" customFormat="1" hidden="1" x14ac:dyDescent="0.25">
      <c r="A193" s="118"/>
      <c r="B193" s="151"/>
      <c r="C193" s="94" t="s">
        <v>405</v>
      </c>
      <c r="D193" s="122">
        <v>0</v>
      </c>
      <c r="E193" s="98"/>
      <c r="F193" s="85">
        <v>0</v>
      </c>
      <c r="G193" s="428">
        <v>0</v>
      </c>
      <c r="H193" s="85">
        <f t="shared" si="12"/>
        <v>0</v>
      </c>
      <c r="I193" s="428"/>
      <c r="J193" s="428">
        <f t="shared" si="13"/>
        <v>0</v>
      </c>
      <c r="K193" s="428">
        <f t="shared" si="14"/>
        <v>0</v>
      </c>
    </row>
    <row r="194" spans="1:11" s="285" customFormat="1" hidden="1" x14ac:dyDescent="0.25">
      <c r="A194" s="118">
        <v>42</v>
      </c>
      <c r="B194" s="151">
        <v>1195</v>
      </c>
      <c r="C194" s="94" t="s">
        <v>199</v>
      </c>
      <c r="D194" s="122">
        <v>0</v>
      </c>
      <c r="E194" s="98"/>
      <c r="F194" s="85">
        <v>0</v>
      </c>
      <c r="G194" s="428">
        <v>0</v>
      </c>
      <c r="H194" s="85">
        <f t="shared" si="12"/>
        <v>0</v>
      </c>
      <c r="I194" s="428"/>
      <c r="J194" s="428">
        <f t="shared" si="13"/>
        <v>0</v>
      </c>
      <c r="K194" s="428">
        <f t="shared" si="14"/>
        <v>0</v>
      </c>
    </row>
    <row r="195" spans="1:11" s="285" customFormat="1" hidden="1" x14ac:dyDescent="0.25">
      <c r="A195" s="118">
        <v>42</v>
      </c>
      <c r="B195" s="151">
        <v>1200</v>
      </c>
      <c r="C195" s="94" t="s">
        <v>117</v>
      </c>
      <c r="D195" s="122">
        <v>0</v>
      </c>
      <c r="E195" s="98"/>
      <c r="F195" s="85">
        <v>0</v>
      </c>
      <c r="G195" s="428">
        <v>0</v>
      </c>
      <c r="H195" s="85">
        <f t="shared" si="12"/>
        <v>0</v>
      </c>
      <c r="I195" s="428"/>
      <c r="J195" s="428">
        <f t="shared" si="13"/>
        <v>0</v>
      </c>
      <c r="K195" s="428">
        <f t="shared" si="14"/>
        <v>0</v>
      </c>
    </row>
    <row r="196" spans="1:11" s="285" customFormat="1" hidden="1" x14ac:dyDescent="0.25">
      <c r="A196" s="118">
        <v>42</v>
      </c>
      <c r="B196" s="151">
        <v>1205</v>
      </c>
      <c r="C196" s="115" t="s">
        <v>105</v>
      </c>
      <c r="D196" s="122">
        <v>0</v>
      </c>
      <c r="E196" s="98"/>
      <c r="F196" s="85">
        <v>0</v>
      </c>
      <c r="G196" s="428">
        <v>0</v>
      </c>
      <c r="H196" s="85">
        <f t="shared" si="12"/>
        <v>0</v>
      </c>
      <c r="I196" s="428"/>
      <c r="J196" s="428">
        <f t="shared" si="13"/>
        <v>0</v>
      </c>
      <c r="K196" s="428">
        <f t="shared" si="14"/>
        <v>0</v>
      </c>
    </row>
    <row r="197" spans="1:11" s="285" customFormat="1" hidden="1" x14ac:dyDescent="0.25">
      <c r="A197" s="118">
        <v>42</v>
      </c>
      <c r="B197" s="151">
        <v>1210</v>
      </c>
      <c r="C197" s="94" t="s">
        <v>118</v>
      </c>
      <c r="D197" s="122">
        <v>0</v>
      </c>
      <c r="E197" s="98"/>
      <c r="F197" s="85">
        <v>0</v>
      </c>
      <c r="G197" s="428">
        <v>0</v>
      </c>
      <c r="H197" s="85">
        <f t="shared" si="12"/>
        <v>0</v>
      </c>
      <c r="I197" s="428"/>
      <c r="J197" s="428">
        <f t="shared" si="13"/>
        <v>0</v>
      </c>
      <c r="K197" s="428">
        <f t="shared" si="14"/>
        <v>0</v>
      </c>
    </row>
    <row r="198" spans="1:11" s="285" customFormat="1" hidden="1" x14ac:dyDescent="0.25">
      <c r="A198" s="118">
        <v>42</v>
      </c>
      <c r="B198" s="151">
        <v>1215</v>
      </c>
      <c r="C198" s="94" t="s">
        <v>133</v>
      </c>
      <c r="D198" s="122">
        <v>0</v>
      </c>
      <c r="E198" s="98"/>
      <c r="F198" s="85">
        <v>0</v>
      </c>
      <c r="G198" s="428">
        <v>0</v>
      </c>
      <c r="H198" s="85">
        <f t="shared" si="12"/>
        <v>0</v>
      </c>
      <c r="I198" s="428"/>
      <c r="J198" s="428">
        <f t="shared" si="13"/>
        <v>0</v>
      </c>
      <c r="K198" s="428">
        <f t="shared" si="14"/>
        <v>0</v>
      </c>
    </row>
    <row r="199" spans="1:11" s="285" customFormat="1" hidden="1" x14ac:dyDescent="0.25">
      <c r="A199" s="118">
        <v>42</v>
      </c>
      <c r="B199" s="151">
        <v>5905</v>
      </c>
      <c r="C199" s="94" t="s">
        <v>329</v>
      </c>
      <c r="D199" s="85">
        <v>0</v>
      </c>
      <c r="E199" s="85"/>
      <c r="F199" s="85">
        <v>0</v>
      </c>
      <c r="G199" s="428">
        <v>0</v>
      </c>
      <c r="H199" s="85">
        <f t="shared" si="12"/>
        <v>0</v>
      </c>
      <c r="I199" s="428"/>
      <c r="J199" s="428">
        <f t="shared" si="13"/>
        <v>0</v>
      </c>
      <c r="K199" s="428">
        <f t="shared" si="14"/>
        <v>0</v>
      </c>
    </row>
    <row r="200" spans="1:11" s="285" customFormat="1" x14ac:dyDescent="0.25">
      <c r="A200" s="118">
        <v>42</v>
      </c>
      <c r="B200" s="151">
        <v>5900</v>
      </c>
      <c r="C200" s="94" t="s">
        <v>333</v>
      </c>
      <c r="D200" s="85">
        <v>-16125</v>
      </c>
      <c r="E200" s="85">
        <v>-17024</v>
      </c>
      <c r="F200" s="85">
        <v>-17024</v>
      </c>
      <c r="G200" s="428">
        <v>-17024</v>
      </c>
      <c r="H200" s="85">
        <f t="shared" si="12"/>
        <v>-18726.400000000001</v>
      </c>
      <c r="I200" s="428">
        <f>+H200*1.71428571428571*1.058</f>
        <v>-33964.339199999922</v>
      </c>
      <c r="J200" s="428">
        <f>+I200*1.055</f>
        <v>-35832.377855999919</v>
      </c>
      <c r="K200" s="428">
        <f>+J200*1.053</f>
        <v>-37731.493882367911</v>
      </c>
    </row>
    <row r="201" spans="1:11" s="285" customFormat="1" hidden="1" x14ac:dyDescent="0.25">
      <c r="A201" s="118">
        <v>42</v>
      </c>
      <c r="B201" s="151">
        <v>1220</v>
      </c>
      <c r="C201" s="94" t="s">
        <v>340</v>
      </c>
      <c r="D201" s="122"/>
      <c r="E201" s="98">
        <v>0</v>
      </c>
      <c r="F201" s="85">
        <v>0</v>
      </c>
      <c r="G201" s="428">
        <v>0</v>
      </c>
      <c r="H201" s="85">
        <f t="shared" si="12"/>
        <v>0</v>
      </c>
      <c r="I201" s="428"/>
      <c r="J201" s="428">
        <f t="shared" si="13"/>
        <v>0</v>
      </c>
      <c r="K201" s="428">
        <f t="shared" si="14"/>
        <v>0</v>
      </c>
    </row>
    <row r="202" spans="1:11" s="285" customFormat="1" hidden="1" x14ac:dyDescent="0.25">
      <c r="A202" s="118">
        <v>42</v>
      </c>
      <c r="B202" s="151">
        <v>1225</v>
      </c>
      <c r="C202" s="94" t="s">
        <v>370</v>
      </c>
      <c r="D202" s="122"/>
      <c r="E202" s="98">
        <v>0</v>
      </c>
      <c r="F202" s="85">
        <v>0</v>
      </c>
      <c r="G202" s="428">
        <v>0</v>
      </c>
      <c r="H202" s="85">
        <f t="shared" si="12"/>
        <v>0</v>
      </c>
      <c r="I202" s="428"/>
      <c r="J202" s="428">
        <f t="shared" si="13"/>
        <v>0</v>
      </c>
      <c r="K202" s="428">
        <f t="shared" si="14"/>
        <v>0</v>
      </c>
    </row>
    <row r="203" spans="1:11" s="285" customFormat="1" hidden="1" x14ac:dyDescent="0.25">
      <c r="A203" s="118">
        <v>42</v>
      </c>
      <c r="B203" s="151">
        <v>1230</v>
      </c>
      <c r="C203" s="94" t="s">
        <v>119</v>
      </c>
      <c r="D203" s="122"/>
      <c r="E203" s="98">
        <v>0</v>
      </c>
      <c r="F203" s="85">
        <v>0</v>
      </c>
      <c r="G203" s="428">
        <v>0</v>
      </c>
      <c r="H203" s="85">
        <f t="shared" si="12"/>
        <v>0</v>
      </c>
      <c r="I203" s="428"/>
      <c r="J203" s="428">
        <f t="shared" si="13"/>
        <v>0</v>
      </c>
      <c r="K203" s="428">
        <f t="shared" si="14"/>
        <v>0</v>
      </c>
    </row>
    <row r="204" spans="1:11" s="285" customFormat="1" hidden="1" x14ac:dyDescent="0.25">
      <c r="A204" s="118">
        <v>42</v>
      </c>
      <c r="B204" s="151">
        <v>1235</v>
      </c>
      <c r="C204" s="94" t="s">
        <v>347</v>
      </c>
      <c r="D204" s="122"/>
      <c r="E204" s="98">
        <v>0</v>
      </c>
      <c r="F204" s="85">
        <v>0</v>
      </c>
      <c r="G204" s="428">
        <v>0</v>
      </c>
      <c r="H204" s="85">
        <f t="shared" si="12"/>
        <v>0</v>
      </c>
      <c r="I204" s="428"/>
      <c r="J204" s="428">
        <f t="shared" si="13"/>
        <v>0</v>
      </c>
      <c r="K204" s="428">
        <f t="shared" si="14"/>
        <v>0</v>
      </c>
    </row>
    <row r="205" spans="1:11" s="285" customFormat="1" x14ac:dyDescent="0.25">
      <c r="A205" s="118"/>
      <c r="B205" s="151"/>
      <c r="C205" s="94" t="s">
        <v>510</v>
      </c>
      <c r="D205" s="225"/>
      <c r="E205" s="85"/>
      <c r="F205" s="85">
        <v>0</v>
      </c>
      <c r="G205" s="428">
        <v>0</v>
      </c>
      <c r="H205" s="85">
        <f t="shared" si="12"/>
        <v>0</v>
      </c>
      <c r="I205" s="428"/>
      <c r="J205" s="428">
        <f t="shared" si="13"/>
        <v>0</v>
      </c>
      <c r="K205" s="428">
        <f t="shared" si="14"/>
        <v>0</v>
      </c>
    </row>
    <row r="206" spans="1:11" s="285" customFormat="1" x14ac:dyDescent="0.25">
      <c r="A206" s="344"/>
      <c r="B206" s="151"/>
      <c r="C206" s="94"/>
      <c r="D206" s="437">
        <f t="shared" ref="D206:K206" si="15">SUM(D176:D204)</f>
        <v>5926668.0800000001</v>
      </c>
      <c r="E206" s="100">
        <f t="shared" si="15"/>
        <v>6282176.3648000006</v>
      </c>
      <c r="F206" s="437">
        <f t="shared" si="15"/>
        <v>7982176.3648000006</v>
      </c>
      <c r="G206" s="437">
        <f t="shared" si="15"/>
        <v>7982176.3648000006</v>
      </c>
      <c r="H206" s="437">
        <f t="shared" si="15"/>
        <v>8780394.0012800004</v>
      </c>
      <c r="I206" s="437">
        <f t="shared" si="15"/>
        <v>8803546.8721714299</v>
      </c>
      <c r="J206" s="437">
        <f t="shared" si="15"/>
        <v>9291939.0477788579</v>
      </c>
      <c r="K206" s="437">
        <f t="shared" si="15"/>
        <v>9784411.8173111361</v>
      </c>
    </row>
    <row r="207" spans="1:11" s="285" customFormat="1" hidden="1" x14ac:dyDescent="0.25">
      <c r="A207" s="344"/>
      <c r="B207" s="151"/>
      <c r="C207" s="93" t="s">
        <v>66</v>
      </c>
      <c r="D207" s="122"/>
      <c r="E207" s="98"/>
      <c r="F207" s="98"/>
      <c r="G207" s="435"/>
      <c r="H207" s="98"/>
      <c r="I207" s="435"/>
      <c r="J207" s="98"/>
      <c r="K207" s="98"/>
    </row>
    <row r="208" spans="1:11" s="285" customFormat="1" hidden="1" x14ac:dyDescent="0.25">
      <c r="A208" s="118">
        <v>42</v>
      </c>
      <c r="B208" s="151">
        <v>1305</v>
      </c>
      <c r="C208" s="94" t="s">
        <v>342</v>
      </c>
      <c r="D208" s="122"/>
      <c r="E208" s="98"/>
      <c r="F208" s="98">
        <v>0</v>
      </c>
      <c r="G208" s="435">
        <v>0</v>
      </c>
      <c r="H208" s="98"/>
      <c r="I208" s="435"/>
      <c r="J208" s="98"/>
      <c r="K208" s="98"/>
    </row>
    <row r="209" spans="1:11" s="285" customFormat="1" hidden="1" x14ac:dyDescent="0.25">
      <c r="A209" s="118">
        <v>42</v>
      </c>
      <c r="B209" s="151">
        <v>1310</v>
      </c>
      <c r="C209" s="94" t="s">
        <v>344</v>
      </c>
      <c r="D209" s="122"/>
      <c r="E209" s="98"/>
      <c r="F209" s="98">
        <v>0</v>
      </c>
      <c r="G209" s="435">
        <v>0</v>
      </c>
      <c r="H209" s="98"/>
      <c r="I209" s="435"/>
      <c r="J209" s="98"/>
      <c r="K209" s="98"/>
    </row>
    <row r="210" spans="1:11" s="285" customFormat="1" hidden="1" x14ac:dyDescent="0.25">
      <c r="A210" s="118">
        <v>42</v>
      </c>
      <c r="B210" s="151">
        <v>1320</v>
      </c>
      <c r="C210" s="94" t="s">
        <v>345</v>
      </c>
      <c r="D210" s="122"/>
      <c r="E210" s="98"/>
      <c r="F210" s="98">
        <v>0</v>
      </c>
      <c r="G210" s="435">
        <v>0</v>
      </c>
      <c r="H210" s="98"/>
      <c r="I210" s="435"/>
      <c r="J210" s="98"/>
      <c r="K210" s="98"/>
    </row>
    <row r="211" spans="1:11" s="285" customFormat="1" hidden="1" x14ac:dyDescent="0.25">
      <c r="A211" s="118">
        <v>42</v>
      </c>
      <c r="B211" s="151">
        <v>1315</v>
      </c>
      <c r="C211" s="94" t="s">
        <v>346</v>
      </c>
      <c r="D211" s="122"/>
      <c r="E211" s="108"/>
      <c r="F211" s="98">
        <v>0</v>
      </c>
      <c r="G211" s="435">
        <v>0</v>
      </c>
      <c r="H211" s="98"/>
      <c r="I211" s="435"/>
      <c r="J211" s="98"/>
      <c r="K211" s="108"/>
    </row>
    <row r="212" spans="1:11" s="285" customFormat="1" hidden="1" x14ac:dyDescent="0.25">
      <c r="A212" s="344"/>
      <c r="B212" s="151"/>
      <c r="C212" s="94"/>
      <c r="D212" s="99"/>
      <c r="E212" s="99">
        <f>SUM(E208:E211)</f>
        <v>0</v>
      </c>
      <c r="F212" s="99">
        <v>0</v>
      </c>
      <c r="G212" s="436">
        <v>0</v>
      </c>
      <c r="H212" s="99"/>
      <c r="I212" s="436"/>
      <c r="J212" s="99"/>
      <c r="K212" s="99"/>
    </row>
    <row r="213" spans="1:11" s="285" customFormat="1" hidden="1" x14ac:dyDescent="0.25">
      <c r="A213" s="344"/>
      <c r="B213" s="151"/>
      <c r="C213" s="93" t="s">
        <v>67</v>
      </c>
      <c r="D213" s="122"/>
      <c r="E213" s="98"/>
      <c r="F213" s="98"/>
      <c r="G213" s="435"/>
      <c r="H213" s="98"/>
      <c r="I213" s="435"/>
      <c r="J213" s="98"/>
      <c r="K213" s="98"/>
    </row>
    <row r="214" spans="1:11" s="285" customFormat="1" hidden="1" x14ac:dyDescent="0.25">
      <c r="A214" s="118">
        <v>42</v>
      </c>
      <c r="B214" s="151">
        <v>1400</v>
      </c>
      <c r="C214" s="94" t="s">
        <v>68</v>
      </c>
      <c r="D214" s="122"/>
      <c r="E214" s="108"/>
      <c r="F214" s="98"/>
      <c r="G214" s="435"/>
      <c r="H214" s="98"/>
      <c r="I214" s="435"/>
      <c r="J214" s="98"/>
      <c r="K214" s="108"/>
    </row>
    <row r="215" spans="1:11" s="285" customFormat="1" hidden="1" x14ac:dyDescent="0.25">
      <c r="A215" s="118">
        <v>42</v>
      </c>
      <c r="B215" s="151">
        <v>1405</v>
      </c>
      <c r="C215" s="94" t="s">
        <v>69</v>
      </c>
      <c r="D215" s="122"/>
      <c r="E215" s="108"/>
      <c r="F215" s="98"/>
      <c r="G215" s="435"/>
      <c r="H215" s="98"/>
      <c r="I215" s="435"/>
      <c r="J215" s="98"/>
      <c r="K215" s="108"/>
    </row>
    <row r="216" spans="1:11" s="285" customFormat="1" hidden="1" x14ac:dyDescent="0.25">
      <c r="A216" s="344"/>
      <c r="B216" s="151"/>
      <c r="C216" s="94"/>
      <c r="D216" s="99"/>
      <c r="E216" s="99">
        <f>SUM(E214:E215)</f>
        <v>0</v>
      </c>
      <c r="F216" s="99">
        <v>0</v>
      </c>
      <c r="G216" s="436">
        <v>0</v>
      </c>
      <c r="H216" s="99"/>
      <c r="I216" s="436"/>
      <c r="J216" s="99"/>
      <c r="K216" s="99"/>
    </row>
    <row r="217" spans="1:11" s="285" customFormat="1" hidden="1" x14ac:dyDescent="0.25">
      <c r="A217" s="344"/>
      <c r="B217" s="151"/>
      <c r="C217" s="93" t="s">
        <v>70</v>
      </c>
      <c r="D217" s="122"/>
      <c r="E217" s="98"/>
      <c r="F217" s="98"/>
      <c r="G217" s="435"/>
      <c r="H217" s="98"/>
      <c r="I217" s="435"/>
      <c r="J217" s="98"/>
      <c r="K217" s="98"/>
    </row>
    <row r="218" spans="1:11" s="285" customFormat="1" hidden="1" x14ac:dyDescent="0.25">
      <c r="A218" s="118">
        <v>42</v>
      </c>
      <c r="B218" s="151">
        <v>1500</v>
      </c>
      <c r="C218" s="94" t="s">
        <v>106</v>
      </c>
      <c r="D218" s="122"/>
      <c r="E218" s="108"/>
      <c r="F218" s="98"/>
      <c r="G218" s="435"/>
      <c r="H218" s="98"/>
      <c r="I218" s="435"/>
      <c r="J218" s="98"/>
      <c r="K218" s="108"/>
    </row>
    <row r="219" spans="1:11" s="285" customFormat="1" hidden="1" x14ac:dyDescent="0.25">
      <c r="A219" s="118">
        <v>42</v>
      </c>
      <c r="B219" s="151">
        <v>1505</v>
      </c>
      <c r="C219" s="94" t="s">
        <v>71</v>
      </c>
      <c r="D219" s="122"/>
      <c r="E219" s="108"/>
      <c r="F219" s="98"/>
      <c r="G219" s="435"/>
      <c r="H219" s="98"/>
      <c r="I219" s="435"/>
      <c r="J219" s="98"/>
      <c r="K219" s="108"/>
    </row>
    <row r="220" spans="1:11" s="285" customFormat="1" hidden="1" x14ac:dyDescent="0.25">
      <c r="A220" s="118">
        <v>42</v>
      </c>
      <c r="B220" s="151">
        <v>1510</v>
      </c>
      <c r="C220" s="94" t="s">
        <v>72</v>
      </c>
      <c r="D220" s="122"/>
      <c r="E220" s="108"/>
      <c r="F220" s="98"/>
      <c r="G220" s="435"/>
      <c r="H220" s="98"/>
      <c r="I220" s="435"/>
      <c r="J220" s="98"/>
      <c r="K220" s="108"/>
    </row>
    <row r="221" spans="1:11" s="285" customFormat="1" hidden="1" x14ac:dyDescent="0.25">
      <c r="A221" s="344"/>
      <c r="B221" s="151"/>
      <c r="C221" s="94"/>
      <c r="D221" s="99"/>
      <c r="E221" s="99">
        <f>SUM(E218:E220)</f>
        <v>0</v>
      </c>
      <c r="F221" s="99">
        <v>0</v>
      </c>
      <c r="G221" s="436">
        <v>0</v>
      </c>
      <c r="H221" s="99"/>
      <c r="I221" s="436"/>
      <c r="J221" s="99"/>
      <c r="K221" s="99"/>
    </row>
    <row r="222" spans="1:11" s="285" customFormat="1" hidden="1" x14ac:dyDescent="0.25">
      <c r="A222" s="344"/>
      <c r="B222" s="151"/>
      <c r="C222" s="93" t="s">
        <v>73</v>
      </c>
      <c r="D222" s="122"/>
      <c r="E222" s="98"/>
      <c r="F222" s="98"/>
      <c r="G222" s="435"/>
      <c r="H222" s="98"/>
      <c r="I222" s="435"/>
      <c r="J222" s="98"/>
      <c r="K222" s="98"/>
    </row>
    <row r="223" spans="1:11" s="285" customFormat="1" hidden="1" x14ac:dyDescent="0.25">
      <c r="A223" s="118">
        <v>42</v>
      </c>
      <c r="B223" s="151">
        <v>1550</v>
      </c>
      <c r="C223" s="94" t="s">
        <v>349</v>
      </c>
      <c r="D223" s="122"/>
      <c r="E223" s="98"/>
      <c r="F223" s="98"/>
      <c r="G223" s="435"/>
      <c r="H223" s="98"/>
      <c r="I223" s="435"/>
      <c r="J223" s="98"/>
      <c r="K223" s="98"/>
    </row>
    <row r="224" spans="1:11" s="285" customFormat="1" hidden="1" x14ac:dyDescent="0.25">
      <c r="A224" s="118">
        <v>42</v>
      </c>
      <c r="B224" s="151">
        <v>1555</v>
      </c>
      <c r="C224" s="94" t="s">
        <v>348</v>
      </c>
      <c r="D224" s="122"/>
      <c r="E224" s="98"/>
      <c r="F224" s="98"/>
      <c r="G224" s="435"/>
      <c r="H224" s="98"/>
      <c r="I224" s="435"/>
      <c r="J224" s="98"/>
      <c r="K224" s="108"/>
    </row>
    <row r="225" spans="1:11" s="285" customFormat="1" hidden="1" x14ac:dyDescent="0.25">
      <c r="A225" s="344"/>
      <c r="B225" s="151"/>
      <c r="C225" s="94"/>
      <c r="D225" s="100"/>
      <c r="E225" s="100">
        <f>SUM(E223:E224)</f>
        <v>0</v>
      </c>
      <c r="F225" s="100">
        <v>0</v>
      </c>
      <c r="G225" s="437">
        <v>0</v>
      </c>
      <c r="H225" s="100"/>
      <c r="I225" s="437"/>
      <c r="J225" s="100"/>
      <c r="K225" s="100"/>
    </row>
    <row r="226" spans="1:11" s="285" customFormat="1" ht="13.5" customHeight="1" x14ac:dyDescent="0.25">
      <c r="A226" s="344"/>
      <c r="B226" s="151"/>
      <c r="C226" s="93" t="s">
        <v>74</v>
      </c>
      <c r="D226" s="122"/>
      <c r="E226" s="98"/>
      <c r="F226" s="98"/>
      <c r="G226" s="435"/>
      <c r="H226" s="98"/>
      <c r="I226" s="435"/>
      <c r="J226" s="98"/>
      <c r="K226" s="98"/>
    </row>
    <row r="227" spans="1:11" s="285" customFormat="1" x14ac:dyDescent="0.25">
      <c r="A227" s="118">
        <v>42</v>
      </c>
      <c r="B227" s="151">
        <v>1605</v>
      </c>
      <c r="C227" s="94" t="s">
        <v>75</v>
      </c>
      <c r="D227" s="122">
        <v>9000000</v>
      </c>
      <c r="E227" s="98">
        <v>9000000</v>
      </c>
      <c r="F227" s="85">
        <v>9000000</v>
      </c>
      <c r="G227" s="86">
        <v>9000000</v>
      </c>
      <c r="H227" s="86">
        <v>9333000</v>
      </c>
      <c r="I227" s="86">
        <v>13848150</v>
      </c>
      <c r="J227" s="98">
        <v>12901950</v>
      </c>
      <c r="K227" s="85">
        <f>12536400+2747405</f>
        <v>15283805</v>
      </c>
    </row>
    <row r="228" spans="1:11" s="285" customFormat="1" hidden="1" x14ac:dyDescent="0.25">
      <c r="A228" s="118">
        <v>42</v>
      </c>
      <c r="B228" s="151">
        <v>1610</v>
      </c>
      <c r="C228" s="94" t="s">
        <v>131</v>
      </c>
      <c r="D228" s="122"/>
      <c r="E228" s="108"/>
      <c r="F228" s="98"/>
      <c r="G228" s="435"/>
      <c r="H228" s="98"/>
      <c r="I228" s="435"/>
      <c r="J228" s="98"/>
      <c r="K228" s="98"/>
    </row>
    <row r="229" spans="1:11" s="285" customFormat="1" hidden="1" x14ac:dyDescent="0.25">
      <c r="A229" s="118">
        <v>42</v>
      </c>
      <c r="B229" s="151">
        <v>1615</v>
      </c>
      <c r="C229" s="94" t="s">
        <v>182</v>
      </c>
      <c r="D229" s="122"/>
      <c r="E229" s="108"/>
      <c r="F229" s="98"/>
      <c r="G229" s="435"/>
      <c r="H229" s="98"/>
      <c r="I229" s="435"/>
      <c r="J229" s="98"/>
      <c r="K229" s="98"/>
    </row>
    <row r="230" spans="1:11" s="285" customFormat="1" hidden="1" x14ac:dyDescent="0.25">
      <c r="A230" s="118">
        <v>42</v>
      </c>
      <c r="B230" s="151">
        <v>1620</v>
      </c>
      <c r="C230" s="94" t="s">
        <v>255</v>
      </c>
      <c r="D230" s="122"/>
      <c r="E230" s="108"/>
      <c r="F230" s="98"/>
      <c r="G230" s="435"/>
      <c r="H230" s="98"/>
      <c r="I230" s="435"/>
      <c r="J230" s="98"/>
      <c r="K230" s="98"/>
    </row>
    <row r="231" spans="1:11" s="285" customFormat="1" hidden="1" x14ac:dyDescent="0.25">
      <c r="A231" s="118">
        <v>42</v>
      </c>
      <c r="B231" s="151">
        <v>1625</v>
      </c>
      <c r="C231" s="94" t="s">
        <v>108</v>
      </c>
      <c r="D231" s="122"/>
      <c r="E231" s="108"/>
      <c r="F231" s="98"/>
      <c r="G231" s="435"/>
      <c r="H231" s="98"/>
      <c r="I231" s="435"/>
      <c r="J231" s="98"/>
      <c r="K231" s="98"/>
    </row>
    <row r="232" spans="1:11" s="285" customFormat="1" hidden="1" x14ac:dyDescent="0.25">
      <c r="A232" s="118">
        <v>42</v>
      </c>
      <c r="B232" s="151">
        <v>1630</v>
      </c>
      <c r="C232" s="94" t="s">
        <v>76</v>
      </c>
      <c r="D232" s="122"/>
      <c r="E232" s="108"/>
      <c r="F232" s="98"/>
      <c r="G232" s="435"/>
      <c r="H232" s="98"/>
      <c r="I232" s="435"/>
      <c r="J232" s="98"/>
      <c r="K232" s="98"/>
    </row>
    <row r="233" spans="1:11" s="285" customFormat="1" hidden="1" x14ac:dyDescent="0.25">
      <c r="A233" s="118">
        <v>42</v>
      </c>
      <c r="B233" s="151">
        <v>1635</v>
      </c>
      <c r="C233" s="94" t="s">
        <v>180</v>
      </c>
      <c r="D233" s="122"/>
      <c r="E233" s="108"/>
      <c r="F233" s="98"/>
      <c r="G233" s="435"/>
      <c r="H233" s="98"/>
      <c r="I233" s="435"/>
      <c r="J233" s="98"/>
      <c r="K233" s="98"/>
    </row>
    <row r="234" spans="1:11" s="285" customFormat="1" hidden="1" x14ac:dyDescent="0.25">
      <c r="A234" s="118">
        <v>42</v>
      </c>
      <c r="B234" s="151">
        <v>1640</v>
      </c>
      <c r="C234" s="94" t="s">
        <v>184</v>
      </c>
      <c r="D234" s="122"/>
      <c r="E234" s="108"/>
      <c r="F234" s="98"/>
      <c r="G234" s="435"/>
      <c r="H234" s="98"/>
      <c r="I234" s="435"/>
      <c r="J234" s="98"/>
      <c r="K234" s="98"/>
    </row>
    <row r="235" spans="1:11" s="285" customFormat="1" hidden="1" x14ac:dyDescent="0.25">
      <c r="A235" s="118">
        <v>42</v>
      </c>
      <c r="B235" s="151">
        <v>1645</v>
      </c>
      <c r="C235" s="94" t="s">
        <v>77</v>
      </c>
      <c r="D235" s="122"/>
      <c r="E235" s="108"/>
      <c r="F235" s="98"/>
      <c r="G235" s="435"/>
      <c r="H235" s="98"/>
      <c r="I235" s="435"/>
      <c r="J235" s="98"/>
      <c r="K235" s="98"/>
    </row>
    <row r="236" spans="1:11" s="285" customFormat="1" hidden="1" x14ac:dyDescent="0.25">
      <c r="A236" s="118">
        <v>42</v>
      </c>
      <c r="B236" s="151">
        <v>1650</v>
      </c>
      <c r="C236" s="94" t="s">
        <v>78</v>
      </c>
      <c r="D236" s="122"/>
      <c r="E236" s="108"/>
      <c r="F236" s="98"/>
      <c r="G236" s="435"/>
      <c r="H236" s="98"/>
      <c r="I236" s="435"/>
      <c r="J236" s="98"/>
      <c r="K236" s="98"/>
    </row>
    <row r="237" spans="1:11" s="285" customFormat="1" hidden="1" x14ac:dyDescent="0.25">
      <c r="A237" s="118">
        <v>42</v>
      </c>
      <c r="B237" s="151"/>
      <c r="C237" s="94" t="s">
        <v>200</v>
      </c>
      <c r="D237" s="122"/>
      <c r="E237" s="108"/>
      <c r="F237" s="98"/>
      <c r="G237" s="435"/>
      <c r="H237" s="98"/>
      <c r="I237" s="435"/>
      <c r="J237" s="98"/>
      <c r="K237" s="98"/>
    </row>
    <row r="238" spans="1:11" s="285" customFormat="1" hidden="1" x14ac:dyDescent="0.25">
      <c r="A238" s="118">
        <v>42</v>
      </c>
      <c r="B238" s="151">
        <v>1660</v>
      </c>
      <c r="C238" s="94" t="s">
        <v>185</v>
      </c>
      <c r="D238" s="122"/>
      <c r="E238" s="108"/>
      <c r="F238" s="98"/>
      <c r="G238" s="435"/>
      <c r="H238" s="98"/>
      <c r="I238" s="435"/>
      <c r="J238" s="98"/>
      <c r="K238" s="98"/>
    </row>
    <row r="239" spans="1:11" s="285" customFormat="1" hidden="1" x14ac:dyDescent="0.25">
      <c r="A239" s="118">
        <v>42</v>
      </c>
      <c r="B239" s="151">
        <v>1665</v>
      </c>
      <c r="C239" s="94" t="s">
        <v>181</v>
      </c>
      <c r="D239" s="122"/>
      <c r="E239" s="108"/>
      <c r="F239" s="98"/>
      <c r="G239" s="435"/>
      <c r="H239" s="98"/>
      <c r="I239" s="435"/>
      <c r="J239" s="98"/>
      <c r="K239" s="98"/>
    </row>
    <row r="240" spans="1:11" s="285" customFormat="1" x14ac:dyDescent="0.25">
      <c r="A240" s="344"/>
      <c r="B240" s="151"/>
      <c r="C240" s="94"/>
      <c r="D240" s="99">
        <v>9000000</v>
      </c>
      <c r="E240" s="99">
        <f>SUM(E227:E239)</f>
        <v>9000000</v>
      </c>
      <c r="F240" s="99">
        <f>SUM(F227:F239)</f>
        <v>9000000</v>
      </c>
      <c r="G240" s="436">
        <v>9000000</v>
      </c>
      <c r="H240" s="436">
        <f>SUM(H227:H239)</f>
        <v>9333000</v>
      </c>
      <c r="I240" s="436">
        <f>SUM(I227:I239)</f>
        <v>13848150</v>
      </c>
      <c r="J240" s="436">
        <f>SUM(J227:J239)</f>
        <v>12901950</v>
      </c>
      <c r="K240" s="436">
        <f>SUM(K227:K239)</f>
        <v>15283805</v>
      </c>
    </row>
    <row r="241" spans="1:11" s="285" customFormat="1" hidden="1" x14ac:dyDescent="0.25">
      <c r="A241" s="344"/>
      <c r="B241" s="151"/>
      <c r="C241" s="93" t="s">
        <v>79</v>
      </c>
      <c r="D241" s="122"/>
      <c r="E241" s="98"/>
      <c r="F241" s="98"/>
      <c r="G241" s="435"/>
      <c r="H241" s="435"/>
      <c r="I241" s="435"/>
      <c r="J241" s="435"/>
      <c r="K241" s="435"/>
    </row>
    <row r="242" spans="1:11" s="285" customFormat="1" hidden="1" x14ac:dyDescent="0.25">
      <c r="A242" s="118">
        <v>42</v>
      </c>
      <c r="B242" s="151">
        <v>1705</v>
      </c>
      <c r="C242" s="94" t="s">
        <v>123</v>
      </c>
      <c r="D242" s="122">
        <v>0</v>
      </c>
      <c r="E242" s="98"/>
      <c r="F242" s="98"/>
      <c r="G242" s="435"/>
      <c r="H242" s="435"/>
      <c r="I242" s="435"/>
      <c r="J242" s="435"/>
      <c r="K242" s="435"/>
    </row>
    <row r="243" spans="1:11" s="285" customFormat="1" hidden="1" x14ac:dyDescent="0.25">
      <c r="A243" s="118">
        <v>42</v>
      </c>
      <c r="B243" s="151">
        <v>1710</v>
      </c>
      <c r="C243" s="94" t="s">
        <v>242</v>
      </c>
      <c r="D243" s="122">
        <v>0</v>
      </c>
      <c r="E243" s="98"/>
      <c r="F243" s="98"/>
      <c r="G243" s="435"/>
      <c r="H243" s="435"/>
      <c r="I243" s="435"/>
      <c r="J243" s="435"/>
      <c r="K243" s="435"/>
    </row>
    <row r="244" spans="1:11" s="285" customFormat="1" hidden="1" x14ac:dyDescent="0.25">
      <c r="A244" s="118">
        <v>42</v>
      </c>
      <c r="B244" s="151">
        <v>1715</v>
      </c>
      <c r="C244" s="94" t="s">
        <v>183</v>
      </c>
      <c r="D244" s="122">
        <v>0</v>
      </c>
      <c r="E244" s="98"/>
      <c r="F244" s="98"/>
      <c r="G244" s="435"/>
      <c r="H244" s="435"/>
      <c r="I244" s="435"/>
      <c r="J244" s="435"/>
      <c r="K244" s="435"/>
    </row>
    <row r="245" spans="1:11" s="285" customFormat="1" hidden="1" x14ac:dyDescent="0.25">
      <c r="A245" s="118">
        <v>42</v>
      </c>
      <c r="B245" s="151">
        <v>1720</v>
      </c>
      <c r="C245" s="94" t="s">
        <v>103</v>
      </c>
      <c r="D245" s="122">
        <v>0</v>
      </c>
      <c r="E245" s="98"/>
      <c r="F245" s="98"/>
      <c r="G245" s="435"/>
      <c r="H245" s="435"/>
      <c r="I245" s="435"/>
      <c r="J245" s="435"/>
      <c r="K245" s="435"/>
    </row>
    <row r="246" spans="1:11" s="285" customFormat="1" hidden="1" x14ac:dyDescent="0.25">
      <c r="A246" s="118">
        <v>42</v>
      </c>
      <c r="B246" s="151">
        <v>1725</v>
      </c>
      <c r="C246" s="94" t="s">
        <v>107</v>
      </c>
      <c r="D246" s="122">
        <v>0</v>
      </c>
      <c r="E246" s="98"/>
      <c r="F246" s="98"/>
      <c r="G246" s="435"/>
      <c r="H246" s="435"/>
      <c r="I246" s="435"/>
      <c r="J246" s="435"/>
      <c r="K246" s="435"/>
    </row>
    <row r="247" spans="1:11" s="285" customFormat="1" hidden="1" x14ac:dyDescent="0.25">
      <c r="A247" s="118">
        <v>42</v>
      </c>
      <c r="B247" s="151">
        <v>1730</v>
      </c>
      <c r="C247" s="94" t="s">
        <v>256</v>
      </c>
      <c r="D247" s="122">
        <v>0</v>
      </c>
      <c r="E247" s="98"/>
      <c r="F247" s="98"/>
      <c r="G247" s="435"/>
      <c r="H247" s="435"/>
      <c r="I247" s="435"/>
      <c r="J247" s="435"/>
      <c r="K247" s="435"/>
    </row>
    <row r="248" spans="1:11" s="285" customFormat="1" hidden="1" x14ac:dyDescent="0.25">
      <c r="A248" s="344"/>
      <c r="B248" s="151"/>
      <c r="C248" s="94"/>
      <c r="D248" s="99">
        <v>0</v>
      </c>
      <c r="E248" s="99">
        <f>E247</f>
        <v>0</v>
      </c>
      <c r="F248" s="99">
        <f>F247</f>
        <v>0</v>
      </c>
      <c r="G248" s="436">
        <v>0</v>
      </c>
      <c r="H248" s="436">
        <f>H247</f>
        <v>0</v>
      </c>
      <c r="I248" s="436">
        <f>I247</f>
        <v>0</v>
      </c>
      <c r="J248" s="436">
        <f>J247</f>
        <v>0</v>
      </c>
      <c r="K248" s="436">
        <f>K247</f>
        <v>0</v>
      </c>
    </row>
    <row r="249" spans="1:11" s="285" customFormat="1" hidden="1" x14ac:dyDescent="0.25">
      <c r="A249" s="344"/>
      <c r="B249" s="151"/>
      <c r="C249" s="93" t="s">
        <v>80</v>
      </c>
      <c r="D249" s="122"/>
      <c r="E249" s="98"/>
      <c r="F249" s="98"/>
      <c r="G249" s="435"/>
      <c r="H249" s="435"/>
      <c r="I249" s="435"/>
      <c r="J249" s="435"/>
      <c r="K249" s="435"/>
    </row>
    <row r="250" spans="1:11" s="285" customFormat="1" hidden="1" x14ac:dyDescent="0.25">
      <c r="A250" s="118">
        <v>42</v>
      </c>
      <c r="B250" s="151">
        <v>1805</v>
      </c>
      <c r="C250" s="94" t="s">
        <v>81</v>
      </c>
      <c r="D250" s="122">
        <v>0</v>
      </c>
      <c r="E250" s="108"/>
      <c r="F250" s="98"/>
      <c r="G250" s="435"/>
      <c r="H250" s="435"/>
      <c r="I250" s="435"/>
      <c r="J250" s="435"/>
      <c r="K250" s="435"/>
    </row>
    <row r="251" spans="1:11" s="285" customFormat="1" hidden="1" x14ac:dyDescent="0.25">
      <c r="A251" s="344"/>
      <c r="B251" s="151"/>
      <c r="C251" s="94"/>
      <c r="D251" s="99">
        <v>0</v>
      </c>
      <c r="E251" s="99">
        <f>E250</f>
        <v>0</v>
      </c>
      <c r="F251" s="99">
        <f>F250</f>
        <v>0</v>
      </c>
      <c r="G251" s="436">
        <v>0</v>
      </c>
      <c r="H251" s="436">
        <f>H250</f>
        <v>0</v>
      </c>
      <c r="I251" s="436">
        <f>I250</f>
        <v>0</v>
      </c>
      <c r="J251" s="436">
        <f>J250</f>
        <v>0</v>
      </c>
      <c r="K251" s="436">
        <f>K250</f>
        <v>0</v>
      </c>
    </row>
    <row r="252" spans="1:11" s="285" customFormat="1" x14ac:dyDescent="0.25">
      <c r="A252" s="344"/>
      <c r="B252" s="346"/>
      <c r="C252" s="93" t="s">
        <v>192</v>
      </c>
      <c r="D252" s="117">
        <v>14926668.08</v>
      </c>
      <c r="E252" s="117">
        <f>SUM(E171:E251)/2</f>
        <v>15282176.364800001</v>
      </c>
      <c r="F252" s="117">
        <f>SUM(F171:F251)/2</f>
        <v>16982176.364799999</v>
      </c>
      <c r="G252" s="442">
        <v>16982176.364799999</v>
      </c>
      <c r="H252" s="442">
        <f>SUM(H171:H251)/2</f>
        <v>18113394.001280002</v>
      </c>
      <c r="I252" s="442">
        <f>SUM(I171:I251)/2</f>
        <v>22651696.872171432</v>
      </c>
      <c r="J252" s="442">
        <f>SUM(J171:J251)/2</f>
        <v>22193889.04777886</v>
      </c>
      <c r="K252" s="442">
        <f>SUM(K171:K251)/2</f>
        <v>25068216.817311138</v>
      </c>
    </row>
    <row r="253" spans="1:11" s="285" customFormat="1" hidden="1" x14ac:dyDescent="0.25">
      <c r="A253" s="344"/>
      <c r="B253" s="151"/>
      <c r="C253" s="94"/>
      <c r="D253" s="117"/>
      <c r="E253" s="117"/>
      <c r="F253" s="117"/>
      <c r="G253" s="442"/>
      <c r="H253" s="442"/>
      <c r="I253" s="442"/>
      <c r="J253" s="442"/>
      <c r="K253" s="442"/>
    </row>
    <row r="254" spans="1:11" s="285" customFormat="1" hidden="1" x14ac:dyDescent="0.25">
      <c r="A254" s="344"/>
      <c r="B254" s="151"/>
      <c r="C254" s="145" t="s">
        <v>193</v>
      </c>
      <c r="D254" s="124"/>
      <c r="E254" s="146"/>
      <c r="F254" s="124"/>
      <c r="G254" s="445"/>
      <c r="H254" s="445"/>
      <c r="I254" s="445"/>
      <c r="J254" s="445"/>
      <c r="K254" s="445"/>
    </row>
    <row r="255" spans="1:11" s="285" customFormat="1" hidden="1" x14ac:dyDescent="0.25">
      <c r="A255" s="118">
        <v>42</v>
      </c>
      <c r="B255" s="151">
        <v>1905</v>
      </c>
      <c r="C255" s="118" t="s">
        <v>194</v>
      </c>
      <c r="D255" s="127">
        <v>0</v>
      </c>
      <c r="E255" s="147"/>
      <c r="F255" s="98"/>
      <c r="G255" s="435"/>
      <c r="H255" s="435"/>
      <c r="I255" s="435"/>
      <c r="J255" s="435"/>
      <c r="K255" s="435"/>
    </row>
    <row r="256" spans="1:11" s="285" customFormat="1" hidden="1" x14ac:dyDescent="0.25">
      <c r="A256" s="344"/>
      <c r="B256" s="151"/>
      <c r="C256" s="94"/>
      <c r="D256" s="117">
        <v>0</v>
      </c>
      <c r="E256" s="117">
        <f>SUM(E255)</f>
        <v>0</v>
      </c>
      <c r="F256" s="117">
        <f>SUM(F255)</f>
        <v>0</v>
      </c>
      <c r="G256" s="442">
        <v>0</v>
      </c>
      <c r="H256" s="442">
        <f>SUM(H255)</f>
        <v>0</v>
      </c>
      <c r="I256" s="442">
        <f>SUM(I255)</f>
        <v>0</v>
      </c>
      <c r="J256" s="442">
        <f>SUM(J255)</f>
        <v>0</v>
      </c>
      <c r="K256" s="442">
        <f>SUM(K255)</f>
        <v>0</v>
      </c>
    </row>
    <row r="257" spans="1:11" s="285" customFormat="1" x14ac:dyDescent="0.25">
      <c r="A257" s="344"/>
      <c r="B257" s="151"/>
      <c r="C257" s="93" t="s">
        <v>189</v>
      </c>
      <c r="D257" s="117">
        <v>14926668.08</v>
      </c>
      <c r="E257" s="117">
        <f>E252+E256</f>
        <v>15282176.364800001</v>
      </c>
      <c r="F257" s="117">
        <f>F252+F256</f>
        <v>16982176.364799999</v>
      </c>
      <c r="G257" s="442">
        <v>16982176.364799999</v>
      </c>
      <c r="H257" s="442">
        <f>H252+H256</f>
        <v>18113394.001280002</v>
      </c>
      <c r="I257" s="442">
        <f>I252+I256</f>
        <v>22651696.872171432</v>
      </c>
      <c r="J257" s="442">
        <f>J252+J256</f>
        <v>22193889.04777886</v>
      </c>
      <c r="K257" s="442">
        <f>K252+K256</f>
        <v>25068216.817311138</v>
      </c>
    </row>
    <row r="258" spans="1:11" s="285" customFormat="1" hidden="1" x14ac:dyDescent="0.25">
      <c r="A258" s="344"/>
      <c r="B258" s="151"/>
      <c r="C258" s="145" t="s">
        <v>195</v>
      </c>
      <c r="D258" s="124"/>
      <c r="E258" s="148"/>
      <c r="F258" s="125"/>
      <c r="G258" s="446"/>
      <c r="H258" s="446"/>
      <c r="I258" s="446"/>
      <c r="J258" s="446"/>
      <c r="K258" s="446"/>
    </row>
    <row r="259" spans="1:11" s="285" customFormat="1" hidden="1" x14ac:dyDescent="0.25">
      <c r="A259" s="118">
        <v>42</v>
      </c>
      <c r="B259" s="151">
        <v>1950</v>
      </c>
      <c r="C259" s="118" t="s">
        <v>196</v>
      </c>
      <c r="D259" s="127">
        <v>0</v>
      </c>
      <c r="E259" s="147"/>
      <c r="F259" s="98"/>
      <c r="G259" s="435"/>
      <c r="H259" s="435"/>
      <c r="I259" s="435"/>
      <c r="J259" s="435"/>
      <c r="K259" s="435"/>
    </row>
    <row r="260" spans="1:11" s="285" customFormat="1" hidden="1" x14ac:dyDescent="0.25">
      <c r="A260" s="344"/>
      <c r="B260" s="346"/>
      <c r="C260" s="94"/>
      <c r="D260" s="124">
        <v>0</v>
      </c>
      <c r="E260" s="124">
        <f>E259</f>
        <v>0</v>
      </c>
      <c r="F260" s="124">
        <f>F259</f>
        <v>0</v>
      </c>
      <c r="G260" s="445">
        <v>0</v>
      </c>
      <c r="H260" s="445">
        <f>H259</f>
        <v>0</v>
      </c>
      <c r="I260" s="445">
        <f>I259</f>
        <v>0</v>
      </c>
      <c r="J260" s="445">
        <f>J259</f>
        <v>0</v>
      </c>
      <c r="K260" s="445">
        <f>K259</f>
        <v>0</v>
      </c>
    </row>
    <row r="261" spans="1:11" s="285" customFormat="1" x14ac:dyDescent="0.25">
      <c r="A261" s="348"/>
      <c r="B261" s="351"/>
      <c r="C261" s="93" t="s">
        <v>197</v>
      </c>
      <c r="D261" s="448">
        <f t="shared" ref="D261:K261" si="16">D257+D260</f>
        <v>14926668.08</v>
      </c>
      <c r="E261" s="160">
        <f t="shared" si="16"/>
        <v>15282176.364800001</v>
      </c>
      <c r="F261" s="448">
        <f t="shared" si="16"/>
        <v>16982176.364799999</v>
      </c>
      <c r="G261" s="448">
        <f t="shared" si="16"/>
        <v>16982176.364799999</v>
      </c>
      <c r="H261" s="448">
        <f t="shared" si="16"/>
        <v>18113394.001280002</v>
      </c>
      <c r="I261" s="448">
        <f t="shared" si="16"/>
        <v>22651696.872171432</v>
      </c>
      <c r="J261" s="448">
        <f t="shared" si="16"/>
        <v>22193889.04777886</v>
      </c>
      <c r="K261" s="448">
        <f t="shared" si="16"/>
        <v>25068216.817311138</v>
      </c>
    </row>
    <row r="262" spans="1:11" s="285" customFormat="1" x14ac:dyDescent="0.25">
      <c r="A262" s="349"/>
      <c r="B262" s="154"/>
      <c r="C262" s="126" t="s">
        <v>82</v>
      </c>
      <c r="D262" s="449">
        <f t="shared" ref="D262:K262" si="17">D261-D165</f>
        <v>7049972.0800000001</v>
      </c>
      <c r="E262" s="161">
        <f t="shared" si="17"/>
        <v>4208564.4052320011</v>
      </c>
      <c r="F262" s="449">
        <f t="shared" si="17"/>
        <v>10004564.405231999</v>
      </c>
      <c r="G262" s="449">
        <f t="shared" si="17"/>
        <v>10004564.405231999</v>
      </c>
      <c r="H262" s="449">
        <f t="shared" si="17"/>
        <v>7883836.4607552029</v>
      </c>
      <c r="I262" s="449">
        <f t="shared" si="17"/>
        <v>13100229.304171432</v>
      </c>
      <c r="J262" s="449">
        <f t="shared" si="17"/>
        <v>15105610.363538859</v>
      </c>
      <c r="K262" s="449">
        <f t="shared" si="17"/>
        <v>17604259.362806417</v>
      </c>
    </row>
    <row r="263" spans="1:11" s="285" customFormat="1" x14ac:dyDescent="0.25">
      <c r="A263" s="284"/>
      <c r="B263" s="352"/>
      <c r="G263" s="468"/>
      <c r="I263" s="468"/>
    </row>
    <row r="264" spans="1:11" s="285" customFormat="1" x14ac:dyDescent="0.25">
      <c r="A264" s="284"/>
      <c r="B264" s="352"/>
      <c r="G264" s="468"/>
      <c r="I264" s="468"/>
    </row>
    <row r="265" spans="1:11" s="285" customFormat="1" x14ac:dyDescent="0.25">
      <c r="B265" s="352"/>
      <c r="G265" s="468"/>
      <c r="I265" s="468"/>
    </row>
    <row r="266" spans="1:11" s="285" customFormat="1" x14ac:dyDescent="0.25">
      <c r="B266" s="352"/>
      <c r="E266" s="128"/>
      <c r="F266" s="128"/>
      <c r="G266" s="128"/>
      <c r="H266" s="128"/>
      <c r="I266" s="128"/>
      <c r="J266" s="128"/>
    </row>
    <row r="267" spans="1:11" s="285" customFormat="1" x14ac:dyDescent="0.25">
      <c r="B267" s="352"/>
      <c r="E267" s="128"/>
      <c r="F267" s="128"/>
      <c r="G267" s="128"/>
      <c r="H267" s="128"/>
      <c r="I267" s="128"/>
      <c r="J267" s="128"/>
      <c r="K267" s="355"/>
    </row>
    <row r="268" spans="1:11" x14ac:dyDescent="0.25">
      <c r="E268" s="128"/>
      <c r="F268" s="128"/>
      <c r="G268" s="128"/>
      <c r="H268" s="128"/>
      <c r="I268" s="128"/>
      <c r="J268" s="128"/>
    </row>
  </sheetData>
  <mergeCells count="4">
    <mergeCell ref="A3:C3"/>
    <mergeCell ref="A4:B5"/>
    <mergeCell ref="A169:B170"/>
    <mergeCell ref="A1:K1"/>
  </mergeCells>
  <phoneticPr fontId="0" type="noConversion"/>
  <pageMargins left="0.75" right="0.75" top="1" bottom="1" header="0.5" footer="0.5"/>
  <pageSetup scale="50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tabColor rgb="FFFF0000"/>
    <pageSetUpPr fitToPage="1"/>
  </sheetPr>
  <dimension ref="A1:K268"/>
  <sheetViews>
    <sheetView view="pageBreakPreview" topLeftCell="A148" zoomScaleSheetLayoutView="100" workbookViewId="0">
      <selection activeCell="I257" sqref="I257:K257"/>
    </sheetView>
  </sheetViews>
  <sheetFormatPr defaultColWidth="9.109375" defaultRowHeight="13.2" x14ac:dyDescent="0.25"/>
  <cols>
    <col min="1" max="1" width="3.33203125" style="96" customWidth="1"/>
    <col min="2" max="2" width="9" style="131" customWidth="1"/>
    <col min="3" max="3" width="38.109375" style="96" customWidth="1"/>
    <col min="4" max="4" width="15" style="96" customWidth="1"/>
    <col min="5" max="5" width="15.88671875" style="96" customWidth="1"/>
    <col min="6" max="6" width="16.33203125" style="96" customWidth="1"/>
    <col min="7" max="7" width="16.33203125" style="434" customWidth="1"/>
    <col min="8" max="8" width="16.33203125" style="96" customWidth="1"/>
    <col min="9" max="9" width="16.33203125" style="434" customWidth="1"/>
    <col min="10" max="11" width="12.88671875" style="96" customWidth="1"/>
    <col min="12" max="16384" width="9.109375" style="96"/>
  </cols>
  <sheetData>
    <row r="1" spans="1:11" ht="12.75" customHeight="1" x14ac:dyDescent="0.25">
      <c r="A1" s="937" t="s">
        <v>881</v>
      </c>
      <c r="B1" s="938"/>
      <c r="C1" s="938"/>
      <c r="D1" s="938"/>
      <c r="E1" s="938"/>
      <c r="F1" s="938"/>
      <c r="G1" s="938"/>
      <c r="H1" s="938"/>
      <c r="I1" s="938"/>
      <c r="J1" s="938"/>
      <c r="K1" s="938"/>
    </row>
    <row r="2" spans="1:11" ht="12.75" customHeight="1" x14ac:dyDescent="0.25">
      <c r="A2" s="552"/>
      <c r="B2" s="553"/>
      <c r="C2" s="553"/>
      <c r="D2" s="553"/>
      <c r="E2" s="553"/>
      <c r="F2" s="553"/>
      <c r="G2" s="553"/>
      <c r="H2" s="553"/>
      <c r="I2" s="553"/>
      <c r="J2" s="553"/>
      <c r="K2" s="553"/>
    </row>
    <row r="3" spans="1:11" x14ac:dyDescent="0.25">
      <c r="A3" s="941" t="s">
        <v>415</v>
      </c>
      <c r="B3" s="942"/>
      <c r="C3" s="943"/>
      <c r="D3" s="149"/>
      <c r="E3" s="102"/>
      <c r="F3" s="102"/>
      <c r="G3" s="563"/>
      <c r="H3" s="420"/>
      <c r="I3" s="581"/>
      <c r="J3" s="276"/>
      <c r="K3" s="276"/>
    </row>
    <row r="4" spans="1:11" x14ac:dyDescent="0.25">
      <c r="A4" s="944" t="s">
        <v>21</v>
      </c>
      <c r="B4" s="945"/>
      <c r="C4" s="150" t="s">
        <v>22</v>
      </c>
      <c r="D4" s="103" t="s">
        <v>23</v>
      </c>
      <c r="E4" s="104" t="s">
        <v>24</v>
      </c>
      <c r="F4" s="103" t="s">
        <v>535</v>
      </c>
      <c r="G4" s="103" t="s">
        <v>877</v>
      </c>
      <c r="H4" s="104" t="s">
        <v>24</v>
      </c>
      <c r="I4" s="583" t="s">
        <v>24</v>
      </c>
      <c r="J4" s="583" t="s">
        <v>24</v>
      </c>
      <c r="K4" s="583" t="s">
        <v>24</v>
      </c>
    </row>
    <row r="5" spans="1:11" x14ac:dyDescent="0.25">
      <c r="A5" s="946"/>
      <c r="B5" s="947"/>
      <c r="C5" s="106"/>
      <c r="D5" s="333" t="s">
        <v>257</v>
      </c>
      <c r="E5" s="107" t="s">
        <v>382</v>
      </c>
      <c r="F5" s="107" t="s">
        <v>382</v>
      </c>
      <c r="G5" s="107" t="s">
        <v>382</v>
      </c>
      <c r="H5" s="107" t="s">
        <v>407</v>
      </c>
      <c r="I5" s="586" t="s">
        <v>414</v>
      </c>
      <c r="J5" s="586" t="s">
        <v>530</v>
      </c>
      <c r="K5" s="586" t="s">
        <v>886</v>
      </c>
    </row>
    <row r="6" spans="1:11" x14ac:dyDescent="0.25">
      <c r="A6" s="129"/>
      <c r="B6" s="151"/>
      <c r="C6" s="93" t="s">
        <v>33</v>
      </c>
      <c r="D6" s="85"/>
      <c r="E6" s="85"/>
      <c r="F6" s="85"/>
      <c r="G6" s="428"/>
      <c r="H6" s="85"/>
      <c r="I6" s="428"/>
      <c r="J6" s="85"/>
      <c r="K6" s="85"/>
    </row>
    <row r="7" spans="1:11" s="285" customFormat="1" x14ac:dyDescent="0.25">
      <c r="A7" s="118">
        <v>44</v>
      </c>
      <c r="B7" s="155">
        <v>5005</v>
      </c>
      <c r="C7" s="94" t="s">
        <v>241</v>
      </c>
      <c r="D7" s="85">
        <v>1440</v>
      </c>
      <c r="E7" s="85">
        <v>1600</v>
      </c>
      <c r="F7" s="85">
        <v>1600</v>
      </c>
      <c r="G7" s="428">
        <v>1600</v>
      </c>
      <c r="H7" s="428">
        <f t="shared" ref="H7:H15" si="0">(F7*0.068)+F7</f>
        <v>1708.8</v>
      </c>
      <c r="I7" s="428">
        <f>4440*1.71428571428571*1.058</f>
        <v>8052.8914285714091</v>
      </c>
      <c r="J7" s="428">
        <f>+I7*1.055</f>
        <v>8495.8004571428355</v>
      </c>
      <c r="K7" s="428">
        <f>+J7*1.053</f>
        <v>8946.077881371406</v>
      </c>
    </row>
    <row r="8" spans="1:11" s="285" customFormat="1" hidden="1" x14ac:dyDescent="0.25">
      <c r="A8" s="118">
        <v>44</v>
      </c>
      <c r="B8" s="151">
        <v>5010</v>
      </c>
      <c r="C8" s="94" t="s">
        <v>34</v>
      </c>
      <c r="D8" s="85">
        <v>0</v>
      </c>
      <c r="E8" s="85"/>
      <c r="F8" s="85">
        <v>0</v>
      </c>
      <c r="G8" s="428">
        <v>0</v>
      </c>
      <c r="H8" s="428">
        <f t="shared" si="0"/>
        <v>0</v>
      </c>
      <c r="I8" s="428"/>
      <c r="J8" s="428">
        <f t="shared" ref="J8:J17" si="1">+I8*1.055</f>
        <v>0</v>
      </c>
      <c r="K8" s="428">
        <f t="shared" ref="K8:K17" si="2">+J8*1.053</f>
        <v>0</v>
      </c>
    </row>
    <row r="9" spans="1:11" s="285" customFormat="1" hidden="1" x14ac:dyDescent="0.25">
      <c r="A9" s="118">
        <v>44</v>
      </c>
      <c r="B9" s="151">
        <v>5015</v>
      </c>
      <c r="C9" s="94" t="s">
        <v>35</v>
      </c>
      <c r="D9" s="85">
        <v>0</v>
      </c>
      <c r="E9" s="85"/>
      <c r="F9" s="85">
        <v>0</v>
      </c>
      <c r="G9" s="428">
        <v>0</v>
      </c>
      <c r="H9" s="428">
        <f t="shared" si="0"/>
        <v>0</v>
      </c>
      <c r="I9" s="428"/>
      <c r="J9" s="428">
        <f t="shared" si="1"/>
        <v>0</v>
      </c>
      <c r="K9" s="428">
        <f t="shared" si="2"/>
        <v>0</v>
      </c>
    </row>
    <row r="10" spans="1:11" s="285" customFormat="1" hidden="1" x14ac:dyDescent="0.25">
      <c r="A10" s="118">
        <v>44</v>
      </c>
      <c r="B10" s="151">
        <v>5020</v>
      </c>
      <c r="C10" s="94" t="s">
        <v>350</v>
      </c>
      <c r="D10" s="85">
        <v>0</v>
      </c>
      <c r="E10" s="85"/>
      <c r="F10" s="85">
        <v>0</v>
      </c>
      <c r="G10" s="428">
        <v>0</v>
      </c>
      <c r="H10" s="428">
        <f t="shared" si="0"/>
        <v>0</v>
      </c>
      <c r="I10" s="428"/>
      <c r="J10" s="428">
        <f t="shared" si="1"/>
        <v>0</v>
      </c>
      <c r="K10" s="428">
        <f t="shared" si="2"/>
        <v>0</v>
      </c>
    </row>
    <row r="11" spans="1:11" s="285" customFormat="1" hidden="1" x14ac:dyDescent="0.25">
      <c r="A11" s="118">
        <v>44</v>
      </c>
      <c r="B11" s="151">
        <v>5025</v>
      </c>
      <c r="C11" s="94" t="s">
        <v>36</v>
      </c>
      <c r="D11" s="85">
        <v>0</v>
      </c>
      <c r="E11" s="85"/>
      <c r="F11" s="85">
        <v>0</v>
      </c>
      <c r="G11" s="428">
        <v>0</v>
      </c>
      <c r="H11" s="428">
        <f t="shared" si="0"/>
        <v>0</v>
      </c>
      <c r="I11" s="428"/>
      <c r="J11" s="428">
        <f t="shared" si="1"/>
        <v>0</v>
      </c>
      <c r="K11" s="428">
        <f t="shared" si="2"/>
        <v>0</v>
      </c>
    </row>
    <row r="12" spans="1:11" s="285" customFormat="1" x14ac:dyDescent="0.25">
      <c r="A12" s="118">
        <v>44</v>
      </c>
      <c r="B12" s="151">
        <v>5030</v>
      </c>
      <c r="C12" s="94" t="s">
        <v>85</v>
      </c>
      <c r="D12" s="85">
        <v>52100</v>
      </c>
      <c r="E12" s="85">
        <v>42000</v>
      </c>
      <c r="F12" s="85">
        <v>42000</v>
      </c>
      <c r="G12" s="428">
        <v>42000</v>
      </c>
      <c r="H12" s="428">
        <f t="shared" si="0"/>
        <v>44856</v>
      </c>
      <c r="I12" s="428"/>
      <c r="J12" s="428">
        <f t="shared" si="1"/>
        <v>0</v>
      </c>
      <c r="K12" s="428">
        <f t="shared" si="2"/>
        <v>0</v>
      </c>
    </row>
    <row r="13" spans="1:11" s="285" customFormat="1" hidden="1" x14ac:dyDescent="0.25">
      <c r="A13" s="118">
        <v>44</v>
      </c>
      <c r="B13" s="151">
        <v>5035</v>
      </c>
      <c r="C13" s="94" t="s">
        <v>84</v>
      </c>
      <c r="D13" s="85">
        <v>0</v>
      </c>
      <c r="E13" s="85"/>
      <c r="F13" s="85">
        <v>0</v>
      </c>
      <c r="G13" s="428">
        <v>0</v>
      </c>
      <c r="H13" s="428">
        <f t="shared" si="0"/>
        <v>0</v>
      </c>
      <c r="I13" s="428"/>
      <c r="J13" s="428">
        <f t="shared" si="1"/>
        <v>0</v>
      </c>
      <c r="K13" s="428">
        <f t="shared" si="2"/>
        <v>0</v>
      </c>
    </row>
    <row r="14" spans="1:11" s="285" customFormat="1" x14ac:dyDescent="0.25">
      <c r="A14" s="118">
        <v>44</v>
      </c>
      <c r="B14" s="151">
        <v>5040</v>
      </c>
      <c r="C14" s="94" t="s">
        <v>37</v>
      </c>
      <c r="D14" s="85">
        <v>265500</v>
      </c>
      <c r="E14" s="85">
        <v>400000</v>
      </c>
      <c r="F14" s="85">
        <v>400000</v>
      </c>
      <c r="G14" s="428">
        <v>400000</v>
      </c>
      <c r="H14" s="428">
        <f t="shared" si="0"/>
        <v>427200</v>
      </c>
      <c r="I14" s="428">
        <f>101544*1.71428571428571*1.058</f>
        <v>184171.80342857097</v>
      </c>
      <c r="J14" s="428">
        <f t="shared" si="1"/>
        <v>194301.25261714237</v>
      </c>
      <c r="K14" s="428">
        <f t="shared" si="2"/>
        <v>204599.2190058509</v>
      </c>
    </row>
    <row r="15" spans="1:11" s="285" customFormat="1" hidden="1" x14ac:dyDescent="0.25">
      <c r="A15" s="118">
        <v>44</v>
      </c>
      <c r="B15" s="151">
        <v>5045</v>
      </c>
      <c r="C15" s="94" t="s">
        <v>38</v>
      </c>
      <c r="D15" s="85">
        <v>0</v>
      </c>
      <c r="E15" s="85"/>
      <c r="F15" s="85">
        <v>0</v>
      </c>
      <c r="G15" s="428">
        <v>0</v>
      </c>
      <c r="H15" s="428">
        <f t="shared" si="0"/>
        <v>0</v>
      </c>
      <c r="I15" s="428"/>
      <c r="J15" s="428">
        <f t="shared" si="1"/>
        <v>0</v>
      </c>
      <c r="K15" s="428">
        <f t="shared" si="2"/>
        <v>0</v>
      </c>
    </row>
    <row r="16" spans="1:11" s="285" customFormat="1" x14ac:dyDescent="0.25">
      <c r="A16" s="118">
        <v>44</v>
      </c>
      <c r="B16" s="151">
        <v>5050</v>
      </c>
      <c r="C16" s="94" t="s">
        <v>83</v>
      </c>
      <c r="D16" s="85">
        <v>410000</v>
      </c>
      <c r="E16" s="85">
        <v>135000</v>
      </c>
      <c r="F16" s="85">
        <v>135000</v>
      </c>
      <c r="G16" s="428">
        <v>135000</v>
      </c>
      <c r="H16" s="428">
        <v>114180</v>
      </c>
      <c r="I16" s="428">
        <f>415884*1.71428571428571/1.058</f>
        <v>673860.11342154839</v>
      </c>
      <c r="J16" s="428">
        <f t="shared" si="1"/>
        <v>710922.41965973354</v>
      </c>
      <c r="K16" s="428">
        <f t="shared" si="2"/>
        <v>748601.30790169933</v>
      </c>
    </row>
    <row r="17" spans="1:11" s="285" customFormat="1" x14ac:dyDescent="0.25">
      <c r="A17" s="118">
        <v>44</v>
      </c>
      <c r="B17" s="151">
        <v>5055</v>
      </c>
      <c r="C17" s="94" t="s">
        <v>39</v>
      </c>
      <c r="D17" s="85">
        <v>3214100</v>
      </c>
      <c r="E17" s="85">
        <v>4040000</v>
      </c>
      <c r="F17" s="85">
        <v>4040000</v>
      </c>
      <c r="G17" s="428">
        <v>4040000</v>
      </c>
      <c r="H17" s="428">
        <f>(F17*0.068)+F17</f>
        <v>4314720</v>
      </c>
      <c r="I17" s="428">
        <f>2497111*1.71428571428571*1.058</f>
        <v>4529045.8937142743</v>
      </c>
      <c r="J17" s="428">
        <f t="shared" si="1"/>
        <v>4778143.4178685592</v>
      </c>
      <c r="K17" s="428">
        <f t="shared" si="2"/>
        <v>5031385.0190155925</v>
      </c>
    </row>
    <row r="18" spans="1:11" s="285" customFormat="1" x14ac:dyDescent="0.25">
      <c r="A18" s="344"/>
      <c r="B18" s="151"/>
      <c r="C18" s="94"/>
      <c r="D18" s="429">
        <f t="shared" ref="D18:K18" si="3">SUM(D7:D17)</f>
        <v>3943140</v>
      </c>
      <c r="E18" s="89">
        <f t="shared" si="3"/>
        <v>4618600</v>
      </c>
      <c r="F18" s="429">
        <f t="shared" si="3"/>
        <v>4618600</v>
      </c>
      <c r="G18" s="429">
        <f t="shared" si="3"/>
        <v>4618600</v>
      </c>
      <c r="H18" s="429">
        <f t="shared" si="3"/>
        <v>4902664.8</v>
      </c>
      <c r="I18" s="429">
        <f t="shared" si="3"/>
        <v>5395130.7019929653</v>
      </c>
      <c r="J18" s="429">
        <f t="shared" si="3"/>
        <v>5691862.8906025775</v>
      </c>
      <c r="K18" s="429">
        <f t="shared" si="3"/>
        <v>5993531.6238045143</v>
      </c>
    </row>
    <row r="19" spans="1:11" s="285" customFormat="1" x14ac:dyDescent="0.25">
      <c r="A19" s="344"/>
      <c r="B19" s="151"/>
      <c r="C19" s="93" t="s">
        <v>40</v>
      </c>
      <c r="D19" s="85"/>
      <c r="E19" s="86"/>
      <c r="F19" s="86"/>
      <c r="G19" s="86"/>
      <c r="H19" s="86"/>
      <c r="I19" s="86"/>
      <c r="J19" s="86"/>
      <c r="K19" s="86"/>
    </row>
    <row r="20" spans="1:11" s="285" customFormat="1" x14ac:dyDescent="0.25">
      <c r="A20" s="118">
        <v>44</v>
      </c>
      <c r="B20" s="151">
        <v>5105</v>
      </c>
      <c r="C20" s="94" t="s">
        <v>41</v>
      </c>
      <c r="D20" s="85">
        <v>209600</v>
      </c>
      <c r="E20" s="85">
        <v>232000</v>
      </c>
      <c r="F20" s="85">
        <v>232000</v>
      </c>
      <c r="G20" s="428">
        <v>232000</v>
      </c>
      <c r="H20" s="428">
        <f>(F20*0.068)+F20</f>
        <v>247776</v>
      </c>
      <c r="I20" s="428">
        <f>196615*1.71428571428571*1.058</f>
        <v>356603.43428571342</v>
      </c>
      <c r="J20" s="428">
        <f>+I20*1.055</f>
        <v>376216.62317142764</v>
      </c>
      <c r="K20" s="428">
        <f>+J20*1.053</f>
        <v>396156.10419951327</v>
      </c>
    </row>
    <row r="21" spans="1:11" s="285" customFormat="1" x14ac:dyDescent="0.25">
      <c r="A21" s="118">
        <v>44</v>
      </c>
      <c r="B21" s="151">
        <v>5115</v>
      </c>
      <c r="C21" s="94" t="s">
        <v>42</v>
      </c>
      <c r="D21" s="85">
        <v>461700</v>
      </c>
      <c r="E21" s="85">
        <v>652000</v>
      </c>
      <c r="F21" s="85">
        <v>652000</v>
      </c>
      <c r="G21" s="428">
        <v>652000</v>
      </c>
      <c r="H21" s="428">
        <f>(F21*0.068)+F21</f>
        <v>696336</v>
      </c>
      <c r="I21" s="428">
        <f>456497*1.71428571428571/1.058</f>
        <v>739665.676478529</v>
      </c>
      <c r="J21" s="428">
        <f>+I21*1.055</f>
        <v>780347.288684848</v>
      </c>
      <c r="K21" s="428">
        <f>+J21*1.053</f>
        <v>821705.69498514489</v>
      </c>
    </row>
    <row r="22" spans="1:11" s="285" customFormat="1" x14ac:dyDescent="0.25">
      <c r="A22" s="118">
        <v>44</v>
      </c>
      <c r="B22" s="151">
        <v>5120</v>
      </c>
      <c r="C22" s="94" t="s">
        <v>43</v>
      </c>
      <c r="D22" s="85">
        <v>142400</v>
      </c>
      <c r="E22" s="85">
        <v>139000</v>
      </c>
      <c r="F22" s="85">
        <v>139000</v>
      </c>
      <c r="G22" s="428">
        <v>139000</v>
      </c>
      <c r="H22" s="428">
        <f>(F22*0.068)+F22</f>
        <v>148452</v>
      </c>
      <c r="I22" s="428"/>
      <c r="J22" s="428">
        <f>+I22*1.055</f>
        <v>0</v>
      </c>
      <c r="K22" s="428">
        <f>+J22*1.053</f>
        <v>0</v>
      </c>
    </row>
    <row r="23" spans="1:11" s="285" customFormat="1" hidden="1" x14ac:dyDescent="0.25">
      <c r="A23" s="118">
        <v>44</v>
      </c>
      <c r="B23" s="151">
        <v>5125</v>
      </c>
      <c r="C23" s="94" t="s">
        <v>44</v>
      </c>
      <c r="D23" s="85">
        <v>0</v>
      </c>
      <c r="E23" s="85"/>
      <c r="F23" s="85">
        <v>0</v>
      </c>
      <c r="G23" s="428">
        <v>0</v>
      </c>
      <c r="H23" s="428">
        <f>(F23*0.068)+F23</f>
        <v>0</v>
      </c>
      <c r="I23" s="428"/>
      <c r="J23" s="428">
        <f>+I23*1.055</f>
        <v>0</v>
      </c>
      <c r="K23" s="428">
        <f>+J23*1.053</f>
        <v>0</v>
      </c>
    </row>
    <row r="24" spans="1:11" s="285" customFormat="1" x14ac:dyDescent="0.25">
      <c r="A24" s="118">
        <v>44</v>
      </c>
      <c r="B24" s="151">
        <v>5130</v>
      </c>
      <c r="C24" s="94" t="s">
        <v>45</v>
      </c>
      <c r="D24" s="85">
        <v>39300</v>
      </c>
      <c r="E24" s="85">
        <v>51500</v>
      </c>
      <c r="F24" s="85">
        <v>51500</v>
      </c>
      <c r="G24" s="428">
        <v>51500</v>
      </c>
      <c r="H24" s="428">
        <f>(F24*0.068)+F24</f>
        <v>55002</v>
      </c>
      <c r="I24" s="428">
        <f>32504*1.71428571428571/1.058</f>
        <v>52666.48663246003</v>
      </c>
      <c r="J24" s="428">
        <f>+I24*1.055</f>
        <v>55563.143397245331</v>
      </c>
      <c r="K24" s="428">
        <f>+J24*1.053</f>
        <v>58507.98999729933</v>
      </c>
    </row>
    <row r="25" spans="1:11" s="285" customFormat="1" x14ac:dyDescent="0.25">
      <c r="A25" s="344"/>
      <c r="B25" s="151"/>
      <c r="C25" s="94"/>
      <c r="D25" s="429">
        <f t="shared" ref="D25:K25" si="4">SUM(D20:D24)</f>
        <v>853000</v>
      </c>
      <c r="E25" s="89">
        <f t="shared" si="4"/>
        <v>1074500</v>
      </c>
      <c r="F25" s="429">
        <f t="shared" si="4"/>
        <v>1074500</v>
      </c>
      <c r="G25" s="429">
        <f t="shared" si="4"/>
        <v>1074500</v>
      </c>
      <c r="H25" s="429">
        <f t="shared" si="4"/>
        <v>1147566</v>
      </c>
      <c r="I25" s="429">
        <f t="shared" si="4"/>
        <v>1148935.5973967025</v>
      </c>
      <c r="J25" s="429">
        <f t="shared" si="4"/>
        <v>1212127.0552535208</v>
      </c>
      <c r="K25" s="429">
        <f t="shared" si="4"/>
        <v>1276369.7891819575</v>
      </c>
    </row>
    <row r="26" spans="1:11" s="285" customFormat="1" x14ac:dyDescent="0.25">
      <c r="A26" s="344"/>
      <c r="B26" s="151"/>
      <c r="C26" s="93" t="s">
        <v>46</v>
      </c>
      <c r="D26" s="85"/>
      <c r="E26" s="86"/>
      <c r="F26" s="86"/>
      <c r="G26" s="86"/>
      <c r="H26" s="86"/>
      <c r="I26" s="86"/>
      <c r="J26" s="86"/>
      <c r="K26" s="86"/>
    </row>
    <row r="27" spans="1:11" s="285" customFormat="1" ht="14.25" hidden="1" customHeight="1" x14ac:dyDescent="0.25">
      <c r="A27" s="344"/>
      <c r="B27" s="151"/>
      <c r="C27" s="93" t="s">
        <v>47</v>
      </c>
      <c r="D27" s="85"/>
      <c r="E27" s="86"/>
      <c r="F27" s="86"/>
      <c r="G27" s="86"/>
      <c r="H27" s="86"/>
      <c r="I27" s="86"/>
      <c r="J27" s="86"/>
      <c r="K27" s="86"/>
    </row>
    <row r="28" spans="1:11" s="285" customFormat="1" hidden="1" x14ac:dyDescent="0.25">
      <c r="A28" s="118">
        <v>44</v>
      </c>
      <c r="B28" s="151">
        <v>5150</v>
      </c>
      <c r="C28" s="94" t="s">
        <v>48</v>
      </c>
      <c r="D28" s="85"/>
      <c r="E28" s="85"/>
      <c r="F28" s="85">
        <v>0</v>
      </c>
      <c r="G28" s="428">
        <v>0</v>
      </c>
      <c r="H28" s="85"/>
      <c r="I28" s="428"/>
      <c r="J28" s="85"/>
      <c r="K28" s="85"/>
    </row>
    <row r="29" spans="1:11" s="285" customFormat="1" hidden="1" x14ac:dyDescent="0.25">
      <c r="A29" s="344"/>
      <c r="B29" s="151"/>
      <c r="C29" s="94"/>
      <c r="D29" s="89"/>
      <c r="E29" s="89">
        <f>E28</f>
        <v>0</v>
      </c>
      <c r="F29" s="89">
        <v>0</v>
      </c>
      <c r="G29" s="429">
        <v>0</v>
      </c>
      <c r="H29" s="89"/>
      <c r="I29" s="429"/>
      <c r="J29" s="89"/>
      <c r="K29" s="89"/>
    </row>
    <row r="30" spans="1:11" s="285" customFormat="1" x14ac:dyDescent="0.25">
      <c r="A30" s="344"/>
      <c r="B30" s="151"/>
      <c r="C30" s="93" t="s">
        <v>49</v>
      </c>
      <c r="D30" s="85"/>
      <c r="E30" s="86"/>
      <c r="F30" s="86"/>
      <c r="G30" s="86"/>
      <c r="H30" s="86"/>
      <c r="I30" s="86"/>
      <c r="J30" s="86"/>
      <c r="K30" s="86"/>
    </row>
    <row r="31" spans="1:11" s="285" customFormat="1" x14ac:dyDescent="0.25">
      <c r="A31" s="118">
        <v>44</v>
      </c>
      <c r="B31" s="151">
        <v>5170</v>
      </c>
      <c r="C31" s="94" t="s">
        <v>341</v>
      </c>
      <c r="D31" s="85">
        <v>12919716</v>
      </c>
      <c r="E31" s="85">
        <v>8129985.6119040009</v>
      </c>
      <c r="F31" s="85">
        <v>129985.61190400086</v>
      </c>
      <c r="G31" s="428">
        <v>129985.61190400086</v>
      </c>
      <c r="H31" s="530">
        <f>922984-170000-35000</f>
        <v>717984</v>
      </c>
      <c r="I31" s="530"/>
      <c r="J31" s="530"/>
      <c r="K31" s="530"/>
    </row>
    <row r="32" spans="1:11" s="285" customFormat="1" x14ac:dyDescent="0.25">
      <c r="A32" s="344"/>
      <c r="B32" s="151"/>
      <c r="C32" s="94"/>
      <c r="D32" s="429">
        <f>SUM(D31)</f>
        <v>12919716</v>
      </c>
      <c r="E32" s="89">
        <f>SUM(E31)</f>
        <v>8129985.6119040009</v>
      </c>
      <c r="F32" s="429">
        <f>SUM(F31)</f>
        <v>129985.61190400086</v>
      </c>
      <c r="G32" s="429">
        <f>SUM(G31)</f>
        <v>129985.61190400086</v>
      </c>
      <c r="H32" s="429">
        <f>SUM(H31)</f>
        <v>717984</v>
      </c>
      <c r="I32" s="429"/>
      <c r="J32" s="429"/>
      <c r="K32" s="429"/>
    </row>
    <row r="33" spans="1:11" s="285" customFormat="1" hidden="1" x14ac:dyDescent="0.25">
      <c r="A33" s="344"/>
      <c r="B33" s="151"/>
      <c r="C33" s="93" t="s">
        <v>50</v>
      </c>
      <c r="D33" s="85"/>
      <c r="E33" s="86"/>
      <c r="F33" s="86"/>
      <c r="G33" s="86"/>
      <c r="H33" s="86"/>
      <c r="I33" s="86"/>
      <c r="J33" s="86"/>
      <c r="K33" s="86"/>
    </row>
    <row r="34" spans="1:11" s="285" customFormat="1" hidden="1" x14ac:dyDescent="0.25">
      <c r="A34" s="118">
        <v>44</v>
      </c>
      <c r="B34" s="151">
        <v>5180</v>
      </c>
      <c r="C34" s="94" t="s">
        <v>51</v>
      </c>
      <c r="D34" s="85"/>
      <c r="E34" s="108"/>
      <c r="F34" s="85"/>
      <c r="G34" s="428"/>
      <c r="H34" s="85"/>
      <c r="I34" s="428"/>
      <c r="J34" s="85"/>
      <c r="K34" s="108"/>
    </row>
    <row r="35" spans="1:11" s="285" customFormat="1" hidden="1" x14ac:dyDescent="0.25">
      <c r="A35" s="344"/>
      <c r="B35" s="151"/>
      <c r="C35" s="94"/>
      <c r="D35" s="89"/>
      <c r="E35" s="89">
        <f>SUM(E34)</f>
        <v>0</v>
      </c>
      <c r="F35" s="89">
        <v>0</v>
      </c>
      <c r="G35" s="429">
        <v>0</v>
      </c>
      <c r="H35" s="89"/>
      <c r="I35" s="429"/>
      <c r="J35" s="89"/>
      <c r="K35" s="89"/>
    </row>
    <row r="36" spans="1:11" s="285" customFormat="1" hidden="1" x14ac:dyDescent="0.25">
      <c r="A36" s="344"/>
      <c r="B36" s="151"/>
      <c r="C36" s="93" t="s">
        <v>52</v>
      </c>
      <c r="D36" s="85"/>
      <c r="E36" s="86"/>
      <c r="F36" s="86"/>
      <c r="G36" s="86"/>
      <c r="H36" s="86"/>
      <c r="I36" s="86"/>
      <c r="J36" s="86"/>
      <c r="K36" s="86"/>
    </row>
    <row r="37" spans="1:11" s="285" customFormat="1" hidden="1" x14ac:dyDescent="0.25">
      <c r="A37" s="118">
        <v>44</v>
      </c>
      <c r="B37" s="151">
        <v>5190</v>
      </c>
      <c r="C37" s="94" t="s">
        <v>53</v>
      </c>
      <c r="D37" s="85"/>
      <c r="E37" s="85"/>
      <c r="F37" s="108"/>
      <c r="G37" s="425"/>
      <c r="H37" s="108"/>
      <c r="I37" s="425"/>
      <c r="J37" s="108"/>
      <c r="K37" s="85"/>
    </row>
    <row r="38" spans="1:11" s="285" customFormat="1" hidden="1" x14ac:dyDescent="0.25">
      <c r="A38" s="344"/>
      <c r="B38" s="151"/>
      <c r="C38" s="94"/>
      <c r="D38" s="89"/>
      <c r="E38" s="89">
        <f>E37</f>
        <v>0</v>
      </c>
      <c r="F38" s="89">
        <v>0</v>
      </c>
      <c r="G38" s="429">
        <v>0</v>
      </c>
      <c r="H38" s="89"/>
      <c r="I38" s="429"/>
      <c r="J38" s="89"/>
      <c r="K38" s="89"/>
    </row>
    <row r="39" spans="1:11" s="285" customFormat="1" x14ac:dyDescent="0.25">
      <c r="A39" s="344"/>
      <c r="B39" s="151"/>
      <c r="C39" s="93" t="s">
        <v>54</v>
      </c>
      <c r="D39" s="85"/>
      <c r="E39" s="86"/>
      <c r="F39" s="86"/>
      <c r="G39" s="86"/>
      <c r="H39" s="86"/>
      <c r="I39" s="86"/>
      <c r="J39" s="86"/>
      <c r="K39" s="86"/>
    </row>
    <row r="40" spans="1:11" s="285" customFormat="1" hidden="1" x14ac:dyDescent="0.25">
      <c r="A40" s="118">
        <v>44</v>
      </c>
      <c r="B40" s="151">
        <v>5200</v>
      </c>
      <c r="C40" s="94" t="s">
        <v>55</v>
      </c>
      <c r="D40" s="85"/>
      <c r="E40" s="108"/>
      <c r="F40" s="85">
        <v>0</v>
      </c>
      <c r="G40" s="428">
        <v>0</v>
      </c>
      <c r="H40" s="85"/>
      <c r="I40" s="428"/>
      <c r="J40" s="85"/>
      <c r="K40" s="85"/>
    </row>
    <row r="41" spans="1:11" s="285" customFormat="1" x14ac:dyDescent="0.25">
      <c r="A41" s="118">
        <v>44</v>
      </c>
      <c r="B41" s="151">
        <v>5205</v>
      </c>
      <c r="C41" s="94" t="s">
        <v>56</v>
      </c>
      <c r="D41" s="85">
        <v>59844</v>
      </c>
      <c r="E41" s="85">
        <v>71775.87</v>
      </c>
      <c r="F41" s="85">
        <v>21775.869999999995</v>
      </c>
      <c r="G41" s="428">
        <v>21775.869999999995</v>
      </c>
      <c r="H41" s="85">
        <f t="shared" ref="H41:H46" si="5">(F41*0.1)+F41</f>
        <v>23953.456999999995</v>
      </c>
      <c r="I41" s="428">
        <v>500000</v>
      </c>
      <c r="J41" s="85">
        <f>+I41*1.055</f>
        <v>527500</v>
      </c>
      <c r="K41" s="85">
        <f>+J41*1.053</f>
        <v>555457.5</v>
      </c>
    </row>
    <row r="42" spans="1:11" s="285" customFormat="1" hidden="1" x14ac:dyDescent="0.25">
      <c r="A42" s="118">
        <v>44</v>
      </c>
      <c r="B42" s="151">
        <v>5210</v>
      </c>
      <c r="C42" s="94" t="s">
        <v>57</v>
      </c>
      <c r="D42" s="85"/>
      <c r="E42" s="85">
        <v>0</v>
      </c>
      <c r="F42" s="85">
        <v>0</v>
      </c>
      <c r="G42" s="428">
        <v>0</v>
      </c>
      <c r="H42" s="85">
        <f t="shared" si="5"/>
        <v>0</v>
      </c>
      <c r="I42" s="428"/>
      <c r="J42" s="428">
        <f t="shared" ref="J42:J58" si="6">+I42*1.055</f>
        <v>0</v>
      </c>
      <c r="K42" s="428">
        <f t="shared" ref="K42:K58" si="7">+J42*1.053</f>
        <v>0</v>
      </c>
    </row>
    <row r="43" spans="1:11" s="285" customFormat="1" hidden="1" x14ac:dyDescent="0.25">
      <c r="A43" s="118">
        <v>44</v>
      </c>
      <c r="B43" s="151">
        <v>5215</v>
      </c>
      <c r="C43" s="94" t="s">
        <v>95</v>
      </c>
      <c r="D43" s="85"/>
      <c r="E43" s="85">
        <v>0</v>
      </c>
      <c r="F43" s="85">
        <v>0</v>
      </c>
      <c r="G43" s="428">
        <v>0</v>
      </c>
      <c r="H43" s="85">
        <f t="shared" si="5"/>
        <v>0</v>
      </c>
      <c r="I43" s="428"/>
      <c r="J43" s="428">
        <f t="shared" si="6"/>
        <v>0</v>
      </c>
      <c r="K43" s="428">
        <f t="shared" si="7"/>
        <v>0</v>
      </c>
    </row>
    <row r="44" spans="1:11" s="285" customFormat="1" hidden="1" x14ac:dyDescent="0.25">
      <c r="A44" s="118">
        <v>44</v>
      </c>
      <c r="B44" s="151">
        <v>5220</v>
      </c>
      <c r="C44" s="94" t="s">
        <v>58</v>
      </c>
      <c r="D44" s="85"/>
      <c r="E44" s="85">
        <v>0</v>
      </c>
      <c r="F44" s="85">
        <v>0</v>
      </c>
      <c r="G44" s="428">
        <v>0</v>
      </c>
      <c r="H44" s="85">
        <f t="shared" si="5"/>
        <v>0</v>
      </c>
      <c r="I44" s="428"/>
      <c r="J44" s="428">
        <f t="shared" si="6"/>
        <v>0</v>
      </c>
      <c r="K44" s="428">
        <f t="shared" si="7"/>
        <v>0</v>
      </c>
    </row>
    <row r="45" spans="1:11" s="285" customFormat="1" hidden="1" x14ac:dyDescent="0.25">
      <c r="A45" s="118">
        <v>44</v>
      </c>
      <c r="B45" s="151">
        <v>5225</v>
      </c>
      <c r="C45" s="94" t="s">
        <v>92</v>
      </c>
      <c r="D45" s="85"/>
      <c r="E45" s="85">
        <v>0</v>
      </c>
      <c r="F45" s="85">
        <v>0</v>
      </c>
      <c r="G45" s="428">
        <v>0</v>
      </c>
      <c r="H45" s="85">
        <f t="shared" si="5"/>
        <v>0</v>
      </c>
      <c r="I45" s="428"/>
      <c r="J45" s="428">
        <f t="shared" si="6"/>
        <v>0</v>
      </c>
      <c r="K45" s="428">
        <f t="shared" si="7"/>
        <v>0</v>
      </c>
    </row>
    <row r="46" spans="1:11" s="285" customFormat="1" x14ac:dyDescent="0.25">
      <c r="A46" s="118">
        <v>44</v>
      </c>
      <c r="B46" s="151">
        <v>5230</v>
      </c>
      <c r="C46" s="94" t="s">
        <v>86</v>
      </c>
      <c r="D46" s="85">
        <v>657858</v>
      </c>
      <c r="E46" s="85">
        <v>727354.11911999993</v>
      </c>
      <c r="F46" s="85">
        <v>727354.11911999993</v>
      </c>
      <c r="G46" s="428">
        <v>727354.11911999993</v>
      </c>
      <c r="H46" s="85">
        <f t="shared" si="5"/>
        <v>800089.53103199997</v>
      </c>
      <c r="I46" s="428">
        <v>939864.68</v>
      </c>
      <c r="J46" s="428">
        <f t="shared" si="6"/>
        <v>991557.23739999998</v>
      </c>
      <c r="K46" s="428">
        <f t="shared" si="7"/>
        <v>1044109.7709821999</v>
      </c>
    </row>
    <row r="47" spans="1:11" s="285" customFormat="1" x14ac:dyDescent="0.25">
      <c r="A47" s="118">
        <v>44</v>
      </c>
      <c r="B47" s="151">
        <v>5235</v>
      </c>
      <c r="C47" s="94" t="s">
        <v>124</v>
      </c>
      <c r="D47" s="85">
        <v>90822</v>
      </c>
      <c r="E47" s="85">
        <v>263750</v>
      </c>
      <c r="F47" s="85">
        <v>4563750</v>
      </c>
      <c r="G47" s="428">
        <v>4563750</v>
      </c>
      <c r="H47" s="85">
        <v>1500000</v>
      </c>
      <c r="I47" s="428">
        <v>2425661.2200000016</v>
      </c>
      <c r="J47" s="428">
        <f t="shared" si="6"/>
        <v>2559072.5871000015</v>
      </c>
      <c r="K47" s="428">
        <f t="shared" si="7"/>
        <v>2694703.4342163014</v>
      </c>
    </row>
    <row r="48" spans="1:11" s="285" customFormat="1" hidden="1" x14ac:dyDescent="0.25">
      <c r="A48" s="118">
        <v>44</v>
      </c>
      <c r="B48" s="151">
        <v>5240</v>
      </c>
      <c r="C48" s="94" t="s">
        <v>59</v>
      </c>
      <c r="D48" s="85"/>
      <c r="E48" s="85">
        <v>0</v>
      </c>
      <c r="F48" s="85">
        <v>0</v>
      </c>
      <c r="G48" s="428"/>
      <c r="H48" s="85">
        <f t="shared" ref="H48:H55" si="8">(F48*0.1)+F48</f>
        <v>0</v>
      </c>
      <c r="I48" s="428"/>
      <c r="J48" s="428">
        <f t="shared" si="6"/>
        <v>0</v>
      </c>
      <c r="K48" s="428">
        <f t="shared" si="7"/>
        <v>0</v>
      </c>
    </row>
    <row r="49" spans="1:11" s="285" customFormat="1" hidden="1" x14ac:dyDescent="0.25">
      <c r="A49" s="118">
        <v>44</v>
      </c>
      <c r="B49" s="151">
        <v>5245</v>
      </c>
      <c r="C49" s="94" t="s">
        <v>541</v>
      </c>
      <c r="D49" s="85"/>
      <c r="E49" s="85">
        <v>0</v>
      </c>
      <c r="F49" s="85">
        <v>0</v>
      </c>
      <c r="G49" s="428"/>
      <c r="H49" s="85">
        <f t="shared" si="8"/>
        <v>0</v>
      </c>
      <c r="I49" s="428"/>
      <c r="J49" s="428">
        <f t="shared" si="6"/>
        <v>0</v>
      </c>
      <c r="K49" s="428">
        <f t="shared" si="7"/>
        <v>0</v>
      </c>
    </row>
    <row r="50" spans="1:11" s="285" customFormat="1" x14ac:dyDescent="0.25">
      <c r="A50" s="118">
        <v>44</v>
      </c>
      <c r="B50" s="151">
        <v>5250</v>
      </c>
      <c r="C50" s="94" t="s">
        <v>88</v>
      </c>
      <c r="D50" s="85">
        <v>115620</v>
      </c>
      <c r="E50" s="85">
        <v>143869.54397999999</v>
      </c>
      <c r="F50" s="85">
        <v>93869.543979999988</v>
      </c>
      <c r="G50" s="428">
        <v>93869.543979999988</v>
      </c>
      <c r="H50" s="428">
        <f t="shared" si="8"/>
        <v>103256.49837799999</v>
      </c>
      <c r="I50" s="428">
        <v>320000</v>
      </c>
      <c r="J50" s="428">
        <f t="shared" si="6"/>
        <v>337600</v>
      </c>
      <c r="K50" s="428">
        <f t="shared" si="7"/>
        <v>355492.8</v>
      </c>
    </row>
    <row r="51" spans="1:11" s="285" customFormat="1" hidden="1" x14ac:dyDescent="0.25">
      <c r="A51" s="118">
        <v>44</v>
      </c>
      <c r="B51" s="151">
        <v>5255</v>
      </c>
      <c r="C51" s="94" t="s">
        <v>125</v>
      </c>
      <c r="D51" s="85"/>
      <c r="E51" s="85">
        <v>0</v>
      </c>
      <c r="F51" s="85">
        <v>0</v>
      </c>
      <c r="G51" s="428">
        <v>0</v>
      </c>
      <c r="H51" s="85">
        <f t="shared" si="8"/>
        <v>0</v>
      </c>
      <c r="I51" s="428"/>
      <c r="J51" s="428">
        <f t="shared" si="6"/>
        <v>0</v>
      </c>
      <c r="K51" s="428">
        <f t="shared" si="7"/>
        <v>0</v>
      </c>
    </row>
    <row r="52" spans="1:11" s="285" customFormat="1" hidden="1" x14ac:dyDescent="0.25">
      <c r="A52" s="118">
        <v>44</v>
      </c>
      <c r="B52" s="151">
        <v>5260</v>
      </c>
      <c r="C52" s="94" t="s">
        <v>90</v>
      </c>
      <c r="D52" s="85"/>
      <c r="E52" s="85">
        <v>0</v>
      </c>
      <c r="F52" s="85">
        <v>0</v>
      </c>
      <c r="G52" s="428">
        <v>0</v>
      </c>
      <c r="H52" s="85">
        <f t="shared" si="8"/>
        <v>0</v>
      </c>
      <c r="I52" s="428"/>
      <c r="J52" s="428">
        <f t="shared" si="6"/>
        <v>0</v>
      </c>
      <c r="K52" s="428">
        <f t="shared" si="7"/>
        <v>0</v>
      </c>
    </row>
    <row r="53" spans="1:11" s="285" customFormat="1" hidden="1" x14ac:dyDescent="0.25">
      <c r="A53" s="118">
        <v>44</v>
      </c>
      <c r="B53" s="151">
        <v>5265</v>
      </c>
      <c r="C53" s="94" t="s">
        <v>87</v>
      </c>
      <c r="D53" s="85"/>
      <c r="E53" s="85">
        <v>0</v>
      </c>
      <c r="F53" s="85">
        <v>0</v>
      </c>
      <c r="G53" s="428">
        <v>0</v>
      </c>
      <c r="H53" s="85">
        <f t="shared" si="8"/>
        <v>0</v>
      </c>
      <c r="I53" s="428"/>
      <c r="J53" s="428">
        <f t="shared" si="6"/>
        <v>0</v>
      </c>
      <c r="K53" s="428">
        <f t="shared" si="7"/>
        <v>0</v>
      </c>
    </row>
    <row r="54" spans="1:11" s="285" customFormat="1" hidden="1" x14ac:dyDescent="0.25">
      <c r="A54" s="118">
        <v>44</v>
      </c>
      <c r="B54" s="151">
        <v>5270</v>
      </c>
      <c r="C54" s="94" t="s">
        <v>89</v>
      </c>
      <c r="D54" s="85"/>
      <c r="E54" s="85">
        <v>0</v>
      </c>
      <c r="F54" s="85">
        <v>0</v>
      </c>
      <c r="G54" s="428">
        <v>0</v>
      </c>
      <c r="H54" s="85">
        <f t="shared" si="8"/>
        <v>0</v>
      </c>
      <c r="I54" s="428"/>
      <c r="J54" s="428">
        <f t="shared" si="6"/>
        <v>0</v>
      </c>
      <c r="K54" s="428">
        <f t="shared" si="7"/>
        <v>0</v>
      </c>
    </row>
    <row r="55" spans="1:11" s="285" customFormat="1" hidden="1" x14ac:dyDescent="0.25">
      <c r="A55" s="118">
        <v>44</v>
      </c>
      <c r="B55" s="151">
        <v>5275</v>
      </c>
      <c r="C55" s="94" t="s">
        <v>93</v>
      </c>
      <c r="D55" s="85"/>
      <c r="E55" s="85">
        <v>0</v>
      </c>
      <c r="F55" s="85">
        <v>0</v>
      </c>
      <c r="G55" s="428">
        <v>0</v>
      </c>
      <c r="H55" s="85">
        <f t="shared" si="8"/>
        <v>0</v>
      </c>
      <c r="I55" s="428"/>
      <c r="J55" s="428">
        <f t="shared" si="6"/>
        <v>0</v>
      </c>
      <c r="K55" s="428">
        <f t="shared" si="7"/>
        <v>0</v>
      </c>
    </row>
    <row r="56" spans="1:11" s="285" customFormat="1" x14ac:dyDescent="0.25">
      <c r="A56" s="118">
        <v>44</v>
      </c>
      <c r="B56" s="151">
        <v>5280</v>
      </c>
      <c r="C56" s="94" t="s">
        <v>94</v>
      </c>
      <c r="D56" s="85">
        <v>128120</v>
      </c>
      <c r="E56" s="85">
        <v>93895</v>
      </c>
      <c r="F56" s="85">
        <v>43895</v>
      </c>
      <c r="G56" s="428">
        <v>43895</v>
      </c>
      <c r="H56" s="85">
        <v>0</v>
      </c>
      <c r="I56" s="428"/>
      <c r="J56" s="428">
        <f t="shared" si="6"/>
        <v>0</v>
      </c>
      <c r="K56" s="428">
        <f t="shared" si="7"/>
        <v>0</v>
      </c>
    </row>
    <row r="57" spans="1:11" s="285" customFormat="1" x14ac:dyDescent="0.25">
      <c r="A57" s="118">
        <v>44</v>
      </c>
      <c r="B57" s="151">
        <v>5285</v>
      </c>
      <c r="C57" s="94" t="s">
        <v>60</v>
      </c>
      <c r="D57" s="85">
        <v>117818</v>
      </c>
      <c r="E57" s="85">
        <v>130263.74069999999</v>
      </c>
      <c r="F57" s="85">
        <v>80263.740699999995</v>
      </c>
      <c r="G57" s="428">
        <v>80263.740699999995</v>
      </c>
      <c r="H57" s="85">
        <f>(F57*0.1)+F57</f>
        <v>88290.11477</v>
      </c>
      <c r="I57" s="428">
        <v>125000</v>
      </c>
      <c r="J57" s="428">
        <f t="shared" si="6"/>
        <v>131875</v>
      </c>
      <c r="K57" s="428">
        <f t="shared" si="7"/>
        <v>138864.375</v>
      </c>
    </row>
    <row r="58" spans="1:11" s="285" customFormat="1" hidden="1" x14ac:dyDescent="0.25">
      <c r="A58" s="118">
        <v>44</v>
      </c>
      <c r="B58" s="151">
        <v>5290</v>
      </c>
      <c r="C58" s="94" t="s">
        <v>186</v>
      </c>
      <c r="D58" s="85"/>
      <c r="E58" s="108"/>
      <c r="F58" s="85">
        <v>0</v>
      </c>
      <c r="G58" s="428">
        <v>0</v>
      </c>
      <c r="H58" s="85"/>
      <c r="I58" s="428"/>
      <c r="J58" s="428">
        <f t="shared" si="6"/>
        <v>0</v>
      </c>
      <c r="K58" s="428">
        <f t="shared" si="7"/>
        <v>0</v>
      </c>
    </row>
    <row r="59" spans="1:11" s="285" customFormat="1" x14ac:dyDescent="0.25">
      <c r="A59" s="344"/>
      <c r="B59" s="151"/>
      <c r="C59" s="94"/>
      <c r="D59" s="439">
        <f>SUM(D40:D58)</f>
        <v>1170082</v>
      </c>
      <c r="E59" s="110">
        <f>SUM(E40:E58)</f>
        <v>1430908.2738000001</v>
      </c>
      <c r="F59" s="439">
        <f>SUM(F40:F58)</f>
        <v>5530908.2737999996</v>
      </c>
      <c r="G59" s="439">
        <f>SUM(G40:G58)</f>
        <v>5530908.2737999996</v>
      </c>
      <c r="H59" s="110">
        <f>SUM(H41:H58)</f>
        <v>2515589.6011800002</v>
      </c>
      <c r="I59" s="439">
        <f>SUM(I41:I58)</f>
        <v>4310525.9000000022</v>
      </c>
      <c r="J59" s="439">
        <f>SUM(J41:J58)</f>
        <v>4547604.824500002</v>
      </c>
      <c r="K59" s="439">
        <f>SUM(K41:K58)</f>
        <v>4788627.8801985011</v>
      </c>
    </row>
    <row r="60" spans="1:11" s="285" customFormat="1" x14ac:dyDescent="0.25">
      <c r="A60" s="344"/>
      <c r="B60" s="151"/>
      <c r="C60" s="93" t="s">
        <v>198</v>
      </c>
      <c r="D60" s="85"/>
      <c r="E60" s="112"/>
      <c r="F60" s="112"/>
      <c r="G60" s="112"/>
      <c r="H60" s="112"/>
      <c r="I60" s="112"/>
      <c r="J60" s="112"/>
      <c r="K60" s="112"/>
    </row>
    <row r="61" spans="1:11" s="285" customFormat="1" x14ac:dyDescent="0.25">
      <c r="A61" s="118">
        <v>44</v>
      </c>
      <c r="B61" s="151">
        <v>5400</v>
      </c>
      <c r="C61" s="94" t="s">
        <v>334</v>
      </c>
      <c r="D61" s="85"/>
      <c r="E61" s="86"/>
      <c r="F61" s="85"/>
      <c r="G61" s="86"/>
      <c r="H61" s="86"/>
      <c r="I61" s="86"/>
      <c r="J61" s="86"/>
      <c r="K61" s="86"/>
    </row>
    <row r="62" spans="1:11" s="285" customFormat="1" x14ac:dyDescent="0.25">
      <c r="A62" s="118">
        <v>44</v>
      </c>
      <c r="B62" s="151">
        <v>5405</v>
      </c>
      <c r="C62" s="94" t="s">
        <v>335</v>
      </c>
      <c r="D62" s="85">
        <v>73809</v>
      </c>
      <c r="E62" s="108">
        <v>114534</v>
      </c>
      <c r="F62" s="85">
        <v>114534</v>
      </c>
      <c r="G62" s="428">
        <v>114534</v>
      </c>
      <c r="H62" s="85">
        <v>114534</v>
      </c>
      <c r="I62" s="428"/>
      <c r="J62" s="85"/>
      <c r="K62" s="85"/>
    </row>
    <row r="63" spans="1:11" s="285" customFormat="1" x14ac:dyDescent="0.25">
      <c r="A63" s="344"/>
      <c r="B63" s="151"/>
      <c r="C63" s="94"/>
      <c r="D63" s="429">
        <f>SUM(D61:D62)</f>
        <v>73809</v>
      </c>
      <c r="E63" s="89">
        <f>SUM(E61:E62)</f>
        <v>114534</v>
      </c>
      <c r="F63" s="429">
        <f>SUM(F61:F62)</f>
        <v>114534</v>
      </c>
      <c r="G63" s="429">
        <f>SUM(G61:G62)</f>
        <v>114534</v>
      </c>
      <c r="H63" s="429">
        <f>SUM(H61:H62)</f>
        <v>114534</v>
      </c>
      <c r="I63" s="429"/>
      <c r="J63" s="429"/>
      <c r="K63" s="429"/>
    </row>
    <row r="64" spans="1:11" s="285" customFormat="1" hidden="1" x14ac:dyDescent="0.25">
      <c r="A64" s="344"/>
      <c r="B64" s="151"/>
      <c r="C64" s="93" t="s">
        <v>61</v>
      </c>
      <c r="D64" s="85"/>
      <c r="E64" s="86"/>
      <c r="F64" s="86"/>
      <c r="G64" s="86"/>
      <c r="H64" s="86"/>
      <c r="I64" s="86"/>
      <c r="J64" s="86"/>
      <c r="K64" s="86"/>
    </row>
    <row r="65" spans="1:11" s="285" customFormat="1" hidden="1" x14ac:dyDescent="0.25">
      <c r="A65" s="118">
        <v>44</v>
      </c>
      <c r="B65" s="151">
        <v>5450</v>
      </c>
      <c r="C65" s="94" t="s">
        <v>351</v>
      </c>
      <c r="D65" s="85"/>
      <c r="E65" s="108"/>
      <c r="F65" s="85"/>
      <c r="G65" s="428"/>
      <c r="H65" s="85"/>
      <c r="I65" s="428"/>
      <c r="J65" s="85"/>
      <c r="K65" s="108"/>
    </row>
    <row r="66" spans="1:11" s="285" customFormat="1" hidden="1" x14ac:dyDescent="0.25">
      <c r="A66" s="344"/>
      <c r="B66" s="151"/>
      <c r="C66" s="94"/>
      <c r="D66" s="89"/>
      <c r="E66" s="89">
        <f>E65</f>
        <v>0</v>
      </c>
      <c r="F66" s="89">
        <v>0</v>
      </c>
      <c r="G66" s="429">
        <v>0</v>
      </c>
      <c r="H66" s="89"/>
      <c r="I66" s="429"/>
      <c r="J66" s="89"/>
      <c r="K66" s="89"/>
    </row>
    <row r="67" spans="1:11" s="285" customFormat="1" hidden="1" x14ac:dyDescent="0.25">
      <c r="A67" s="344"/>
      <c r="B67" s="151"/>
      <c r="C67" s="93" t="s">
        <v>96</v>
      </c>
      <c r="D67" s="85"/>
      <c r="E67" s="86"/>
      <c r="F67" s="86"/>
      <c r="G67" s="86"/>
      <c r="H67" s="86"/>
      <c r="I67" s="86"/>
      <c r="J67" s="86"/>
      <c r="K67" s="86"/>
    </row>
    <row r="68" spans="1:11" s="285" customFormat="1" hidden="1" x14ac:dyDescent="0.25">
      <c r="A68" s="118">
        <v>44</v>
      </c>
      <c r="B68" s="151">
        <v>5470</v>
      </c>
      <c r="C68" s="94" t="s">
        <v>97</v>
      </c>
      <c r="D68" s="85"/>
      <c r="E68" s="86"/>
      <c r="F68" s="85">
        <v>0</v>
      </c>
      <c r="G68" s="428">
        <v>0</v>
      </c>
      <c r="H68" s="85"/>
      <c r="I68" s="428"/>
      <c r="J68" s="85"/>
      <c r="K68" s="85"/>
    </row>
    <row r="69" spans="1:11" s="285" customFormat="1" hidden="1" x14ac:dyDescent="0.25">
      <c r="A69" s="118">
        <v>44</v>
      </c>
      <c r="B69" s="151">
        <v>5475</v>
      </c>
      <c r="C69" s="94" t="s">
        <v>134</v>
      </c>
      <c r="D69" s="85"/>
      <c r="E69" s="86"/>
      <c r="F69" s="85">
        <v>0</v>
      </c>
      <c r="G69" s="428">
        <v>0</v>
      </c>
      <c r="H69" s="85"/>
      <c r="I69" s="428"/>
      <c r="J69" s="85"/>
      <c r="K69" s="85"/>
    </row>
    <row r="70" spans="1:11" s="285" customFormat="1" hidden="1" x14ac:dyDescent="0.25">
      <c r="A70" s="344"/>
      <c r="B70" s="151"/>
      <c r="C70" s="94"/>
      <c r="D70" s="110"/>
      <c r="E70" s="110">
        <f>SUM(E68:E69)</f>
        <v>0</v>
      </c>
      <c r="F70" s="110">
        <v>0</v>
      </c>
      <c r="G70" s="439">
        <v>0</v>
      </c>
      <c r="H70" s="110"/>
      <c r="I70" s="439"/>
      <c r="J70" s="110"/>
      <c r="K70" s="110"/>
    </row>
    <row r="71" spans="1:11" s="285" customFormat="1" x14ac:dyDescent="0.25">
      <c r="A71" s="344"/>
      <c r="B71" s="151"/>
      <c r="C71" s="93" t="s">
        <v>62</v>
      </c>
      <c r="D71" s="88"/>
      <c r="E71" s="113"/>
      <c r="F71" s="113"/>
      <c r="G71" s="113"/>
      <c r="H71" s="113"/>
      <c r="I71" s="113"/>
      <c r="J71" s="113"/>
      <c r="K71" s="113"/>
    </row>
    <row r="72" spans="1:11" s="285" customFormat="1" x14ac:dyDescent="0.25">
      <c r="A72" s="118">
        <v>44</v>
      </c>
      <c r="B72" s="151">
        <v>5505</v>
      </c>
      <c r="C72" s="94" t="s">
        <v>259</v>
      </c>
      <c r="D72" s="85"/>
      <c r="E72" s="85"/>
      <c r="F72" s="85">
        <v>0</v>
      </c>
      <c r="G72" s="428">
        <v>0</v>
      </c>
      <c r="H72" s="85">
        <v>50000</v>
      </c>
      <c r="I72" s="428">
        <v>120000</v>
      </c>
      <c r="J72" s="85">
        <f>+I72*1.055</f>
        <v>126599.99999999999</v>
      </c>
      <c r="K72" s="85">
        <f>+J72*1.053</f>
        <v>133309.79999999999</v>
      </c>
    </row>
    <row r="73" spans="1:11" s="285" customFormat="1" x14ac:dyDescent="0.25">
      <c r="A73" s="118">
        <v>44</v>
      </c>
      <c r="B73" s="151">
        <v>5510</v>
      </c>
      <c r="C73" s="94" t="s">
        <v>63</v>
      </c>
      <c r="D73" s="85">
        <v>64350</v>
      </c>
      <c r="E73" s="85">
        <v>35173</v>
      </c>
      <c r="F73" s="85">
        <v>15173</v>
      </c>
      <c r="G73" s="428">
        <v>15173</v>
      </c>
      <c r="H73" s="85">
        <f t="shared" ref="H73:H83" si="9">(F73*0.1)+F73</f>
        <v>16690.3</v>
      </c>
      <c r="I73" s="428"/>
      <c r="J73" s="428">
        <f t="shared" ref="J73:J133" si="10">+I73*1.055</f>
        <v>0</v>
      </c>
      <c r="K73" s="428">
        <f t="shared" ref="K73:K133" si="11">+J73*1.053</f>
        <v>0</v>
      </c>
    </row>
    <row r="74" spans="1:11" s="285" customFormat="1" x14ac:dyDescent="0.25">
      <c r="A74" s="118">
        <v>44</v>
      </c>
      <c r="B74" s="151">
        <v>5520</v>
      </c>
      <c r="C74" s="94" t="s">
        <v>260</v>
      </c>
      <c r="D74" s="85">
        <v>8841</v>
      </c>
      <c r="E74" s="85">
        <v>250000</v>
      </c>
      <c r="F74" s="85">
        <v>250000</v>
      </c>
      <c r="G74" s="428">
        <v>250000</v>
      </c>
      <c r="H74" s="85">
        <f t="shared" si="9"/>
        <v>275000</v>
      </c>
      <c r="I74" s="428">
        <v>150000</v>
      </c>
      <c r="J74" s="428">
        <f t="shared" si="10"/>
        <v>158250</v>
      </c>
      <c r="K74" s="428">
        <f t="shared" si="11"/>
        <v>166637.25</v>
      </c>
    </row>
    <row r="75" spans="1:11" s="285" customFormat="1" hidden="1" x14ac:dyDescent="0.25">
      <c r="A75" s="118">
        <v>44</v>
      </c>
      <c r="B75" s="151">
        <v>5525</v>
      </c>
      <c r="C75" s="94" t="s">
        <v>261</v>
      </c>
      <c r="D75" s="85"/>
      <c r="E75" s="85"/>
      <c r="F75" s="85">
        <v>0</v>
      </c>
      <c r="G75" s="428">
        <v>0</v>
      </c>
      <c r="H75" s="85">
        <f t="shared" si="9"/>
        <v>0</v>
      </c>
      <c r="I75" s="428"/>
      <c r="J75" s="428">
        <f t="shared" si="10"/>
        <v>0</v>
      </c>
      <c r="K75" s="428">
        <f t="shared" si="11"/>
        <v>0</v>
      </c>
    </row>
    <row r="76" spans="1:11" s="285" customFormat="1" hidden="1" x14ac:dyDescent="0.25">
      <c r="A76" s="118">
        <v>44</v>
      </c>
      <c r="B76" s="151">
        <v>5530</v>
      </c>
      <c r="C76" s="94" t="s">
        <v>262</v>
      </c>
      <c r="D76" s="85"/>
      <c r="E76" s="85"/>
      <c r="F76" s="85">
        <v>0</v>
      </c>
      <c r="G76" s="428">
        <v>0</v>
      </c>
      <c r="H76" s="85">
        <f t="shared" si="9"/>
        <v>0</v>
      </c>
      <c r="I76" s="428"/>
      <c r="J76" s="428">
        <f t="shared" si="10"/>
        <v>0</v>
      </c>
      <c r="K76" s="428">
        <f t="shared" si="11"/>
        <v>0</v>
      </c>
    </row>
    <row r="77" spans="1:11" s="285" customFormat="1" hidden="1" x14ac:dyDescent="0.25">
      <c r="A77" s="118">
        <v>44</v>
      </c>
      <c r="B77" s="151">
        <v>5535</v>
      </c>
      <c r="C77" s="94" t="s">
        <v>263</v>
      </c>
      <c r="D77" s="85"/>
      <c r="E77" s="85"/>
      <c r="F77" s="85">
        <v>0</v>
      </c>
      <c r="G77" s="428">
        <v>0</v>
      </c>
      <c r="H77" s="85">
        <f t="shared" si="9"/>
        <v>0</v>
      </c>
      <c r="I77" s="428"/>
      <c r="J77" s="428">
        <f t="shared" si="10"/>
        <v>0</v>
      </c>
      <c r="K77" s="428">
        <f t="shared" si="11"/>
        <v>0</v>
      </c>
    </row>
    <row r="78" spans="1:11" s="285" customFormat="1" hidden="1" x14ac:dyDescent="0.25">
      <c r="A78" s="118">
        <v>44</v>
      </c>
      <c r="B78" s="151">
        <v>5540</v>
      </c>
      <c r="C78" s="94" t="s">
        <v>264</v>
      </c>
      <c r="D78" s="85"/>
      <c r="E78" s="85"/>
      <c r="F78" s="85">
        <v>0</v>
      </c>
      <c r="G78" s="428"/>
      <c r="H78" s="85">
        <f t="shared" si="9"/>
        <v>0</v>
      </c>
      <c r="I78" s="428"/>
      <c r="J78" s="428">
        <f t="shared" si="10"/>
        <v>0</v>
      </c>
      <c r="K78" s="428">
        <f t="shared" si="11"/>
        <v>0</v>
      </c>
    </row>
    <row r="79" spans="1:11" s="285" customFormat="1" ht="13.5" hidden="1" customHeight="1" x14ac:dyDescent="0.25">
      <c r="A79" s="118">
        <v>44</v>
      </c>
      <c r="B79" s="151">
        <v>5545</v>
      </c>
      <c r="C79" s="94" t="s">
        <v>265</v>
      </c>
      <c r="D79" s="85"/>
      <c r="E79" s="85"/>
      <c r="F79" s="85">
        <v>0</v>
      </c>
      <c r="G79" s="428"/>
      <c r="H79" s="85">
        <f t="shared" si="9"/>
        <v>0</v>
      </c>
      <c r="I79" s="428"/>
      <c r="J79" s="428">
        <f t="shared" si="10"/>
        <v>0</v>
      </c>
      <c r="K79" s="428">
        <f t="shared" si="11"/>
        <v>0</v>
      </c>
    </row>
    <row r="80" spans="1:11" s="285" customFormat="1" hidden="1" x14ac:dyDescent="0.25">
      <c r="A80" s="118">
        <v>44</v>
      </c>
      <c r="B80" s="151">
        <v>5550</v>
      </c>
      <c r="C80" s="94" t="s">
        <v>267</v>
      </c>
      <c r="D80" s="85"/>
      <c r="E80" s="85"/>
      <c r="F80" s="85">
        <v>0</v>
      </c>
      <c r="G80" s="428"/>
      <c r="H80" s="85">
        <f t="shared" si="9"/>
        <v>0</v>
      </c>
      <c r="I80" s="428"/>
      <c r="J80" s="428">
        <f t="shared" si="10"/>
        <v>0</v>
      </c>
      <c r="K80" s="428">
        <f t="shared" si="11"/>
        <v>0</v>
      </c>
    </row>
    <row r="81" spans="1:11" s="285" customFormat="1" x14ac:dyDescent="0.25">
      <c r="A81" s="118">
        <v>44</v>
      </c>
      <c r="B81" s="151">
        <v>5555</v>
      </c>
      <c r="C81" s="94" t="s">
        <v>268</v>
      </c>
      <c r="D81" s="85">
        <v>126444</v>
      </c>
      <c r="E81" s="85">
        <v>141188</v>
      </c>
      <c r="F81" s="85">
        <v>81188</v>
      </c>
      <c r="G81" s="428">
        <v>81188</v>
      </c>
      <c r="H81" s="85">
        <f t="shared" si="9"/>
        <v>89306.8</v>
      </c>
      <c r="I81" s="428">
        <v>125000</v>
      </c>
      <c r="J81" s="428">
        <f t="shared" si="10"/>
        <v>131875</v>
      </c>
      <c r="K81" s="428">
        <f t="shared" si="11"/>
        <v>138864.375</v>
      </c>
    </row>
    <row r="82" spans="1:11" s="285" customFormat="1" hidden="1" x14ac:dyDescent="0.25">
      <c r="A82" s="118">
        <v>44</v>
      </c>
      <c r="B82" s="151">
        <v>5560</v>
      </c>
      <c r="C82" s="94" t="s">
        <v>269</v>
      </c>
      <c r="D82" s="85"/>
      <c r="E82" s="85"/>
      <c r="F82" s="85">
        <v>0</v>
      </c>
      <c r="G82" s="428">
        <v>0</v>
      </c>
      <c r="H82" s="85">
        <f t="shared" si="9"/>
        <v>0</v>
      </c>
      <c r="I82" s="428"/>
      <c r="J82" s="428">
        <f t="shared" si="10"/>
        <v>0</v>
      </c>
      <c r="K82" s="428">
        <f t="shared" si="11"/>
        <v>0</v>
      </c>
    </row>
    <row r="83" spans="1:11" s="285" customFormat="1" hidden="1" x14ac:dyDescent="0.25">
      <c r="A83" s="118">
        <v>44</v>
      </c>
      <c r="B83" s="151">
        <v>5565</v>
      </c>
      <c r="C83" s="94" t="s">
        <v>246</v>
      </c>
      <c r="D83" s="85"/>
      <c r="E83" s="85"/>
      <c r="F83" s="85">
        <v>0</v>
      </c>
      <c r="G83" s="428">
        <v>0</v>
      </c>
      <c r="H83" s="85">
        <f t="shared" si="9"/>
        <v>0</v>
      </c>
      <c r="I83" s="428"/>
      <c r="J83" s="428">
        <f t="shared" si="10"/>
        <v>0</v>
      </c>
      <c r="K83" s="428">
        <f t="shared" si="11"/>
        <v>0</v>
      </c>
    </row>
    <row r="84" spans="1:11" s="285" customFormat="1" x14ac:dyDescent="0.25">
      <c r="A84" s="118">
        <v>44</v>
      </c>
      <c r="B84" s="151">
        <v>5570</v>
      </c>
      <c r="C84" s="94" t="s">
        <v>270</v>
      </c>
      <c r="D84" s="85">
        <v>3866</v>
      </c>
      <c r="E84" s="85">
        <v>4531.2249999999995</v>
      </c>
      <c r="F84" s="85">
        <v>4531.2249999999995</v>
      </c>
      <c r="G84" s="428">
        <v>4531.2249999999995</v>
      </c>
      <c r="H84" s="85">
        <v>0</v>
      </c>
      <c r="I84" s="428"/>
      <c r="J84" s="428">
        <f t="shared" si="10"/>
        <v>0</v>
      </c>
      <c r="K84" s="428">
        <f t="shared" si="11"/>
        <v>0</v>
      </c>
    </row>
    <row r="85" spans="1:11" s="285" customFormat="1" hidden="1" x14ac:dyDescent="0.25">
      <c r="A85" s="118">
        <v>44</v>
      </c>
      <c r="B85" s="151">
        <v>5575</v>
      </c>
      <c r="C85" s="94" t="s">
        <v>271</v>
      </c>
      <c r="D85" s="85"/>
      <c r="E85" s="85">
        <v>0</v>
      </c>
      <c r="F85" s="85">
        <v>0</v>
      </c>
      <c r="G85" s="428">
        <v>0</v>
      </c>
      <c r="H85" s="85">
        <f t="shared" ref="H85:H116" si="12">(F85*0.1)+F85</f>
        <v>0</v>
      </c>
      <c r="I85" s="428"/>
      <c r="J85" s="428">
        <f t="shared" si="10"/>
        <v>0</v>
      </c>
      <c r="K85" s="428">
        <f t="shared" si="11"/>
        <v>0</v>
      </c>
    </row>
    <row r="86" spans="1:11" s="285" customFormat="1" hidden="1" x14ac:dyDescent="0.25">
      <c r="A86" s="118">
        <v>44</v>
      </c>
      <c r="B86" s="151">
        <v>5580</v>
      </c>
      <c r="C86" s="94" t="s">
        <v>272</v>
      </c>
      <c r="D86" s="85"/>
      <c r="E86" s="85">
        <v>0</v>
      </c>
      <c r="F86" s="85">
        <v>0</v>
      </c>
      <c r="G86" s="428">
        <v>0</v>
      </c>
      <c r="H86" s="85">
        <f t="shared" si="12"/>
        <v>0</v>
      </c>
      <c r="I86" s="428"/>
      <c r="J86" s="428">
        <f t="shared" si="10"/>
        <v>0</v>
      </c>
      <c r="K86" s="428">
        <f t="shared" si="11"/>
        <v>0</v>
      </c>
    </row>
    <row r="87" spans="1:11" s="285" customFormat="1" hidden="1" x14ac:dyDescent="0.25">
      <c r="A87" s="118">
        <v>44</v>
      </c>
      <c r="B87" s="151">
        <v>5585</v>
      </c>
      <c r="C87" s="94" t="s">
        <v>273</v>
      </c>
      <c r="D87" s="86"/>
      <c r="E87" s="85">
        <v>0</v>
      </c>
      <c r="F87" s="85">
        <v>0</v>
      </c>
      <c r="G87" s="428">
        <v>0</v>
      </c>
      <c r="H87" s="85">
        <f t="shared" si="12"/>
        <v>0</v>
      </c>
      <c r="I87" s="428"/>
      <c r="J87" s="428">
        <f t="shared" si="10"/>
        <v>0</v>
      </c>
      <c r="K87" s="428">
        <f t="shared" si="11"/>
        <v>0</v>
      </c>
    </row>
    <row r="88" spans="1:11" s="285" customFormat="1" hidden="1" x14ac:dyDescent="0.25">
      <c r="A88" s="118">
        <v>44</v>
      </c>
      <c r="B88" s="151">
        <v>5590</v>
      </c>
      <c r="C88" s="94" t="s">
        <v>274</v>
      </c>
      <c r="D88" s="86"/>
      <c r="E88" s="85">
        <v>0</v>
      </c>
      <c r="F88" s="85">
        <v>0</v>
      </c>
      <c r="G88" s="428">
        <v>0</v>
      </c>
      <c r="H88" s="85">
        <f t="shared" si="12"/>
        <v>0</v>
      </c>
      <c r="I88" s="428"/>
      <c r="J88" s="428">
        <f t="shared" si="10"/>
        <v>0</v>
      </c>
      <c r="K88" s="428">
        <f t="shared" si="11"/>
        <v>0</v>
      </c>
    </row>
    <row r="89" spans="1:11" s="285" customFormat="1" hidden="1" x14ac:dyDescent="0.25">
      <c r="A89" s="118">
        <v>44</v>
      </c>
      <c r="B89" s="151">
        <v>5595</v>
      </c>
      <c r="C89" s="94" t="s">
        <v>275</v>
      </c>
      <c r="D89" s="85"/>
      <c r="E89" s="85">
        <v>0</v>
      </c>
      <c r="F89" s="85">
        <v>0</v>
      </c>
      <c r="G89" s="428">
        <v>0</v>
      </c>
      <c r="H89" s="85">
        <f t="shared" si="12"/>
        <v>0</v>
      </c>
      <c r="I89" s="428"/>
      <c r="J89" s="428">
        <f t="shared" si="10"/>
        <v>0</v>
      </c>
      <c r="K89" s="428">
        <f t="shared" si="11"/>
        <v>0</v>
      </c>
    </row>
    <row r="90" spans="1:11" s="285" customFormat="1" hidden="1" x14ac:dyDescent="0.25">
      <c r="A90" s="118">
        <v>44</v>
      </c>
      <c r="B90" s="151">
        <v>5600</v>
      </c>
      <c r="C90" s="159" t="s">
        <v>276</v>
      </c>
      <c r="D90" s="85"/>
      <c r="E90" s="85">
        <v>0</v>
      </c>
      <c r="F90" s="85">
        <v>0</v>
      </c>
      <c r="G90" s="428">
        <v>0</v>
      </c>
      <c r="H90" s="85">
        <f t="shared" si="12"/>
        <v>0</v>
      </c>
      <c r="I90" s="428"/>
      <c r="J90" s="428">
        <f t="shared" si="10"/>
        <v>0</v>
      </c>
      <c r="K90" s="428">
        <f t="shared" si="11"/>
        <v>0</v>
      </c>
    </row>
    <row r="91" spans="1:11" s="285" customFormat="1" hidden="1" x14ac:dyDescent="0.25">
      <c r="A91" s="118">
        <v>44</v>
      </c>
      <c r="B91" s="151">
        <v>5605</v>
      </c>
      <c r="C91" s="159" t="s">
        <v>277</v>
      </c>
      <c r="D91" s="85"/>
      <c r="E91" s="85">
        <v>0</v>
      </c>
      <c r="F91" s="85">
        <v>0</v>
      </c>
      <c r="G91" s="428">
        <v>0</v>
      </c>
      <c r="H91" s="85">
        <f t="shared" si="12"/>
        <v>0</v>
      </c>
      <c r="I91" s="428"/>
      <c r="J91" s="428">
        <f t="shared" si="10"/>
        <v>0</v>
      </c>
      <c r="K91" s="428">
        <f t="shared" si="11"/>
        <v>0</v>
      </c>
    </row>
    <row r="92" spans="1:11" s="285" customFormat="1" hidden="1" x14ac:dyDescent="0.25">
      <c r="A92" s="118">
        <v>44</v>
      </c>
      <c r="B92" s="151">
        <v>5610</v>
      </c>
      <c r="C92" s="159" t="s">
        <v>278</v>
      </c>
      <c r="D92" s="85"/>
      <c r="E92" s="85">
        <v>0</v>
      </c>
      <c r="F92" s="85">
        <v>0</v>
      </c>
      <c r="G92" s="428">
        <v>0</v>
      </c>
      <c r="H92" s="85">
        <f t="shared" si="12"/>
        <v>0</v>
      </c>
      <c r="I92" s="428"/>
      <c r="J92" s="428">
        <f t="shared" si="10"/>
        <v>0</v>
      </c>
      <c r="K92" s="428">
        <f t="shared" si="11"/>
        <v>0</v>
      </c>
    </row>
    <row r="93" spans="1:11" s="285" customFormat="1" hidden="1" x14ac:dyDescent="0.25">
      <c r="A93" s="118">
        <v>44</v>
      </c>
      <c r="B93" s="151">
        <v>5615</v>
      </c>
      <c r="C93" s="159" t="s">
        <v>279</v>
      </c>
      <c r="D93" s="85"/>
      <c r="E93" s="85">
        <v>0</v>
      </c>
      <c r="F93" s="85">
        <v>0</v>
      </c>
      <c r="G93" s="428">
        <v>0</v>
      </c>
      <c r="H93" s="85">
        <f t="shared" si="12"/>
        <v>0</v>
      </c>
      <c r="I93" s="428"/>
      <c r="J93" s="428">
        <f t="shared" si="10"/>
        <v>0</v>
      </c>
      <c r="K93" s="428">
        <f t="shared" si="11"/>
        <v>0</v>
      </c>
    </row>
    <row r="94" spans="1:11" s="285" customFormat="1" hidden="1" x14ac:dyDescent="0.25">
      <c r="A94" s="118">
        <v>44</v>
      </c>
      <c r="B94" s="151">
        <v>5620</v>
      </c>
      <c r="C94" s="159" t="s">
        <v>280</v>
      </c>
      <c r="D94" s="85"/>
      <c r="E94" s="85">
        <v>0</v>
      </c>
      <c r="F94" s="85">
        <v>0</v>
      </c>
      <c r="G94" s="428">
        <v>0</v>
      </c>
      <c r="H94" s="85">
        <f t="shared" si="12"/>
        <v>0</v>
      </c>
      <c r="I94" s="428"/>
      <c r="J94" s="428">
        <f t="shared" si="10"/>
        <v>0</v>
      </c>
      <c r="K94" s="428">
        <f t="shared" si="11"/>
        <v>0</v>
      </c>
    </row>
    <row r="95" spans="1:11" s="285" customFormat="1" hidden="1" x14ac:dyDescent="0.25">
      <c r="A95" s="118">
        <v>44</v>
      </c>
      <c r="B95" s="151">
        <v>5625</v>
      </c>
      <c r="C95" s="159" t="s">
        <v>281</v>
      </c>
      <c r="D95" s="85"/>
      <c r="E95" s="85">
        <v>0</v>
      </c>
      <c r="F95" s="85">
        <v>0</v>
      </c>
      <c r="G95" s="428">
        <v>0</v>
      </c>
      <c r="H95" s="85">
        <f t="shared" si="12"/>
        <v>0</v>
      </c>
      <c r="I95" s="428"/>
      <c r="J95" s="428">
        <f t="shared" si="10"/>
        <v>0</v>
      </c>
      <c r="K95" s="428">
        <f t="shared" si="11"/>
        <v>0</v>
      </c>
    </row>
    <row r="96" spans="1:11" s="285" customFormat="1" hidden="1" x14ac:dyDescent="0.25">
      <c r="A96" s="118">
        <v>44</v>
      </c>
      <c r="B96" s="151">
        <v>5630</v>
      </c>
      <c r="C96" s="159" t="s">
        <v>282</v>
      </c>
      <c r="D96" s="85"/>
      <c r="E96" s="85">
        <v>0</v>
      </c>
      <c r="F96" s="85">
        <v>0</v>
      </c>
      <c r="G96" s="428">
        <v>0</v>
      </c>
      <c r="H96" s="85">
        <f t="shared" si="12"/>
        <v>0</v>
      </c>
      <c r="I96" s="428"/>
      <c r="J96" s="428">
        <f t="shared" si="10"/>
        <v>0</v>
      </c>
      <c r="K96" s="428">
        <f t="shared" si="11"/>
        <v>0</v>
      </c>
    </row>
    <row r="97" spans="1:11" s="285" customFormat="1" hidden="1" x14ac:dyDescent="0.25">
      <c r="A97" s="118">
        <v>44</v>
      </c>
      <c r="B97" s="151">
        <v>5635</v>
      </c>
      <c r="C97" s="159" t="s">
        <v>283</v>
      </c>
      <c r="D97" s="85"/>
      <c r="E97" s="85">
        <v>0</v>
      </c>
      <c r="F97" s="85">
        <v>0</v>
      </c>
      <c r="G97" s="428">
        <v>0</v>
      </c>
      <c r="H97" s="85">
        <f t="shared" si="12"/>
        <v>0</v>
      </c>
      <c r="I97" s="428"/>
      <c r="J97" s="428">
        <f t="shared" si="10"/>
        <v>0</v>
      </c>
      <c r="K97" s="428">
        <f t="shared" si="11"/>
        <v>0</v>
      </c>
    </row>
    <row r="98" spans="1:11" s="285" customFormat="1" hidden="1" x14ac:dyDescent="0.25">
      <c r="A98" s="118">
        <v>44</v>
      </c>
      <c r="B98" s="151">
        <v>5640</v>
      </c>
      <c r="C98" s="159" t="s">
        <v>284</v>
      </c>
      <c r="D98" s="85"/>
      <c r="E98" s="85">
        <v>0</v>
      </c>
      <c r="F98" s="85">
        <v>0</v>
      </c>
      <c r="G98" s="428">
        <v>0</v>
      </c>
      <c r="H98" s="85">
        <f t="shared" si="12"/>
        <v>0</v>
      </c>
      <c r="I98" s="428"/>
      <c r="J98" s="428">
        <f t="shared" si="10"/>
        <v>0</v>
      </c>
      <c r="K98" s="428">
        <f t="shared" si="11"/>
        <v>0</v>
      </c>
    </row>
    <row r="99" spans="1:11" s="285" customFormat="1" hidden="1" x14ac:dyDescent="0.25">
      <c r="A99" s="118">
        <v>44</v>
      </c>
      <c r="B99" s="151">
        <v>5645</v>
      </c>
      <c r="C99" s="159" t="s">
        <v>285</v>
      </c>
      <c r="D99" s="85"/>
      <c r="E99" s="85">
        <v>0</v>
      </c>
      <c r="F99" s="85">
        <v>0</v>
      </c>
      <c r="G99" s="428">
        <v>0</v>
      </c>
      <c r="H99" s="85">
        <f t="shared" si="12"/>
        <v>0</v>
      </c>
      <c r="I99" s="428"/>
      <c r="J99" s="428">
        <f t="shared" si="10"/>
        <v>0</v>
      </c>
      <c r="K99" s="428">
        <f t="shared" si="11"/>
        <v>0</v>
      </c>
    </row>
    <row r="100" spans="1:11" s="285" customFormat="1" hidden="1" x14ac:dyDescent="0.25">
      <c r="A100" s="118">
        <v>44</v>
      </c>
      <c r="B100" s="151">
        <v>5650</v>
      </c>
      <c r="C100" s="159" t="s">
        <v>286</v>
      </c>
      <c r="D100" s="85"/>
      <c r="E100" s="85">
        <v>0</v>
      </c>
      <c r="F100" s="85">
        <v>0</v>
      </c>
      <c r="G100" s="428">
        <v>0</v>
      </c>
      <c r="H100" s="85">
        <f t="shared" si="12"/>
        <v>0</v>
      </c>
      <c r="I100" s="428"/>
      <c r="J100" s="428">
        <f t="shared" si="10"/>
        <v>0</v>
      </c>
      <c r="K100" s="428">
        <f t="shared" si="11"/>
        <v>0</v>
      </c>
    </row>
    <row r="101" spans="1:11" s="285" customFormat="1" hidden="1" x14ac:dyDescent="0.25">
      <c r="A101" s="118">
        <v>44</v>
      </c>
      <c r="B101" s="151">
        <v>5655</v>
      </c>
      <c r="C101" s="159" t="s">
        <v>287</v>
      </c>
      <c r="D101" s="85"/>
      <c r="E101" s="85">
        <v>0</v>
      </c>
      <c r="F101" s="85">
        <v>0</v>
      </c>
      <c r="G101" s="428">
        <v>0</v>
      </c>
      <c r="H101" s="85">
        <f t="shared" si="12"/>
        <v>0</v>
      </c>
      <c r="I101" s="428"/>
      <c r="J101" s="428">
        <f t="shared" si="10"/>
        <v>0</v>
      </c>
      <c r="K101" s="428">
        <f t="shared" si="11"/>
        <v>0</v>
      </c>
    </row>
    <row r="102" spans="1:11" s="285" customFormat="1" hidden="1" x14ac:dyDescent="0.25">
      <c r="A102" s="118">
        <v>44</v>
      </c>
      <c r="B102" s="151">
        <v>5660</v>
      </c>
      <c r="C102" s="159" t="s">
        <v>288</v>
      </c>
      <c r="D102" s="85"/>
      <c r="E102" s="85">
        <v>0</v>
      </c>
      <c r="F102" s="85">
        <v>0</v>
      </c>
      <c r="G102" s="428">
        <v>0</v>
      </c>
      <c r="H102" s="85">
        <f t="shared" si="12"/>
        <v>0</v>
      </c>
      <c r="I102" s="428"/>
      <c r="J102" s="428">
        <f t="shared" si="10"/>
        <v>0</v>
      </c>
      <c r="K102" s="428">
        <f t="shared" si="11"/>
        <v>0</v>
      </c>
    </row>
    <row r="103" spans="1:11" s="285" customFormat="1" hidden="1" x14ac:dyDescent="0.25">
      <c r="A103" s="118">
        <v>44</v>
      </c>
      <c r="B103" s="151">
        <v>5665</v>
      </c>
      <c r="C103" s="94" t="s">
        <v>289</v>
      </c>
      <c r="D103" s="85"/>
      <c r="E103" s="85">
        <v>0</v>
      </c>
      <c r="F103" s="85">
        <v>0</v>
      </c>
      <c r="G103" s="428">
        <v>0</v>
      </c>
      <c r="H103" s="85">
        <f t="shared" si="12"/>
        <v>0</v>
      </c>
      <c r="I103" s="428"/>
      <c r="J103" s="428">
        <f t="shared" si="10"/>
        <v>0</v>
      </c>
      <c r="K103" s="428">
        <f t="shared" si="11"/>
        <v>0</v>
      </c>
    </row>
    <row r="104" spans="1:11" s="285" customFormat="1" hidden="1" x14ac:dyDescent="0.25">
      <c r="A104" s="118">
        <v>44</v>
      </c>
      <c r="B104" s="151">
        <v>5670</v>
      </c>
      <c r="C104" s="94" t="s">
        <v>290</v>
      </c>
      <c r="D104" s="85"/>
      <c r="E104" s="85">
        <v>0</v>
      </c>
      <c r="F104" s="85">
        <v>0</v>
      </c>
      <c r="G104" s="428">
        <v>0</v>
      </c>
      <c r="H104" s="85">
        <f t="shared" si="12"/>
        <v>0</v>
      </c>
      <c r="I104" s="428"/>
      <c r="J104" s="428">
        <f t="shared" si="10"/>
        <v>0</v>
      </c>
      <c r="K104" s="428">
        <f t="shared" si="11"/>
        <v>0</v>
      </c>
    </row>
    <row r="105" spans="1:11" s="285" customFormat="1" hidden="1" x14ac:dyDescent="0.25">
      <c r="A105" s="118">
        <v>44</v>
      </c>
      <c r="B105" s="151">
        <v>5675</v>
      </c>
      <c r="C105" s="94" t="s">
        <v>291</v>
      </c>
      <c r="D105" s="85"/>
      <c r="E105" s="85">
        <v>0</v>
      </c>
      <c r="F105" s="85">
        <v>0</v>
      </c>
      <c r="G105" s="428">
        <v>0</v>
      </c>
      <c r="H105" s="85">
        <f t="shared" si="12"/>
        <v>0</v>
      </c>
      <c r="I105" s="428"/>
      <c r="J105" s="428">
        <f t="shared" si="10"/>
        <v>0</v>
      </c>
      <c r="K105" s="428">
        <f t="shared" si="11"/>
        <v>0</v>
      </c>
    </row>
    <row r="106" spans="1:11" s="285" customFormat="1" hidden="1" x14ac:dyDescent="0.25">
      <c r="A106" s="118">
        <v>44</v>
      </c>
      <c r="B106" s="151">
        <v>5680</v>
      </c>
      <c r="C106" s="94" t="s">
        <v>292</v>
      </c>
      <c r="D106" s="85"/>
      <c r="E106" s="85">
        <v>0</v>
      </c>
      <c r="F106" s="85">
        <v>0</v>
      </c>
      <c r="G106" s="428">
        <v>0</v>
      </c>
      <c r="H106" s="85">
        <f t="shared" si="12"/>
        <v>0</v>
      </c>
      <c r="I106" s="428"/>
      <c r="J106" s="428">
        <f t="shared" si="10"/>
        <v>0</v>
      </c>
      <c r="K106" s="428">
        <f t="shared" si="11"/>
        <v>0</v>
      </c>
    </row>
    <row r="107" spans="1:11" s="285" customFormat="1" hidden="1" x14ac:dyDescent="0.25">
      <c r="A107" s="118">
        <v>44</v>
      </c>
      <c r="B107" s="151">
        <v>5685</v>
      </c>
      <c r="C107" s="94" t="s">
        <v>293</v>
      </c>
      <c r="D107" s="85"/>
      <c r="E107" s="85">
        <v>0</v>
      </c>
      <c r="F107" s="85">
        <v>0</v>
      </c>
      <c r="G107" s="428">
        <v>0</v>
      </c>
      <c r="H107" s="85">
        <f t="shared" si="12"/>
        <v>0</v>
      </c>
      <c r="I107" s="428"/>
      <c r="J107" s="428">
        <f t="shared" si="10"/>
        <v>0</v>
      </c>
      <c r="K107" s="428">
        <f t="shared" si="11"/>
        <v>0</v>
      </c>
    </row>
    <row r="108" spans="1:11" s="285" customFormat="1" hidden="1" x14ac:dyDescent="0.25">
      <c r="A108" s="118">
        <v>44</v>
      </c>
      <c r="B108" s="151">
        <v>5690</v>
      </c>
      <c r="C108" s="94" t="s">
        <v>247</v>
      </c>
      <c r="D108" s="85"/>
      <c r="E108" s="85">
        <v>0</v>
      </c>
      <c r="F108" s="85">
        <v>0</v>
      </c>
      <c r="G108" s="428">
        <v>0</v>
      </c>
      <c r="H108" s="85">
        <f t="shared" si="12"/>
        <v>0</v>
      </c>
      <c r="I108" s="428"/>
      <c r="J108" s="428">
        <f t="shared" si="10"/>
        <v>0</v>
      </c>
      <c r="K108" s="428">
        <f t="shared" si="11"/>
        <v>0</v>
      </c>
    </row>
    <row r="109" spans="1:11" s="285" customFormat="1" hidden="1" x14ac:dyDescent="0.25">
      <c r="A109" s="118">
        <v>44</v>
      </c>
      <c r="B109" s="151">
        <v>5695</v>
      </c>
      <c r="C109" s="94" t="s">
        <v>294</v>
      </c>
      <c r="D109" s="85"/>
      <c r="E109" s="85">
        <v>0</v>
      </c>
      <c r="F109" s="85">
        <v>0</v>
      </c>
      <c r="G109" s="428">
        <v>0</v>
      </c>
      <c r="H109" s="85">
        <f t="shared" si="12"/>
        <v>0</v>
      </c>
      <c r="I109" s="428"/>
      <c r="J109" s="428">
        <f t="shared" si="10"/>
        <v>0</v>
      </c>
      <c r="K109" s="428">
        <f t="shared" si="11"/>
        <v>0</v>
      </c>
    </row>
    <row r="110" spans="1:11" s="285" customFormat="1" hidden="1" x14ac:dyDescent="0.25">
      <c r="A110" s="118">
        <v>44</v>
      </c>
      <c r="B110" s="151">
        <v>5700</v>
      </c>
      <c r="C110" s="94" t="s">
        <v>295</v>
      </c>
      <c r="D110" s="85"/>
      <c r="E110" s="85">
        <v>0</v>
      </c>
      <c r="F110" s="85">
        <v>0</v>
      </c>
      <c r="G110" s="428">
        <v>0</v>
      </c>
      <c r="H110" s="85">
        <f t="shared" si="12"/>
        <v>0</v>
      </c>
      <c r="I110" s="428"/>
      <c r="J110" s="428">
        <f t="shared" si="10"/>
        <v>0</v>
      </c>
      <c r="K110" s="428">
        <f t="shared" si="11"/>
        <v>0</v>
      </c>
    </row>
    <row r="111" spans="1:11" s="285" customFormat="1" hidden="1" x14ac:dyDescent="0.25">
      <c r="A111" s="118">
        <v>44</v>
      </c>
      <c r="B111" s="151">
        <v>5710</v>
      </c>
      <c r="C111" s="94" t="s">
        <v>297</v>
      </c>
      <c r="D111" s="85"/>
      <c r="E111" s="85">
        <v>0</v>
      </c>
      <c r="F111" s="85">
        <v>0</v>
      </c>
      <c r="G111" s="428">
        <v>0</v>
      </c>
      <c r="H111" s="85">
        <f t="shared" si="12"/>
        <v>0</v>
      </c>
      <c r="I111" s="428"/>
      <c r="J111" s="428">
        <f t="shared" si="10"/>
        <v>0</v>
      </c>
      <c r="K111" s="428">
        <f t="shared" si="11"/>
        <v>0</v>
      </c>
    </row>
    <row r="112" spans="1:11" s="285" customFormat="1" hidden="1" x14ac:dyDescent="0.25">
      <c r="A112" s="118">
        <v>44</v>
      </c>
      <c r="B112" s="151">
        <v>5715</v>
      </c>
      <c r="C112" s="94" t="s">
        <v>298</v>
      </c>
      <c r="D112" s="85"/>
      <c r="E112" s="85">
        <v>0</v>
      </c>
      <c r="F112" s="85">
        <v>0</v>
      </c>
      <c r="G112" s="428">
        <v>0</v>
      </c>
      <c r="H112" s="85">
        <f t="shared" si="12"/>
        <v>0</v>
      </c>
      <c r="I112" s="428"/>
      <c r="J112" s="428">
        <f t="shared" si="10"/>
        <v>0</v>
      </c>
      <c r="K112" s="428">
        <f t="shared" si="11"/>
        <v>0</v>
      </c>
    </row>
    <row r="113" spans="1:11" s="285" customFormat="1" hidden="1" x14ac:dyDescent="0.25">
      <c r="A113" s="118">
        <v>44</v>
      </c>
      <c r="B113" s="151">
        <v>5720</v>
      </c>
      <c r="C113" s="94" t="s">
        <v>299</v>
      </c>
      <c r="D113" s="85"/>
      <c r="E113" s="85">
        <v>0</v>
      </c>
      <c r="F113" s="85">
        <v>0</v>
      </c>
      <c r="G113" s="428">
        <v>0</v>
      </c>
      <c r="H113" s="85">
        <f t="shared" si="12"/>
        <v>0</v>
      </c>
      <c r="I113" s="428"/>
      <c r="J113" s="428">
        <f t="shared" si="10"/>
        <v>0</v>
      </c>
      <c r="K113" s="428">
        <f t="shared" si="11"/>
        <v>0</v>
      </c>
    </row>
    <row r="114" spans="1:11" s="285" customFormat="1" hidden="1" x14ac:dyDescent="0.25">
      <c r="A114" s="118">
        <v>44</v>
      </c>
      <c r="B114" s="151">
        <v>5730</v>
      </c>
      <c r="C114" s="94" t="s">
        <v>300</v>
      </c>
      <c r="D114" s="85"/>
      <c r="E114" s="85">
        <v>0</v>
      </c>
      <c r="F114" s="85">
        <v>0</v>
      </c>
      <c r="G114" s="428">
        <v>0</v>
      </c>
      <c r="H114" s="85">
        <f t="shared" si="12"/>
        <v>0</v>
      </c>
      <c r="I114" s="428"/>
      <c r="J114" s="428">
        <f t="shared" si="10"/>
        <v>0</v>
      </c>
      <c r="K114" s="428">
        <f t="shared" si="11"/>
        <v>0</v>
      </c>
    </row>
    <row r="115" spans="1:11" s="285" customFormat="1" hidden="1" x14ac:dyDescent="0.25">
      <c r="A115" s="118">
        <v>44</v>
      </c>
      <c r="B115" s="151">
        <v>5735</v>
      </c>
      <c r="C115" s="94" t="s">
        <v>301</v>
      </c>
      <c r="D115" s="85"/>
      <c r="E115" s="85">
        <v>0</v>
      </c>
      <c r="F115" s="85">
        <v>0</v>
      </c>
      <c r="G115" s="428">
        <v>0</v>
      </c>
      <c r="H115" s="85">
        <f t="shared" si="12"/>
        <v>0</v>
      </c>
      <c r="I115" s="428"/>
      <c r="J115" s="428">
        <f t="shared" si="10"/>
        <v>0</v>
      </c>
      <c r="K115" s="428">
        <f t="shared" si="11"/>
        <v>0</v>
      </c>
    </row>
    <row r="116" spans="1:11" s="285" customFormat="1" hidden="1" x14ac:dyDescent="0.25">
      <c r="A116" s="118">
        <v>44</v>
      </c>
      <c r="B116" s="151">
        <v>5740</v>
      </c>
      <c r="C116" s="94" t="s">
        <v>302</v>
      </c>
      <c r="D116" s="85"/>
      <c r="E116" s="85">
        <v>0</v>
      </c>
      <c r="F116" s="85">
        <v>0</v>
      </c>
      <c r="G116" s="428">
        <v>0</v>
      </c>
      <c r="H116" s="85">
        <f t="shared" si="12"/>
        <v>0</v>
      </c>
      <c r="I116" s="428"/>
      <c r="J116" s="428">
        <f t="shared" si="10"/>
        <v>0</v>
      </c>
      <c r="K116" s="428">
        <f t="shared" si="11"/>
        <v>0</v>
      </c>
    </row>
    <row r="117" spans="1:11" s="285" customFormat="1" hidden="1" x14ac:dyDescent="0.25">
      <c r="A117" s="118">
        <v>44</v>
      </c>
      <c r="B117" s="151">
        <v>5745</v>
      </c>
      <c r="C117" s="94" t="s">
        <v>303</v>
      </c>
      <c r="D117" s="85"/>
      <c r="E117" s="85">
        <v>0</v>
      </c>
      <c r="F117" s="85">
        <v>0</v>
      </c>
      <c r="G117" s="428">
        <v>0</v>
      </c>
      <c r="H117" s="85">
        <f t="shared" ref="H117:H147" si="13">(F117*0.1)+F117</f>
        <v>0</v>
      </c>
      <c r="I117" s="428"/>
      <c r="J117" s="428">
        <f t="shared" si="10"/>
        <v>0</v>
      </c>
      <c r="K117" s="428">
        <f t="shared" si="11"/>
        <v>0</v>
      </c>
    </row>
    <row r="118" spans="1:11" s="285" customFormat="1" x14ac:dyDescent="0.25">
      <c r="A118" s="118">
        <v>44</v>
      </c>
      <c r="B118" s="151">
        <v>5750</v>
      </c>
      <c r="C118" s="94" t="s">
        <v>304</v>
      </c>
      <c r="D118" s="85">
        <v>1766</v>
      </c>
      <c r="E118" s="85">
        <v>4500</v>
      </c>
      <c r="F118" s="85">
        <v>4500</v>
      </c>
      <c r="G118" s="428">
        <v>4500</v>
      </c>
      <c r="H118" s="85">
        <f t="shared" si="13"/>
        <v>4950</v>
      </c>
      <c r="I118" s="428">
        <v>5000</v>
      </c>
      <c r="J118" s="428">
        <f t="shared" si="10"/>
        <v>5275</v>
      </c>
      <c r="K118" s="428">
        <f t="shared" si="11"/>
        <v>5554.5749999999998</v>
      </c>
    </row>
    <row r="119" spans="1:11" s="285" customFormat="1" x14ac:dyDescent="0.25">
      <c r="A119" s="118">
        <v>44</v>
      </c>
      <c r="B119" s="151">
        <v>5755</v>
      </c>
      <c r="C119" s="94" t="s">
        <v>305</v>
      </c>
      <c r="D119" s="85">
        <v>26093</v>
      </c>
      <c r="E119" s="85">
        <v>49500</v>
      </c>
      <c r="F119" s="85">
        <v>49500</v>
      </c>
      <c r="G119" s="428">
        <v>49500</v>
      </c>
      <c r="H119" s="85">
        <f t="shared" si="13"/>
        <v>54450</v>
      </c>
      <c r="I119" s="428">
        <v>30000</v>
      </c>
      <c r="J119" s="428">
        <f t="shared" si="10"/>
        <v>31649.999999999996</v>
      </c>
      <c r="K119" s="428">
        <f t="shared" si="11"/>
        <v>33327.449999999997</v>
      </c>
    </row>
    <row r="120" spans="1:11" s="285" customFormat="1" ht="12" hidden="1" customHeight="1" x14ac:dyDescent="0.25">
      <c r="A120" s="118">
        <v>44</v>
      </c>
      <c r="B120" s="151">
        <v>5760</v>
      </c>
      <c r="C120" s="94" t="s">
        <v>306</v>
      </c>
      <c r="D120" s="85"/>
      <c r="E120" s="85">
        <v>0</v>
      </c>
      <c r="F120" s="85">
        <v>0</v>
      </c>
      <c r="G120" s="428">
        <v>0</v>
      </c>
      <c r="H120" s="85">
        <f t="shared" si="13"/>
        <v>0</v>
      </c>
      <c r="I120" s="428"/>
      <c r="J120" s="428">
        <f t="shared" si="10"/>
        <v>0</v>
      </c>
      <c r="K120" s="428">
        <f t="shared" si="11"/>
        <v>0</v>
      </c>
    </row>
    <row r="121" spans="1:11" s="285" customFormat="1" hidden="1" x14ac:dyDescent="0.25">
      <c r="A121" s="118">
        <v>44</v>
      </c>
      <c r="B121" s="151">
        <v>5765</v>
      </c>
      <c r="C121" s="94" t="s">
        <v>307</v>
      </c>
      <c r="D121" s="85"/>
      <c r="E121" s="85">
        <v>0</v>
      </c>
      <c r="F121" s="85">
        <v>0</v>
      </c>
      <c r="G121" s="428">
        <v>0</v>
      </c>
      <c r="H121" s="85">
        <f t="shared" si="13"/>
        <v>0</v>
      </c>
      <c r="I121" s="428"/>
      <c r="J121" s="428">
        <f t="shared" si="10"/>
        <v>0</v>
      </c>
      <c r="K121" s="428">
        <f t="shared" si="11"/>
        <v>0</v>
      </c>
    </row>
    <row r="122" spans="1:11" s="285" customFormat="1" hidden="1" x14ac:dyDescent="0.25">
      <c r="A122" s="118">
        <v>44</v>
      </c>
      <c r="B122" s="151">
        <v>5770</v>
      </c>
      <c r="C122" s="94" t="s">
        <v>308</v>
      </c>
      <c r="D122" s="85"/>
      <c r="E122" s="85">
        <v>0</v>
      </c>
      <c r="F122" s="85">
        <v>0</v>
      </c>
      <c r="G122" s="428">
        <v>0</v>
      </c>
      <c r="H122" s="85">
        <f t="shared" si="13"/>
        <v>0</v>
      </c>
      <c r="I122" s="428"/>
      <c r="J122" s="428">
        <f t="shared" si="10"/>
        <v>0</v>
      </c>
      <c r="K122" s="428">
        <f t="shared" si="11"/>
        <v>0</v>
      </c>
    </row>
    <row r="123" spans="1:11" s="285" customFormat="1" hidden="1" x14ac:dyDescent="0.25">
      <c r="A123" s="118">
        <v>44</v>
      </c>
      <c r="B123" s="151">
        <v>5775</v>
      </c>
      <c r="C123" s="94" t="s">
        <v>309</v>
      </c>
      <c r="D123" s="85"/>
      <c r="E123" s="85">
        <v>0</v>
      </c>
      <c r="F123" s="85">
        <v>0</v>
      </c>
      <c r="G123" s="428">
        <v>0</v>
      </c>
      <c r="H123" s="85">
        <f t="shared" si="13"/>
        <v>0</v>
      </c>
      <c r="I123" s="428"/>
      <c r="J123" s="428">
        <f t="shared" si="10"/>
        <v>0</v>
      </c>
      <c r="K123" s="428">
        <f t="shared" si="11"/>
        <v>0</v>
      </c>
    </row>
    <row r="124" spans="1:11" s="285" customFormat="1" hidden="1" x14ac:dyDescent="0.25">
      <c r="A124" s="118">
        <v>44</v>
      </c>
      <c r="B124" s="151">
        <v>5780</v>
      </c>
      <c r="C124" s="94" t="s">
        <v>310</v>
      </c>
      <c r="D124" s="85"/>
      <c r="E124" s="85">
        <v>0</v>
      </c>
      <c r="F124" s="85">
        <v>0</v>
      </c>
      <c r="G124" s="428">
        <v>0</v>
      </c>
      <c r="H124" s="85">
        <f t="shared" si="13"/>
        <v>0</v>
      </c>
      <c r="I124" s="428"/>
      <c r="J124" s="428">
        <f t="shared" si="10"/>
        <v>0</v>
      </c>
      <c r="K124" s="428">
        <f t="shared" si="11"/>
        <v>0</v>
      </c>
    </row>
    <row r="125" spans="1:11" s="285" customFormat="1" hidden="1" x14ac:dyDescent="0.25">
      <c r="A125" s="118">
        <v>44</v>
      </c>
      <c r="B125" s="151">
        <v>5785</v>
      </c>
      <c r="C125" s="94" t="s">
        <v>311</v>
      </c>
      <c r="D125" s="85"/>
      <c r="E125" s="85">
        <v>0</v>
      </c>
      <c r="F125" s="85">
        <v>0</v>
      </c>
      <c r="G125" s="428">
        <v>0</v>
      </c>
      <c r="H125" s="85">
        <f t="shared" si="13"/>
        <v>0</v>
      </c>
      <c r="I125" s="428"/>
      <c r="J125" s="428">
        <f t="shared" si="10"/>
        <v>0</v>
      </c>
      <c r="K125" s="428">
        <f t="shared" si="11"/>
        <v>0</v>
      </c>
    </row>
    <row r="126" spans="1:11" s="285" customFormat="1" hidden="1" x14ac:dyDescent="0.25">
      <c r="A126" s="118">
        <v>44</v>
      </c>
      <c r="B126" s="151">
        <v>5790</v>
      </c>
      <c r="C126" s="94" t="s">
        <v>312</v>
      </c>
      <c r="D126" s="85"/>
      <c r="E126" s="85">
        <v>0</v>
      </c>
      <c r="F126" s="85">
        <v>0</v>
      </c>
      <c r="G126" s="428">
        <v>0</v>
      </c>
      <c r="H126" s="85">
        <f t="shared" si="13"/>
        <v>0</v>
      </c>
      <c r="I126" s="428"/>
      <c r="J126" s="428">
        <f t="shared" si="10"/>
        <v>0</v>
      </c>
      <c r="K126" s="428">
        <f t="shared" si="11"/>
        <v>0</v>
      </c>
    </row>
    <row r="127" spans="1:11" s="285" customFormat="1" hidden="1" x14ac:dyDescent="0.25">
      <c r="A127" s="118">
        <v>44</v>
      </c>
      <c r="B127" s="151">
        <v>5795</v>
      </c>
      <c r="C127" s="94" t="s">
        <v>313</v>
      </c>
      <c r="D127" s="85"/>
      <c r="E127" s="85">
        <v>0</v>
      </c>
      <c r="F127" s="85">
        <v>0</v>
      </c>
      <c r="G127" s="428">
        <v>0</v>
      </c>
      <c r="H127" s="85">
        <f t="shared" si="13"/>
        <v>0</v>
      </c>
      <c r="I127" s="428"/>
      <c r="J127" s="428">
        <f t="shared" si="10"/>
        <v>0</v>
      </c>
      <c r="K127" s="428">
        <f t="shared" si="11"/>
        <v>0</v>
      </c>
    </row>
    <row r="128" spans="1:11" s="285" customFormat="1" hidden="1" x14ac:dyDescent="0.25">
      <c r="A128" s="118">
        <v>44</v>
      </c>
      <c r="B128" s="151">
        <v>5800</v>
      </c>
      <c r="C128" s="94" t="s">
        <v>314</v>
      </c>
      <c r="D128" s="85"/>
      <c r="E128" s="85">
        <v>0</v>
      </c>
      <c r="F128" s="85">
        <v>0</v>
      </c>
      <c r="G128" s="428">
        <v>0</v>
      </c>
      <c r="H128" s="85">
        <f t="shared" si="13"/>
        <v>0</v>
      </c>
      <c r="I128" s="428"/>
      <c r="J128" s="428">
        <f t="shared" si="10"/>
        <v>0</v>
      </c>
      <c r="K128" s="428">
        <f t="shared" si="11"/>
        <v>0</v>
      </c>
    </row>
    <row r="129" spans="1:11" s="285" customFormat="1" hidden="1" x14ac:dyDescent="0.25">
      <c r="A129" s="118">
        <v>44</v>
      </c>
      <c r="B129" s="151">
        <v>5805</v>
      </c>
      <c r="C129" s="94" t="s">
        <v>315</v>
      </c>
      <c r="D129" s="85"/>
      <c r="E129" s="85">
        <v>0</v>
      </c>
      <c r="F129" s="85">
        <v>0</v>
      </c>
      <c r="G129" s="428">
        <v>0</v>
      </c>
      <c r="H129" s="85">
        <f t="shared" si="13"/>
        <v>0</v>
      </c>
      <c r="I129" s="428"/>
      <c r="J129" s="428">
        <f t="shared" si="10"/>
        <v>0</v>
      </c>
      <c r="K129" s="428">
        <f t="shared" si="11"/>
        <v>0</v>
      </c>
    </row>
    <row r="130" spans="1:11" s="285" customFormat="1" hidden="1" x14ac:dyDescent="0.25">
      <c r="A130" s="118">
        <v>44</v>
      </c>
      <c r="B130" s="151">
        <v>5810</v>
      </c>
      <c r="C130" s="94" t="s">
        <v>316</v>
      </c>
      <c r="D130" s="85"/>
      <c r="E130" s="85">
        <v>0</v>
      </c>
      <c r="F130" s="85">
        <v>0</v>
      </c>
      <c r="G130" s="428">
        <v>0</v>
      </c>
      <c r="H130" s="85">
        <f t="shared" si="13"/>
        <v>0</v>
      </c>
      <c r="I130" s="428"/>
      <c r="J130" s="428">
        <f t="shared" si="10"/>
        <v>0</v>
      </c>
      <c r="K130" s="428">
        <f t="shared" si="11"/>
        <v>0</v>
      </c>
    </row>
    <row r="131" spans="1:11" s="285" customFormat="1" hidden="1" x14ac:dyDescent="0.25">
      <c r="A131" s="118">
        <v>44</v>
      </c>
      <c r="B131" s="151">
        <v>5815</v>
      </c>
      <c r="C131" s="94" t="s">
        <v>99</v>
      </c>
      <c r="D131" s="85"/>
      <c r="E131" s="85">
        <v>0</v>
      </c>
      <c r="F131" s="85">
        <v>0</v>
      </c>
      <c r="G131" s="428">
        <v>0</v>
      </c>
      <c r="H131" s="85">
        <f t="shared" si="13"/>
        <v>0</v>
      </c>
      <c r="I131" s="428"/>
      <c r="J131" s="428">
        <f t="shared" si="10"/>
        <v>0</v>
      </c>
      <c r="K131" s="428">
        <f t="shared" si="11"/>
        <v>0</v>
      </c>
    </row>
    <row r="132" spans="1:11" s="285" customFormat="1" hidden="1" x14ac:dyDescent="0.25">
      <c r="A132" s="118">
        <v>44</v>
      </c>
      <c r="B132" s="151">
        <v>5820</v>
      </c>
      <c r="C132" s="94" t="s">
        <v>114</v>
      </c>
      <c r="D132" s="86"/>
      <c r="E132" s="85">
        <v>0</v>
      </c>
      <c r="F132" s="85">
        <v>0</v>
      </c>
      <c r="G132" s="428">
        <v>0</v>
      </c>
      <c r="H132" s="85">
        <f t="shared" si="13"/>
        <v>0</v>
      </c>
      <c r="I132" s="428"/>
      <c r="J132" s="428">
        <f t="shared" si="10"/>
        <v>0</v>
      </c>
      <c r="K132" s="428">
        <f t="shared" si="11"/>
        <v>0</v>
      </c>
    </row>
    <row r="133" spans="1:11" s="285" customFormat="1" x14ac:dyDescent="0.25">
      <c r="A133" s="118">
        <v>44</v>
      </c>
      <c r="B133" s="151">
        <v>5825</v>
      </c>
      <c r="C133" s="94" t="s">
        <v>317</v>
      </c>
      <c r="D133" s="86">
        <v>35483</v>
      </c>
      <c r="E133" s="85">
        <v>39234.188220000004</v>
      </c>
      <c r="F133" s="85">
        <v>19234.188220000004</v>
      </c>
      <c r="G133" s="428">
        <v>19234.188220000004</v>
      </c>
      <c r="H133" s="85">
        <f t="shared" si="13"/>
        <v>21157.607042000003</v>
      </c>
      <c r="I133" s="428">
        <v>1200000</v>
      </c>
      <c r="J133" s="428">
        <f t="shared" si="10"/>
        <v>1266000</v>
      </c>
      <c r="K133" s="428">
        <f t="shared" si="11"/>
        <v>1333098</v>
      </c>
    </row>
    <row r="134" spans="1:11" s="285" customFormat="1" hidden="1" x14ac:dyDescent="0.25">
      <c r="A134" s="118">
        <v>44</v>
      </c>
      <c r="B134" s="151">
        <v>5830</v>
      </c>
      <c r="C134" s="94" t="s">
        <v>318</v>
      </c>
      <c r="D134" s="86"/>
      <c r="E134" s="85"/>
      <c r="F134" s="85">
        <v>0</v>
      </c>
      <c r="G134" s="428">
        <v>0</v>
      </c>
      <c r="H134" s="85">
        <f t="shared" si="13"/>
        <v>0</v>
      </c>
      <c r="I134" s="428"/>
      <c r="J134" s="85"/>
      <c r="K134" s="85"/>
    </row>
    <row r="135" spans="1:11" s="285" customFormat="1" hidden="1" x14ac:dyDescent="0.25">
      <c r="A135" s="118">
        <v>44</v>
      </c>
      <c r="B135" s="151">
        <v>5835</v>
      </c>
      <c r="C135" s="94" t="s">
        <v>319</v>
      </c>
      <c r="D135" s="86"/>
      <c r="E135" s="85"/>
      <c r="F135" s="85">
        <v>0</v>
      </c>
      <c r="G135" s="428">
        <v>0</v>
      </c>
      <c r="H135" s="85">
        <f t="shared" si="13"/>
        <v>0</v>
      </c>
      <c r="I135" s="428"/>
      <c r="J135" s="85"/>
      <c r="K135" s="85"/>
    </row>
    <row r="136" spans="1:11" s="285" customFormat="1" hidden="1" x14ac:dyDescent="0.25">
      <c r="A136" s="118">
        <v>44</v>
      </c>
      <c r="B136" s="151">
        <v>5840</v>
      </c>
      <c r="C136" s="94" t="s">
        <v>332</v>
      </c>
      <c r="D136" s="115"/>
      <c r="E136" s="85"/>
      <c r="F136" s="85">
        <v>0</v>
      </c>
      <c r="G136" s="428">
        <v>0</v>
      </c>
      <c r="H136" s="85">
        <f t="shared" si="13"/>
        <v>0</v>
      </c>
      <c r="I136" s="428"/>
      <c r="J136" s="85"/>
      <c r="K136" s="85"/>
    </row>
    <row r="137" spans="1:11" s="285" customFormat="1" hidden="1" x14ac:dyDescent="0.25">
      <c r="A137" s="118">
        <v>44</v>
      </c>
      <c r="B137" s="151">
        <v>5845</v>
      </c>
      <c r="C137" s="94" t="s">
        <v>320</v>
      </c>
      <c r="D137" s="86"/>
      <c r="E137" s="85"/>
      <c r="F137" s="85">
        <v>0</v>
      </c>
      <c r="G137" s="428">
        <v>0</v>
      </c>
      <c r="H137" s="85">
        <f t="shared" si="13"/>
        <v>0</v>
      </c>
      <c r="I137" s="428"/>
      <c r="J137" s="85"/>
      <c r="K137" s="85"/>
    </row>
    <row r="138" spans="1:11" s="285" customFormat="1" hidden="1" x14ac:dyDescent="0.25">
      <c r="A138" s="118">
        <v>44</v>
      </c>
      <c r="B138" s="151">
        <v>5855</v>
      </c>
      <c r="C138" s="94" t="s">
        <v>321</v>
      </c>
      <c r="D138" s="85"/>
      <c r="E138" s="85"/>
      <c r="F138" s="85">
        <v>0</v>
      </c>
      <c r="G138" s="428">
        <v>0</v>
      </c>
      <c r="H138" s="85">
        <f t="shared" si="13"/>
        <v>0</v>
      </c>
      <c r="I138" s="428"/>
      <c r="J138" s="85"/>
      <c r="K138" s="85"/>
    </row>
    <row r="139" spans="1:11" s="285" customFormat="1" hidden="1" x14ac:dyDescent="0.25">
      <c r="A139" s="118">
        <v>44</v>
      </c>
      <c r="B139" s="151">
        <v>5860</v>
      </c>
      <c r="C139" s="94" t="s">
        <v>322</v>
      </c>
      <c r="D139" s="85"/>
      <c r="E139" s="85"/>
      <c r="F139" s="85">
        <v>0</v>
      </c>
      <c r="G139" s="428">
        <v>0</v>
      </c>
      <c r="H139" s="85">
        <f t="shared" si="13"/>
        <v>0</v>
      </c>
      <c r="I139" s="428"/>
      <c r="J139" s="85"/>
      <c r="K139" s="85"/>
    </row>
    <row r="140" spans="1:11" s="285" customFormat="1" hidden="1" x14ac:dyDescent="0.25">
      <c r="A140" s="118">
        <v>44</v>
      </c>
      <c r="B140" s="151">
        <v>5865</v>
      </c>
      <c r="C140" s="94" t="s">
        <v>323</v>
      </c>
      <c r="D140" s="85"/>
      <c r="E140" s="85"/>
      <c r="F140" s="85">
        <v>0</v>
      </c>
      <c r="G140" s="428">
        <v>0</v>
      </c>
      <c r="H140" s="85">
        <f t="shared" si="13"/>
        <v>0</v>
      </c>
      <c r="I140" s="428"/>
      <c r="J140" s="85"/>
      <c r="K140" s="85"/>
    </row>
    <row r="141" spans="1:11" s="285" customFormat="1" hidden="1" x14ac:dyDescent="0.25">
      <c r="A141" s="118">
        <v>44</v>
      </c>
      <c r="B141" s="151">
        <v>5870</v>
      </c>
      <c r="C141" s="94" t="s">
        <v>324</v>
      </c>
      <c r="D141" s="85"/>
      <c r="E141" s="85"/>
      <c r="F141" s="85">
        <v>0</v>
      </c>
      <c r="G141" s="428">
        <v>0</v>
      </c>
      <c r="H141" s="85">
        <f t="shared" si="13"/>
        <v>0</v>
      </c>
      <c r="I141" s="428"/>
      <c r="J141" s="85"/>
      <c r="K141" s="85"/>
    </row>
    <row r="142" spans="1:11" s="285" customFormat="1" hidden="1" x14ac:dyDescent="0.25">
      <c r="A142" s="118">
        <v>44</v>
      </c>
      <c r="B142" s="151">
        <v>5875</v>
      </c>
      <c r="C142" s="94" t="s">
        <v>325</v>
      </c>
      <c r="D142" s="85"/>
      <c r="E142" s="85"/>
      <c r="F142" s="85">
        <v>0</v>
      </c>
      <c r="G142" s="428">
        <v>0</v>
      </c>
      <c r="H142" s="85">
        <f t="shared" si="13"/>
        <v>0</v>
      </c>
      <c r="I142" s="428"/>
      <c r="J142" s="85"/>
      <c r="K142" s="85"/>
    </row>
    <row r="143" spans="1:11" s="285" customFormat="1" hidden="1" x14ac:dyDescent="0.25">
      <c r="A143" s="118">
        <v>44</v>
      </c>
      <c r="B143" s="151">
        <v>5880</v>
      </c>
      <c r="C143" s="94" t="s">
        <v>326</v>
      </c>
      <c r="D143" s="85"/>
      <c r="E143" s="85"/>
      <c r="F143" s="85">
        <v>0</v>
      </c>
      <c r="G143" s="428">
        <v>0</v>
      </c>
      <c r="H143" s="85">
        <f t="shared" si="13"/>
        <v>0</v>
      </c>
      <c r="I143" s="428"/>
      <c r="J143" s="85"/>
      <c r="K143" s="85"/>
    </row>
    <row r="144" spans="1:11" s="285" customFormat="1" hidden="1" x14ac:dyDescent="0.25">
      <c r="A144" s="118">
        <v>44</v>
      </c>
      <c r="B144" s="151">
        <v>5885</v>
      </c>
      <c r="C144" s="94" t="s">
        <v>331</v>
      </c>
      <c r="D144" s="85"/>
      <c r="E144" s="85"/>
      <c r="F144" s="85">
        <v>0</v>
      </c>
      <c r="G144" s="428">
        <v>0</v>
      </c>
      <c r="H144" s="85">
        <f t="shared" si="13"/>
        <v>0</v>
      </c>
      <c r="I144" s="428"/>
      <c r="J144" s="85"/>
      <c r="K144" s="85"/>
    </row>
    <row r="145" spans="1:11" s="285" customFormat="1" hidden="1" x14ac:dyDescent="0.25">
      <c r="A145" s="118">
        <v>44</v>
      </c>
      <c r="B145" s="151">
        <v>5890</v>
      </c>
      <c r="C145" s="94" t="s">
        <v>327</v>
      </c>
      <c r="D145" s="85"/>
      <c r="E145" s="85"/>
      <c r="F145" s="85">
        <v>0</v>
      </c>
      <c r="G145" s="428">
        <v>0</v>
      </c>
      <c r="H145" s="85">
        <f t="shared" si="13"/>
        <v>0</v>
      </c>
      <c r="I145" s="428"/>
      <c r="J145" s="85"/>
      <c r="K145" s="85"/>
    </row>
    <row r="146" spans="1:11" s="285" customFormat="1" hidden="1" x14ac:dyDescent="0.25">
      <c r="A146" s="118">
        <v>44</v>
      </c>
      <c r="B146" s="151">
        <v>5895</v>
      </c>
      <c r="C146" s="94" t="s">
        <v>328</v>
      </c>
      <c r="D146" s="85"/>
      <c r="E146" s="85"/>
      <c r="F146" s="85">
        <v>0</v>
      </c>
      <c r="G146" s="428">
        <v>0</v>
      </c>
      <c r="H146" s="85">
        <f t="shared" si="13"/>
        <v>0</v>
      </c>
      <c r="I146" s="428"/>
      <c r="J146" s="85"/>
      <c r="K146" s="85"/>
    </row>
    <row r="147" spans="1:11" s="285" customFormat="1" hidden="1" x14ac:dyDescent="0.25">
      <c r="A147" s="118">
        <v>44</v>
      </c>
      <c r="B147" s="151">
        <v>5910</v>
      </c>
      <c r="C147" s="94" t="s">
        <v>330</v>
      </c>
      <c r="D147" s="85"/>
      <c r="E147" s="85"/>
      <c r="F147" s="85">
        <v>0</v>
      </c>
      <c r="G147" s="428">
        <v>0</v>
      </c>
      <c r="H147" s="85">
        <f t="shared" si="13"/>
        <v>0</v>
      </c>
      <c r="I147" s="428"/>
      <c r="J147" s="85"/>
      <c r="K147" s="85"/>
    </row>
    <row r="148" spans="1:11" s="285" customFormat="1" x14ac:dyDescent="0.25">
      <c r="A148" s="344"/>
      <c r="B148" s="151"/>
      <c r="C148" s="94"/>
      <c r="D148" s="89">
        <v>266843</v>
      </c>
      <c r="E148" s="89">
        <f t="shared" ref="E148:K148" si="14">SUM(E72:E147)</f>
        <v>524126.41321999999</v>
      </c>
      <c r="F148" s="429">
        <f t="shared" si="14"/>
        <v>424126.41321999999</v>
      </c>
      <c r="G148" s="429">
        <f t="shared" si="14"/>
        <v>424126.41321999999</v>
      </c>
      <c r="H148" s="89">
        <f t="shared" si="14"/>
        <v>511554.70704199997</v>
      </c>
      <c r="I148" s="429">
        <f t="shared" si="14"/>
        <v>1630000</v>
      </c>
      <c r="J148" s="429">
        <f t="shared" si="14"/>
        <v>1719650</v>
      </c>
      <c r="K148" s="429">
        <f t="shared" si="14"/>
        <v>1810791.45</v>
      </c>
    </row>
    <row r="149" spans="1:11" s="285" customFormat="1" hidden="1" x14ac:dyDescent="0.25">
      <c r="A149" s="344"/>
      <c r="B149" s="151"/>
      <c r="C149" s="93" t="s">
        <v>187</v>
      </c>
      <c r="D149" s="85"/>
      <c r="E149" s="108"/>
      <c r="F149" s="108"/>
      <c r="G149" s="425"/>
      <c r="H149" s="108"/>
      <c r="I149" s="425"/>
      <c r="J149" s="108"/>
      <c r="K149" s="108"/>
    </row>
    <row r="150" spans="1:11" s="285" customFormat="1" hidden="1" x14ac:dyDescent="0.25">
      <c r="A150" s="118">
        <v>44</v>
      </c>
      <c r="B150" s="151">
        <v>6005</v>
      </c>
      <c r="C150" s="94" t="s">
        <v>188</v>
      </c>
      <c r="D150" s="85">
        <v>0</v>
      </c>
      <c r="E150" s="108"/>
      <c r="F150" s="85">
        <v>0</v>
      </c>
      <c r="G150" s="428">
        <v>0</v>
      </c>
      <c r="H150" s="85"/>
      <c r="I150" s="428"/>
      <c r="J150" s="85"/>
      <c r="K150" s="108"/>
    </row>
    <row r="151" spans="1:11" s="285" customFormat="1" hidden="1" x14ac:dyDescent="0.25">
      <c r="A151" s="344"/>
      <c r="B151" s="151"/>
      <c r="C151" s="94"/>
      <c r="D151" s="89">
        <v>0</v>
      </c>
      <c r="E151" s="89">
        <f>SUM(E150)</f>
        <v>0</v>
      </c>
      <c r="F151" s="89">
        <v>0</v>
      </c>
      <c r="G151" s="429">
        <v>0</v>
      </c>
      <c r="H151" s="89"/>
      <c r="I151" s="429"/>
      <c r="J151" s="89"/>
      <c r="K151" s="89"/>
    </row>
    <row r="152" spans="1:11" s="285" customFormat="1" x14ac:dyDescent="0.25">
      <c r="A152" s="344"/>
      <c r="B152" s="151"/>
      <c r="C152" s="93" t="s">
        <v>64</v>
      </c>
      <c r="D152" s="88"/>
      <c r="E152" s="113"/>
      <c r="F152" s="113"/>
      <c r="G152" s="113"/>
      <c r="H152" s="113"/>
      <c r="I152" s="113"/>
      <c r="J152" s="113"/>
      <c r="K152" s="113"/>
    </row>
    <row r="153" spans="1:11" s="285" customFormat="1" x14ac:dyDescent="0.25">
      <c r="A153" s="118">
        <v>44</v>
      </c>
      <c r="B153" s="151">
        <v>6105</v>
      </c>
      <c r="C153" s="94" t="s">
        <v>336</v>
      </c>
      <c r="D153" s="85">
        <v>0</v>
      </c>
      <c r="E153" s="108"/>
      <c r="F153" s="85">
        <v>0</v>
      </c>
      <c r="G153" s="428">
        <v>0</v>
      </c>
      <c r="H153" s="85"/>
      <c r="I153" s="428"/>
      <c r="J153" s="85"/>
      <c r="K153" s="108"/>
    </row>
    <row r="154" spans="1:11" s="285" customFormat="1" x14ac:dyDescent="0.25">
      <c r="A154" s="118">
        <v>44</v>
      </c>
      <c r="B154" s="151">
        <v>6110</v>
      </c>
      <c r="C154" s="94" t="s">
        <v>337</v>
      </c>
      <c r="D154" s="85"/>
      <c r="E154" s="108">
        <v>394000</v>
      </c>
      <c r="F154" s="85">
        <v>394000</v>
      </c>
      <c r="G154" s="428">
        <v>394000</v>
      </c>
      <c r="H154" s="85"/>
      <c r="I154" s="428"/>
      <c r="J154" s="85"/>
      <c r="K154" s="85"/>
    </row>
    <row r="155" spans="1:11" s="285" customFormat="1" x14ac:dyDescent="0.25">
      <c r="A155" s="118">
        <v>44</v>
      </c>
      <c r="B155" s="151">
        <v>6115</v>
      </c>
      <c r="C155" s="94" t="s">
        <v>60</v>
      </c>
      <c r="D155" s="85">
        <v>0</v>
      </c>
      <c r="E155" s="108"/>
      <c r="F155" s="85">
        <v>0</v>
      </c>
      <c r="G155" s="428">
        <v>0</v>
      </c>
      <c r="H155" s="85"/>
      <c r="I155" s="428"/>
      <c r="J155" s="85"/>
      <c r="K155" s="85"/>
    </row>
    <row r="156" spans="1:11" s="285" customFormat="1" x14ac:dyDescent="0.25">
      <c r="A156" s="344"/>
      <c r="B156" s="151"/>
      <c r="C156" s="94"/>
      <c r="D156" s="429">
        <f t="shared" ref="D156:K156" si="15">SUM(D153:D155)</f>
        <v>0</v>
      </c>
      <c r="E156" s="89">
        <f t="shared" si="15"/>
        <v>394000</v>
      </c>
      <c r="F156" s="429">
        <f t="shared" si="15"/>
        <v>394000</v>
      </c>
      <c r="G156" s="429">
        <f t="shared" si="15"/>
        <v>394000</v>
      </c>
      <c r="H156" s="429">
        <f t="shared" si="15"/>
        <v>0</v>
      </c>
      <c r="I156" s="429">
        <f t="shared" si="15"/>
        <v>0</v>
      </c>
      <c r="J156" s="429">
        <f t="shared" si="15"/>
        <v>0</v>
      </c>
      <c r="K156" s="429">
        <f t="shared" si="15"/>
        <v>0</v>
      </c>
    </row>
    <row r="157" spans="1:11" s="285" customFormat="1" hidden="1" x14ac:dyDescent="0.25">
      <c r="A157" s="344"/>
      <c r="B157" s="151"/>
      <c r="C157" s="184" t="s">
        <v>65</v>
      </c>
      <c r="D157" s="88"/>
      <c r="E157" s="113"/>
      <c r="F157" s="113"/>
      <c r="G157" s="113"/>
      <c r="H157" s="113"/>
      <c r="I157" s="113"/>
      <c r="J157" s="113"/>
      <c r="K157" s="113"/>
    </row>
    <row r="158" spans="1:11" s="285" customFormat="1" hidden="1" x14ac:dyDescent="0.25">
      <c r="A158" s="118">
        <v>44</v>
      </c>
      <c r="B158" s="151">
        <v>6205</v>
      </c>
      <c r="C158" s="94" t="s">
        <v>338</v>
      </c>
      <c r="D158" s="85">
        <v>0</v>
      </c>
      <c r="E158" s="108"/>
      <c r="F158" s="85">
        <v>0</v>
      </c>
      <c r="G158" s="428"/>
      <c r="H158" s="85"/>
      <c r="I158" s="428"/>
      <c r="J158" s="428"/>
      <c r="K158" s="428"/>
    </row>
    <row r="159" spans="1:11" s="285" customFormat="1" hidden="1" x14ac:dyDescent="0.25">
      <c r="A159" s="118">
        <v>44</v>
      </c>
      <c r="B159" s="151">
        <v>6210</v>
      </c>
      <c r="C159" s="94" t="s">
        <v>339</v>
      </c>
      <c r="D159" s="85">
        <v>0</v>
      </c>
      <c r="E159" s="85"/>
      <c r="F159" s="85">
        <v>0</v>
      </c>
      <c r="G159" s="428"/>
      <c r="H159" s="85"/>
      <c r="I159" s="428"/>
      <c r="J159" s="428"/>
      <c r="K159" s="428"/>
    </row>
    <row r="160" spans="1:11" s="285" customFormat="1" hidden="1" x14ac:dyDescent="0.25">
      <c r="A160" s="344"/>
      <c r="B160" s="346"/>
      <c r="C160" s="347"/>
      <c r="D160" s="116">
        <v>0</v>
      </c>
      <c r="E160" s="116">
        <f>SUM(E158:E159)</f>
        <v>0</v>
      </c>
      <c r="F160" s="116">
        <v>0</v>
      </c>
      <c r="G160" s="441">
        <v>0</v>
      </c>
      <c r="H160" s="441">
        <v>0</v>
      </c>
      <c r="I160" s="441">
        <v>1</v>
      </c>
      <c r="J160" s="441">
        <v>2</v>
      </c>
      <c r="K160" s="441">
        <v>3</v>
      </c>
    </row>
    <row r="161" spans="1:11" s="285" customFormat="1" x14ac:dyDescent="0.25">
      <c r="A161" s="344"/>
      <c r="B161" s="346"/>
      <c r="C161" s="93" t="s">
        <v>189</v>
      </c>
      <c r="D161" s="441">
        <f t="shared" ref="D161:K161" si="16">D160+D156+D151+D148+D70+D66+D63+D59+D38+D35+D32+D29+D25+D18</f>
        <v>19226590</v>
      </c>
      <c r="E161" s="441">
        <f t="shared" si="16"/>
        <v>16286654.298924001</v>
      </c>
      <c r="F161" s="441">
        <f t="shared" si="16"/>
        <v>12286654.298924001</v>
      </c>
      <c r="G161" s="441">
        <f t="shared" si="16"/>
        <v>12286654.298924001</v>
      </c>
      <c r="H161" s="441">
        <f t="shared" si="16"/>
        <v>9909893.1082220003</v>
      </c>
      <c r="I161" s="441">
        <f t="shared" si="16"/>
        <v>12484593.19938967</v>
      </c>
      <c r="J161" s="441">
        <f t="shared" si="16"/>
        <v>13171246.7703561</v>
      </c>
      <c r="K161" s="441">
        <f t="shared" si="16"/>
        <v>13869323.743184973</v>
      </c>
    </row>
    <row r="162" spans="1:11" s="285" customFormat="1" hidden="1" x14ac:dyDescent="0.25">
      <c r="A162" s="344"/>
      <c r="B162" s="151"/>
      <c r="C162" s="93" t="s">
        <v>258</v>
      </c>
      <c r="D162" s="117"/>
      <c r="E162" s="117"/>
      <c r="F162" s="117"/>
      <c r="G162" s="442"/>
      <c r="H162" s="442"/>
      <c r="I162" s="442"/>
      <c r="J162" s="442"/>
      <c r="K162" s="442"/>
    </row>
    <row r="163" spans="1:11" s="285" customFormat="1" hidden="1" x14ac:dyDescent="0.25">
      <c r="A163" s="118">
        <v>44</v>
      </c>
      <c r="B163" s="151">
        <v>6305</v>
      </c>
      <c r="C163" s="94" t="s">
        <v>190</v>
      </c>
      <c r="D163" s="85">
        <v>0</v>
      </c>
      <c r="E163" s="85"/>
      <c r="F163" s="85"/>
      <c r="G163" s="428"/>
      <c r="H163" s="428"/>
      <c r="I163" s="428"/>
      <c r="J163" s="428"/>
      <c r="K163" s="428"/>
    </row>
    <row r="164" spans="1:11" s="285" customFormat="1" hidden="1" x14ac:dyDescent="0.25">
      <c r="A164" s="344"/>
      <c r="B164" s="151"/>
      <c r="C164" s="94"/>
      <c r="D164" s="116">
        <v>0</v>
      </c>
      <c r="E164" s="116">
        <f>E163</f>
        <v>0</v>
      </c>
      <c r="F164" s="116">
        <v>0</v>
      </c>
      <c r="G164" s="441">
        <v>0</v>
      </c>
      <c r="H164" s="441">
        <v>0</v>
      </c>
      <c r="I164" s="441">
        <v>1</v>
      </c>
      <c r="J164" s="441">
        <v>2</v>
      </c>
      <c r="K164" s="441">
        <v>3</v>
      </c>
    </row>
    <row r="165" spans="1:11" s="285" customFormat="1" x14ac:dyDescent="0.25">
      <c r="A165" s="348"/>
      <c r="B165" s="152"/>
      <c r="C165" s="119" t="s">
        <v>191</v>
      </c>
      <c r="D165" s="448">
        <f t="shared" ref="D165:K165" si="17">SUM(D161+D164)</f>
        <v>19226590</v>
      </c>
      <c r="E165" s="160">
        <f t="shared" si="17"/>
        <v>16286654.298924001</v>
      </c>
      <c r="F165" s="448">
        <f t="shared" si="17"/>
        <v>12286654.298924001</v>
      </c>
      <c r="G165" s="448">
        <f t="shared" si="17"/>
        <v>12286654.298924001</v>
      </c>
      <c r="H165" s="448">
        <f t="shared" si="17"/>
        <v>9909893.1082220003</v>
      </c>
      <c r="I165" s="448">
        <f t="shared" si="17"/>
        <v>12484594.19938967</v>
      </c>
      <c r="J165" s="448">
        <f t="shared" si="17"/>
        <v>13171248.7703561</v>
      </c>
      <c r="K165" s="448">
        <f t="shared" si="17"/>
        <v>13869326.743184973</v>
      </c>
    </row>
    <row r="166" spans="1:11" s="285" customFormat="1" x14ac:dyDescent="0.25">
      <c r="A166" s="344"/>
      <c r="B166" s="130"/>
      <c r="C166" s="115"/>
      <c r="D166" s="111"/>
      <c r="E166" s="120"/>
      <c r="F166" s="120"/>
      <c r="G166" s="120"/>
      <c r="H166" s="120"/>
      <c r="I166" s="120"/>
      <c r="J166" s="120"/>
      <c r="K166" s="120"/>
    </row>
    <row r="167" spans="1:11" s="285" customFormat="1" x14ac:dyDescent="0.25">
      <c r="A167" s="344"/>
      <c r="B167" s="130"/>
      <c r="C167" s="115"/>
      <c r="D167" s="111"/>
      <c r="E167" s="111"/>
      <c r="F167" s="111"/>
      <c r="G167" s="111"/>
      <c r="H167" s="111"/>
      <c r="I167" s="111"/>
      <c r="J167" s="111"/>
      <c r="K167" s="111"/>
    </row>
    <row r="168" spans="1:11" s="285" customFormat="1" x14ac:dyDescent="0.25">
      <c r="A168" s="349"/>
      <c r="B168" s="546" t="s">
        <v>416</v>
      </c>
      <c r="C168" s="546"/>
      <c r="D168" s="547"/>
      <c r="E168" s="338"/>
      <c r="F168" s="338"/>
      <c r="G168" s="563"/>
      <c r="H168" s="420"/>
      <c r="I168" s="581"/>
      <c r="J168" s="338"/>
      <c r="K168" s="338"/>
    </row>
    <row r="169" spans="1:11" s="285" customFormat="1" x14ac:dyDescent="0.25">
      <c r="A169" s="944" t="s">
        <v>21</v>
      </c>
      <c r="B169" s="945"/>
      <c r="C169" s="150" t="s">
        <v>22</v>
      </c>
      <c r="D169" s="103" t="s">
        <v>878</v>
      </c>
      <c r="E169" s="104" t="s">
        <v>24</v>
      </c>
      <c r="F169" s="103" t="s">
        <v>535</v>
      </c>
      <c r="G169" s="103" t="s">
        <v>413</v>
      </c>
      <c r="H169" s="104" t="s">
        <v>24</v>
      </c>
      <c r="I169" s="583" t="s">
        <v>24</v>
      </c>
      <c r="J169" s="583" t="s">
        <v>24</v>
      </c>
      <c r="K169" s="583" t="s">
        <v>24</v>
      </c>
    </row>
    <row r="170" spans="1:11" s="285" customFormat="1" x14ac:dyDescent="0.25">
      <c r="A170" s="946"/>
      <c r="B170" s="947"/>
      <c r="C170" s="106"/>
      <c r="D170" s="333" t="s">
        <v>257</v>
      </c>
      <c r="E170" s="107" t="s">
        <v>382</v>
      </c>
      <c r="F170" s="107" t="s">
        <v>382</v>
      </c>
      <c r="G170" s="107" t="s">
        <v>382</v>
      </c>
      <c r="H170" s="107" t="s">
        <v>407</v>
      </c>
      <c r="I170" s="586" t="s">
        <v>414</v>
      </c>
      <c r="J170" s="586" t="s">
        <v>530</v>
      </c>
      <c r="K170" s="586" t="s">
        <v>886</v>
      </c>
    </row>
    <row r="171" spans="1:11" s="285" customFormat="1" hidden="1" x14ac:dyDescent="0.25">
      <c r="A171" s="350"/>
      <c r="B171" s="153"/>
      <c r="C171" s="93" t="s">
        <v>98</v>
      </c>
      <c r="D171" s="122"/>
      <c r="E171" s="98"/>
      <c r="F171" s="98"/>
      <c r="G171" s="435"/>
      <c r="H171" s="98"/>
      <c r="I171" s="435"/>
      <c r="J171" s="98"/>
      <c r="K171" s="98"/>
    </row>
    <row r="172" spans="1:11" s="285" customFormat="1" hidden="1" x14ac:dyDescent="0.25">
      <c r="A172" s="118">
        <v>44</v>
      </c>
      <c r="B172" s="151">
        <v>1237</v>
      </c>
      <c r="C172" s="94" t="s">
        <v>99</v>
      </c>
      <c r="D172" s="122"/>
      <c r="E172" s="108"/>
      <c r="F172" s="98">
        <v>0</v>
      </c>
      <c r="G172" s="435"/>
      <c r="H172" s="98"/>
      <c r="I172" s="435"/>
      <c r="J172" s="98"/>
      <c r="K172" s="108"/>
    </row>
    <row r="173" spans="1:11" s="285" customFormat="1" hidden="1" x14ac:dyDescent="0.25">
      <c r="A173" s="118">
        <v>44</v>
      </c>
      <c r="B173" s="151">
        <v>5725</v>
      </c>
      <c r="C173" s="94" t="s">
        <v>400</v>
      </c>
      <c r="D173" s="85"/>
      <c r="E173" s="85">
        <v>0</v>
      </c>
      <c r="F173" s="85">
        <v>0</v>
      </c>
      <c r="G173" s="428"/>
      <c r="H173" s="85"/>
      <c r="I173" s="428"/>
      <c r="J173" s="85"/>
      <c r="K173" s="85"/>
    </row>
    <row r="174" spans="1:11" s="285" customFormat="1" hidden="1" x14ac:dyDescent="0.25">
      <c r="A174" s="344"/>
      <c r="B174" s="151"/>
      <c r="C174" s="94"/>
      <c r="D174" s="99"/>
      <c r="E174" s="99">
        <f>SUM(E173)</f>
        <v>0</v>
      </c>
      <c r="F174" s="99">
        <v>0</v>
      </c>
      <c r="G174" s="436"/>
      <c r="H174" s="99"/>
      <c r="I174" s="436"/>
      <c r="J174" s="99"/>
      <c r="K174" s="99"/>
    </row>
    <row r="175" spans="1:11" s="285" customFormat="1" x14ac:dyDescent="0.25">
      <c r="A175" s="344"/>
      <c r="B175" s="151"/>
      <c r="C175" s="93" t="s">
        <v>100</v>
      </c>
      <c r="D175" s="122"/>
      <c r="E175" s="98"/>
      <c r="F175" s="98"/>
      <c r="G175" s="435"/>
      <c r="H175" s="98"/>
      <c r="I175" s="435"/>
      <c r="J175" s="98"/>
      <c r="K175" s="98"/>
    </row>
    <row r="176" spans="1:11" s="285" customFormat="1" hidden="1" x14ac:dyDescent="0.25">
      <c r="A176" s="118">
        <v>44</v>
      </c>
      <c r="B176" s="151">
        <v>1147</v>
      </c>
      <c r="C176" s="94" t="s">
        <v>102</v>
      </c>
      <c r="D176" s="122"/>
      <c r="E176" s="98"/>
      <c r="F176" s="98">
        <v>0</v>
      </c>
      <c r="G176" s="435"/>
      <c r="H176" s="98"/>
      <c r="I176" s="435"/>
      <c r="J176" s="98"/>
      <c r="K176" s="98"/>
    </row>
    <row r="177" spans="1:11" s="285" customFormat="1" hidden="1" x14ac:dyDescent="0.25">
      <c r="A177" s="118">
        <v>44</v>
      </c>
      <c r="B177" s="151">
        <v>1202</v>
      </c>
      <c r="C177" s="94" t="s">
        <v>343</v>
      </c>
      <c r="D177" s="122"/>
      <c r="E177" s="98"/>
      <c r="F177" s="98">
        <v>0</v>
      </c>
      <c r="G177" s="435"/>
      <c r="H177" s="98"/>
      <c r="I177" s="435"/>
      <c r="J177" s="98"/>
      <c r="K177" s="98"/>
    </row>
    <row r="178" spans="1:11" s="285" customFormat="1" hidden="1" x14ac:dyDescent="0.25">
      <c r="A178" s="118">
        <v>44</v>
      </c>
      <c r="B178" s="151">
        <v>1207</v>
      </c>
      <c r="C178" s="94" t="s">
        <v>104</v>
      </c>
      <c r="D178" s="122"/>
      <c r="E178" s="98"/>
      <c r="F178" s="98">
        <v>0</v>
      </c>
      <c r="G178" s="435"/>
      <c r="H178" s="98"/>
      <c r="I178" s="435"/>
      <c r="J178" s="98"/>
      <c r="K178" s="98"/>
    </row>
    <row r="179" spans="1:11" s="285" customFormat="1" hidden="1" x14ac:dyDescent="0.25">
      <c r="A179" s="118">
        <v>44</v>
      </c>
      <c r="B179" s="151">
        <v>1153</v>
      </c>
      <c r="C179" s="94" t="s">
        <v>115</v>
      </c>
      <c r="D179" s="122"/>
      <c r="E179" s="98"/>
      <c r="F179" s="98">
        <v>0</v>
      </c>
      <c r="G179" s="435"/>
      <c r="H179" s="98"/>
      <c r="I179" s="435"/>
      <c r="J179" s="98"/>
      <c r="K179" s="98"/>
    </row>
    <row r="180" spans="1:11" s="285" customFormat="1" hidden="1" x14ac:dyDescent="0.25">
      <c r="A180" s="118">
        <v>44</v>
      </c>
      <c r="B180" s="151">
        <v>1143</v>
      </c>
      <c r="C180" s="94" t="s">
        <v>109</v>
      </c>
      <c r="D180" s="122"/>
      <c r="E180" s="98"/>
      <c r="F180" s="98">
        <v>0</v>
      </c>
      <c r="G180" s="435"/>
      <c r="H180" s="98"/>
      <c r="I180" s="435"/>
      <c r="J180" s="98"/>
      <c r="K180" s="98"/>
    </row>
    <row r="181" spans="1:11" s="285" customFormat="1" x14ac:dyDescent="0.25">
      <c r="A181" s="118">
        <v>44</v>
      </c>
      <c r="B181" s="151">
        <v>5500</v>
      </c>
      <c r="C181" s="94" t="s">
        <v>266</v>
      </c>
      <c r="D181" s="85">
        <v>-106317</v>
      </c>
      <c r="E181" s="85">
        <v>-113230</v>
      </c>
      <c r="F181" s="85">
        <v>-113230</v>
      </c>
      <c r="G181" s="428">
        <v>-113230</v>
      </c>
      <c r="H181" s="85">
        <f t="shared" ref="H181:H205" si="18">(F181*0.1)+F181</f>
        <v>-124553</v>
      </c>
      <c r="I181" s="428">
        <v>-124553</v>
      </c>
      <c r="J181" s="85">
        <f>+I181*1.055</f>
        <v>-131403.41499999998</v>
      </c>
      <c r="K181" s="85">
        <f>+J181*1.053</f>
        <v>-138367.79599499996</v>
      </c>
    </row>
    <row r="182" spans="1:11" s="285" customFormat="1" hidden="1" x14ac:dyDescent="0.25">
      <c r="A182" s="118">
        <v>44</v>
      </c>
      <c r="B182" s="151">
        <v>5705</v>
      </c>
      <c r="C182" s="94" t="s">
        <v>296</v>
      </c>
      <c r="D182" s="85">
        <v>0</v>
      </c>
      <c r="E182" s="85"/>
      <c r="F182" s="85">
        <v>0</v>
      </c>
      <c r="G182" s="428">
        <v>0</v>
      </c>
      <c r="H182" s="85">
        <f t="shared" si="18"/>
        <v>0</v>
      </c>
      <c r="I182" s="428"/>
      <c r="J182" s="428">
        <f t="shared" ref="J182:J200" si="19">+I182*1.055</f>
        <v>0</v>
      </c>
      <c r="K182" s="428">
        <f t="shared" ref="K182:K200" si="20">+J182*1.053</f>
        <v>0</v>
      </c>
    </row>
    <row r="183" spans="1:11" s="285" customFormat="1" hidden="1" x14ac:dyDescent="0.25">
      <c r="A183" s="118">
        <v>44</v>
      </c>
      <c r="B183" s="151">
        <v>1140</v>
      </c>
      <c r="C183" s="94" t="s">
        <v>113</v>
      </c>
      <c r="D183" s="122">
        <v>0</v>
      </c>
      <c r="E183" s="98"/>
      <c r="F183" s="85">
        <v>0</v>
      </c>
      <c r="G183" s="428">
        <v>0</v>
      </c>
      <c r="H183" s="85">
        <f t="shared" si="18"/>
        <v>0</v>
      </c>
      <c r="I183" s="428"/>
      <c r="J183" s="428">
        <f t="shared" si="19"/>
        <v>0</v>
      </c>
      <c r="K183" s="428">
        <f t="shared" si="20"/>
        <v>0</v>
      </c>
    </row>
    <row r="184" spans="1:11" s="285" customFormat="1" hidden="1" x14ac:dyDescent="0.25">
      <c r="A184" s="118">
        <v>44</v>
      </c>
      <c r="B184" s="151">
        <v>1145</v>
      </c>
      <c r="C184" s="94" t="s">
        <v>132</v>
      </c>
      <c r="D184" s="122">
        <v>0</v>
      </c>
      <c r="E184" s="98"/>
      <c r="F184" s="85">
        <v>0</v>
      </c>
      <c r="G184" s="428">
        <v>0</v>
      </c>
      <c r="H184" s="85">
        <f t="shared" si="18"/>
        <v>0</v>
      </c>
      <c r="I184" s="428"/>
      <c r="J184" s="428">
        <f t="shared" si="19"/>
        <v>0</v>
      </c>
      <c r="K184" s="428">
        <f t="shared" si="20"/>
        <v>0</v>
      </c>
    </row>
    <row r="185" spans="1:11" s="285" customFormat="1" hidden="1" x14ac:dyDescent="0.25">
      <c r="A185" s="118">
        <v>44</v>
      </c>
      <c r="B185" s="151">
        <v>1150</v>
      </c>
      <c r="C185" s="94" t="s">
        <v>120</v>
      </c>
      <c r="D185" s="122">
        <v>0</v>
      </c>
      <c r="E185" s="98"/>
      <c r="F185" s="85">
        <v>0</v>
      </c>
      <c r="G185" s="428">
        <v>0</v>
      </c>
      <c r="H185" s="85">
        <f t="shared" si="18"/>
        <v>0</v>
      </c>
      <c r="I185" s="428"/>
      <c r="J185" s="428">
        <f t="shared" si="19"/>
        <v>0</v>
      </c>
      <c r="K185" s="428">
        <f t="shared" si="20"/>
        <v>0</v>
      </c>
    </row>
    <row r="186" spans="1:11" s="285" customFormat="1" hidden="1" x14ac:dyDescent="0.25">
      <c r="A186" s="118">
        <v>44</v>
      </c>
      <c r="B186" s="151">
        <v>1155</v>
      </c>
      <c r="C186" s="94" t="s">
        <v>116</v>
      </c>
      <c r="D186" s="122">
        <v>0</v>
      </c>
      <c r="E186" s="98"/>
      <c r="F186" s="85">
        <v>0</v>
      </c>
      <c r="G186" s="428">
        <v>0</v>
      </c>
      <c r="H186" s="85">
        <f t="shared" si="18"/>
        <v>0</v>
      </c>
      <c r="I186" s="428"/>
      <c r="J186" s="428">
        <f t="shared" si="19"/>
        <v>0</v>
      </c>
      <c r="K186" s="428">
        <f t="shared" si="20"/>
        <v>0</v>
      </c>
    </row>
    <row r="187" spans="1:11" s="285" customFormat="1" hidden="1" x14ac:dyDescent="0.25">
      <c r="A187" s="118">
        <v>44</v>
      </c>
      <c r="B187" s="151">
        <v>1160</v>
      </c>
      <c r="C187" s="94" t="s">
        <v>101</v>
      </c>
      <c r="D187" s="122">
        <v>0</v>
      </c>
      <c r="E187" s="98"/>
      <c r="F187" s="85">
        <v>0</v>
      </c>
      <c r="G187" s="428">
        <v>0</v>
      </c>
      <c r="H187" s="85">
        <f t="shared" si="18"/>
        <v>0</v>
      </c>
      <c r="I187" s="428"/>
      <c r="J187" s="428">
        <f t="shared" si="19"/>
        <v>0</v>
      </c>
      <c r="K187" s="428">
        <f t="shared" si="20"/>
        <v>0</v>
      </c>
    </row>
    <row r="188" spans="1:11" s="285" customFormat="1" hidden="1" x14ac:dyDescent="0.25">
      <c r="A188" s="118">
        <v>44</v>
      </c>
      <c r="B188" s="151">
        <v>1165</v>
      </c>
      <c r="C188" s="94" t="s">
        <v>114</v>
      </c>
      <c r="D188" s="122">
        <v>0</v>
      </c>
      <c r="E188" s="98"/>
      <c r="F188" s="85">
        <v>0</v>
      </c>
      <c r="G188" s="428">
        <v>0</v>
      </c>
      <c r="H188" s="85">
        <f t="shared" si="18"/>
        <v>0</v>
      </c>
      <c r="I188" s="428"/>
      <c r="J188" s="428">
        <f t="shared" si="19"/>
        <v>0</v>
      </c>
      <c r="K188" s="428">
        <f t="shared" si="20"/>
        <v>0</v>
      </c>
    </row>
    <row r="189" spans="1:11" s="285" customFormat="1" hidden="1" x14ac:dyDescent="0.25">
      <c r="A189" s="118"/>
      <c r="B189" s="151"/>
      <c r="C189" s="94" t="s">
        <v>401</v>
      </c>
      <c r="D189" s="122">
        <v>0</v>
      </c>
      <c r="E189" s="98"/>
      <c r="F189" s="85">
        <v>0</v>
      </c>
      <c r="G189" s="428">
        <v>0</v>
      </c>
      <c r="H189" s="85">
        <f t="shared" si="18"/>
        <v>0</v>
      </c>
      <c r="I189" s="428"/>
      <c r="J189" s="428">
        <f t="shared" si="19"/>
        <v>0</v>
      </c>
      <c r="K189" s="428">
        <f t="shared" si="20"/>
        <v>0</v>
      </c>
    </row>
    <row r="190" spans="1:11" s="285" customFormat="1" x14ac:dyDescent="0.25">
      <c r="A190" s="118">
        <v>44</v>
      </c>
      <c r="B190" s="151">
        <v>1180</v>
      </c>
      <c r="C190" s="94" t="s">
        <v>402</v>
      </c>
      <c r="D190" s="122">
        <v>2000</v>
      </c>
      <c r="E190" s="98">
        <v>2120</v>
      </c>
      <c r="F190" s="85">
        <v>2120</v>
      </c>
      <c r="G190" s="428">
        <v>2120</v>
      </c>
      <c r="H190" s="85">
        <f t="shared" si="18"/>
        <v>2332</v>
      </c>
      <c r="I190" s="428">
        <v>2332</v>
      </c>
      <c r="J190" s="428">
        <f t="shared" si="19"/>
        <v>2460.2599999999998</v>
      </c>
      <c r="K190" s="428">
        <f t="shared" si="20"/>
        <v>2590.6537799999996</v>
      </c>
    </row>
    <row r="191" spans="1:11" s="285" customFormat="1" x14ac:dyDescent="0.25">
      <c r="A191" s="118">
        <v>44</v>
      </c>
      <c r="B191" s="151">
        <v>1185</v>
      </c>
      <c r="C191" s="94" t="s">
        <v>403</v>
      </c>
      <c r="D191" s="122">
        <v>1500</v>
      </c>
      <c r="E191" s="98">
        <v>1605</v>
      </c>
      <c r="F191" s="85">
        <v>1605</v>
      </c>
      <c r="G191" s="428">
        <v>1605</v>
      </c>
      <c r="H191" s="85">
        <f t="shared" si="18"/>
        <v>1765.5</v>
      </c>
      <c r="I191" s="428">
        <v>1766</v>
      </c>
      <c r="J191" s="428">
        <f t="shared" si="19"/>
        <v>1863.1299999999999</v>
      </c>
      <c r="K191" s="428">
        <f t="shared" si="20"/>
        <v>1961.8758899999998</v>
      </c>
    </row>
    <row r="192" spans="1:11" s="285" customFormat="1" x14ac:dyDescent="0.25">
      <c r="A192" s="118">
        <v>44</v>
      </c>
      <c r="B192" s="151">
        <v>1190</v>
      </c>
      <c r="C192" s="94" t="s">
        <v>404</v>
      </c>
      <c r="D192" s="122">
        <v>16729999.08</v>
      </c>
      <c r="E192" s="98">
        <v>17733799.024800003</v>
      </c>
      <c r="F192" s="85">
        <v>19033799.024800003</v>
      </c>
      <c r="G192" s="428">
        <v>19033799.024800003</v>
      </c>
      <c r="H192" s="85">
        <f t="shared" si="18"/>
        <v>20937178.927280001</v>
      </c>
      <c r="I192" s="428">
        <f>14131309*1.71428571428571*1.058</f>
        <v>25630157.009142794</v>
      </c>
      <c r="J192" s="428">
        <f t="shared" si="19"/>
        <v>27039815.644645646</v>
      </c>
      <c r="K192" s="428">
        <f t="shared" si="20"/>
        <v>28472925.873811863</v>
      </c>
    </row>
    <row r="193" spans="1:11" s="285" customFormat="1" x14ac:dyDescent="0.25">
      <c r="A193" s="118">
        <v>44</v>
      </c>
      <c r="B193" s="151">
        <v>5905</v>
      </c>
      <c r="C193" s="94" t="s">
        <v>405</v>
      </c>
      <c r="D193" s="122">
        <v>-3580000</v>
      </c>
      <c r="E193" s="98">
        <v>-3794800</v>
      </c>
      <c r="F193" s="85">
        <v>-2294800</v>
      </c>
      <c r="G193" s="428">
        <v>-2294800</v>
      </c>
      <c r="H193" s="85">
        <f t="shared" si="18"/>
        <v>-2524280</v>
      </c>
      <c r="I193" s="428">
        <v>-5848922</v>
      </c>
      <c r="J193" s="428">
        <f t="shared" si="19"/>
        <v>-6170612.71</v>
      </c>
      <c r="K193" s="428">
        <f t="shared" si="20"/>
        <v>-6497655.1836299999</v>
      </c>
    </row>
    <row r="194" spans="1:11" s="285" customFormat="1" hidden="1" x14ac:dyDescent="0.25">
      <c r="A194" s="118">
        <v>44</v>
      </c>
      <c r="B194" s="151">
        <v>1195</v>
      </c>
      <c r="C194" s="94" t="s">
        <v>199</v>
      </c>
      <c r="D194" s="122">
        <v>0</v>
      </c>
      <c r="E194" s="98"/>
      <c r="F194" s="85">
        <v>0</v>
      </c>
      <c r="G194" s="428">
        <v>0</v>
      </c>
      <c r="H194" s="85">
        <f t="shared" si="18"/>
        <v>0</v>
      </c>
      <c r="I194" s="428"/>
      <c r="J194" s="428">
        <f t="shared" si="19"/>
        <v>0</v>
      </c>
      <c r="K194" s="428">
        <f t="shared" si="20"/>
        <v>0</v>
      </c>
    </row>
    <row r="195" spans="1:11" s="285" customFormat="1" hidden="1" x14ac:dyDescent="0.25">
      <c r="A195" s="118">
        <v>44</v>
      </c>
      <c r="B195" s="151">
        <v>1200</v>
      </c>
      <c r="C195" s="94" t="s">
        <v>117</v>
      </c>
      <c r="D195" s="122">
        <v>0</v>
      </c>
      <c r="E195" s="98"/>
      <c r="F195" s="85">
        <v>0</v>
      </c>
      <c r="G195" s="428">
        <v>0</v>
      </c>
      <c r="H195" s="85">
        <f t="shared" si="18"/>
        <v>0</v>
      </c>
      <c r="I195" s="428"/>
      <c r="J195" s="428">
        <f t="shared" si="19"/>
        <v>0</v>
      </c>
      <c r="K195" s="428">
        <f t="shared" si="20"/>
        <v>0</v>
      </c>
    </row>
    <row r="196" spans="1:11" s="285" customFormat="1" hidden="1" x14ac:dyDescent="0.25">
      <c r="A196" s="118">
        <v>44</v>
      </c>
      <c r="B196" s="151">
        <v>1205</v>
      </c>
      <c r="C196" s="115" t="s">
        <v>105</v>
      </c>
      <c r="D196" s="122">
        <v>0</v>
      </c>
      <c r="E196" s="98"/>
      <c r="F196" s="85">
        <v>0</v>
      </c>
      <c r="G196" s="428">
        <v>0</v>
      </c>
      <c r="H196" s="85">
        <f t="shared" si="18"/>
        <v>0</v>
      </c>
      <c r="I196" s="428"/>
      <c r="J196" s="428">
        <f t="shared" si="19"/>
        <v>0</v>
      </c>
      <c r="K196" s="428">
        <f t="shared" si="20"/>
        <v>0</v>
      </c>
    </row>
    <row r="197" spans="1:11" s="285" customFormat="1" hidden="1" x14ac:dyDescent="0.25">
      <c r="A197" s="118">
        <v>44</v>
      </c>
      <c r="B197" s="151">
        <v>1210</v>
      </c>
      <c r="C197" s="94" t="s">
        <v>118</v>
      </c>
      <c r="D197" s="122">
        <v>0</v>
      </c>
      <c r="E197" s="98"/>
      <c r="F197" s="85">
        <v>0</v>
      </c>
      <c r="G197" s="428">
        <v>0</v>
      </c>
      <c r="H197" s="85">
        <f t="shared" si="18"/>
        <v>0</v>
      </c>
      <c r="I197" s="428"/>
      <c r="J197" s="428">
        <f t="shared" si="19"/>
        <v>0</v>
      </c>
      <c r="K197" s="428">
        <f t="shared" si="20"/>
        <v>0</v>
      </c>
    </row>
    <row r="198" spans="1:11" s="285" customFormat="1" hidden="1" x14ac:dyDescent="0.25">
      <c r="A198" s="118">
        <v>44</v>
      </c>
      <c r="B198" s="151">
        <v>1215</v>
      </c>
      <c r="C198" s="94" t="s">
        <v>133</v>
      </c>
      <c r="D198" s="122">
        <v>0</v>
      </c>
      <c r="E198" s="98"/>
      <c r="F198" s="85">
        <v>0</v>
      </c>
      <c r="G198" s="428">
        <v>0</v>
      </c>
      <c r="H198" s="85">
        <f t="shared" si="18"/>
        <v>0</v>
      </c>
      <c r="I198" s="428"/>
      <c r="J198" s="428">
        <f t="shared" si="19"/>
        <v>0</v>
      </c>
      <c r="K198" s="428">
        <f t="shared" si="20"/>
        <v>0</v>
      </c>
    </row>
    <row r="199" spans="1:11" s="285" customFormat="1" hidden="1" x14ac:dyDescent="0.25">
      <c r="A199" s="118">
        <v>44</v>
      </c>
      <c r="B199" s="151">
        <v>5905</v>
      </c>
      <c r="C199" s="94" t="s">
        <v>329</v>
      </c>
      <c r="D199" s="85">
        <v>0</v>
      </c>
      <c r="E199" s="85"/>
      <c r="F199" s="85">
        <v>0</v>
      </c>
      <c r="G199" s="428">
        <v>0</v>
      </c>
      <c r="H199" s="85">
        <f t="shared" si="18"/>
        <v>0</v>
      </c>
      <c r="I199" s="428"/>
      <c r="J199" s="428">
        <f t="shared" si="19"/>
        <v>0</v>
      </c>
      <c r="K199" s="428">
        <f t="shared" si="20"/>
        <v>0</v>
      </c>
    </row>
    <row r="200" spans="1:11" s="285" customFormat="1" x14ac:dyDescent="0.25">
      <c r="A200" s="118">
        <v>44</v>
      </c>
      <c r="B200" s="151">
        <v>5900</v>
      </c>
      <c r="C200" s="94" t="s">
        <v>333</v>
      </c>
      <c r="D200" s="85">
        <v>-16125</v>
      </c>
      <c r="E200" s="85">
        <v>-17024</v>
      </c>
      <c r="F200" s="85">
        <v>-17024</v>
      </c>
      <c r="G200" s="428">
        <v>-17024</v>
      </c>
      <c r="H200" s="85">
        <f t="shared" si="18"/>
        <v>-18726.400000000001</v>
      </c>
      <c r="I200" s="428">
        <v>-18726</v>
      </c>
      <c r="J200" s="428">
        <f t="shared" si="19"/>
        <v>-19755.93</v>
      </c>
      <c r="K200" s="428">
        <f t="shared" si="20"/>
        <v>-20802.994289999999</v>
      </c>
    </row>
    <row r="201" spans="1:11" s="285" customFormat="1" hidden="1" x14ac:dyDescent="0.25">
      <c r="A201" s="118">
        <v>44</v>
      </c>
      <c r="B201" s="151">
        <v>1220</v>
      </c>
      <c r="C201" s="94" t="s">
        <v>340</v>
      </c>
      <c r="D201" s="122"/>
      <c r="E201" s="98">
        <v>0</v>
      </c>
      <c r="F201" s="85">
        <v>0</v>
      </c>
      <c r="G201" s="428">
        <v>0</v>
      </c>
      <c r="H201" s="85">
        <f t="shared" si="18"/>
        <v>0</v>
      </c>
      <c r="I201" s="428"/>
      <c r="J201" s="85"/>
      <c r="K201" s="85"/>
    </row>
    <row r="202" spans="1:11" s="285" customFormat="1" hidden="1" x14ac:dyDescent="0.25">
      <c r="A202" s="118">
        <v>44</v>
      </c>
      <c r="B202" s="151">
        <v>1225</v>
      </c>
      <c r="C202" s="94" t="s">
        <v>370</v>
      </c>
      <c r="D202" s="122"/>
      <c r="E202" s="98">
        <v>0</v>
      </c>
      <c r="F202" s="85">
        <v>0</v>
      </c>
      <c r="G202" s="428">
        <v>0</v>
      </c>
      <c r="H202" s="85">
        <f t="shared" si="18"/>
        <v>0</v>
      </c>
      <c r="I202" s="428"/>
      <c r="J202" s="85"/>
      <c r="K202" s="85"/>
    </row>
    <row r="203" spans="1:11" s="285" customFormat="1" hidden="1" x14ac:dyDescent="0.25">
      <c r="A203" s="118">
        <v>44</v>
      </c>
      <c r="B203" s="151">
        <v>1230</v>
      </c>
      <c r="C203" s="94" t="s">
        <v>119</v>
      </c>
      <c r="D203" s="122"/>
      <c r="E203" s="98">
        <v>0</v>
      </c>
      <c r="F203" s="85">
        <v>0</v>
      </c>
      <c r="G203" s="428">
        <v>0</v>
      </c>
      <c r="H203" s="85">
        <f t="shared" si="18"/>
        <v>0</v>
      </c>
      <c r="I203" s="428"/>
      <c r="J203" s="85"/>
      <c r="K203" s="85"/>
    </row>
    <row r="204" spans="1:11" s="285" customFormat="1" hidden="1" x14ac:dyDescent="0.25">
      <c r="A204" s="118">
        <v>44</v>
      </c>
      <c r="B204" s="151">
        <v>1235</v>
      </c>
      <c r="C204" s="94" t="s">
        <v>347</v>
      </c>
      <c r="D204" s="122"/>
      <c r="E204" s="98">
        <v>0</v>
      </c>
      <c r="F204" s="85">
        <v>0</v>
      </c>
      <c r="G204" s="428">
        <v>0</v>
      </c>
      <c r="H204" s="85">
        <f t="shared" si="18"/>
        <v>0</v>
      </c>
      <c r="I204" s="428"/>
      <c r="J204" s="85"/>
      <c r="K204" s="85"/>
    </row>
    <row r="205" spans="1:11" s="285" customFormat="1" x14ac:dyDescent="0.25">
      <c r="A205" s="118"/>
      <c r="B205" s="151"/>
      <c r="C205" s="94" t="s">
        <v>510</v>
      </c>
      <c r="D205" s="225"/>
      <c r="E205" s="85"/>
      <c r="F205" s="85">
        <v>0</v>
      </c>
      <c r="G205" s="428">
        <v>0</v>
      </c>
      <c r="H205" s="85">
        <f t="shared" si="18"/>
        <v>0</v>
      </c>
      <c r="I205" s="428"/>
      <c r="J205" s="85"/>
      <c r="K205" s="85"/>
    </row>
    <row r="206" spans="1:11" s="285" customFormat="1" x14ac:dyDescent="0.25">
      <c r="A206" s="344"/>
      <c r="B206" s="151"/>
      <c r="C206" s="94"/>
      <c r="D206" s="437">
        <f>SUM(D176:D204)</f>
        <v>13031057.08</v>
      </c>
      <c r="E206" s="100">
        <f>SUM(E176:E204)</f>
        <v>13812470.024800003</v>
      </c>
      <c r="F206" s="437">
        <f>SUM(F176:F204)</f>
        <v>16612470.024800003</v>
      </c>
      <c r="G206" s="437">
        <f>SUM(G176:G204)</f>
        <v>16612470.024800003</v>
      </c>
      <c r="H206" s="100">
        <f>SUM(H181:H205)</f>
        <v>18273717.027280003</v>
      </c>
      <c r="I206" s="437">
        <f>SUM(I181:I205)</f>
        <v>19642054.009142794</v>
      </c>
      <c r="J206" s="437">
        <f>SUM(J181:J205)</f>
        <v>20722366.979645647</v>
      </c>
      <c r="K206" s="437">
        <f>SUM(K181:K205)</f>
        <v>21820652.42956686</v>
      </c>
    </row>
    <row r="207" spans="1:11" s="285" customFormat="1" hidden="1" x14ac:dyDescent="0.25">
      <c r="A207" s="344"/>
      <c r="B207" s="151"/>
      <c r="C207" s="93" t="s">
        <v>66</v>
      </c>
      <c r="D207" s="122"/>
      <c r="E207" s="98"/>
      <c r="F207" s="98"/>
      <c r="G207" s="435"/>
      <c r="H207" s="98"/>
      <c r="I207" s="435"/>
      <c r="J207" s="98"/>
      <c r="K207" s="98"/>
    </row>
    <row r="208" spans="1:11" s="285" customFormat="1" hidden="1" x14ac:dyDescent="0.25">
      <c r="A208" s="118">
        <v>44</v>
      </c>
      <c r="B208" s="151">
        <v>1305</v>
      </c>
      <c r="C208" s="94" t="s">
        <v>342</v>
      </c>
      <c r="D208" s="122"/>
      <c r="E208" s="98"/>
      <c r="F208" s="98">
        <v>0</v>
      </c>
      <c r="G208" s="435">
        <v>0</v>
      </c>
      <c r="H208" s="98"/>
      <c r="I208" s="435"/>
      <c r="J208" s="98"/>
      <c r="K208" s="98"/>
    </row>
    <row r="209" spans="1:11" s="285" customFormat="1" hidden="1" x14ac:dyDescent="0.25">
      <c r="A209" s="118">
        <v>44</v>
      </c>
      <c r="B209" s="151">
        <v>1310</v>
      </c>
      <c r="C209" s="94" t="s">
        <v>344</v>
      </c>
      <c r="D209" s="122"/>
      <c r="E209" s="98"/>
      <c r="F209" s="98">
        <v>0</v>
      </c>
      <c r="G209" s="435">
        <v>0</v>
      </c>
      <c r="H209" s="98"/>
      <c r="I209" s="435"/>
      <c r="J209" s="98"/>
      <c r="K209" s="98"/>
    </row>
    <row r="210" spans="1:11" s="285" customFormat="1" hidden="1" x14ac:dyDescent="0.25">
      <c r="A210" s="118">
        <v>44</v>
      </c>
      <c r="B210" s="151">
        <v>1320</v>
      </c>
      <c r="C210" s="94" t="s">
        <v>345</v>
      </c>
      <c r="D210" s="122"/>
      <c r="E210" s="98"/>
      <c r="F210" s="98">
        <v>0</v>
      </c>
      <c r="G210" s="435">
        <v>0</v>
      </c>
      <c r="H210" s="98"/>
      <c r="I210" s="435"/>
      <c r="J210" s="98"/>
      <c r="K210" s="98"/>
    </row>
    <row r="211" spans="1:11" s="285" customFormat="1" hidden="1" x14ac:dyDescent="0.25">
      <c r="A211" s="118">
        <v>44</v>
      </c>
      <c r="B211" s="151">
        <v>1315</v>
      </c>
      <c r="C211" s="94" t="s">
        <v>346</v>
      </c>
      <c r="D211" s="122"/>
      <c r="E211" s="108"/>
      <c r="F211" s="98">
        <v>0</v>
      </c>
      <c r="G211" s="435">
        <v>0</v>
      </c>
      <c r="H211" s="98"/>
      <c r="I211" s="435"/>
      <c r="J211" s="98"/>
      <c r="K211" s="108"/>
    </row>
    <row r="212" spans="1:11" s="285" customFormat="1" hidden="1" x14ac:dyDescent="0.25">
      <c r="A212" s="344"/>
      <c r="B212" s="151"/>
      <c r="C212" s="94"/>
      <c r="D212" s="99"/>
      <c r="E212" s="99">
        <f>SUM(E208:E211)</f>
        <v>0</v>
      </c>
      <c r="F212" s="99">
        <v>0</v>
      </c>
      <c r="G212" s="436">
        <v>0</v>
      </c>
      <c r="H212" s="99"/>
      <c r="I212" s="436"/>
      <c r="J212" s="99"/>
      <c r="K212" s="99"/>
    </row>
    <row r="213" spans="1:11" s="285" customFormat="1" hidden="1" x14ac:dyDescent="0.25">
      <c r="A213" s="344"/>
      <c r="B213" s="151"/>
      <c r="C213" s="93" t="s">
        <v>67</v>
      </c>
      <c r="D213" s="122"/>
      <c r="E213" s="98"/>
      <c r="F213" s="98"/>
      <c r="G213" s="435"/>
      <c r="H213" s="98"/>
      <c r="I213" s="435"/>
      <c r="J213" s="98"/>
      <c r="K213" s="98"/>
    </row>
    <row r="214" spans="1:11" s="285" customFormat="1" hidden="1" x14ac:dyDescent="0.25">
      <c r="A214" s="118">
        <v>44</v>
      </c>
      <c r="B214" s="151">
        <v>1400</v>
      </c>
      <c r="C214" s="94" t="s">
        <v>68</v>
      </c>
      <c r="D214" s="122"/>
      <c r="E214" s="108"/>
      <c r="F214" s="98"/>
      <c r="G214" s="435"/>
      <c r="H214" s="98"/>
      <c r="I214" s="435"/>
      <c r="J214" s="98"/>
      <c r="K214" s="108"/>
    </row>
    <row r="215" spans="1:11" s="285" customFormat="1" hidden="1" x14ac:dyDescent="0.25">
      <c r="A215" s="118">
        <v>44</v>
      </c>
      <c r="B215" s="151">
        <v>1405</v>
      </c>
      <c r="C215" s="94" t="s">
        <v>69</v>
      </c>
      <c r="D215" s="122"/>
      <c r="E215" s="108"/>
      <c r="F215" s="98"/>
      <c r="G215" s="435"/>
      <c r="H215" s="98"/>
      <c r="I215" s="435"/>
      <c r="J215" s="98"/>
      <c r="K215" s="108"/>
    </row>
    <row r="216" spans="1:11" s="285" customFormat="1" hidden="1" x14ac:dyDescent="0.25">
      <c r="A216" s="344"/>
      <c r="B216" s="151"/>
      <c r="C216" s="94"/>
      <c r="D216" s="99"/>
      <c r="E216" s="99">
        <f>SUM(E214:E215)</f>
        <v>0</v>
      </c>
      <c r="F216" s="99">
        <v>0</v>
      </c>
      <c r="G216" s="436">
        <v>0</v>
      </c>
      <c r="H216" s="99"/>
      <c r="I216" s="436"/>
      <c r="J216" s="99"/>
      <c r="K216" s="99"/>
    </row>
    <row r="217" spans="1:11" s="285" customFormat="1" hidden="1" x14ac:dyDescent="0.25">
      <c r="A217" s="344"/>
      <c r="B217" s="151"/>
      <c r="C217" s="93" t="s">
        <v>70</v>
      </c>
      <c r="D217" s="122"/>
      <c r="E217" s="98"/>
      <c r="F217" s="98"/>
      <c r="G217" s="435"/>
      <c r="H217" s="98"/>
      <c r="I217" s="435"/>
      <c r="J217" s="98"/>
      <c r="K217" s="98"/>
    </row>
    <row r="218" spans="1:11" s="285" customFormat="1" hidden="1" x14ac:dyDescent="0.25">
      <c r="A218" s="118">
        <v>44</v>
      </c>
      <c r="B218" s="151">
        <v>1500</v>
      </c>
      <c r="C218" s="94" t="s">
        <v>106</v>
      </c>
      <c r="D218" s="122"/>
      <c r="E218" s="108"/>
      <c r="F218" s="98"/>
      <c r="G218" s="435"/>
      <c r="H218" s="98"/>
      <c r="I218" s="435"/>
      <c r="J218" s="98"/>
      <c r="K218" s="108"/>
    </row>
    <row r="219" spans="1:11" s="285" customFormat="1" hidden="1" x14ac:dyDescent="0.25">
      <c r="A219" s="118">
        <v>44</v>
      </c>
      <c r="B219" s="151">
        <v>1505</v>
      </c>
      <c r="C219" s="94" t="s">
        <v>71</v>
      </c>
      <c r="D219" s="122"/>
      <c r="E219" s="108"/>
      <c r="F219" s="98"/>
      <c r="G219" s="435"/>
      <c r="H219" s="98"/>
      <c r="I219" s="435"/>
      <c r="J219" s="98"/>
      <c r="K219" s="108"/>
    </row>
    <row r="220" spans="1:11" s="285" customFormat="1" hidden="1" x14ac:dyDescent="0.25">
      <c r="A220" s="118">
        <v>44</v>
      </c>
      <c r="B220" s="151">
        <v>1510</v>
      </c>
      <c r="C220" s="94" t="s">
        <v>72</v>
      </c>
      <c r="D220" s="122"/>
      <c r="E220" s="108"/>
      <c r="F220" s="98"/>
      <c r="G220" s="435"/>
      <c r="H220" s="98"/>
      <c r="I220" s="435"/>
      <c r="J220" s="98"/>
      <c r="K220" s="108"/>
    </row>
    <row r="221" spans="1:11" s="285" customFormat="1" hidden="1" x14ac:dyDescent="0.25">
      <c r="A221" s="344"/>
      <c r="B221" s="151"/>
      <c r="C221" s="94"/>
      <c r="D221" s="99"/>
      <c r="E221" s="99">
        <f>SUM(E218:E220)</f>
        <v>0</v>
      </c>
      <c r="F221" s="99">
        <v>0</v>
      </c>
      <c r="G221" s="436">
        <v>0</v>
      </c>
      <c r="H221" s="99"/>
      <c r="I221" s="436"/>
      <c r="J221" s="99"/>
      <c r="K221" s="99"/>
    </row>
    <row r="222" spans="1:11" s="285" customFormat="1" hidden="1" x14ac:dyDescent="0.25">
      <c r="A222" s="344"/>
      <c r="B222" s="151"/>
      <c r="C222" s="93" t="s">
        <v>73</v>
      </c>
      <c r="D222" s="122"/>
      <c r="E222" s="98"/>
      <c r="F222" s="98"/>
      <c r="G222" s="435"/>
      <c r="H222" s="98"/>
      <c r="I222" s="435"/>
      <c r="J222" s="98"/>
      <c r="K222" s="98"/>
    </row>
    <row r="223" spans="1:11" s="285" customFormat="1" hidden="1" x14ac:dyDescent="0.25">
      <c r="A223" s="118">
        <v>44</v>
      </c>
      <c r="B223" s="151">
        <v>1550</v>
      </c>
      <c r="C223" s="94" t="s">
        <v>349</v>
      </c>
      <c r="D223" s="122"/>
      <c r="E223" s="98"/>
      <c r="F223" s="98"/>
      <c r="G223" s="435"/>
      <c r="H223" s="98"/>
      <c r="I223" s="435"/>
      <c r="J223" s="98"/>
      <c r="K223" s="98"/>
    </row>
    <row r="224" spans="1:11" s="285" customFormat="1" hidden="1" x14ac:dyDescent="0.25">
      <c r="A224" s="118">
        <v>44</v>
      </c>
      <c r="B224" s="151">
        <v>1555</v>
      </c>
      <c r="C224" s="94" t="s">
        <v>348</v>
      </c>
      <c r="D224" s="122"/>
      <c r="E224" s="98"/>
      <c r="F224" s="98"/>
      <c r="G224" s="435"/>
      <c r="H224" s="98"/>
      <c r="I224" s="435"/>
      <c r="J224" s="98"/>
      <c r="K224" s="108"/>
    </row>
    <row r="225" spans="1:11" s="285" customFormat="1" hidden="1" x14ac:dyDescent="0.25">
      <c r="A225" s="344"/>
      <c r="B225" s="151"/>
      <c r="C225" s="94"/>
      <c r="D225" s="100"/>
      <c r="E225" s="100">
        <f>SUM(E223:E224)</f>
        <v>0</v>
      </c>
      <c r="F225" s="100">
        <v>0</v>
      </c>
      <c r="G225" s="437">
        <v>0</v>
      </c>
      <c r="H225" s="100"/>
      <c r="I225" s="437"/>
      <c r="J225" s="100"/>
      <c r="K225" s="100"/>
    </row>
    <row r="226" spans="1:11" s="285" customFormat="1" ht="13.5" customHeight="1" x14ac:dyDescent="0.25">
      <c r="A226" s="344"/>
      <c r="B226" s="151"/>
      <c r="C226" s="93" t="s">
        <v>74</v>
      </c>
      <c r="D226" s="122"/>
      <c r="E226" s="98"/>
      <c r="F226" s="98"/>
      <c r="G226" s="435"/>
      <c r="H226" s="98"/>
      <c r="I226" s="435"/>
      <c r="J226" s="98"/>
      <c r="K226" s="98"/>
    </row>
    <row r="227" spans="1:11" s="285" customFormat="1" x14ac:dyDescent="0.25">
      <c r="A227" s="118">
        <v>44</v>
      </c>
      <c r="B227" s="151">
        <v>1605</v>
      </c>
      <c r="C227" s="94" t="s">
        <v>75</v>
      </c>
      <c r="D227" s="122">
        <v>9000000</v>
      </c>
      <c r="E227" s="98">
        <v>9000000</v>
      </c>
      <c r="F227" s="85">
        <v>9000000</v>
      </c>
      <c r="G227" s="86">
        <v>9000000</v>
      </c>
      <c r="H227" s="86">
        <v>9333000</v>
      </c>
      <c r="I227" s="86">
        <v>13248150</v>
      </c>
      <c r="J227" s="98">
        <v>12901950</v>
      </c>
      <c r="K227" s="85">
        <f>12536400+2747405</f>
        <v>15283805</v>
      </c>
    </row>
    <row r="228" spans="1:11" s="285" customFormat="1" hidden="1" x14ac:dyDescent="0.25">
      <c r="A228" s="118">
        <v>44</v>
      </c>
      <c r="B228" s="151">
        <v>1610</v>
      </c>
      <c r="C228" s="94" t="s">
        <v>131</v>
      </c>
      <c r="D228" s="122"/>
      <c r="E228" s="98"/>
      <c r="F228" s="98"/>
      <c r="G228" s="435"/>
      <c r="H228" s="98"/>
      <c r="I228" s="435"/>
      <c r="J228" s="98"/>
      <c r="K228" s="98"/>
    </row>
    <row r="229" spans="1:11" s="285" customFormat="1" hidden="1" x14ac:dyDescent="0.25">
      <c r="A229" s="118">
        <v>44</v>
      </c>
      <c r="B229" s="151">
        <v>1615</v>
      </c>
      <c r="C229" s="94" t="s">
        <v>182</v>
      </c>
      <c r="D229" s="122"/>
      <c r="E229" s="98"/>
      <c r="F229" s="98"/>
      <c r="G229" s="435"/>
      <c r="H229" s="98"/>
      <c r="I229" s="435"/>
      <c r="J229" s="98"/>
      <c r="K229" s="98"/>
    </row>
    <row r="230" spans="1:11" s="285" customFormat="1" hidden="1" x14ac:dyDescent="0.25">
      <c r="A230" s="118">
        <v>44</v>
      </c>
      <c r="B230" s="151">
        <v>1620</v>
      </c>
      <c r="C230" s="94" t="s">
        <v>255</v>
      </c>
      <c r="D230" s="122"/>
      <c r="E230" s="98"/>
      <c r="F230" s="98"/>
      <c r="G230" s="435"/>
      <c r="H230" s="98"/>
      <c r="I230" s="435"/>
      <c r="J230" s="98"/>
      <c r="K230" s="98"/>
    </row>
    <row r="231" spans="1:11" s="285" customFormat="1" hidden="1" x14ac:dyDescent="0.25">
      <c r="A231" s="118">
        <v>44</v>
      </c>
      <c r="B231" s="151">
        <v>1625</v>
      </c>
      <c r="C231" s="94" t="s">
        <v>108</v>
      </c>
      <c r="D231" s="122"/>
      <c r="E231" s="98"/>
      <c r="F231" s="98"/>
      <c r="G231" s="435"/>
      <c r="H231" s="98"/>
      <c r="I231" s="435"/>
      <c r="J231" s="98"/>
      <c r="K231" s="98"/>
    </row>
    <row r="232" spans="1:11" s="285" customFormat="1" hidden="1" x14ac:dyDescent="0.25">
      <c r="A232" s="118">
        <v>44</v>
      </c>
      <c r="B232" s="151">
        <v>1630</v>
      </c>
      <c r="C232" s="94" t="s">
        <v>76</v>
      </c>
      <c r="D232" s="122"/>
      <c r="E232" s="98"/>
      <c r="F232" s="98"/>
      <c r="G232" s="435"/>
      <c r="H232" s="98"/>
      <c r="I232" s="435"/>
      <c r="J232" s="98"/>
      <c r="K232" s="98"/>
    </row>
    <row r="233" spans="1:11" s="285" customFormat="1" hidden="1" x14ac:dyDescent="0.25">
      <c r="A233" s="118">
        <v>44</v>
      </c>
      <c r="B233" s="151">
        <v>1635</v>
      </c>
      <c r="C233" s="94" t="s">
        <v>180</v>
      </c>
      <c r="D233" s="122"/>
      <c r="E233" s="98"/>
      <c r="F233" s="98"/>
      <c r="G233" s="435"/>
      <c r="H233" s="98"/>
      <c r="I233" s="435"/>
      <c r="J233" s="98"/>
      <c r="K233" s="98"/>
    </row>
    <row r="234" spans="1:11" s="285" customFormat="1" hidden="1" x14ac:dyDescent="0.25">
      <c r="A234" s="118">
        <v>44</v>
      </c>
      <c r="B234" s="151">
        <v>1640</v>
      </c>
      <c r="C234" s="94" t="s">
        <v>184</v>
      </c>
      <c r="D234" s="122"/>
      <c r="E234" s="98"/>
      <c r="F234" s="98"/>
      <c r="G234" s="435"/>
      <c r="H234" s="98"/>
      <c r="I234" s="435"/>
      <c r="J234" s="98"/>
      <c r="K234" s="98"/>
    </row>
    <row r="235" spans="1:11" s="285" customFormat="1" hidden="1" x14ac:dyDescent="0.25">
      <c r="A235" s="118">
        <v>44</v>
      </c>
      <c r="B235" s="151">
        <v>1645</v>
      </c>
      <c r="C235" s="94" t="s">
        <v>77</v>
      </c>
      <c r="D235" s="122"/>
      <c r="E235" s="98"/>
      <c r="F235" s="98"/>
      <c r="G235" s="435"/>
      <c r="H235" s="98"/>
      <c r="I235" s="435"/>
      <c r="J235" s="98"/>
      <c r="K235" s="98"/>
    </row>
    <row r="236" spans="1:11" s="285" customFormat="1" hidden="1" x14ac:dyDescent="0.25">
      <c r="A236" s="118">
        <v>44</v>
      </c>
      <c r="B236" s="151">
        <v>1650</v>
      </c>
      <c r="C236" s="94" t="s">
        <v>78</v>
      </c>
      <c r="D236" s="122"/>
      <c r="E236" s="98"/>
      <c r="F236" s="98"/>
      <c r="G236" s="435"/>
      <c r="H236" s="98"/>
      <c r="I236" s="435"/>
      <c r="J236" s="98"/>
      <c r="K236" s="98"/>
    </row>
    <row r="237" spans="1:11" s="285" customFormat="1" hidden="1" x14ac:dyDescent="0.25">
      <c r="A237" s="118">
        <v>44</v>
      </c>
      <c r="B237" s="151"/>
      <c r="C237" s="94" t="s">
        <v>200</v>
      </c>
      <c r="D237" s="122"/>
      <c r="E237" s="98"/>
      <c r="F237" s="98"/>
      <c r="G237" s="435"/>
      <c r="H237" s="98"/>
      <c r="I237" s="435"/>
      <c r="J237" s="98"/>
      <c r="K237" s="98"/>
    </row>
    <row r="238" spans="1:11" s="285" customFormat="1" hidden="1" x14ac:dyDescent="0.25">
      <c r="A238" s="118">
        <v>44</v>
      </c>
      <c r="B238" s="151">
        <v>1660</v>
      </c>
      <c r="C238" s="94" t="s">
        <v>185</v>
      </c>
      <c r="D238" s="122"/>
      <c r="E238" s="98"/>
      <c r="F238" s="98"/>
      <c r="G238" s="435"/>
      <c r="H238" s="98"/>
      <c r="I238" s="435"/>
      <c r="J238" s="98"/>
      <c r="K238" s="98"/>
    </row>
    <row r="239" spans="1:11" s="285" customFormat="1" hidden="1" x14ac:dyDescent="0.25">
      <c r="A239" s="118">
        <v>44</v>
      </c>
      <c r="B239" s="151">
        <v>1665</v>
      </c>
      <c r="C239" s="94" t="s">
        <v>181</v>
      </c>
      <c r="D239" s="122"/>
      <c r="E239" s="98"/>
      <c r="F239" s="98"/>
      <c r="G239" s="435"/>
      <c r="H239" s="98"/>
      <c r="I239" s="435"/>
      <c r="J239" s="98"/>
      <c r="K239" s="98"/>
    </row>
    <row r="240" spans="1:11" s="285" customFormat="1" x14ac:dyDescent="0.25">
      <c r="A240" s="344"/>
      <c r="B240" s="151"/>
      <c r="C240" s="94"/>
      <c r="D240" s="99">
        <v>9000000</v>
      </c>
      <c r="E240" s="99">
        <f>SUM(E227:E227)</f>
        <v>9000000</v>
      </c>
      <c r="F240" s="99">
        <f>SUM(F227:F227)</f>
        <v>9000000</v>
      </c>
      <c r="G240" s="436">
        <v>9000000</v>
      </c>
      <c r="H240" s="436">
        <f>SUM(H227:H227)</f>
        <v>9333000</v>
      </c>
      <c r="I240" s="436">
        <f>SUM(I227:I227)</f>
        <v>13248150</v>
      </c>
      <c r="J240" s="436">
        <f>SUM(J227:J227)</f>
        <v>12901950</v>
      </c>
      <c r="K240" s="436">
        <f>SUM(K227:K227)</f>
        <v>15283805</v>
      </c>
    </row>
    <row r="241" spans="1:11" s="285" customFormat="1" hidden="1" x14ac:dyDescent="0.25">
      <c r="A241" s="344"/>
      <c r="B241" s="151"/>
      <c r="C241" s="93" t="s">
        <v>79</v>
      </c>
      <c r="D241" s="122"/>
      <c r="E241" s="98"/>
      <c r="F241" s="98"/>
      <c r="G241" s="435"/>
      <c r="H241" s="435"/>
      <c r="I241" s="435"/>
      <c r="J241" s="435"/>
      <c r="K241" s="435"/>
    </row>
    <row r="242" spans="1:11" s="285" customFormat="1" hidden="1" x14ac:dyDescent="0.25">
      <c r="A242" s="118">
        <v>44</v>
      </c>
      <c r="B242" s="151">
        <v>1705</v>
      </c>
      <c r="C242" s="94" t="s">
        <v>123</v>
      </c>
      <c r="D242" s="122">
        <v>0</v>
      </c>
      <c r="E242" s="98"/>
      <c r="F242" s="98"/>
      <c r="G242" s="435"/>
      <c r="H242" s="435"/>
      <c r="I242" s="435"/>
      <c r="J242" s="435"/>
      <c r="K242" s="435"/>
    </row>
    <row r="243" spans="1:11" s="285" customFormat="1" hidden="1" x14ac:dyDescent="0.25">
      <c r="A243" s="118">
        <v>44</v>
      </c>
      <c r="B243" s="151">
        <v>1710</v>
      </c>
      <c r="C243" s="94" t="s">
        <v>242</v>
      </c>
      <c r="D243" s="122">
        <v>0</v>
      </c>
      <c r="E243" s="98"/>
      <c r="F243" s="98"/>
      <c r="G243" s="435"/>
      <c r="H243" s="435"/>
      <c r="I243" s="435"/>
      <c r="J243" s="435"/>
      <c r="K243" s="435"/>
    </row>
    <row r="244" spans="1:11" s="285" customFormat="1" hidden="1" x14ac:dyDescent="0.25">
      <c r="A244" s="118">
        <v>44</v>
      </c>
      <c r="B244" s="151">
        <v>1715</v>
      </c>
      <c r="C244" s="94" t="s">
        <v>183</v>
      </c>
      <c r="D244" s="122">
        <v>0</v>
      </c>
      <c r="E244" s="98"/>
      <c r="F244" s="98"/>
      <c r="G244" s="435"/>
      <c r="H244" s="435"/>
      <c r="I244" s="435"/>
      <c r="J244" s="435"/>
      <c r="K244" s="435"/>
    </row>
    <row r="245" spans="1:11" s="285" customFormat="1" hidden="1" x14ac:dyDescent="0.25">
      <c r="A245" s="118">
        <v>44</v>
      </c>
      <c r="B245" s="151">
        <v>1720</v>
      </c>
      <c r="C245" s="94" t="s">
        <v>103</v>
      </c>
      <c r="D245" s="122">
        <v>0</v>
      </c>
      <c r="E245" s="98"/>
      <c r="F245" s="98"/>
      <c r="G245" s="435"/>
      <c r="H245" s="435"/>
      <c r="I245" s="435"/>
      <c r="J245" s="435"/>
      <c r="K245" s="435"/>
    </row>
    <row r="246" spans="1:11" s="285" customFormat="1" hidden="1" x14ac:dyDescent="0.25">
      <c r="A246" s="118">
        <v>44</v>
      </c>
      <c r="B246" s="151">
        <v>1725</v>
      </c>
      <c r="C246" s="94" t="s">
        <v>107</v>
      </c>
      <c r="D246" s="122">
        <v>0</v>
      </c>
      <c r="E246" s="98"/>
      <c r="F246" s="98"/>
      <c r="G246" s="435"/>
      <c r="H246" s="435"/>
      <c r="I246" s="435"/>
      <c r="J246" s="435"/>
      <c r="K246" s="435"/>
    </row>
    <row r="247" spans="1:11" s="285" customFormat="1" hidden="1" x14ac:dyDescent="0.25">
      <c r="A247" s="118">
        <v>44</v>
      </c>
      <c r="B247" s="151">
        <v>1730</v>
      </c>
      <c r="C247" s="94" t="s">
        <v>256</v>
      </c>
      <c r="D247" s="122">
        <v>0</v>
      </c>
      <c r="E247" s="98"/>
      <c r="F247" s="98"/>
      <c r="G247" s="435"/>
      <c r="H247" s="435"/>
      <c r="I247" s="435"/>
      <c r="J247" s="435"/>
      <c r="K247" s="435"/>
    </row>
    <row r="248" spans="1:11" s="285" customFormat="1" hidden="1" x14ac:dyDescent="0.25">
      <c r="A248" s="344"/>
      <c r="B248" s="151"/>
      <c r="C248" s="94"/>
      <c r="D248" s="99">
        <v>0</v>
      </c>
      <c r="E248" s="99">
        <f>SUM(E242:E247)</f>
        <v>0</v>
      </c>
      <c r="F248" s="99">
        <f>SUM(F242:F247)</f>
        <v>0</v>
      </c>
      <c r="G248" s="436">
        <v>0</v>
      </c>
      <c r="H248" s="436">
        <f>SUM(H242:H247)</f>
        <v>0</v>
      </c>
      <c r="I248" s="436">
        <f>SUM(I242:I247)</f>
        <v>0</v>
      </c>
      <c r="J248" s="436">
        <f>SUM(J242:J247)</f>
        <v>0</v>
      </c>
      <c r="K248" s="436">
        <f>SUM(K242:K247)</f>
        <v>0</v>
      </c>
    </row>
    <row r="249" spans="1:11" s="285" customFormat="1" hidden="1" x14ac:dyDescent="0.25">
      <c r="A249" s="344"/>
      <c r="B249" s="151"/>
      <c r="C249" s="93" t="s">
        <v>80</v>
      </c>
      <c r="D249" s="122"/>
      <c r="E249" s="98"/>
      <c r="F249" s="98"/>
      <c r="G249" s="435"/>
      <c r="H249" s="435"/>
      <c r="I249" s="435"/>
      <c r="J249" s="435"/>
      <c r="K249" s="435"/>
    </row>
    <row r="250" spans="1:11" s="285" customFormat="1" hidden="1" x14ac:dyDescent="0.25">
      <c r="A250" s="118">
        <v>44</v>
      </c>
      <c r="B250" s="151">
        <v>1805</v>
      </c>
      <c r="C250" s="94" t="s">
        <v>81</v>
      </c>
      <c r="D250" s="122">
        <v>0</v>
      </c>
      <c r="E250" s="108"/>
      <c r="F250" s="98"/>
      <c r="G250" s="435"/>
      <c r="H250" s="435"/>
      <c r="I250" s="435"/>
      <c r="J250" s="435"/>
      <c r="K250" s="435"/>
    </row>
    <row r="251" spans="1:11" s="285" customFormat="1" hidden="1" x14ac:dyDescent="0.25">
      <c r="A251" s="344"/>
      <c r="B251" s="151"/>
      <c r="C251" s="94"/>
      <c r="D251" s="99">
        <v>0</v>
      </c>
      <c r="E251" s="99">
        <f>E250</f>
        <v>0</v>
      </c>
      <c r="F251" s="99">
        <f>F250</f>
        <v>0</v>
      </c>
      <c r="G251" s="436">
        <v>0</v>
      </c>
      <c r="H251" s="436">
        <f>H250</f>
        <v>0</v>
      </c>
      <c r="I251" s="436">
        <f>I250</f>
        <v>0</v>
      </c>
      <c r="J251" s="436">
        <f>J250</f>
        <v>0</v>
      </c>
      <c r="K251" s="436">
        <f>K250</f>
        <v>0</v>
      </c>
    </row>
    <row r="252" spans="1:11" s="285" customFormat="1" x14ac:dyDescent="0.25">
      <c r="A252" s="344"/>
      <c r="B252" s="346"/>
      <c r="C252" s="93" t="s">
        <v>192</v>
      </c>
      <c r="D252" s="117">
        <v>22031057.079999998</v>
      </c>
      <c r="E252" s="117">
        <f>SUM(E171:E251)/2</f>
        <v>22812470.024800003</v>
      </c>
      <c r="F252" s="117">
        <f>SUM(F171:F251)/2</f>
        <v>25612470.024800003</v>
      </c>
      <c r="G252" s="442">
        <v>25612470.024800003</v>
      </c>
      <c r="H252" s="442">
        <f>SUM(H171:H251)/2</f>
        <v>27606717.027280003</v>
      </c>
      <c r="I252" s="442">
        <f>SUM(I171:I251)/2</f>
        <v>32890204.009142794</v>
      </c>
      <c r="J252" s="442">
        <f>SUM(J171:J251)/2</f>
        <v>33624316.979645647</v>
      </c>
      <c r="K252" s="442">
        <f>SUM(K171:K251)/2</f>
        <v>37104457.42956686</v>
      </c>
    </row>
    <row r="253" spans="1:11" s="285" customFormat="1" hidden="1" x14ac:dyDescent="0.25">
      <c r="A253" s="344"/>
      <c r="B253" s="151"/>
      <c r="C253" s="94"/>
      <c r="D253" s="117"/>
      <c r="E253" s="117"/>
      <c r="F253" s="117"/>
      <c r="G253" s="442"/>
      <c r="H253" s="442"/>
      <c r="I253" s="442"/>
      <c r="J253" s="442"/>
      <c r="K253" s="442"/>
    </row>
    <row r="254" spans="1:11" s="285" customFormat="1" hidden="1" x14ac:dyDescent="0.25">
      <c r="A254" s="344"/>
      <c r="B254" s="151"/>
      <c r="C254" s="145" t="s">
        <v>193</v>
      </c>
      <c r="D254" s="124"/>
      <c r="E254" s="146"/>
      <c r="F254" s="124"/>
      <c r="G254" s="445"/>
      <c r="H254" s="445"/>
      <c r="I254" s="445"/>
      <c r="J254" s="445"/>
      <c r="K254" s="445"/>
    </row>
    <row r="255" spans="1:11" s="285" customFormat="1" hidden="1" x14ac:dyDescent="0.25">
      <c r="A255" s="118">
        <v>44</v>
      </c>
      <c r="B255" s="151">
        <v>1905</v>
      </c>
      <c r="C255" s="118" t="s">
        <v>194</v>
      </c>
      <c r="D255" s="127">
        <v>0</v>
      </c>
      <c r="E255" s="147"/>
      <c r="F255" s="98"/>
      <c r="G255" s="435"/>
      <c r="H255" s="435"/>
      <c r="I255" s="435"/>
      <c r="J255" s="435"/>
      <c r="K255" s="435"/>
    </row>
    <row r="256" spans="1:11" s="285" customFormat="1" hidden="1" x14ac:dyDescent="0.25">
      <c r="A256" s="344"/>
      <c r="B256" s="151"/>
      <c r="C256" s="94"/>
      <c r="D256" s="117">
        <v>0</v>
      </c>
      <c r="E256" s="117">
        <f>SUM(E255)</f>
        <v>0</v>
      </c>
      <c r="F256" s="117">
        <f>SUM(F255)</f>
        <v>0</v>
      </c>
      <c r="G256" s="442">
        <v>0</v>
      </c>
      <c r="H256" s="442">
        <f>SUM(H255)</f>
        <v>0</v>
      </c>
      <c r="I256" s="442">
        <f>SUM(I255)</f>
        <v>0</v>
      </c>
      <c r="J256" s="442">
        <f>SUM(J255)</f>
        <v>0</v>
      </c>
      <c r="K256" s="442">
        <f>SUM(K255)</f>
        <v>0</v>
      </c>
    </row>
    <row r="257" spans="1:11" s="285" customFormat="1" x14ac:dyDescent="0.25">
      <c r="A257" s="344"/>
      <c r="B257" s="151"/>
      <c r="C257" s="93" t="s">
        <v>189</v>
      </c>
      <c r="D257" s="117">
        <v>22031057.079999998</v>
      </c>
      <c r="E257" s="117">
        <f>E252+E256</f>
        <v>22812470.024800003</v>
      </c>
      <c r="F257" s="117">
        <f>F252+F256</f>
        <v>25612470.024800003</v>
      </c>
      <c r="G257" s="442">
        <v>25612470.024800003</v>
      </c>
      <c r="H257" s="442">
        <f>H252+H256</f>
        <v>27606717.027280003</v>
      </c>
      <c r="I257" s="442">
        <f>I252+I256</f>
        <v>32890204.009142794</v>
      </c>
      <c r="J257" s="442">
        <f>J252+J256</f>
        <v>33624316.979645647</v>
      </c>
      <c r="K257" s="442">
        <f>K252+K256</f>
        <v>37104457.42956686</v>
      </c>
    </row>
    <row r="258" spans="1:11" s="285" customFormat="1" hidden="1" x14ac:dyDescent="0.25">
      <c r="A258" s="344"/>
      <c r="B258" s="151"/>
      <c r="C258" s="145" t="s">
        <v>195</v>
      </c>
      <c r="D258" s="124"/>
      <c r="E258" s="148"/>
      <c r="F258" s="125"/>
      <c r="G258" s="446"/>
      <c r="H258" s="446"/>
      <c r="I258" s="446"/>
      <c r="J258" s="446"/>
      <c r="K258" s="446"/>
    </row>
    <row r="259" spans="1:11" s="285" customFormat="1" hidden="1" x14ac:dyDescent="0.25">
      <c r="A259" s="118">
        <v>44</v>
      </c>
      <c r="B259" s="151">
        <v>1950</v>
      </c>
      <c r="C259" s="118" t="s">
        <v>196</v>
      </c>
      <c r="D259" s="127">
        <v>0</v>
      </c>
      <c r="E259" s="147"/>
      <c r="F259" s="98"/>
      <c r="G259" s="435"/>
      <c r="H259" s="435"/>
      <c r="I259" s="435"/>
      <c r="J259" s="435"/>
      <c r="K259" s="435"/>
    </row>
    <row r="260" spans="1:11" s="285" customFormat="1" hidden="1" x14ac:dyDescent="0.25">
      <c r="A260" s="344"/>
      <c r="B260" s="346"/>
      <c r="C260" s="94"/>
      <c r="D260" s="124">
        <v>0</v>
      </c>
      <c r="E260" s="124">
        <f>E259</f>
        <v>0</v>
      </c>
      <c r="F260" s="124">
        <f>F259</f>
        <v>0</v>
      </c>
      <c r="G260" s="445">
        <v>0</v>
      </c>
      <c r="H260" s="445">
        <f>H259</f>
        <v>0</v>
      </c>
      <c r="I260" s="445">
        <f>I259</f>
        <v>0</v>
      </c>
      <c r="J260" s="445">
        <f>J259</f>
        <v>0</v>
      </c>
      <c r="K260" s="445">
        <f>K259</f>
        <v>0</v>
      </c>
    </row>
    <row r="261" spans="1:11" s="285" customFormat="1" x14ac:dyDescent="0.25">
      <c r="A261" s="348"/>
      <c r="B261" s="351"/>
      <c r="C261" s="93" t="s">
        <v>197</v>
      </c>
      <c r="D261" s="448">
        <f t="shared" ref="D261:K261" si="21">D257+D260</f>
        <v>22031057.079999998</v>
      </c>
      <c r="E261" s="160">
        <f t="shared" si="21"/>
        <v>22812470.024800003</v>
      </c>
      <c r="F261" s="448">
        <f t="shared" si="21"/>
        <v>25612470.024800003</v>
      </c>
      <c r="G261" s="448">
        <f t="shared" si="21"/>
        <v>25612470.024800003</v>
      </c>
      <c r="H261" s="448">
        <f t="shared" si="21"/>
        <v>27606717.027280003</v>
      </c>
      <c r="I261" s="448">
        <f t="shared" si="21"/>
        <v>32890204.009142794</v>
      </c>
      <c r="J261" s="448">
        <f t="shared" si="21"/>
        <v>33624316.979645647</v>
      </c>
      <c r="K261" s="448">
        <f t="shared" si="21"/>
        <v>37104457.42956686</v>
      </c>
    </row>
    <row r="262" spans="1:11" s="285" customFormat="1" x14ac:dyDescent="0.25">
      <c r="A262" s="349"/>
      <c r="B262" s="154"/>
      <c r="C262" s="126" t="s">
        <v>82</v>
      </c>
      <c r="D262" s="449">
        <f t="shared" ref="D262:K262" si="22">D261-D165</f>
        <v>2804467.0799999982</v>
      </c>
      <c r="E262" s="161">
        <f t="shared" si="22"/>
        <v>6525815.7258760016</v>
      </c>
      <c r="F262" s="449">
        <f t="shared" si="22"/>
        <v>13325815.725876002</v>
      </c>
      <c r="G262" s="449">
        <f t="shared" si="22"/>
        <v>13325815.725876002</v>
      </c>
      <c r="H262" s="449">
        <f t="shared" si="22"/>
        <v>17696823.919058003</v>
      </c>
      <c r="I262" s="449">
        <f t="shared" si="22"/>
        <v>20405609.809753124</v>
      </c>
      <c r="J262" s="449">
        <f t="shared" si="22"/>
        <v>20453068.209289547</v>
      </c>
      <c r="K262" s="449">
        <f t="shared" si="22"/>
        <v>23235130.686381888</v>
      </c>
    </row>
    <row r="263" spans="1:11" s="285" customFormat="1" x14ac:dyDescent="0.25">
      <c r="A263" s="284"/>
      <c r="B263" s="352"/>
      <c r="G263" s="468"/>
      <c r="I263" s="468"/>
    </row>
    <row r="264" spans="1:11" s="285" customFormat="1" x14ac:dyDescent="0.25">
      <c r="A264" s="284"/>
      <c r="B264" s="352"/>
      <c r="G264" s="468"/>
      <c r="I264" s="468"/>
    </row>
    <row r="265" spans="1:11" s="285" customFormat="1" x14ac:dyDescent="0.25">
      <c r="B265" s="352"/>
      <c r="G265" s="468"/>
      <c r="I265" s="468"/>
    </row>
    <row r="266" spans="1:11" x14ac:dyDescent="0.25">
      <c r="E266" s="128"/>
      <c r="F266" s="128"/>
      <c r="G266" s="128"/>
      <c r="H266" s="128"/>
      <c r="I266" s="128"/>
      <c r="J266" s="128"/>
    </row>
    <row r="267" spans="1:11" x14ac:dyDescent="0.25">
      <c r="E267" s="128"/>
      <c r="F267" s="128"/>
      <c r="G267" s="128"/>
      <c r="H267" s="128"/>
      <c r="I267" s="128"/>
      <c r="J267" s="128"/>
      <c r="K267" s="109"/>
    </row>
    <row r="268" spans="1:11" x14ac:dyDescent="0.25">
      <c r="E268" s="128"/>
      <c r="F268" s="128"/>
      <c r="G268" s="128"/>
      <c r="H268" s="128"/>
      <c r="I268" s="128"/>
      <c r="J268" s="128"/>
    </row>
  </sheetData>
  <mergeCells count="4">
    <mergeCell ref="A3:C3"/>
    <mergeCell ref="A4:B5"/>
    <mergeCell ref="A169:B170"/>
    <mergeCell ref="A1:K1"/>
  </mergeCells>
  <phoneticPr fontId="0" type="noConversion"/>
  <pageMargins left="0.74803149606299213" right="0.74803149606299213" top="0.98425196850393704" bottom="0.98425196850393704" header="0.51181102362204722" footer="0.51181102362204722"/>
  <pageSetup scale="52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>
    <tabColor rgb="FFFF0000"/>
    <pageSetUpPr fitToPage="1"/>
  </sheetPr>
  <dimension ref="A1:K268"/>
  <sheetViews>
    <sheetView view="pageBreakPreview" topLeftCell="A155" zoomScaleSheetLayoutView="100" workbookViewId="0">
      <selection activeCell="I161" sqref="I161:K161"/>
    </sheetView>
  </sheetViews>
  <sheetFormatPr defaultColWidth="9.109375" defaultRowHeight="13.2" x14ac:dyDescent="0.25"/>
  <cols>
    <col min="1" max="1" width="3.33203125" style="96" customWidth="1"/>
    <col min="2" max="2" width="9" style="131" customWidth="1"/>
    <col min="3" max="3" width="38.109375" style="96" customWidth="1"/>
    <col min="4" max="4" width="15" style="96" customWidth="1"/>
    <col min="5" max="5" width="15.88671875" style="96" customWidth="1"/>
    <col min="6" max="6" width="16.33203125" style="96" customWidth="1"/>
    <col min="7" max="7" width="16.33203125" style="434" customWidth="1"/>
    <col min="8" max="8" width="16.33203125" style="96" customWidth="1"/>
    <col min="9" max="9" width="16.33203125" style="434" customWidth="1"/>
    <col min="10" max="11" width="12.88671875" style="96" customWidth="1"/>
    <col min="12" max="16384" width="9.109375" style="96"/>
  </cols>
  <sheetData>
    <row r="1" spans="1:11" s="285" customFormat="1" ht="12.75" customHeight="1" x14ac:dyDescent="0.25">
      <c r="A1" s="937" t="s">
        <v>363</v>
      </c>
      <c r="B1" s="938"/>
      <c r="C1" s="938"/>
      <c r="D1" s="938"/>
      <c r="E1" s="938"/>
      <c r="F1" s="938"/>
      <c r="G1" s="938"/>
      <c r="H1" s="938"/>
      <c r="I1" s="938"/>
      <c r="J1" s="938"/>
      <c r="K1" s="938"/>
    </row>
    <row r="2" spans="1:11" s="285" customFormat="1" ht="12.75" customHeight="1" x14ac:dyDescent="0.25">
      <c r="A2" s="552"/>
      <c r="B2" s="553"/>
      <c r="C2" s="553"/>
      <c r="D2" s="553"/>
      <c r="E2" s="553"/>
      <c r="F2" s="553"/>
      <c r="G2" s="553"/>
      <c r="H2" s="553"/>
      <c r="I2" s="553"/>
      <c r="J2" s="553"/>
      <c r="K2" s="553"/>
    </row>
    <row r="3" spans="1:11" s="285" customFormat="1" x14ac:dyDescent="0.25">
      <c r="A3" s="941" t="s">
        <v>415</v>
      </c>
      <c r="B3" s="942"/>
      <c r="C3" s="943"/>
      <c r="D3" s="149"/>
      <c r="E3" s="338"/>
      <c r="F3" s="338"/>
      <c r="G3" s="563"/>
      <c r="H3" s="420"/>
      <c r="I3" s="581"/>
      <c r="J3" s="338"/>
      <c r="K3" s="338"/>
    </row>
    <row r="4" spans="1:11" s="285" customFormat="1" x14ac:dyDescent="0.25">
      <c r="A4" s="944" t="s">
        <v>21</v>
      </c>
      <c r="B4" s="945"/>
      <c r="C4" s="150" t="s">
        <v>22</v>
      </c>
      <c r="D4" s="103" t="s">
        <v>23</v>
      </c>
      <c r="E4" s="104" t="s">
        <v>24</v>
      </c>
      <c r="F4" s="103" t="s">
        <v>535</v>
      </c>
      <c r="G4" s="103" t="s">
        <v>413</v>
      </c>
      <c r="H4" s="104" t="s">
        <v>24</v>
      </c>
      <c r="I4" s="583" t="s">
        <v>24</v>
      </c>
      <c r="J4" s="583" t="s">
        <v>24</v>
      </c>
      <c r="K4" s="583" t="s">
        <v>24</v>
      </c>
    </row>
    <row r="5" spans="1:11" s="285" customFormat="1" x14ac:dyDescent="0.25">
      <c r="A5" s="946"/>
      <c r="B5" s="947"/>
      <c r="C5" s="106"/>
      <c r="D5" s="333" t="s">
        <v>257</v>
      </c>
      <c r="E5" s="107" t="s">
        <v>382</v>
      </c>
      <c r="F5" s="107" t="s">
        <v>382</v>
      </c>
      <c r="G5" s="107" t="s">
        <v>382</v>
      </c>
      <c r="H5" s="107" t="s">
        <v>407</v>
      </c>
      <c r="I5" s="586" t="s">
        <v>414</v>
      </c>
      <c r="J5" s="586" t="s">
        <v>530</v>
      </c>
      <c r="K5" s="586" t="s">
        <v>886</v>
      </c>
    </row>
    <row r="6" spans="1:11" s="285" customFormat="1" x14ac:dyDescent="0.25">
      <c r="A6" s="344"/>
      <c r="B6" s="151"/>
      <c r="C6" s="93" t="s">
        <v>33</v>
      </c>
      <c r="D6" s="85"/>
      <c r="E6" s="85"/>
      <c r="F6" s="85"/>
      <c r="G6" s="428"/>
      <c r="H6" s="85"/>
      <c r="I6" s="428"/>
      <c r="J6" s="85"/>
      <c r="K6" s="85"/>
    </row>
    <row r="7" spans="1:11" s="285" customFormat="1" x14ac:dyDescent="0.25">
      <c r="A7" s="118">
        <v>46</v>
      </c>
      <c r="B7" s="155">
        <v>5005</v>
      </c>
      <c r="C7" s="94" t="s">
        <v>241</v>
      </c>
      <c r="D7" s="85">
        <v>6500</v>
      </c>
      <c r="E7" s="85">
        <v>19500</v>
      </c>
      <c r="F7" s="85">
        <v>19500</v>
      </c>
      <c r="G7" s="428">
        <v>19500</v>
      </c>
      <c r="H7" s="428">
        <f t="shared" ref="H7:H17" si="0">(F7*0.068)+F7</f>
        <v>20826</v>
      </c>
      <c r="I7" s="428">
        <f>8100*1.71428571428571*1.058</f>
        <v>14691.085714285678</v>
      </c>
      <c r="J7" s="428">
        <f>+I7*1.055</f>
        <v>15499.095428571391</v>
      </c>
      <c r="K7" s="428">
        <f>+J7*1.053</f>
        <v>16320.547486285674</v>
      </c>
    </row>
    <row r="8" spans="1:11" s="285" customFormat="1" hidden="1" x14ac:dyDescent="0.25">
      <c r="A8" s="118">
        <v>46</v>
      </c>
      <c r="B8" s="151">
        <v>5010</v>
      </c>
      <c r="C8" s="94" t="s">
        <v>34</v>
      </c>
      <c r="D8" s="85">
        <v>0</v>
      </c>
      <c r="E8" s="85"/>
      <c r="F8" s="85">
        <v>0</v>
      </c>
      <c r="G8" s="428">
        <v>0</v>
      </c>
      <c r="H8" s="428">
        <f t="shared" si="0"/>
        <v>0</v>
      </c>
      <c r="I8" s="428">
        <v>0</v>
      </c>
      <c r="J8" s="428">
        <f t="shared" ref="J8:J17" si="1">+I8*1.055</f>
        <v>0</v>
      </c>
      <c r="K8" s="428">
        <f t="shared" ref="K8:K17" si="2">+J8*1.053</f>
        <v>0</v>
      </c>
    </row>
    <row r="9" spans="1:11" s="285" customFormat="1" x14ac:dyDescent="0.25">
      <c r="A9" s="118">
        <v>46</v>
      </c>
      <c r="B9" s="151">
        <v>5015</v>
      </c>
      <c r="C9" s="94" t="s">
        <v>35</v>
      </c>
      <c r="D9" s="85">
        <v>12600</v>
      </c>
      <c r="E9" s="85">
        <v>14000</v>
      </c>
      <c r="F9" s="85">
        <v>14000</v>
      </c>
      <c r="G9" s="428">
        <v>14000</v>
      </c>
      <c r="H9" s="428">
        <f t="shared" si="0"/>
        <v>14952</v>
      </c>
      <c r="I9" s="428">
        <v>14952</v>
      </c>
      <c r="J9" s="428">
        <f t="shared" si="1"/>
        <v>15774.359999999999</v>
      </c>
      <c r="K9" s="428">
        <f t="shared" si="2"/>
        <v>16610.401079999996</v>
      </c>
    </row>
    <row r="10" spans="1:11" s="285" customFormat="1" x14ac:dyDescent="0.25">
      <c r="A10" s="118">
        <v>46</v>
      </c>
      <c r="B10" s="151">
        <v>5020</v>
      </c>
      <c r="C10" s="94" t="s">
        <v>350</v>
      </c>
      <c r="D10" s="85">
        <v>147500</v>
      </c>
      <c r="E10" s="85">
        <v>270000</v>
      </c>
      <c r="F10" s="85">
        <v>270000</v>
      </c>
      <c r="G10" s="428">
        <v>270000</v>
      </c>
      <c r="H10" s="428">
        <f t="shared" si="0"/>
        <v>288360</v>
      </c>
      <c r="I10" s="428">
        <f>148127*1.71428571428571*1.058</f>
        <v>268660.05599999934</v>
      </c>
      <c r="J10" s="428">
        <f t="shared" si="1"/>
        <v>283436.35907999927</v>
      </c>
      <c r="K10" s="428">
        <f t="shared" si="2"/>
        <v>298458.48611123924</v>
      </c>
    </row>
    <row r="11" spans="1:11" s="285" customFormat="1" hidden="1" x14ac:dyDescent="0.25">
      <c r="A11" s="118">
        <v>46</v>
      </c>
      <c r="B11" s="151">
        <v>5025</v>
      </c>
      <c r="C11" s="94" t="s">
        <v>36</v>
      </c>
      <c r="D11" s="85">
        <v>0</v>
      </c>
      <c r="E11" s="85"/>
      <c r="F11" s="85">
        <v>0</v>
      </c>
      <c r="G11" s="428">
        <v>0</v>
      </c>
      <c r="H11" s="428">
        <f t="shared" si="0"/>
        <v>0</v>
      </c>
      <c r="I11" s="428">
        <v>0</v>
      </c>
      <c r="J11" s="428">
        <f t="shared" si="1"/>
        <v>0</v>
      </c>
      <c r="K11" s="428">
        <f t="shared" si="2"/>
        <v>0</v>
      </c>
    </row>
    <row r="12" spans="1:11" s="285" customFormat="1" x14ac:dyDescent="0.25">
      <c r="A12" s="118">
        <v>46</v>
      </c>
      <c r="B12" s="151">
        <v>5030</v>
      </c>
      <c r="C12" s="94" t="s">
        <v>85</v>
      </c>
      <c r="D12" s="85">
        <v>66200</v>
      </c>
      <c r="E12" s="85">
        <v>115000</v>
      </c>
      <c r="F12" s="85">
        <v>115000</v>
      </c>
      <c r="G12" s="428">
        <v>115000</v>
      </c>
      <c r="H12" s="428">
        <f t="shared" si="0"/>
        <v>122820</v>
      </c>
      <c r="I12" s="428">
        <f>3654*1.71428571428571*1.058</f>
        <v>6627.3119999999835</v>
      </c>
      <c r="J12" s="428">
        <f t="shared" si="1"/>
        <v>6991.8141599999826</v>
      </c>
      <c r="K12" s="428">
        <f t="shared" si="2"/>
        <v>7362.3803104799808</v>
      </c>
    </row>
    <row r="13" spans="1:11" s="285" customFormat="1" x14ac:dyDescent="0.25">
      <c r="A13" s="118">
        <v>46</v>
      </c>
      <c r="B13" s="151">
        <v>5035</v>
      </c>
      <c r="C13" s="94" t="s">
        <v>84</v>
      </c>
      <c r="D13" s="85">
        <v>0</v>
      </c>
      <c r="E13" s="85"/>
      <c r="F13" s="85">
        <v>0</v>
      </c>
      <c r="G13" s="428">
        <v>0</v>
      </c>
      <c r="H13" s="428">
        <f t="shared" si="0"/>
        <v>0</v>
      </c>
      <c r="I13" s="428">
        <v>0</v>
      </c>
      <c r="J13" s="428">
        <f t="shared" si="1"/>
        <v>0</v>
      </c>
      <c r="K13" s="428">
        <f t="shared" si="2"/>
        <v>0</v>
      </c>
    </row>
    <row r="14" spans="1:11" s="285" customFormat="1" x14ac:dyDescent="0.25">
      <c r="A14" s="118">
        <v>46</v>
      </c>
      <c r="B14" s="151">
        <v>5040</v>
      </c>
      <c r="C14" s="94" t="s">
        <v>37</v>
      </c>
      <c r="D14" s="85">
        <v>272600</v>
      </c>
      <c r="E14" s="85">
        <v>693000</v>
      </c>
      <c r="F14" s="85">
        <v>693000</v>
      </c>
      <c r="G14" s="428">
        <v>693000</v>
      </c>
      <c r="H14" s="428">
        <f t="shared" si="0"/>
        <v>740124</v>
      </c>
      <c r="I14" s="428">
        <f>150622*1.71428571428571*1.058</f>
        <v>273185.27314285649</v>
      </c>
      <c r="J14" s="428">
        <f t="shared" si="1"/>
        <v>288210.46316571359</v>
      </c>
      <c r="K14" s="428">
        <f t="shared" si="2"/>
        <v>303485.61771349638</v>
      </c>
    </row>
    <row r="15" spans="1:11" s="285" customFormat="1" hidden="1" x14ac:dyDescent="0.25">
      <c r="A15" s="118">
        <v>46</v>
      </c>
      <c r="B15" s="151">
        <v>5045</v>
      </c>
      <c r="C15" s="94" t="s">
        <v>38</v>
      </c>
      <c r="D15" s="85">
        <v>0</v>
      </c>
      <c r="E15" s="85"/>
      <c r="F15" s="85">
        <v>0</v>
      </c>
      <c r="G15" s="428">
        <v>0</v>
      </c>
      <c r="H15" s="428">
        <f t="shared" si="0"/>
        <v>0</v>
      </c>
      <c r="I15" s="428">
        <v>0</v>
      </c>
      <c r="J15" s="428">
        <f t="shared" si="1"/>
        <v>0</v>
      </c>
      <c r="K15" s="428">
        <f t="shared" si="2"/>
        <v>0</v>
      </c>
    </row>
    <row r="16" spans="1:11" s="285" customFormat="1" x14ac:dyDescent="0.25">
      <c r="A16" s="118">
        <v>46</v>
      </c>
      <c r="B16" s="151">
        <v>5050</v>
      </c>
      <c r="C16" s="94" t="s">
        <v>83</v>
      </c>
      <c r="D16" s="85">
        <v>650200</v>
      </c>
      <c r="E16" s="85">
        <v>141000</v>
      </c>
      <c r="F16" s="85">
        <v>141000</v>
      </c>
      <c r="G16" s="428">
        <v>141000</v>
      </c>
      <c r="H16" s="428">
        <f t="shared" si="0"/>
        <v>150588</v>
      </c>
      <c r="I16" s="428">
        <v>150588</v>
      </c>
      <c r="J16" s="428">
        <f t="shared" si="1"/>
        <v>158870.34</v>
      </c>
      <c r="K16" s="428">
        <f t="shared" si="2"/>
        <v>167290.46802</v>
      </c>
    </row>
    <row r="17" spans="1:11" s="285" customFormat="1" x14ac:dyDescent="0.25">
      <c r="A17" s="118">
        <v>46</v>
      </c>
      <c r="B17" s="151">
        <v>5055</v>
      </c>
      <c r="C17" s="94" t="s">
        <v>39</v>
      </c>
      <c r="D17" s="85">
        <v>7811100</v>
      </c>
      <c r="E17" s="85">
        <v>9180000</v>
      </c>
      <c r="F17" s="85">
        <v>5322697</v>
      </c>
      <c r="G17" s="428">
        <v>5322697</v>
      </c>
      <c r="H17" s="428">
        <f t="shared" si="0"/>
        <v>5684640.3959999997</v>
      </c>
      <c r="I17" s="428">
        <f>2959815*1.71428571428571*1.058</f>
        <v>5368258.7485714154</v>
      </c>
      <c r="J17" s="428">
        <f t="shared" si="1"/>
        <v>5663512.9797428427</v>
      </c>
      <c r="K17" s="428">
        <f t="shared" si="2"/>
        <v>5963679.1676692134</v>
      </c>
    </row>
    <row r="18" spans="1:11" s="285" customFormat="1" x14ac:dyDescent="0.25">
      <c r="A18" s="344"/>
      <c r="B18" s="151"/>
      <c r="C18" s="94"/>
      <c r="D18" s="429">
        <f t="shared" ref="D18:K18" si="3">SUM(D7:D17)</f>
        <v>8966700</v>
      </c>
      <c r="E18" s="89">
        <f t="shared" si="3"/>
        <v>10432500</v>
      </c>
      <c r="F18" s="89">
        <f t="shared" si="3"/>
        <v>6575197</v>
      </c>
      <c r="G18" s="429">
        <f t="shared" si="3"/>
        <v>6575197</v>
      </c>
      <c r="H18" s="89">
        <f t="shared" si="3"/>
        <v>7022310.3959999997</v>
      </c>
      <c r="I18" s="429">
        <f t="shared" si="3"/>
        <v>6096962.475428557</v>
      </c>
      <c r="J18" s="429">
        <f t="shared" si="3"/>
        <v>6432295.4115771269</v>
      </c>
      <c r="K18" s="429">
        <f t="shared" si="3"/>
        <v>6773207.0683907149</v>
      </c>
    </row>
    <row r="19" spans="1:11" s="285" customFormat="1" x14ac:dyDescent="0.25">
      <c r="A19" s="344"/>
      <c r="B19" s="151"/>
      <c r="C19" s="93" t="s">
        <v>40</v>
      </c>
      <c r="D19" s="85"/>
      <c r="E19" s="86"/>
      <c r="F19" s="86"/>
      <c r="G19" s="86"/>
      <c r="H19" s="86"/>
      <c r="I19" s="86"/>
      <c r="J19" s="86"/>
      <c r="K19" s="85"/>
    </row>
    <row r="20" spans="1:11" s="285" customFormat="1" x14ac:dyDescent="0.25">
      <c r="A20" s="118">
        <v>46</v>
      </c>
      <c r="B20" s="151">
        <v>5105</v>
      </c>
      <c r="C20" s="94" t="s">
        <v>41</v>
      </c>
      <c r="D20" s="85">
        <v>186800</v>
      </c>
      <c r="E20" s="85">
        <v>225000</v>
      </c>
      <c r="F20" s="85">
        <v>225000</v>
      </c>
      <c r="G20" s="428">
        <v>225000</v>
      </c>
      <c r="H20" s="428">
        <f>(F20*0.068)+F20</f>
        <v>240300</v>
      </c>
      <c r="I20" s="428">
        <f>160553*1.71428571428571*1.058</f>
        <v>291197.26971428504</v>
      </c>
      <c r="J20" s="428">
        <f>+I20*1.055</f>
        <v>307213.11954857071</v>
      </c>
      <c r="K20" s="428">
        <f>+J20*1.053</f>
        <v>323495.41488464497</v>
      </c>
    </row>
    <row r="21" spans="1:11" s="285" customFormat="1" x14ac:dyDescent="0.25">
      <c r="A21" s="118">
        <v>46</v>
      </c>
      <c r="B21" s="151">
        <v>5115</v>
      </c>
      <c r="C21" s="94" t="s">
        <v>42</v>
      </c>
      <c r="D21" s="85">
        <v>444000</v>
      </c>
      <c r="E21" s="85">
        <v>765000</v>
      </c>
      <c r="F21" s="85">
        <v>765000</v>
      </c>
      <c r="G21" s="428">
        <v>765000</v>
      </c>
      <c r="H21" s="428">
        <f>(F21*0.068)+F21</f>
        <v>817020</v>
      </c>
      <c r="I21" s="428">
        <f>501598*1.71428571428571*1.058</f>
        <v>909755.45828571205</v>
      </c>
      <c r="J21" s="428">
        <f>+I21*1.055</f>
        <v>959792.00849142612</v>
      </c>
      <c r="K21" s="428">
        <f>+J21*1.053</f>
        <v>1010660.9849414716</v>
      </c>
    </row>
    <row r="22" spans="1:11" s="285" customFormat="1" x14ac:dyDescent="0.25">
      <c r="A22" s="118">
        <v>46</v>
      </c>
      <c r="B22" s="151">
        <v>5120</v>
      </c>
      <c r="C22" s="94" t="s">
        <v>43</v>
      </c>
      <c r="D22" s="85">
        <v>142700</v>
      </c>
      <c r="E22" s="85">
        <v>108000</v>
      </c>
      <c r="F22" s="85">
        <v>108000</v>
      </c>
      <c r="G22" s="428">
        <v>108000</v>
      </c>
      <c r="H22" s="428">
        <f>(F22*0.068)+F22</f>
        <v>115344</v>
      </c>
      <c r="I22" s="428"/>
      <c r="J22" s="428">
        <f>+I22*1.055</f>
        <v>0</v>
      </c>
      <c r="K22" s="428">
        <f>+J22*1.053</f>
        <v>0</v>
      </c>
    </row>
    <row r="23" spans="1:11" s="285" customFormat="1" hidden="1" x14ac:dyDescent="0.25">
      <c r="A23" s="118">
        <v>46</v>
      </c>
      <c r="B23" s="151">
        <v>5125</v>
      </c>
      <c r="C23" s="94" t="s">
        <v>44</v>
      </c>
      <c r="D23" s="85">
        <v>0</v>
      </c>
      <c r="E23" s="85"/>
      <c r="F23" s="85">
        <v>0</v>
      </c>
      <c r="G23" s="428">
        <v>0</v>
      </c>
      <c r="H23" s="428">
        <f>(F23*0.068)+F23</f>
        <v>0</v>
      </c>
      <c r="I23" s="428">
        <f>(G23*0.068)+G23</f>
        <v>0</v>
      </c>
      <c r="J23" s="428">
        <f>+I23*1.055</f>
        <v>0</v>
      </c>
      <c r="K23" s="428">
        <f>+J23*1.053</f>
        <v>0</v>
      </c>
    </row>
    <row r="24" spans="1:11" s="285" customFormat="1" x14ac:dyDescent="0.25">
      <c r="A24" s="118">
        <v>46</v>
      </c>
      <c r="B24" s="151">
        <v>5130</v>
      </c>
      <c r="C24" s="94" t="s">
        <v>45</v>
      </c>
      <c r="D24" s="85">
        <v>74400</v>
      </c>
      <c r="E24" s="85">
        <v>92000</v>
      </c>
      <c r="F24" s="85">
        <v>92000</v>
      </c>
      <c r="G24" s="428">
        <v>92000</v>
      </c>
      <c r="H24" s="428">
        <f>(F24*0.068)+F24</f>
        <v>98256</v>
      </c>
      <c r="I24" s="428">
        <f>33533*1.71428571428571*1.058</f>
        <v>60819.281142856991</v>
      </c>
      <c r="J24" s="428">
        <f>+I24*1.055</f>
        <v>64164.341605714122</v>
      </c>
      <c r="K24" s="428">
        <f>+J24*1.053</f>
        <v>67565.051710816973</v>
      </c>
    </row>
    <row r="25" spans="1:11" s="285" customFormat="1" x14ac:dyDescent="0.25">
      <c r="A25" s="344"/>
      <c r="B25" s="151"/>
      <c r="C25" s="94"/>
      <c r="D25" s="429">
        <f t="shared" ref="D25:K25" si="4">SUM(D20:D24)</f>
        <v>847900</v>
      </c>
      <c r="E25" s="89">
        <f t="shared" si="4"/>
        <v>1190000</v>
      </c>
      <c r="F25" s="89">
        <f t="shared" si="4"/>
        <v>1190000</v>
      </c>
      <c r="G25" s="429">
        <f t="shared" si="4"/>
        <v>1190000</v>
      </c>
      <c r="H25" s="89">
        <f t="shared" si="4"/>
        <v>1270920</v>
      </c>
      <c r="I25" s="429">
        <f t="shared" si="4"/>
        <v>1261772.009142854</v>
      </c>
      <c r="J25" s="429">
        <f t="shared" si="4"/>
        <v>1331169.4696457109</v>
      </c>
      <c r="K25" s="429">
        <f t="shared" si="4"/>
        <v>1401721.4515369337</v>
      </c>
    </row>
    <row r="26" spans="1:11" s="285" customFormat="1" x14ac:dyDescent="0.25">
      <c r="A26" s="344"/>
      <c r="B26" s="151"/>
      <c r="C26" s="93" t="s">
        <v>46</v>
      </c>
      <c r="D26" s="85"/>
      <c r="E26" s="86"/>
      <c r="F26" s="86"/>
      <c r="G26" s="86"/>
      <c r="H26" s="86"/>
      <c r="I26" s="86"/>
      <c r="J26" s="86"/>
      <c r="K26" s="86"/>
    </row>
    <row r="27" spans="1:11" s="285" customFormat="1" hidden="1" x14ac:dyDescent="0.25">
      <c r="A27" s="344"/>
      <c r="B27" s="151"/>
      <c r="C27" s="93" t="s">
        <v>47</v>
      </c>
      <c r="D27" s="85"/>
      <c r="E27" s="86"/>
      <c r="F27" s="86"/>
      <c r="G27" s="86"/>
      <c r="H27" s="86"/>
      <c r="I27" s="86"/>
      <c r="J27" s="86"/>
      <c r="K27" s="86"/>
    </row>
    <row r="28" spans="1:11" s="285" customFormat="1" hidden="1" x14ac:dyDescent="0.25">
      <c r="A28" s="118">
        <v>46</v>
      </c>
      <c r="B28" s="151">
        <v>5150</v>
      </c>
      <c r="C28" s="94" t="s">
        <v>48</v>
      </c>
      <c r="D28" s="85"/>
      <c r="E28" s="85"/>
      <c r="F28" s="85">
        <f>0/8*12</f>
        <v>0</v>
      </c>
      <c r="G28" s="428">
        <v>0</v>
      </c>
      <c r="H28" s="85"/>
      <c r="I28" s="428"/>
      <c r="J28" s="85"/>
      <c r="K28" s="85"/>
    </row>
    <row r="29" spans="1:11" s="285" customFormat="1" hidden="1" x14ac:dyDescent="0.25">
      <c r="A29" s="344"/>
      <c r="B29" s="151"/>
      <c r="C29" s="94"/>
      <c r="D29" s="89"/>
      <c r="E29" s="89">
        <f>E28</f>
        <v>0</v>
      </c>
      <c r="F29" s="89">
        <f>F28</f>
        <v>0</v>
      </c>
      <c r="G29" s="429">
        <v>0</v>
      </c>
      <c r="H29" s="89"/>
      <c r="I29" s="429"/>
      <c r="J29" s="89"/>
      <c r="K29" s="89"/>
    </row>
    <row r="30" spans="1:11" s="285" customFormat="1" hidden="1" x14ac:dyDescent="0.25">
      <c r="A30" s="344"/>
      <c r="B30" s="151"/>
      <c r="C30" s="93" t="s">
        <v>49</v>
      </c>
      <c r="D30" s="85"/>
      <c r="E30" s="86"/>
      <c r="F30" s="86"/>
      <c r="G30" s="86"/>
      <c r="H30" s="86"/>
      <c r="I30" s="86"/>
      <c r="J30" s="86"/>
      <c r="K30" s="86"/>
    </row>
    <row r="31" spans="1:11" s="285" customFormat="1" hidden="1" x14ac:dyDescent="0.25">
      <c r="A31" s="118">
        <v>46</v>
      </c>
      <c r="B31" s="151">
        <v>5170</v>
      </c>
      <c r="C31" s="94" t="s">
        <v>341</v>
      </c>
      <c r="D31" s="85"/>
      <c r="E31" s="108"/>
      <c r="F31" s="85">
        <f>0/8*12</f>
        <v>0</v>
      </c>
      <c r="G31" s="428">
        <v>0</v>
      </c>
      <c r="H31" s="85"/>
      <c r="I31" s="428"/>
      <c r="J31" s="85"/>
      <c r="K31" s="85"/>
    </row>
    <row r="32" spans="1:11" s="285" customFormat="1" hidden="1" x14ac:dyDescent="0.25">
      <c r="A32" s="344"/>
      <c r="B32" s="151"/>
      <c r="C32" s="94"/>
      <c r="D32" s="89"/>
      <c r="E32" s="89">
        <f>SUM(E31)</f>
        <v>0</v>
      </c>
      <c r="F32" s="89">
        <f>SUM(F31)</f>
        <v>0</v>
      </c>
      <c r="G32" s="429">
        <v>0</v>
      </c>
      <c r="H32" s="89"/>
      <c r="I32" s="429"/>
      <c r="J32" s="89"/>
      <c r="K32" s="89"/>
    </row>
    <row r="33" spans="1:11" s="285" customFormat="1" hidden="1" x14ac:dyDescent="0.25">
      <c r="A33" s="344"/>
      <c r="B33" s="151"/>
      <c r="C33" s="93" t="s">
        <v>50</v>
      </c>
      <c r="D33" s="85"/>
      <c r="E33" s="86"/>
      <c r="F33" s="86"/>
      <c r="G33" s="86"/>
      <c r="H33" s="86"/>
      <c r="I33" s="86"/>
      <c r="J33" s="86"/>
      <c r="K33" s="86"/>
    </row>
    <row r="34" spans="1:11" s="285" customFormat="1" hidden="1" x14ac:dyDescent="0.25">
      <c r="A34" s="118">
        <v>46</v>
      </c>
      <c r="B34" s="151">
        <v>5180</v>
      </c>
      <c r="C34" s="94" t="s">
        <v>51</v>
      </c>
      <c r="D34" s="85"/>
      <c r="E34" s="108"/>
      <c r="F34" s="85">
        <f>0/8*12</f>
        <v>0</v>
      </c>
      <c r="G34" s="428">
        <v>0</v>
      </c>
      <c r="H34" s="85"/>
      <c r="I34" s="428"/>
      <c r="J34" s="85"/>
      <c r="K34" s="108"/>
    </row>
    <row r="35" spans="1:11" s="285" customFormat="1" hidden="1" x14ac:dyDescent="0.25">
      <c r="A35" s="344"/>
      <c r="B35" s="151"/>
      <c r="C35" s="94"/>
      <c r="D35" s="89"/>
      <c r="E35" s="89">
        <f>SUM(E34)</f>
        <v>0</v>
      </c>
      <c r="F35" s="89">
        <f>SUM(F34)</f>
        <v>0</v>
      </c>
      <c r="G35" s="429">
        <v>0</v>
      </c>
      <c r="H35" s="89"/>
      <c r="I35" s="429"/>
      <c r="J35" s="89"/>
      <c r="K35" s="89"/>
    </row>
    <row r="36" spans="1:11" s="285" customFormat="1" x14ac:dyDescent="0.25">
      <c r="A36" s="344"/>
      <c r="B36" s="151"/>
      <c r="C36" s="93" t="s">
        <v>52</v>
      </c>
      <c r="D36" s="85"/>
      <c r="E36" s="86"/>
      <c r="F36" s="86"/>
      <c r="G36" s="86"/>
      <c r="H36" s="86"/>
      <c r="I36" s="86"/>
      <c r="J36" s="86"/>
      <c r="K36" s="86"/>
    </row>
    <row r="37" spans="1:11" s="285" customFormat="1" x14ac:dyDescent="0.25">
      <c r="A37" s="118">
        <v>46</v>
      </c>
      <c r="B37" s="151">
        <v>5190</v>
      </c>
      <c r="C37" s="94" t="s">
        <v>53</v>
      </c>
      <c r="D37" s="85">
        <v>1900000</v>
      </c>
      <c r="E37" s="108">
        <v>2006400</v>
      </c>
      <c r="F37" s="85">
        <v>6400</v>
      </c>
      <c r="G37" s="428">
        <v>6401</v>
      </c>
      <c r="H37" s="108">
        <v>1007040</v>
      </c>
      <c r="I37" s="425"/>
      <c r="J37" s="108"/>
      <c r="K37" s="108"/>
    </row>
    <row r="38" spans="1:11" s="285" customFormat="1" x14ac:dyDescent="0.25">
      <c r="A38" s="344"/>
      <c r="B38" s="151"/>
      <c r="C38" s="94"/>
      <c r="D38" s="429">
        <f>D37</f>
        <v>1900000</v>
      </c>
      <c r="E38" s="89">
        <f>E37</f>
        <v>2006400</v>
      </c>
      <c r="F38" s="89">
        <f>F37</f>
        <v>6400</v>
      </c>
      <c r="G38" s="429">
        <f>G37</f>
        <v>6401</v>
      </c>
      <c r="H38" s="89">
        <f>H37</f>
        <v>1007040</v>
      </c>
      <c r="I38" s="429"/>
      <c r="J38" s="89"/>
      <c r="K38" s="89"/>
    </row>
    <row r="39" spans="1:11" s="285" customFormat="1" x14ac:dyDescent="0.25">
      <c r="A39" s="344"/>
      <c r="B39" s="151"/>
      <c r="C39" s="93" t="s">
        <v>54</v>
      </c>
      <c r="D39" s="85"/>
      <c r="E39" s="86"/>
      <c r="F39" s="86"/>
      <c r="G39" s="86"/>
      <c r="H39" s="86"/>
      <c r="I39" s="86"/>
      <c r="J39" s="86"/>
      <c r="K39" s="86"/>
    </row>
    <row r="40" spans="1:11" s="285" customFormat="1" hidden="1" x14ac:dyDescent="0.25">
      <c r="A40" s="118">
        <v>46</v>
      </c>
      <c r="B40" s="151">
        <v>5200</v>
      </c>
      <c r="C40" s="94" t="s">
        <v>55</v>
      </c>
      <c r="D40" s="85"/>
      <c r="E40" s="108"/>
      <c r="F40" s="85">
        <f>0/8*12</f>
        <v>0</v>
      </c>
      <c r="G40" s="428">
        <v>0</v>
      </c>
      <c r="H40" s="85"/>
      <c r="I40" s="428"/>
      <c r="J40" s="85"/>
      <c r="K40" s="85"/>
    </row>
    <row r="41" spans="1:11" s="285" customFormat="1" x14ac:dyDescent="0.25">
      <c r="A41" s="118">
        <v>46</v>
      </c>
      <c r="B41" s="151">
        <v>5205</v>
      </c>
      <c r="C41" s="94" t="s">
        <v>56</v>
      </c>
      <c r="D41" s="85">
        <v>104352</v>
      </c>
      <c r="E41" s="85">
        <v>50000</v>
      </c>
      <c r="F41" s="85">
        <v>50000</v>
      </c>
      <c r="G41" s="428">
        <v>50000</v>
      </c>
      <c r="H41" s="85">
        <v>50000</v>
      </c>
      <c r="I41" s="428">
        <v>100000</v>
      </c>
      <c r="J41" s="85">
        <f>+I41*1.055</f>
        <v>105500</v>
      </c>
      <c r="K41" s="85">
        <f>+J41*1.053</f>
        <v>111091.5</v>
      </c>
    </row>
    <row r="42" spans="1:11" s="285" customFormat="1" hidden="1" x14ac:dyDescent="0.25">
      <c r="A42" s="118">
        <v>46</v>
      </c>
      <c r="B42" s="151">
        <v>5210</v>
      </c>
      <c r="C42" s="94" t="s">
        <v>57</v>
      </c>
      <c r="D42" s="85"/>
      <c r="E42" s="85">
        <v>0</v>
      </c>
      <c r="F42" s="85">
        <v>0</v>
      </c>
      <c r="G42" s="428">
        <v>0</v>
      </c>
      <c r="H42" s="85"/>
      <c r="I42" s="428"/>
      <c r="J42" s="428">
        <f t="shared" ref="J42:J57" si="5">+I42*1.055</f>
        <v>0</v>
      </c>
      <c r="K42" s="428">
        <f t="shared" ref="K42:K57" si="6">+J42*1.053</f>
        <v>0</v>
      </c>
    </row>
    <row r="43" spans="1:11" s="285" customFormat="1" hidden="1" x14ac:dyDescent="0.25">
      <c r="A43" s="118">
        <v>46</v>
      </c>
      <c r="B43" s="151">
        <v>5215</v>
      </c>
      <c r="C43" s="94" t="s">
        <v>95</v>
      </c>
      <c r="D43" s="85"/>
      <c r="E43" s="85">
        <v>0</v>
      </c>
      <c r="F43" s="85">
        <v>0</v>
      </c>
      <c r="G43" s="428">
        <v>0</v>
      </c>
      <c r="H43" s="85"/>
      <c r="I43" s="428"/>
      <c r="J43" s="428">
        <f t="shared" si="5"/>
        <v>0</v>
      </c>
      <c r="K43" s="428">
        <f t="shared" si="6"/>
        <v>0</v>
      </c>
    </row>
    <row r="44" spans="1:11" s="285" customFormat="1" hidden="1" x14ac:dyDescent="0.25">
      <c r="A44" s="118">
        <v>46</v>
      </c>
      <c r="B44" s="151">
        <v>5220</v>
      </c>
      <c r="C44" s="94" t="s">
        <v>58</v>
      </c>
      <c r="D44" s="85"/>
      <c r="E44" s="85">
        <v>0</v>
      </c>
      <c r="F44" s="85">
        <v>0</v>
      </c>
      <c r="G44" s="428">
        <v>0</v>
      </c>
      <c r="H44" s="85"/>
      <c r="I44" s="428"/>
      <c r="J44" s="428">
        <f t="shared" si="5"/>
        <v>0</v>
      </c>
      <c r="K44" s="428">
        <f t="shared" si="6"/>
        <v>0</v>
      </c>
    </row>
    <row r="45" spans="1:11" s="285" customFormat="1" hidden="1" x14ac:dyDescent="0.25">
      <c r="A45" s="118">
        <v>46</v>
      </c>
      <c r="B45" s="151">
        <v>5225</v>
      </c>
      <c r="C45" s="94" t="s">
        <v>92</v>
      </c>
      <c r="D45" s="85"/>
      <c r="E45" s="85">
        <v>0</v>
      </c>
      <c r="F45" s="85">
        <v>0</v>
      </c>
      <c r="G45" s="428">
        <v>0</v>
      </c>
      <c r="H45" s="85"/>
      <c r="I45" s="428"/>
      <c r="J45" s="428">
        <f t="shared" si="5"/>
        <v>0</v>
      </c>
      <c r="K45" s="428">
        <f t="shared" si="6"/>
        <v>0</v>
      </c>
    </row>
    <row r="46" spans="1:11" s="285" customFormat="1" x14ac:dyDescent="0.25">
      <c r="A46" s="118">
        <v>46</v>
      </c>
      <c r="B46" s="151">
        <v>5230</v>
      </c>
      <c r="C46" s="94" t="s">
        <v>86</v>
      </c>
      <c r="D46" s="85">
        <v>145064</v>
      </c>
      <c r="E46" s="85">
        <v>160388.48499999999</v>
      </c>
      <c r="F46" s="85">
        <v>20388.484999999986</v>
      </c>
      <c r="G46" s="428">
        <v>20388.484999999986</v>
      </c>
      <c r="H46" s="85">
        <v>0</v>
      </c>
      <c r="I46" s="428"/>
      <c r="J46" s="428">
        <f t="shared" si="5"/>
        <v>0</v>
      </c>
      <c r="K46" s="428">
        <f t="shared" si="6"/>
        <v>0</v>
      </c>
    </row>
    <row r="47" spans="1:11" s="285" customFormat="1" hidden="1" x14ac:dyDescent="0.25">
      <c r="A47" s="118">
        <v>46</v>
      </c>
      <c r="B47" s="151">
        <v>5235</v>
      </c>
      <c r="C47" s="94" t="s">
        <v>124</v>
      </c>
      <c r="D47" s="85"/>
      <c r="E47" s="85">
        <v>0</v>
      </c>
      <c r="F47" s="85">
        <v>0</v>
      </c>
      <c r="G47" s="428">
        <v>0</v>
      </c>
      <c r="H47" s="85"/>
      <c r="I47" s="428"/>
      <c r="J47" s="428">
        <f t="shared" si="5"/>
        <v>0</v>
      </c>
      <c r="K47" s="428">
        <f t="shared" si="6"/>
        <v>0</v>
      </c>
    </row>
    <row r="48" spans="1:11" s="285" customFormat="1" hidden="1" x14ac:dyDescent="0.25">
      <c r="A48" s="118">
        <v>46</v>
      </c>
      <c r="B48" s="151">
        <v>5240</v>
      </c>
      <c r="C48" s="94" t="s">
        <v>59</v>
      </c>
      <c r="D48" s="85"/>
      <c r="E48" s="85">
        <v>0</v>
      </c>
      <c r="F48" s="85">
        <v>0</v>
      </c>
      <c r="G48" s="428">
        <v>0</v>
      </c>
      <c r="H48" s="85"/>
      <c r="I48" s="428"/>
      <c r="J48" s="428">
        <f t="shared" si="5"/>
        <v>0</v>
      </c>
      <c r="K48" s="428">
        <f t="shared" si="6"/>
        <v>0</v>
      </c>
    </row>
    <row r="49" spans="1:11" s="285" customFormat="1" hidden="1" x14ac:dyDescent="0.25">
      <c r="A49" s="118">
        <v>46</v>
      </c>
      <c r="B49" s="151">
        <v>5245</v>
      </c>
      <c r="C49" s="94" t="s">
        <v>91</v>
      </c>
      <c r="D49" s="85"/>
      <c r="E49" s="85">
        <v>0</v>
      </c>
      <c r="F49" s="85">
        <v>0</v>
      </c>
      <c r="G49" s="428">
        <v>0</v>
      </c>
      <c r="H49" s="85"/>
      <c r="I49" s="428"/>
      <c r="J49" s="428">
        <f t="shared" si="5"/>
        <v>0</v>
      </c>
      <c r="K49" s="428">
        <f t="shared" si="6"/>
        <v>0</v>
      </c>
    </row>
    <row r="50" spans="1:11" s="285" customFormat="1" x14ac:dyDescent="0.25">
      <c r="A50" s="118">
        <v>46</v>
      </c>
      <c r="B50" s="151">
        <v>5250</v>
      </c>
      <c r="C50" s="94" t="s">
        <v>88</v>
      </c>
      <c r="D50" s="85">
        <v>2625</v>
      </c>
      <c r="E50" s="85">
        <v>52750</v>
      </c>
      <c r="F50" s="85">
        <v>52750</v>
      </c>
      <c r="G50" s="428">
        <v>52750</v>
      </c>
      <c r="H50" s="85">
        <v>200000</v>
      </c>
      <c r="I50" s="428">
        <v>320000</v>
      </c>
      <c r="J50" s="428">
        <f t="shared" si="5"/>
        <v>337600</v>
      </c>
      <c r="K50" s="428">
        <f t="shared" si="6"/>
        <v>355492.8</v>
      </c>
    </row>
    <row r="51" spans="1:11" s="285" customFormat="1" hidden="1" x14ac:dyDescent="0.25">
      <c r="A51" s="118">
        <v>46</v>
      </c>
      <c r="B51" s="151">
        <v>5255</v>
      </c>
      <c r="C51" s="94" t="s">
        <v>125</v>
      </c>
      <c r="D51" s="85"/>
      <c r="E51" s="85">
        <v>0</v>
      </c>
      <c r="F51" s="85">
        <v>0</v>
      </c>
      <c r="G51" s="428">
        <v>0</v>
      </c>
      <c r="H51" s="85"/>
      <c r="I51" s="428"/>
      <c r="J51" s="428">
        <f t="shared" si="5"/>
        <v>0</v>
      </c>
      <c r="K51" s="428">
        <f t="shared" si="6"/>
        <v>0</v>
      </c>
    </row>
    <row r="52" spans="1:11" s="285" customFormat="1" hidden="1" x14ac:dyDescent="0.25">
      <c r="A52" s="118">
        <v>46</v>
      </c>
      <c r="B52" s="151">
        <v>5260</v>
      </c>
      <c r="C52" s="94" t="s">
        <v>90</v>
      </c>
      <c r="D52" s="85"/>
      <c r="E52" s="85">
        <v>0</v>
      </c>
      <c r="F52" s="85">
        <v>0</v>
      </c>
      <c r="G52" s="428">
        <v>0</v>
      </c>
      <c r="H52" s="85"/>
      <c r="I52" s="428"/>
      <c r="J52" s="428">
        <f t="shared" si="5"/>
        <v>0</v>
      </c>
      <c r="K52" s="428">
        <f t="shared" si="6"/>
        <v>0</v>
      </c>
    </row>
    <row r="53" spans="1:11" s="285" customFormat="1" x14ac:dyDescent="0.25">
      <c r="A53" s="118">
        <v>46</v>
      </c>
      <c r="B53" s="151">
        <v>5265</v>
      </c>
      <c r="C53" s="94" t="s">
        <v>87</v>
      </c>
      <c r="D53" s="85">
        <v>557264</v>
      </c>
      <c r="E53" s="85">
        <v>601350</v>
      </c>
      <c r="F53" s="85">
        <v>1441350</v>
      </c>
      <c r="G53" s="428">
        <v>1441350</v>
      </c>
      <c r="H53" s="85">
        <v>1000000</v>
      </c>
      <c r="I53" s="428">
        <v>2747735.419999999</v>
      </c>
      <c r="J53" s="428">
        <f t="shared" si="5"/>
        <v>2898860.8680999987</v>
      </c>
      <c r="K53" s="428">
        <f t="shared" si="6"/>
        <v>3052500.4941092986</v>
      </c>
    </row>
    <row r="54" spans="1:11" s="285" customFormat="1" hidden="1" x14ac:dyDescent="0.25">
      <c r="A54" s="118">
        <v>46</v>
      </c>
      <c r="B54" s="151">
        <v>5270</v>
      </c>
      <c r="C54" s="94" t="s">
        <v>89</v>
      </c>
      <c r="D54" s="85"/>
      <c r="E54" s="85">
        <v>0</v>
      </c>
      <c r="F54" s="85">
        <v>0</v>
      </c>
      <c r="G54" s="428"/>
      <c r="H54" s="85"/>
      <c r="I54" s="428"/>
      <c r="J54" s="428">
        <f t="shared" si="5"/>
        <v>0</v>
      </c>
      <c r="K54" s="428">
        <f t="shared" si="6"/>
        <v>0</v>
      </c>
    </row>
    <row r="55" spans="1:11" s="285" customFormat="1" hidden="1" x14ac:dyDescent="0.25">
      <c r="A55" s="118">
        <v>46</v>
      </c>
      <c r="B55" s="151">
        <v>5275</v>
      </c>
      <c r="C55" s="94" t="s">
        <v>93</v>
      </c>
      <c r="D55" s="85"/>
      <c r="E55" s="85">
        <v>0</v>
      </c>
      <c r="F55" s="85">
        <v>0</v>
      </c>
      <c r="G55" s="428"/>
      <c r="H55" s="85"/>
      <c r="I55" s="428"/>
      <c r="J55" s="428">
        <f t="shared" si="5"/>
        <v>0</v>
      </c>
      <c r="K55" s="428">
        <f t="shared" si="6"/>
        <v>0</v>
      </c>
    </row>
    <row r="56" spans="1:11" s="285" customFormat="1" hidden="1" x14ac:dyDescent="0.25">
      <c r="A56" s="118">
        <v>46</v>
      </c>
      <c r="B56" s="151">
        <v>5280</v>
      </c>
      <c r="C56" s="94" t="s">
        <v>94</v>
      </c>
      <c r="D56" s="85"/>
      <c r="E56" s="85">
        <v>0</v>
      </c>
      <c r="F56" s="85">
        <v>0</v>
      </c>
      <c r="G56" s="428"/>
      <c r="H56" s="85"/>
      <c r="I56" s="428"/>
      <c r="J56" s="428">
        <f t="shared" si="5"/>
        <v>0</v>
      </c>
      <c r="K56" s="428">
        <f t="shared" si="6"/>
        <v>0</v>
      </c>
    </row>
    <row r="57" spans="1:11" s="285" customFormat="1" x14ac:dyDescent="0.25">
      <c r="A57" s="118">
        <v>46</v>
      </c>
      <c r="B57" s="151">
        <v>5285</v>
      </c>
      <c r="C57" s="94" t="s">
        <v>60</v>
      </c>
      <c r="D57" s="85">
        <v>787900</v>
      </c>
      <c r="E57" s="85">
        <v>749050</v>
      </c>
      <c r="F57" s="85">
        <v>249050</v>
      </c>
      <c r="G57" s="428">
        <v>249051</v>
      </c>
      <c r="H57" s="85">
        <v>300000</v>
      </c>
      <c r="I57" s="428">
        <v>750000</v>
      </c>
      <c r="J57" s="428">
        <f t="shared" si="5"/>
        <v>791250</v>
      </c>
      <c r="K57" s="428">
        <f t="shared" si="6"/>
        <v>833186.25</v>
      </c>
    </row>
    <row r="58" spans="1:11" s="285" customFormat="1" hidden="1" x14ac:dyDescent="0.25">
      <c r="A58" s="118">
        <v>46</v>
      </c>
      <c r="B58" s="151">
        <v>5290</v>
      </c>
      <c r="C58" s="94" t="s">
        <v>186</v>
      </c>
      <c r="D58" s="85"/>
      <c r="E58" s="108"/>
      <c r="F58" s="85">
        <f>0/8*12</f>
        <v>0</v>
      </c>
      <c r="G58" s="428">
        <v>0</v>
      </c>
      <c r="H58" s="85"/>
      <c r="I58" s="428"/>
      <c r="J58" s="85"/>
      <c r="K58" s="85"/>
    </row>
    <row r="59" spans="1:11" s="285" customFormat="1" x14ac:dyDescent="0.25">
      <c r="A59" s="344"/>
      <c r="B59" s="151"/>
      <c r="C59" s="94"/>
      <c r="D59" s="439">
        <f t="shared" ref="D59:K59" si="7">SUM(D40:D58)</f>
        <v>1597205</v>
      </c>
      <c r="E59" s="110">
        <f t="shared" si="7"/>
        <v>1613538.4849999999</v>
      </c>
      <c r="F59" s="110">
        <f t="shared" si="7"/>
        <v>1813538.4849999999</v>
      </c>
      <c r="G59" s="439">
        <f t="shared" si="7"/>
        <v>1813539.4849999999</v>
      </c>
      <c r="H59" s="110">
        <f t="shared" si="7"/>
        <v>1550000</v>
      </c>
      <c r="I59" s="439">
        <f t="shared" si="7"/>
        <v>3917735.419999999</v>
      </c>
      <c r="J59" s="439">
        <f t="shared" si="7"/>
        <v>4133210.8680999987</v>
      </c>
      <c r="K59" s="439">
        <f t="shared" si="7"/>
        <v>4352271.0441092979</v>
      </c>
    </row>
    <row r="60" spans="1:11" s="285" customFormat="1" x14ac:dyDescent="0.25">
      <c r="A60" s="344"/>
      <c r="B60" s="151"/>
      <c r="C60" s="93" t="s">
        <v>198</v>
      </c>
      <c r="D60" s="85"/>
      <c r="E60" s="112"/>
      <c r="F60" s="112"/>
      <c r="G60" s="112"/>
      <c r="H60" s="112"/>
      <c r="I60" s="112"/>
      <c r="J60" s="112"/>
      <c r="K60" s="112"/>
    </row>
    <row r="61" spans="1:11" s="285" customFormat="1" hidden="1" x14ac:dyDescent="0.25">
      <c r="A61" s="118">
        <v>46</v>
      </c>
      <c r="B61" s="151">
        <v>5400</v>
      </c>
      <c r="C61" s="94" t="s">
        <v>334</v>
      </c>
      <c r="D61" s="85"/>
      <c r="E61" s="86"/>
      <c r="F61" s="85">
        <f>0/8*12</f>
        <v>0</v>
      </c>
      <c r="G61" s="86">
        <v>0</v>
      </c>
      <c r="H61" s="86"/>
      <c r="I61" s="86"/>
      <c r="J61" s="86"/>
      <c r="K61" s="86"/>
    </row>
    <row r="62" spans="1:11" s="285" customFormat="1" x14ac:dyDescent="0.25">
      <c r="A62" s="118">
        <v>46</v>
      </c>
      <c r="B62" s="151">
        <v>5405</v>
      </c>
      <c r="C62" s="94" t="s">
        <v>335</v>
      </c>
      <c r="D62" s="85"/>
      <c r="E62" s="108">
        <v>21210</v>
      </c>
      <c r="F62" s="85">
        <v>921210</v>
      </c>
      <c r="G62" s="428">
        <v>921211</v>
      </c>
      <c r="H62" s="85">
        <v>621211</v>
      </c>
      <c r="I62" s="428"/>
      <c r="J62" s="85"/>
      <c r="K62" s="85"/>
    </row>
    <row r="63" spans="1:11" s="285" customFormat="1" x14ac:dyDescent="0.25">
      <c r="A63" s="344"/>
      <c r="B63" s="151"/>
      <c r="C63" s="94"/>
      <c r="D63" s="429">
        <f>SUM(D61:D62)</f>
        <v>0</v>
      </c>
      <c r="E63" s="89">
        <f>SUM(E61:E62)</f>
        <v>21210</v>
      </c>
      <c r="F63" s="89">
        <f>SUM(F61:F62)</f>
        <v>921210</v>
      </c>
      <c r="G63" s="429">
        <f>SUM(G61:G62)</f>
        <v>921211</v>
      </c>
      <c r="H63" s="89">
        <f>SUM(H61:H62)</f>
        <v>621211</v>
      </c>
      <c r="I63" s="429"/>
      <c r="J63" s="89"/>
      <c r="K63" s="89"/>
    </row>
    <row r="64" spans="1:11" s="285" customFormat="1" hidden="1" x14ac:dyDescent="0.25">
      <c r="A64" s="344"/>
      <c r="B64" s="151"/>
      <c r="C64" s="93" t="s">
        <v>61</v>
      </c>
      <c r="D64" s="85"/>
      <c r="E64" s="86"/>
      <c r="F64" s="86"/>
      <c r="G64" s="86"/>
      <c r="H64" s="86"/>
      <c r="I64" s="86"/>
      <c r="J64" s="86"/>
      <c r="K64" s="86"/>
    </row>
    <row r="65" spans="1:11" s="285" customFormat="1" hidden="1" x14ac:dyDescent="0.25">
      <c r="A65" s="118">
        <v>46</v>
      </c>
      <c r="B65" s="151">
        <v>5450</v>
      </c>
      <c r="C65" s="94" t="s">
        <v>351</v>
      </c>
      <c r="D65" s="85"/>
      <c r="E65" s="108"/>
      <c r="F65" s="85">
        <f>0/8*12</f>
        <v>0</v>
      </c>
      <c r="G65" s="428">
        <v>0</v>
      </c>
      <c r="H65" s="85"/>
      <c r="I65" s="428"/>
      <c r="J65" s="85"/>
      <c r="K65" s="108"/>
    </row>
    <row r="66" spans="1:11" s="285" customFormat="1" hidden="1" x14ac:dyDescent="0.25">
      <c r="A66" s="344"/>
      <c r="B66" s="151"/>
      <c r="C66" s="94"/>
      <c r="D66" s="89"/>
      <c r="E66" s="89">
        <f>E65</f>
        <v>0</v>
      </c>
      <c r="F66" s="89">
        <f>F65</f>
        <v>0</v>
      </c>
      <c r="G66" s="429">
        <v>0</v>
      </c>
      <c r="H66" s="89"/>
      <c r="I66" s="429"/>
      <c r="J66" s="89"/>
      <c r="K66" s="89"/>
    </row>
    <row r="67" spans="1:11" s="285" customFormat="1" hidden="1" x14ac:dyDescent="0.25">
      <c r="A67" s="344"/>
      <c r="B67" s="151"/>
      <c r="C67" s="93" t="s">
        <v>96</v>
      </c>
      <c r="D67" s="85"/>
      <c r="E67" s="86"/>
      <c r="F67" s="86"/>
      <c r="G67" s="86"/>
      <c r="H67" s="86"/>
      <c r="I67" s="86"/>
      <c r="J67" s="86"/>
      <c r="K67" s="86"/>
    </row>
    <row r="68" spans="1:11" s="285" customFormat="1" hidden="1" x14ac:dyDescent="0.25">
      <c r="A68" s="118">
        <v>46</v>
      </c>
      <c r="B68" s="151">
        <v>5470</v>
      </c>
      <c r="C68" s="94" t="s">
        <v>97</v>
      </c>
      <c r="D68" s="85"/>
      <c r="E68" s="86"/>
      <c r="F68" s="85">
        <f>0/8*12</f>
        <v>0</v>
      </c>
      <c r="G68" s="428">
        <v>0</v>
      </c>
      <c r="H68" s="85"/>
      <c r="I68" s="428"/>
      <c r="J68" s="85"/>
      <c r="K68" s="85"/>
    </row>
    <row r="69" spans="1:11" s="285" customFormat="1" hidden="1" x14ac:dyDescent="0.25">
      <c r="A69" s="118">
        <v>46</v>
      </c>
      <c r="B69" s="151">
        <v>5475</v>
      </c>
      <c r="C69" s="94" t="s">
        <v>134</v>
      </c>
      <c r="D69" s="85"/>
      <c r="E69" s="86"/>
      <c r="F69" s="85">
        <f>0/8*12</f>
        <v>0</v>
      </c>
      <c r="G69" s="428">
        <v>0</v>
      </c>
      <c r="H69" s="85"/>
      <c r="I69" s="428"/>
      <c r="J69" s="85"/>
      <c r="K69" s="85"/>
    </row>
    <row r="70" spans="1:11" s="285" customFormat="1" hidden="1" x14ac:dyDescent="0.25">
      <c r="A70" s="344"/>
      <c r="B70" s="151"/>
      <c r="C70" s="94"/>
      <c r="D70" s="110"/>
      <c r="E70" s="110">
        <f>SUM(E68:E69)</f>
        <v>0</v>
      </c>
      <c r="F70" s="110">
        <f>SUM(F68:F69)</f>
        <v>0</v>
      </c>
      <c r="G70" s="439">
        <v>0</v>
      </c>
      <c r="H70" s="110"/>
      <c r="I70" s="439"/>
      <c r="J70" s="110"/>
      <c r="K70" s="110"/>
    </row>
    <row r="71" spans="1:11" s="285" customFormat="1" x14ac:dyDescent="0.25">
      <c r="A71" s="344"/>
      <c r="B71" s="151"/>
      <c r="C71" s="93" t="s">
        <v>62</v>
      </c>
      <c r="D71" s="88"/>
      <c r="E71" s="113"/>
      <c r="F71" s="113"/>
      <c r="G71" s="113"/>
      <c r="H71" s="113"/>
      <c r="I71" s="113"/>
      <c r="J71" s="113"/>
      <c r="K71" s="113"/>
    </row>
    <row r="72" spans="1:11" s="285" customFormat="1" x14ac:dyDescent="0.25">
      <c r="A72" s="118">
        <v>46</v>
      </c>
      <c r="B72" s="151">
        <v>5505</v>
      </c>
      <c r="C72" s="94" t="s">
        <v>259</v>
      </c>
      <c r="D72" s="85">
        <v>1446637</v>
      </c>
      <c r="E72" s="85">
        <v>885000</v>
      </c>
      <c r="F72" s="85">
        <v>885000</v>
      </c>
      <c r="G72" s="428">
        <v>885000</v>
      </c>
      <c r="H72" s="85">
        <f t="shared" ref="H72:H84" si="8">(F72*10/100)+F72</f>
        <v>973500</v>
      </c>
      <c r="I72" s="428">
        <v>1460250</v>
      </c>
      <c r="J72" s="85">
        <f>+I72*1.055</f>
        <v>1540563.75</v>
      </c>
      <c r="K72" s="85">
        <f>+J72*1.053</f>
        <v>1622213.6287499999</v>
      </c>
    </row>
    <row r="73" spans="1:11" s="285" customFormat="1" x14ac:dyDescent="0.25">
      <c r="A73" s="118">
        <v>46</v>
      </c>
      <c r="B73" s="151">
        <v>5510</v>
      </c>
      <c r="C73" s="94" t="s">
        <v>63</v>
      </c>
      <c r="D73" s="85">
        <v>44550</v>
      </c>
      <c r="E73" s="85">
        <v>24350</v>
      </c>
      <c r="F73" s="85">
        <v>0</v>
      </c>
      <c r="G73" s="428">
        <v>0</v>
      </c>
      <c r="H73" s="85">
        <f t="shared" si="8"/>
        <v>0</v>
      </c>
      <c r="I73" s="428"/>
      <c r="J73" s="428">
        <f t="shared" ref="J73:J136" si="9">+I73*1.055</f>
        <v>0</v>
      </c>
      <c r="K73" s="428">
        <f t="shared" ref="K73:K136" si="10">+J73*1.053</f>
        <v>0</v>
      </c>
    </row>
    <row r="74" spans="1:11" s="285" customFormat="1" x14ac:dyDescent="0.25">
      <c r="A74" s="118">
        <v>46</v>
      </c>
      <c r="B74" s="151">
        <v>5520</v>
      </c>
      <c r="C74" s="94" t="s">
        <v>260</v>
      </c>
      <c r="D74" s="85">
        <v>165</v>
      </c>
      <c r="E74" s="85">
        <v>182.51499999999999</v>
      </c>
      <c r="F74" s="85">
        <v>182.51499999999999</v>
      </c>
      <c r="G74" s="428">
        <v>182.51499999999999</v>
      </c>
      <c r="H74" s="85">
        <f t="shared" si="8"/>
        <v>200.76649999999998</v>
      </c>
      <c r="I74" s="428">
        <v>0</v>
      </c>
      <c r="J74" s="428">
        <f t="shared" si="9"/>
        <v>0</v>
      </c>
      <c r="K74" s="428">
        <f t="shared" si="10"/>
        <v>0</v>
      </c>
    </row>
    <row r="75" spans="1:11" s="285" customFormat="1" x14ac:dyDescent="0.25">
      <c r="A75" s="118">
        <v>46</v>
      </c>
      <c r="B75" s="151">
        <v>5525</v>
      </c>
      <c r="C75" s="94" t="s">
        <v>261</v>
      </c>
      <c r="D75" s="85">
        <v>27453</v>
      </c>
      <c r="E75" s="85">
        <v>30353.404999999999</v>
      </c>
      <c r="F75" s="85">
        <v>0</v>
      </c>
      <c r="G75" s="428">
        <v>0</v>
      </c>
      <c r="H75" s="85">
        <f t="shared" si="8"/>
        <v>0</v>
      </c>
      <c r="I75" s="428"/>
      <c r="J75" s="428">
        <f t="shared" si="9"/>
        <v>0</v>
      </c>
      <c r="K75" s="428">
        <f t="shared" si="10"/>
        <v>0</v>
      </c>
    </row>
    <row r="76" spans="1:11" s="285" customFormat="1" hidden="1" x14ac:dyDescent="0.25">
      <c r="A76" s="118">
        <v>46</v>
      </c>
      <c r="B76" s="151">
        <v>5530</v>
      </c>
      <c r="C76" s="94" t="s">
        <v>262</v>
      </c>
      <c r="D76" s="85"/>
      <c r="E76" s="85"/>
      <c r="F76" s="85">
        <v>0</v>
      </c>
      <c r="G76" s="428">
        <v>0</v>
      </c>
      <c r="H76" s="85">
        <f t="shared" si="8"/>
        <v>0</v>
      </c>
      <c r="I76" s="428">
        <v>0</v>
      </c>
      <c r="J76" s="428">
        <f t="shared" si="9"/>
        <v>0</v>
      </c>
      <c r="K76" s="428">
        <f t="shared" si="10"/>
        <v>0</v>
      </c>
    </row>
    <row r="77" spans="1:11" s="285" customFormat="1" x14ac:dyDescent="0.25">
      <c r="A77" s="118">
        <v>46</v>
      </c>
      <c r="B77" s="151">
        <v>5535</v>
      </c>
      <c r="C77" s="94" t="s">
        <v>263</v>
      </c>
      <c r="D77" s="85"/>
      <c r="E77" s="85">
        <v>15000</v>
      </c>
      <c r="F77" s="85">
        <v>6000</v>
      </c>
      <c r="G77" s="428">
        <v>6000</v>
      </c>
      <c r="H77" s="85">
        <f t="shared" si="8"/>
        <v>6600</v>
      </c>
      <c r="I77" s="428">
        <v>18957</v>
      </c>
      <c r="J77" s="428">
        <f t="shared" si="9"/>
        <v>19999.634999999998</v>
      </c>
      <c r="K77" s="428">
        <f t="shared" si="10"/>
        <v>21059.615654999998</v>
      </c>
    </row>
    <row r="78" spans="1:11" s="285" customFormat="1" x14ac:dyDescent="0.25">
      <c r="A78" s="118">
        <v>46</v>
      </c>
      <c r="B78" s="151">
        <v>5540</v>
      </c>
      <c r="C78" s="94" t="s">
        <v>264</v>
      </c>
      <c r="D78" s="85">
        <v>9177</v>
      </c>
      <c r="E78" s="85">
        <v>43626</v>
      </c>
      <c r="F78" s="85">
        <v>3626</v>
      </c>
      <c r="G78" s="428">
        <v>3626</v>
      </c>
      <c r="H78" s="85">
        <f t="shared" si="8"/>
        <v>3988.6</v>
      </c>
      <c r="I78" s="428"/>
      <c r="J78" s="428">
        <f t="shared" si="9"/>
        <v>0</v>
      </c>
      <c r="K78" s="428">
        <f t="shared" si="10"/>
        <v>0</v>
      </c>
    </row>
    <row r="79" spans="1:11" s="285" customFormat="1" ht="13.5" customHeight="1" x14ac:dyDescent="0.25">
      <c r="A79" s="118">
        <v>46</v>
      </c>
      <c r="B79" s="151">
        <v>5545</v>
      </c>
      <c r="C79" s="94" t="s">
        <v>265</v>
      </c>
      <c r="D79" s="85">
        <v>53264</v>
      </c>
      <c r="E79" s="85">
        <v>53805</v>
      </c>
      <c r="F79" s="85">
        <v>33805</v>
      </c>
      <c r="G79" s="428">
        <v>33805</v>
      </c>
      <c r="H79" s="85">
        <f t="shared" si="8"/>
        <v>37185.5</v>
      </c>
      <c r="I79" s="428">
        <v>37186</v>
      </c>
      <c r="J79" s="428">
        <f t="shared" si="9"/>
        <v>39231.229999999996</v>
      </c>
      <c r="K79" s="428">
        <f t="shared" si="10"/>
        <v>41310.485189999992</v>
      </c>
    </row>
    <row r="80" spans="1:11" s="285" customFormat="1" x14ac:dyDescent="0.25">
      <c r="A80" s="118">
        <v>46</v>
      </c>
      <c r="B80" s="151">
        <v>5550</v>
      </c>
      <c r="C80" s="94" t="s">
        <v>267</v>
      </c>
      <c r="D80" s="85"/>
      <c r="E80" s="85"/>
      <c r="F80" s="85">
        <v>0</v>
      </c>
      <c r="G80" s="428">
        <v>0</v>
      </c>
      <c r="H80" s="85">
        <f t="shared" si="8"/>
        <v>0</v>
      </c>
      <c r="I80" s="428"/>
      <c r="J80" s="428">
        <f t="shared" si="9"/>
        <v>0</v>
      </c>
      <c r="K80" s="428">
        <f t="shared" si="10"/>
        <v>0</v>
      </c>
    </row>
    <row r="81" spans="1:11" s="285" customFormat="1" x14ac:dyDescent="0.25">
      <c r="A81" s="118">
        <v>46</v>
      </c>
      <c r="B81" s="151">
        <v>5555</v>
      </c>
      <c r="C81" s="94" t="s">
        <v>268</v>
      </c>
      <c r="D81" s="85">
        <v>90069</v>
      </c>
      <c r="E81" s="85">
        <v>100572</v>
      </c>
      <c r="F81" s="85">
        <v>60572</v>
      </c>
      <c r="G81" s="428">
        <v>60572</v>
      </c>
      <c r="H81" s="85">
        <f t="shared" si="8"/>
        <v>66629.2</v>
      </c>
      <c r="I81" s="428">
        <v>66629</v>
      </c>
      <c r="J81" s="428">
        <f t="shared" si="9"/>
        <v>70293.595000000001</v>
      </c>
      <c r="K81" s="428">
        <f t="shared" si="10"/>
        <v>74019.155534999998</v>
      </c>
    </row>
    <row r="82" spans="1:11" s="285" customFormat="1" x14ac:dyDescent="0.25">
      <c r="A82" s="118">
        <v>46</v>
      </c>
      <c r="B82" s="151">
        <v>5560</v>
      </c>
      <c r="C82" s="94" t="s">
        <v>269</v>
      </c>
      <c r="D82" s="85">
        <v>21600</v>
      </c>
      <c r="E82" s="85">
        <v>25320</v>
      </c>
      <c r="F82" s="85">
        <v>126320</v>
      </c>
      <c r="G82" s="428">
        <v>126320</v>
      </c>
      <c r="H82" s="85">
        <f t="shared" si="8"/>
        <v>138952</v>
      </c>
      <c r="I82" s="428">
        <v>208428</v>
      </c>
      <c r="J82" s="428">
        <f t="shared" si="9"/>
        <v>219891.53999999998</v>
      </c>
      <c r="K82" s="428">
        <f t="shared" si="10"/>
        <v>231545.79161999997</v>
      </c>
    </row>
    <row r="83" spans="1:11" s="285" customFormat="1" hidden="1" x14ac:dyDescent="0.25">
      <c r="A83" s="118">
        <v>46</v>
      </c>
      <c r="B83" s="151">
        <v>5565</v>
      </c>
      <c r="C83" s="94" t="s">
        <v>246</v>
      </c>
      <c r="D83" s="85"/>
      <c r="E83" s="85"/>
      <c r="F83" s="85">
        <v>0</v>
      </c>
      <c r="G83" s="428">
        <v>0</v>
      </c>
      <c r="H83" s="85">
        <f t="shared" si="8"/>
        <v>0</v>
      </c>
      <c r="I83" s="428">
        <v>0</v>
      </c>
      <c r="J83" s="428">
        <f t="shared" si="9"/>
        <v>0</v>
      </c>
      <c r="K83" s="428">
        <f t="shared" si="10"/>
        <v>0</v>
      </c>
    </row>
    <row r="84" spans="1:11" s="285" customFormat="1" x14ac:dyDescent="0.25">
      <c r="A84" s="118">
        <v>46</v>
      </c>
      <c r="B84" s="151">
        <v>5570</v>
      </c>
      <c r="C84" s="94" t="s">
        <v>270</v>
      </c>
      <c r="D84" s="85">
        <v>19330</v>
      </c>
      <c r="E84" s="85"/>
      <c r="F84" s="85">
        <v>0</v>
      </c>
      <c r="G84" s="428">
        <v>0</v>
      </c>
      <c r="H84" s="85">
        <f t="shared" si="8"/>
        <v>0</v>
      </c>
      <c r="I84" s="428"/>
      <c r="J84" s="428">
        <f t="shared" si="9"/>
        <v>0</v>
      </c>
      <c r="K84" s="428">
        <f t="shared" si="10"/>
        <v>0</v>
      </c>
    </row>
    <row r="85" spans="1:11" s="285" customFormat="1" x14ac:dyDescent="0.25">
      <c r="A85" s="118">
        <v>46</v>
      </c>
      <c r="B85" s="151">
        <v>5575</v>
      </c>
      <c r="C85" s="94" t="s">
        <v>271</v>
      </c>
      <c r="D85" s="85">
        <v>37472</v>
      </c>
      <c r="E85" s="85">
        <v>360000</v>
      </c>
      <c r="F85" s="85">
        <v>560000</v>
      </c>
      <c r="G85" s="428">
        <v>560000</v>
      </c>
      <c r="H85" s="85">
        <v>216000</v>
      </c>
      <c r="I85" s="428"/>
      <c r="J85" s="428">
        <f t="shared" si="9"/>
        <v>0</v>
      </c>
      <c r="K85" s="428">
        <f t="shared" si="10"/>
        <v>0</v>
      </c>
    </row>
    <row r="86" spans="1:11" s="285" customFormat="1" x14ac:dyDescent="0.25">
      <c r="A86" s="118">
        <v>46</v>
      </c>
      <c r="B86" s="151">
        <v>5580</v>
      </c>
      <c r="C86" s="94" t="s">
        <v>272</v>
      </c>
      <c r="D86" s="85"/>
      <c r="E86" s="85">
        <v>10000</v>
      </c>
      <c r="F86" s="85">
        <v>0</v>
      </c>
      <c r="G86" s="428">
        <v>0</v>
      </c>
      <c r="H86" s="85">
        <f t="shared" ref="H86:H117" si="11">(F86*10/100)+F86</f>
        <v>0</v>
      </c>
      <c r="I86" s="428">
        <v>0</v>
      </c>
      <c r="J86" s="428">
        <f t="shared" si="9"/>
        <v>0</v>
      </c>
      <c r="K86" s="428">
        <f t="shared" si="10"/>
        <v>0</v>
      </c>
    </row>
    <row r="87" spans="1:11" s="285" customFormat="1" x14ac:dyDescent="0.25">
      <c r="A87" s="118">
        <v>46</v>
      </c>
      <c r="B87" s="151">
        <v>5585</v>
      </c>
      <c r="C87" s="94" t="s">
        <v>273</v>
      </c>
      <c r="D87" s="86">
        <v>2800</v>
      </c>
      <c r="E87" s="85">
        <v>25892</v>
      </c>
      <c r="F87" s="85">
        <v>25892</v>
      </c>
      <c r="G87" s="428">
        <v>25892</v>
      </c>
      <c r="H87" s="85">
        <f t="shared" si="11"/>
        <v>28481.200000000001</v>
      </c>
      <c r="I87" s="428">
        <v>0</v>
      </c>
      <c r="J87" s="428">
        <f t="shared" si="9"/>
        <v>0</v>
      </c>
      <c r="K87" s="428">
        <f t="shared" si="10"/>
        <v>0</v>
      </c>
    </row>
    <row r="88" spans="1:11" s="285" customFormat="1" x14ac:dyDescent="0.25">
      <c r="A88" s="118">
        <v>46</v>
      </c>
      <c r="B88" s="151">
        <v>5590</v>
      </c>
      <c r="C88" s="94" t="s">
        <v>274</v>
      </c>
      <c r="D88" s="86">
        <v>101938</v>
      </c>
      <c r="E88" s="85">
        <v>25200</v>
      </c>
      <c r="F88" s="85">
        <v>225200</v>
      </c>
      <c r="G88" s="428">
        <v>225200</v>
      </c>
      <c r="H88" s="85">
        <f t="shared" si="11"/>
        <v>247720</v>
      </c>
      <c r="I88" s="428">
        <v>371580</v>
      </c>
      <c r="J88" s="428">
        <f t="shared" si="9"/>
        <v>392016.89999999997</v>
      </c>
      <c r="K88" s="428">
        <f t="shared" si="10"/>
        <v>412793.79569999996</v>
      </c>
    </row>
    <row r="89" spans="1:11" s="285" customFormat="1" hidden="1" x14ac:dyDescent="0.25">
      <c r="A89" s="118">
        <v>46</v>
      </c>
      <c r="B89" s="151">
        <v>5595</v>
      </c>
      <c r="C89" s="94" t="s">
        <v>275</v>
      </c>
      <c r="D89" s="85"/>
      <c r="E89" s="85"/>
      <c r="F89" s="85">
        <v>0</v>
      </c>
      <c r="G89" s="428">
        <v>0</v>
      </c>
      <c r="H89" s="85">
        <f t="shared" si="11"/>
        <v>0</v>
      </c>
      <c r="I89" s="428">
        <v>0</v>
      </c>
      <c r="J89" s="428">
        <f t="shared" si="9"/>
        <v>0</v>
      </c>
      <c r="K89" s="428">
        <f t="shared" si="10"/>
        <v>0</v>
      </c>
    </row>
    <row r="90" spans="1:11" s="285" customFormat="1" hidden="1" x14ac:dyDescent="0.25">
      <c r="A90" s="118">
        <v>46</v>
      </c>
      <c r="B90" s="151">
        <v>5600</v>
      </c>
      <c r="C90" s="159" t="s">
        <v>276</v>
      </c>
      <c r="D90" s="85"/>
      <c r="E90" s="85"/>
      <c r="F90" s="85">
        <v>0</v>
      </c>
      <c r="G90" s="428">
        <v>0</v>
      </c>
      <c r="H90" s="85">
        <f t="shared" si="11"/>
        <v>0</v>
      </c>
      <c r="I90" s="428">
        <v>0</v>
      </c>
      <c r="J90" s="428">
        <f t="shared" si="9"/>
        <v>0</v>
      </c>
      <c r="K90" s="428">
        <f t="shared" si="10"/>
        <v>0</v>
      </c>
    </row>
    <row r="91" spans="1:11" s="285" customFormat="1" hidden="1" x14ac:dyDescent="0.25">
      <c r="A91" s="118">
        <v>46</v>
      </c>
      <c r="B91" s="151">
        <v>5605</v>
      </c>
      <c r="C91" s="159" t="s">
        <v>277</v>
      </c>
      <c r="D91" s="85"/>
      <c r="E91" s="85"/>
      <c r="F91" s="85">
        <v>0</v>
      </c>
      <c r="G91" s="428">
        <v>0</v>
      </c>
      <c r="H91" s="85">
        <f t="shared" si="11"/>
        <v>0</v>
      </c>
      <c r="I91" s="428">
        <v>0</v>
      </c>
      <c r="J91" s="428">
        <f t="shared" si="9"/>
        <v>0</v>
      </c>
      <c r="K91" s="428">
        <f t="shared" si="10"/>
        <v>0</v>
      </c>
    </row>
    <row r="92" spans="1:11" s="285" customFormat="1" hidden="1" x14ac:dyDescent="0.25">
      <c r="A92" s="118">
        <v>46</v>
      </c>
      <c r="B92" s="151">
        <v>5610</v>
      </c>
      <c r="C92" s="159" t="s">
        <v>278</v>
      </c>
      <c r="D92" s="85"/>
      <c r="E92" s="85"/>
      <c r="F92" s="85">
        <v>0</v>
      </c>
      <c r="G92" s="428"/>
      <c r="H92" s="85">
        <f t="shared" si="11"/>
        <v>0</v>
      </c>
      <c r="I92" s="428">
        <v>0</v>
      </c>
      <c r="J92" s="428">
        <f t="shared" si="9"/>
        <v>0</v>
      </c>
      <c r="K92" s="428">
        <f t="shared" si="10"/>
        <v>0</v>
      </c>
    </row>
    <row r="93" spans="1:11" s="285" customFormat="1" hidden="1" x14ac:dyDescent="0.25">
      <c r="A93" s="118">
        <v>46</v>
      </c>
      <c r="B93" s="151">
        <v>5615</v>
      </c>
      <c r="C93" s="159" t="s">
        <v>279</v>
      </c>
      <c r="D93" s="85"/>
      <c r="E93" s="85"/>
      <c r="F93" s="85">
        <v>0</v>
      </c>
      <c r="G93" s="428"/>
      <c r="H93" s="85">
        <f t="shared" si="11"/>
        <v>0</v>
      </c>
      <c r="I93" s="428">
        <v>0</v>
      </c>
      <c r="J93" s="428">
        <f t="shared" si="9"/>
        <v>0</v>
      </c>
      <c r="K93" s="428">
        <f t="shared" si="10"/>
        <v>0</v>
      </c>
    </row>
    <row r="94" spans="1:11" s="285" customFormat="1" hidden="1" x14ac:dyDescent="0.25">
      <c r="A94" s="118">
        <v>46</v>
      </c>
      <c r="B94" s="151">
        <v>5620</v>
      </c>
      <c r="C94" s="159" t="s">
        <v>280</v>
      </c>
      <c r="D94" s="85"/>
      <c r="E94" s="85"/>
      <c r="F94" s="85">
        <v>0</v>
      </c>
      <c r="G94" s="428"/>
      <c r="H94" s="85">
        <f t="shared" si="11"/>
        <v>0</v>
      </c>
      <c r="I94" s="428">
        <v>0</v>
      </c>
      <c r="J94" s="428">
        <f t="shared" si="9"/>
        <v>0</v>
      </c>
      <c r="K94" s="428">
        <f t="shared" si="10"/>
        <v>0</v>
      </c>
    </row>
    <row r="95" spans="1:11" s="285" customFormat="1" hidden="1" x14ac:dyDescent="0.25">
      <c r="A95" s="118">
        <v>46</v>
      </c>
      <c r="B95" s="151">
        <v>5625</v>
      </c>
      <c r="C95" s="159" t="s">
        <v>281</v>
      </c>
      <c r="D95" s="85"/>
      <c r="E95" s="85"/>
      <c r="F95" s="85">
        <v>0</v>
      </c>
      <c r="G95" s="428"/>
      <c r="H95" s="85">
        <f t="shared" si="11"/>
        <v>0</v>
      </c>
      <c r="I95" s="428">
        <v>0</v>
      </c>
      <c r="J95" s="428">
        <f t="shared" si="9"/>
        <v>0</v>
      </c>
      <c r="K95" s="428">
        <f t="shared" si="10"/>
        <v>0</v>
      </c>
    </row>
    <row r="96" spans="1:11" s="285" customFormat="1" hidden="1" x14ac:dyDescent="0.25">
      <c r="A96" s="118">
        <v>46</v>
      </c>
      <c r="B96" s="151">
        <v>5630</v>
      </c>
      <c r="C96" s="159" t="s">
        <v>282</v>
      </c>
      <c r="D96" s="85"/>
      <c r="E96" s="85"/>
      <c r="F96" s="85">
        <v>0</v>
      </c>
      <c r="G96" s="428">
        <v>0</v>
      </c>
      <c r="H96" s="85">
        <f t="shared" si="11"/>
        <v>0</v>
      </c>
      <c r="I96" s="428">
        <v>0</v>
      </c>
      <c r="J96" s="428">
        <f t="shared" si="9"/>
        <v>0</v>
      </c>
      <c r="K96" s="428">
        <f t="shared" si="10"/>
        <v>0</v>
      </c>
    </row>
    <row r="97" spans="1:11" s="285" customFormat="1" hidden="1" x14ac:dyDescent="0.25">
      <c r="A97" s="118">
        <v>46</v>
      </c>
      <c r="B97" s="151">
        <v>5635</v>
      </c>
      <c r="C97" s="159" t="s">
        <v>283</v>
      </c>
      <c r="D97" s="85"/>
      <c r="E97" s="85"/>
      <c r="F97" s="85">
        <v>0</v>
      </c>
      <c r="G97" s="428">
        <v>0</v>
      </c>
      <c r="H97" s="85">
        <f t="shared" si="11"/>
        <v>0</v>
      </c>
      <c r="I97" s="428">
        <v>0</v>
      </c>
      <c r="J97" s="428">
        <f t="shared" si="9"/>
        <v>0</v>
      </c>
      <c r="K97" s="428">
        <f t="shared" si="10"/>
        <v>0</v>
      </c>
    </row>
    <row r="98" spans="1:11" s="285" customFormat="1" hidden="1" x14ac:dyDescent="0.25">
      <c r="A98" s="118">
        <v>46</v>
      </c>
      <c r="B98" s="151">
        <v>5640</v>
      </c>
      <c r="C98" s="159" t="s">
        <v>284</v>
      </c>
      <c r="D98" s="85"/>
      <c r="E98" s="85"/>
      <c r="F98" s="85">
        <v>0</v>
      </c>
      <c r="G98" s="428">
        <v>0</v>
      </c>
      <c r="H98" s="85">
        <f t="shared" si="11"/>
        <v>0</v>
      </c>
      <c r="I98" s="428">
        <v>0</v>
      </c>
      <c r="J98" s="428">
        <f t="shared" si="9"/>
        <v>0</v>
      </c>
      <c r="K98" s="428">
        <f t="shared" si="10"/>
        <v>0</v>
      </c>
    </row>
    <row r="99" spans="1:11" s="285" customFormat="1" hidden="1" x14ac:dyDescent="0.25">
      <c r="A99" s="118">
        <v>46</v>
      </c>
      <c r="B99" s="151">
        <v>5645</v>
      </c>
      <c r="C99" s="159" t="s">
        <v>285</v>
      </c>
      <c r="D99" s="85"/>
      <c r="E99" s="85"/>
      <c r="F99" s="85">
        <v>0</v>
      </c>
      <c r="G99" s="428">
        <v>0</v>
      </c>
      <c r="H99" s="85">
        <f t="shared" si="11"/>
        <v>0</v>
      </c>
      <c r="I99" s="428">
        <v>0</v>
      </c>
      <c r="J99" s="428">
        <f t="shared" si="9"/>
        <v>0</v>
      </c>
      <c r="K99" s="428">
        <f t="shared" si="10"/>
        <v>0</v>
      </c>
    </row>
    <row r="100" spans="1:11" s="285" customFormat="1" hidden="1" x14ac:dyDescent="0.25">
      <c r="A100" s="118">
        <v>46</v>
      </c>
      <c r="B100" s="151">
        <v>5650</v>
      </c>
      <c r="C100" s="159" t="s">
        <v>286</v>
      </c>
      <c r="D100" s="85"/>
      <c r="E100" s="85"/>
      <c r="F100" s="85">
        <v>0</v>
      </c>
      <c r="G100" s="428">
        <v>0</v>
      </c>
      <c r="H100" s="85">
        <f t="shared" si="11"/>
        <v>0</v>
      </c>
      <c r="I100" s="428">
        <v>0</v>
      </c>
      <c r="J100" s="428">
        <f t="shared" si="9"/>
        <v>0</v>
      </c>
      <c r="K100" s="428">
        <f t="shared" si="10"/>
        <v>0</v>
      </c>
    </row>
    <row r="101" spans="1:11" s="285" customFormat="1" hidden="1" x14ac:dyDescent="0.25">
      <c r="A101" s="118">
        <v>46</v>
      </c>
      <c r="B101" s="151">
        <v>5655</v>
      </c>
      <c r="C101" s="159" t="s">
        <v>287</v>
      </c>
      <c r="D101" s="85"/>
      <c r="E101" s="85"/>
      <c r="F101" s="85">
        <v>0</v>
      </c>
      <c r="G101" s="428">
        <v>0</v>
      </c>
      <c r="H101" s="85">
        <f t="shared" si="11"/>
        <v>0</v>
      </c>
      <c r="I101" s="428">
        <v>0</v>
      </c>
      <c r="J101" s="428">
        <f t="shared" si="9"/>
        <v>0</v>
      </c>
      <c r="K101" s="428">
        <f t="shared" si="10"/>
        <v>0</v>
      </c>
    </row>
    <row r="102" spans="1:11" s="285" customFormat="1" hidden="1" x14ac:dyDescent="0.25">
      <c r="A102" s="118">
        <v>46</v>
      </c>
      <c r="B102" s="151">
        <v>5660</v>
      </c>
      <c r="C102" s="159" t="s">
        <v>288</v>
      </c>
      <c r="D102" s="85"/>
      <c r="E102" s="85"/>
      <c r="F102" s="85">
        <v>0</v>
      </c>
      <c r="G102" s="428">
        <v>0</v>
      </c>
      <c r="H102" s="85">
        <f t="shared" si="11"/>
        <v>0</v>
      </c>
      <c r="I102" s="428">
        <v>0</v>
      </c>
      <c r="J102" s="428">
        <f t="shared" si="9"/>
        <v>0</v>
      </c>
      <c r="K102" s="428">
        <f t="shared" si="10"/>
        <v>0</v>
      </c>
    </row>
    <row r="103" spans="1:11" s="285" customFormat="1" hidden="1" x14ac:dyDescent="0.25">
      <c r="A103" s="118">
        <v>46</v>
      </c>
      <c r="B103" s="151">
        <v>5665</v>
      </c>
      <c r="C103" s="94" t="s">
        <v>289</v>
      </c>
      <c r="D103" s="85"/>
      <c r="E103" s="85"/>
      <c r="F103" s="85">
        <v>0</v>
      </c>
      <c r="G103" s="428">
        <v>0</v>
      </c>
      <c r="H103" s="85">
        <f t="shared" si="11"/>
        <v>0</v>
      </c>
      <c r="I103" s="428">
        <v>0</v>
      </c>
      <c r="J103" s="428">
        <f t="shared" si="9"/>
        <v>0</v>
      </c>
      <c r="K103" s="428">
        <f t="shared" si="10"/>
        <v>0</v>
      </c>
    </row>
    <row r="104" spans="1:11" s="285" customFormat="1" hidden="1" x14ac:dyDescent="0.25">
      <c r="A104" s="118">
        <v>46</v>
      </c>
      <c r="B104" s="151">
        <v>5670</v>
      </c>
      <c r="C104" s="94" t="s">
        <v>290</v>
      </c>
      <c r="D104" s="85"/>
      <c r="E104" s="85"/>
      <c r="F104" s="85">
        <v>0</v>
      </c>
      <c r="G104" s="428">
        <v>0</v>
      </c>
      <c r="H104" s="85">
        <f t="shared" si="11"/>
        <v>0</v>
      </c>
      <c r="I104" s="428">
        <v>0</v>
      </c>
      <c r="J104" s="428">
        <f t="shared" si="9"/>
        <v>0</v>
      </c>
      <c r="K104" s="428">
        <f t="shared" si="10"/>
        <v>0</v>
      </c>
    </row>
    <row r="105" spans="1:11" s="285" customFormat="1" hidden="1" x14ac:dyDescent="0.25">
      <c r="A105" s="118">
        <v>46</v>
      </c>
      <c r="B105" s="151">
        <v>5675</v>
      </c>
      <c r="C105" s="94" t="s">
        <v>291</v>
      </c>
      <c r="D105" s="85"/>
      <c r="E105" s="85"/>
      <c r="F105" s="85">
        <v>0</v>
      </c>
      <c r="G105" s="428">
        <v>0</v>
      </c>
      <c r="H105" s="85">
        <f t="shared" si="11"/>
        <v>0</v>
      </c>
      <c r="I105" s="428">
        <v>0</v>
      </c>
      <c r="J105" s="428">
        <f t="shared" si="9"/>
        <v>0</v>
      </c>
      <c r="K105" s="428">
        <f t="shared" si="10"/>
        <v>0</v>
      </c>
    </row>
    <row r="106" spans="1:11" s="285" customFormat="1" hidden="1" x14ac:dyDescent="0.25">
      <c r="A106" s="118">
        <v>46</v>
      </c>
      <c r="B106" s="151">
        <v>5680</v>
      </c>
      <c r="C106" s="94" t="s">
        <v>292</v>
      </c>
      <c r="D106" s="85"/>
      <c r="E106" s="85"/>
      <c r="F106" s="85">
        <v>0</v>
      </c>
      <c r="G106" s="428">
        <v>0</v>
      </c>
      <c r="H106" s="85">
        <f t="shared" si="11"/>
        <v>0</v>
      </c>
      <c r="I106" s="428">
        <v>0</v>
      </c>
      <c r="J106" s="428">
        <f t="shared" si="9"/>
        <v>0</v>
      </c>
      <c r="K106" s="428">
        <f t="shared" si="10"/>
        <v>0</v>
      </c>
    </row>
    <row r="107" spans="1:11" s="285" customFormat="1" hidden="1" x14ac:dyDescent="0.25">
      <c r="A107" s="118">
        <v>46</v>
      </c>
      <c r="B107" s="151">
        <v>5685</v>
      </c>
      <c r="C107" s="94" t="s">
        <v>293</v>
      </c>
      <c r="D107" s="85"/>
      <c r="E107" s="85"/>
      <c r="F107" s="85">
        <v>0</v>
      </c>
      <c r="G107" s="428">
        <v>0</v>
      </c>
      <c r="H107" s="85">
        <f t="shared" si="11"/>
        <v>0</v>
      </c>
      <c r="I107" s="428">
        <v>0</v>
      </c>
      <c r="J107" s="428">
        <f t="shared" si="9"/>
        <v>0</v>
      </c>
      <c r="K107" s="428">
        <f t="shared" si="10"/>
        <v>0</v>
      </c>
    </row>
    <row r="108" spans="1:11" s="285" customFormat="1" hidden="1" x14ac:dyDescent="0.25">
      <c r="A108" s="118">
        <v>46</v>
      </c>
      <c r="B108" s="151">
        <v>5690</v>
      </c>
      <c r="C108" s="94" t="s">
        <v>247</v>
      </c>
      <c r="D108" s="85"/>
      <c r="E108" s="85"/>
      <c r="F108" s="85">
        <v>0</v>
      </c>
      <c r="G108" s="428">
        <v>0</v>
      </c>
      <c r="H108" s="85">
        <f t="shared" si="11"/>
        <v>0</v>
      </c>
      <c r="I108" s="428">
        <v>0</v>
      </c>
      <c r="J108" s="428">
        <f t="shared" si="9"/>
        <v>0</v>
      </c>
      <c r="K108" s="428">
        <f t="shared" si="10"/>
        <v>0</v>
      </c>
    </row>
    <row r="109" spans="1:11" s="285" customFormat="1" hidden="1" x14ac:dyDescent="0.25">
      <c r="A109" s="118">
        <v>46</v>
      </c>
      <c r="B109" s="151">
        <v>5695</v>
      </c>
      <c r="C109" s="94" t="s">
        <v>294</v>
      </c>
      <c r="D109" s="85"/>
      <c r="E109" s="85"/>
      <c r="F109" s="85">
        <v>0</v>
      </c>
      <c r="G109" s="428">
        <v>0</v>
      </c>
      <c r="H109" s="85">
        <f t="shared" si="11"/>
        <v>0</v>
      </c>
      <c r="I109" s="428">
        <v>0</v>
      </c>
      <c r="J109" s="428">
        <f t="shared" si="9"/>
        <v>0</v>
      </c>
      <c r="K109" s="428">
        <f t="shared" si="10"/>
        <v>0</v>
      </c>
    </row>
    <row r="110" spans="1:11" s="285" customFormat="1" x14ac:dyDescent="0.25">
      <c r="A110" s="118">
        <v>46</v>
      </c>
      <c r="B110" s="151">
        <v>5700</v>
      </c>
      <c r="C110" s="94" t="s">
        <v>295</v>
      </c>
      <c r="D110" s="85">
        <v>150300</v>
      </c>
      <c r="E110" s="85">
        <v>131875</v>
      </c>
      <c r="F110" s="85">
        <v>31875</v>
      </c>
      <c r="G110" s="428">
        <v>31875</v>
      </c>
      <c r="H110" s="85">
        <f t="shared" si="11"/>
        <v>35062.5</v>
      </c>
      <c r="I110" s="428">
        <v>35063</v>
      </c>
      <c r="J110" s="428">
        <f t="shared" si="9"/>
        <v>36991.464999999997</v>
      </c>
      <c r="K110" s="428">
        <f t="shared" si="10"/>
        <v>38952.012644999995</v>
      </c>
    </row>
    <row r="111" spans="1:11" s="285" customFormat="1" hidden="1" x14ac:dyDescent="0.25">
      <c r="A111" s="118">
        <v>46</v>
      </c>
      <c r="B111" s="151">
        <v>5710</v>
      </c>
      <c r="C111" s="94" t="s">
        <v>297</v>
      </c>
      <c r="D111" s="85"/>
      <c r="E111" s="85"/>
      <c r="F111" s="85">
        <v>0</v>
      </c>
      <c r="G111" s="428">
        <v>0</v>
      </c>
      <c r="H111" s="85">
        <f t="shared" si="11"/>
        <v>0</v>
      </c>
      <c r="I111" s="428">
        <v>0</v>
      </c>
      <c r="J111" s="428">
        <f t="shared" si="9"/>
        <v>0</v>
      </c>
      <c r="K111" s="428">
        <f t="shared" si="10"/>
        <v>0</v>
      </c>
    </row>
    <row r="112" spans="1:11" s="285" customFormat="1" hidden="1" x14ac:dyDescent="0.25">
      <c r="A112" s="118">
        <v>46</v>
      </c>
      <c r="B112" s="151">
        <v>5715</v>
      </c>
      <c r="C112" s="94" t="s">
        <v>298</v>
      </c>
      <c r="D112" s="85"/>
      <c r="E112" s="85"/>
      <c r="F112" s="85">
        <v>0</v>
      </c>
      <c r="G112" s="428">
        <v>0</v>
      </c>
      <c r="H112" s="85">
        <f t="shared" si="11"/>
        <v>0</v>
      </c>
      <c r="I112" s="428">
        <v>0</v>
      </c>
      <c r="J112" s="428">
        <f t="shared" si="9"/>
        <v>0</v>
      </c>
      <c r="K112" s="428">
        <f t="shared" si="10"/>
        <v>0</v>
      </c>
    </row>
    <row r="113" spans="1:11" s="285" customFormat="1" hidden="1" x14ac:dyDescent="0.25">
      <c r="A113" s="118">
        <v>46</v>
      </c>
      <c r="B113" s="151">
        <v>5720</v>
      </c>
      <c r="C113" s="94" t="s">
        <v>299</v>
      </c>
      <c r="D113" s="85"/>
      <c r="E113" s="85"/>
      <c r="F113" s="85">
        <v>0</v>
      </c>
      <c r="G113" s="428">
        <v>0</v>
      </c>
      <c r="H113" s="85">
        <f t="shared" si="11"/>
        <v>0</v>
      </c>
      <c r="I113" s="428">
        <v>0</v>
      </c>
      <c r="J113" s="428">
        <f t="shared" si="9"/>
        <v>0</v>
      </c>
      <c r="K113" s="428">
        <f t="shared" si="10"/>
        <v>0</v>
      </c>
    </row>
    <row r="114" spans="1:11" s="285" customFormat="1" hidden="1" x14ac:dyDescent="0.25">
      <c r="A114" s="118">
        <v>46</v>
      </c>
      <c r="B114" s="151">
        <v>5730</v>
      </c>
      <c r="C114" s="94" t="s">
        <v>300</v>
      </c>
      <c r="D114" s="85"/>
      <c r="E114" s="85"/>
      <c r="F114" s="85">
        <v>0</v>
      </c>
      <c r="G114" s="428">
        <v>0</v>
      </c>
      <c r="H114" s="85">
        <f t="shared" si="11"/>
        <v>0</v>
      </c>
      <c r="I114" s="428">
        <v>0</v>
      </c>
      <c r="J114" s="428">
        <f t="shared" si="9"/>
        <v>0</v>
      </c>
      <c r="K114" s="428">
        <f t="shared" si="10"/>
        <v>0</v>
      </c>
    </row>
    <row r="115" spans="1:11" s="285" customFormat="1" hidden="1" x14ac:dyDescent="0.25">
      <c r="A115" s="118">
        <v>46</v>
      </c>
      <c r="B115" s="151">
        <v>5735</v>
      </c>
      <c r="C115" s="94" t="s">
        <v>301</v>
      </c>
      <c r="D115" s="85"/>
      <c r="E115" s="85"/>
      <c r="F115" s="85">
        <v>0</v>
      </c>
      <c r="G115" s="428">
        <v>0</v>
      </c>
      <c r="H115" s="85">
        <f t="shared" si="11"/>
        <v>0</v>
      </c>
      <c r="I115" s="428">
        <v>0</v>
      </c>
      <c r="J115" s="428">
        <f t="shared" si="9"/>
        <v>0</v>
      </c>
      <c r="K115" s="428">
        <f t="shared" si="10"/>
        <v>0</v>
      </c>
    </row>
    <row r="116" spans="1:11" s="285" customFormat="1" hidden="1" x14ac:dyDescent="0.25">
      <c r="A116" s="118">
        <v>46</v>
      </c>
      <c r="B116" s="151">
        <v>5740</v>
      </c>
      <c r="C116" s="94" t="s">
        <v>302</v>
      </c>
      <c r="D116" s="85"/>
      <c r="E116" s="85"/>
      <c r="F116" s="85">
        <v>0</v>
      </c>
      <c r="G116" s="428">
        <v>0</v>
      </c>
      <c r="H116" s="85">
        <f t="shared" si="11"/>
        <v>0</v>
      </c>
      <c r="I116" s="428">
        <v>0</v>
      </c>
      <c r="J116" s="428">
        <f t="shared" si="9"/>
        <v>0</v>
      </c>
      <c r="K116" s="428">
        <f t="shared" si="10"/>
        <v>0</v>
      </c>
    </row>
    <row r="117" spans="1:11" s="285" customFormat="1" hidden="1" x14ac:dyDescent="0.25">
      <c r="A117" s="118">
        <v>46</v>
      </c>
      <c r="B117" s="151">
        <v>5745</v>
      </c>
      <c r="C117" s="94" t="s">
        <v>303</v>
      </c>
      <c r="D117" s="85"/>
      <c r="E117" s="85"/>
      <c r="F117" s="85">
        <v>0</v>
      </c>
      <c r="G117" s="428">
        <v>0</v>
      </c>
      <c r="H117" s="85">
        <f t="shared" si="11"/>
        <v>0</v>
      </c>
      <c r="I117" s="428">
        <v>0</v>
      </c>
      <c r="J117" s="428">
        <f t="shared" si="9"/>
        <v>0</v>
      </c>
      <c r="K117" s="428">
        <f t="shared" si="10"/>
        <v>0</v>
      </c>
    </row>
    <row r="118" spans="1:11" s="285" customFormat="1" x14ac:dyDescent="0.25">
      <c r="A118" s="118">
        <v>46</v>
      </c>
      <c r="B118" s="151">
        <v>5750</v>
      </c>
      <c r="C118" s="94" t="s">
        <v>304</v>
      </c>
      <c r="D118" s="85">
        <v>1328</v>
      </c>
      <c r="E118" s="85">
        <v>7000</v>
      </c>
      <c r="F118" s="85">
        <v>7000</v>
      </c>
      <c r="G118" s="428">
        <v>7000</v>
      </c>
      <c r="H118" s="85">
        <f t="shared" ref="H118:H147" si="12">(F118*10/100)+F118</f>
        <v>7700</v>
      </c>
      <c r="I118" s="428">
        <v>7700</v>
      </c>
      <c r="J118" s="428">
        <f t="shared" si="9"/>
        <v>8123.4999999999991</v>
      </c>
      <c r="K118" s="428">
        <f t="shared" si="10"/>
        <v>8554.0454999999984</v>
      </c>
    </row>
    <row r="119" spans="1:11" s="285" customFormat="1" x14ac:dyDescent="0.25">
      <c r="A119" s="118">
        <v>46</v>
      </c>
      <c r="B119" s="151">
        <v>5755</v>
      </c>
      <c r="C119" s="94" t="s">
        <v>305</v>
      </c>
      <c r="D119" s="85">
        <v>38672</v>
      </c>
      <c r="E119" s="85">
        <v>95800</v>
      </c>
      <c r="F119" s="85">
        <v>95800</v>
      </c>
      <c r="G119" s="428">
        <v>95800</v>
      </c>
      <c r="H119" s="85">
        <f t="shared" si="12"/>
        <v>105380</v>
      </c>
      <c r="I119" s="428">
        <v>105380</v>
      </c>
      <c r="J119" s="428">
        <f t="shared" si="9"/>
        <v>111175.9</v>
      </c>
      <c r="K119" s="428">
        <f t="shared" si="10"/>
        <v>117068.22269999998</v>
      </c>
    </row>
    <row r="120" spans="1:11" s="285" customFormat="1" ht="12" hidden="1" customHeight="1" x14ac:dyDescent="0.25">
      <c r="A120" s="118">
        <v>46</v>
      </c>
      <c r="B120" s="151">
        <v>5760</v>
      </c>
      <c r="C120" s="94" t="s">
        <v>306</v>
      </c>
      <c r="D120" s="85"/>
      <c r="E120" s="85"/>
      <c r="F120" s="85">
        <v>0</v>
      </c>
      <c r="G120" s="428"/>
      <c r="H120" s="85">
        <f t="shared" si="12"/>
        <v>0</v>
      </c>
      <c r="I120" s="428">
        <v>0</v>
      </c>
      <c r="J120" s="428">
        <f t="shared" si="9"/>
        <v>0</v>
      </c>
      <c r="K120" s="428">
        <f t="shared" si="10"/>
        <v>0</v>
      </c>
    </row>
    <row r="121" spans="1:11" s="285" customFormat="1" hidden="1" x14ac:dyDescent="0.25">
      <c r="A121" s="118">
        <v>46</v>
      </c>
      <c r="B121" s="151">
        <v>5765</v>
      </c>
      <c r="C121" s="94" t="s">
        <v>307</v>
      </c>
      <c r="D121" s="85"/>
      <c r="E121" s="85"/>
      <c r="F121" s="85">
        <v>0</v>
      </c>
      <c r="G121" s="428"/>
      <c r="H121" s="85">
        <f t="shared" si="12"/>
        <v>0</v>
      </c>
      <c r="I121" s="428">
        <v>0</v>
      </c>
      <c r="J121" s="428">
        <f t="shared" si="9"/>
        <v>0</v>
      </c>
      <c r="K121" s="428">
        <f t="shared" si="10"/>
        <v>0</v>
      </c>
    </row>
    <row r="122" spans="1:11" s="285" customFormat="1" hidden="1" x14ac:dyDescent="0.25">
      <c r="A122" s="118">
        <v>46</v>
      </c>
      <c r="B122" s="151">
        <v>5770</v>
      </c>
      <c r="C122" s="94" t="s">
        <v>308</v>
      </c>
      <c r="D122" s="85"/>
      <c r="E122" s="85"/>
      <c r="F122" s="85">
        <v>0</v>
      </c>
      <c r="G122" s="428"/>
      <c r="H122" s="85">
        <f t="shared" si="12"/>
        <v>0</v>
      </c>
      <c r="I122" s="428">
        <v>0</v>
      </c>
      <c r="J122" s="428">
        <f t="shared" si="9"/>
        <v>0</v>
      </c>
      <c r="K122" s="428">
        <f t="shared" si="10"/>
        <v>0</v>
      </c>
    </row>
    <row r="123" spans="1:11" s="285" customFormat="1" hidden="1" x14ac:dyDescent="0.25">
      <c r="A123" s="118">
        <v>46</v>
      </c>
      <c r="B123" s="151">
        <v>5775</v>
      </c>
      <c r="C123" s="94" t="s">
        <v>309</v>
      </c>
      <c r="D123" s="85"/>
      <c r="E123" s="85"/>
      <c r="F123" s="85">
        <v>0</v>
      </c>
      <c r="G123" s="428"/>
      <c r="H123" s="85">
        <f t="shared" si="12"/>
        <v>0</v>
      </c>
      <c r="I123" s="428">
        <v>0</v>
      </c>
      <c r="J123" s="428">
        <f t="shared" si="9"/>
        <v>0</v>
      </c>
      <c r="K123" s="428">
        <f t="shared" si="10"/>
        <v>0</v>
      </c>
    </row>
    <row r="124" spans="1:11" s="285" customFormat="1" hidden="1" x14ac:dyDescent="0.25">
      <c r="A124" s="118">
        <v>46</v>
      </c>
      <c r="B124" s="151">
        <v>5780</v>
      </c>
      <c r="C124" s="94" t="s">
        <v>310</v>
      </c>
      <c r="D124" s="85"/>
      <c r="E124" s="85"/>
      <c r="F124" s="85">
        <v>0</v>
      </c>
      <c r="G124" s="428"/>
      <c r="H124" s="85">
        <f t="shared" si="12"/>
        <v>0</v>
      </c>
      <c r="I124" s="428">
        <v>0</v>
      </c>
      <c r="J124" s="428">
        <f t="shared" si="9"/>
        <v>0</v>
      </c>
      <c r="K124" s="428">
        <f t="shared" si="10"/>
        <v>0</v>
      </c>
    </row>
    <row r="125" spans="1:11" s="285" customFormat="1" hidden="1" x14ac:dyDescent="0.25">
      <c r="A125" s="118">
        <v>46</v>
      </c>
      <c r="B125" s="151">
        <v>5785</v>
      </c>
      <c r="C125" s="94" t="s">
        <v>311</v>
      </c>
      <c r="D125" s="85"/>
      <c r="E125" s="85"/>
      <c r="F125" s="85">
        <v>0</v>
      </c>
      <c r="G125" s="428"/>
      <c r="H125" s="85">
        <f t="shared" si="12"/>
        <v>0</v>
      </c>
      <c r="I125" s="428">
        <v>0</v>
      </c>
      <c r="J125" s="428">
        <f t="shared" si="9"/>
        <v>0</v>
      </c>
      <c r="K125" s="428">
        <f t="shared" si="10"/>
        <v>0</v>
      </c>
    </row>
    <row r="126" spans="1:11" s="285" customFormat="1" hidden="1" x14ac:dyDescent="0.25">
      <c r="A126" s="118">
        <v>46</v>
      </c>
      <c r="B126" s="151">
        <v>5790</v>
      </c>
      <c r="C126" s="94" t="s">
        <v>312</v>
      </c>
      <c r="D126" s="85"/>
      <c r="E126" s="85"/>
      <c r="F126" s="85">
        <v>0</v>
      </c>
      <c r="G126" s="428">
        <v>0</v>
      </c>
      <c r="H126" s="85">
        <f t="shared" si="12"/>
        <v>0</v>
      </c>
      <c r="I126" s="428">
        <v>0</v>
      </c>
      <c r="J126" s="428">
        <f t="shared" si="9"/>
        <v>0</v>
      </c>
      <c r="K126" s="428">
        <f t="shared" si="10"/>
        <v>0</v>
      </c>
    </row>
    <row r="127" spans="1:11" s="285" customFormat="1" hidden="1" x14ac:dyDescent="0.25">
      <c r="A127" s="118">
        <v>46</v>
      </c>
      <c r="B127" s="151">
        <v>5795</v>
      </c>
      <c r="C127" s="94" t="s">
        <v>313</v>
      </c>
      <c r="D127" s="85"/>
      <c r="E127" s="85"/>
      <c r="F127" s="85">
        <v>0</v>
      </c>
      <c r="G127" s="428">
        <v>0</v>
      </c>
      <c r="H127" s="85">
        <f t="shared" si="12"/>
        <v>0</v>
      </c>
      <c r="I127" s="428">
        <v>0</v>
      </c>
      <c r="J127" s="428">
        <f t="shared" si="9"/>
        <v>0</v>
      </c>
      <c r="K127" s="428">
        <f t="shared" si="10"/>
        <v>0</v>
      </c>
    </row>
    <row r="128" spans="1:11" s="285" customFormat="1" hidden="1" x14ac:dyDescent="0.25">
      <c r="A128" s="118">
        <v>46</v>
      </c>
      <c r="B128" s="151">
        <v>5800</v>
      </c>
      <c r="C128" s="94" t="s">
        <v>314</v>
      </c>
      <c r="D128" s="85"/>
      <c r="E128" s="85"/>
      <c r="F128" s="85">
        <v>0</v>
      </c>
      <c r="G128" s="428">
        <v>0</v>
      </c>
      <c r="H128" s="85">
        <f t="shared" si="12"/>
        <v>0</v>
      </c>
      <c r="I128" s="428">
        <v>0</v>
      </c>
      <c r="J128" s="428">
        <f t="shared" si="9"/>
        <v>0</v>
      </c>
      <c r="K128" s="428">
        <f t="shared" si="10"/>
        <v>0</v>
      </c>
    </row>
    <row r="129" spans="1:11" s="285" customFormat="1" hidden="1" x14ac:dyDescent="0.25">
      <c r="A129" s="118">
        <v>46</v>
      </c>
      <c r="B129" s="151">
        <v>5805</v>
      </c>
      <c r="C129" s="94" t="s">
        <v>315</v>
      </c>
      <c r="D129" s="85"/>
      <c r="E129" s="85"/>
      <c r="F129" s="85">
        <v>0</v>
      </c>
      <c r="G129" s="428">
        <v>0</v>
      </c>
      <c r="H129" s="85">
        <f t="shared" si="12"/>
        <v>0</v>
      </c>
      <c r="I129" s="428">
        <v>0</v>
      </c>
      <c r="J129" s="428">
        <f t="shared" si="9"/>
        <v>0</v>
      </c>
      <c r="K129" s="428">
        <f t="shared" si="10"/>
        <v>0</v>
      </c>
    </row>
    <row r="130" spans="1:11" s="285" customFormat="1" hidden="1" x14ac:dyDescent="0.25">
      <c r="A130" s="118">
        <v>46</v>
      </c>
      <c r="B130" s="151">
        <v>5810</v>
      </c>
      <c r="C130" s="94" t="s">
        <v>316</v>
      </c>
      <c r="D130" s="85"/>
      <c r="E130" s="85"/>
      <c r="F130" s="85">
        <v>0</v>
      </c>
      <c r="G130" s="428">
        <v>0</v>
      </c>
      <c r="H130" s="85">
        <f t="shared" si="12"/>
        <v>0</v>
      </c>
      <c r="I130" s="428">
        <v>0</v>
      </c>
      <c r="J130" s="428">
        <f t="shared" si="9"/>
        <v>0</v>
      </c>
      <c r="K130" s="428">
        <f t="shared" si="10"/>
        <v>0</v>
      </c>
    </row>
    <row r="131" spans="1:11" s="285" customFormat="1" hidden="1" x14ac:dyDescent="0.25">
      <c r="A131" s="118">
        <v>46</v>
      </c>
      <c r="B131" s="151">
        <v>5815</v>
      </c>
      <c r="C131" s="94" t="s">
        <v>99</v>
      </c>
      <c r="D131" s="85"/>
      <c r="E131" s="85"/>
      <c r="F131" s="85">
        <v>0</v>
      </c>
      <c r="G131" s="428">
        <v>0</v>
      </c>
      <c r="H131" s="85">
        <f t="shared" si="12"/>
        <v>0</v>
      </c>
      <c r="I131" s="428">
        <v>0</v>
      </c>
      <c r="J131" s="428">
        <f t="shared" si="9"/>
        <v>0</v>
      </c>
      <c r="K131" s="428">
        <f t="shared" si="10"/>
        <v>0</v>
      </c>
    </row>
    <row r="132" spans="1:11" s="285" customFormat="1" hidden="1" x14ac:dyDescent="0.25">
      <c r="A132" s="118">
        <v>46</v>
      </c>
      <c r="B132" s="151">
        <v>5820</v>
      </c>
      <c r="C132" s="94" t="s">
        <v>114</v>
      </c>
      <c r="D132" s="86"/>
      <c r="E132" s="85"/>
      <c r="F132" s="85">
        <v>0</v>
      </c>
      <c r="G132" s="428">
        <v>0</v>
      </c>
      <c r="H132" s="85">
        <f t="shared" si="12"/>
        <v>0</v>
      </c>
      <c r="I132" s="428">
        <v>0</v>
      </c>
      <c r="J132" s="428">
        <f t="shared" si="9"/>
        <v>0</v>
      </c>
      <c r="K132" s="428">
        <f t="shared" si="10"/>
        <v>0</v>
      </c>
    </row>
    <row r="133" spans="1:11" s="285" customFormat="1" x14ac:dyDescent="0.25">
      <c r="A133" s="118">
        <v>46</v>
      </c>
      <c r="B133" s="151">
        <v>5825</v>
      </c>
      <c r="C133" s="94" t="s">
        <v>317</v>
      </c>
      <c r="D133" s="86">
        <v>140500</v>
      </c>
      <c r="E133" s="85">
        <v>149810</v>
      </c>
      <c r="F133" s="85">
        <v>249810</v>
      </c>
      <c r="G133" s="428">
        <v>249810</v>
      </c>
      <c r="H133" s="85">
        <f t="shared" si="12"/>
        <v>274791</v>
      </c>
      <c r="I133" s="428">
        <v>1000000</v>
      </c>
      <c r="J133" s="428">
        <f t="shared" si="9"/>
        <v>1055000</v>
      </c>
      <c r="K133" s="428">
        <f t="shared" si="10"/>
        <v>1110915</v>
      </c>
    </row>
    <row r="134" spans="1:11" s="285" customFormat="1" x14ac:dyDescent="0.25">
      <c r="A134" s="118">
        <v>46</v>
      </c>
      <c r="B134" s="151">
        <v>5830</v>
      </c>
      <c r="C134" s="94" t="s">
        <v>318</v>
      </c>
      <c r="D134" s="86">
        <v>138194</v>
      </c>
      <c r="E134" s="85">
        <v>5111</v>
      </c>
      <c r="F134" s="85">
        <v>5111</v>
      </c>
      <c r="G134" s="428">
        <v>5111</v>
      </c>
      <c r="H134" s="85">
        <f t="shared" si="12"/>
        <v>5622.1</v>
      </c>
      <c r="I134" s="428">
        <v>0</v>
      </c>
      <c r="J134" s="428">
        <f t="shared" si="9"/>
        <v>0</v>
      </c>
      <c r="K134" s="428">
        <f t="shared" si="10"/>
        <v>0</v>
      </c>
    </row>
    <row r="135" spans="1:11" s="285" customFormat="1" x14ac:dyDescent="0.25">
      <c r="A135" s="118">
        <v>46</v>
      </c>
      <c r="B135" s="151">
        <v>5835</v>
      </c>
      <c r="C135" s="94" t="s">
        <v>319</v>
      </c>
      <c r="D135" s="86">
        <v>137772</v>
      </c>
      <c r="E135" s="85">
        <v>170667.34999999998</v>
      </c>
      <c r="F135" s="85">
        <v>170667.34999999998</v>
      </c>
      <c r="G135" s="428">
        <v>170667.34999999998</v>
      </c>
      <c r="H135" s="85">
        <f t="shared" si="12"/>
        <v>187734.08499999996</v>
      </c>
      <c r="I135" s="428">
        <v>375468.16999999993</v>
      </c>
      <c r="J135" s="428">
        <f t="shared" si="9"/>
        <v>396118.91934999992</v>
      </c>
      <c r="K135" s="428">
        <f t="shared" si="10"/>
        <v>417113.22207554989</v>
      </c>
    </row>
    <row r="136" spans="1:11" s="285" customFormat="1" hidden="1" x14ac:dyDescent="0.25">
      <c r="A136" s="118">
        <v>46</v>
      </c>
      <c r="B136" s="151">
        <v>5840</v>
      </c>
      <c r="C136" s="94" t="s">
        <v>332</v>
      </c>
      <c r="D136" s="115"/>
      <c r="E136" s="85"/>
      <c r="F136" s="85">
        <v>0</v>
      </c>
      <c r="G136" s="428">
        <v>0</v>
      </c>
      <c r="H136" s="85">
        <f t="shared" si="12"/>
        <v>0</v>
      </c>
      <c r="I136" s="428">
        <v>0</v>
      </c>
      <c r="J136" s="428">
        <f t="shared" si="9"/>
        <v>0</v>
      </c>
      <c r="K136" s="428">
        <f t="shared" si="10"/>
        <v>0</v>
      </c>
    </row>
    <row r="137" spans="1:11" s="285" customFormat="1" hidden="1" x14ac:dyDescent="0.25">
      <c r="A137" s="118">
        <v>46</v>
      </c>
      <c r="B137" s="151">
        <v>5845</v>
      </c>
      <c r="C137" s="94" t="s">
        <v>320</v>
      </c>
      <c r="D137" s="86"/>
      <c r="E137" s="85"/>
      <c r="F137" s="85">
        <v>0</v>
      </c>
      <c r="G137" s="428">
        <v>0</v>
      </c>
      <c r="H137" s="85">
        <f t="shared" si="12"/>
        <v>0</v>
      </c>
      <c r="I137" s="428">
        <v>0</v>
      </c>
      <c r="J137" s="428">
        <f t="shared" ref="J137:J144" si="13">+I137*1.055</f>
        <v>0</v>
      </c>
      <c r="K137" s="428">
        <f t="shared" ref="K137:K144" si="14">+J137*1.053</f>
        <v>0</v>
      </c>
    </row>
    <row r="138" spans="1:11" s="285" customFormat="1" hidden="1" x14ac:dyDescent="0.25">
      <c r="A138" s="118">
        <v>46</v>
      </c>
      <c r="B138" s="151">
        <v>5855</v>
      </c>
      <c r="C138" s="94" t="s">
        <v>321</v>
      </c>
      <c r="D138" s="85"/>
      <c r="E138" s="85"/>
      <c r="F138" s="85">
        <v>0</v>
      </c>
      <c r="G138" s="428">
        <v>0</v>
      </c>
      <c r="H138" s="85">
        <f t="shared" si="12"/>
        <v>0</v>
      </c>
      <c r="I138" s="428">
        <v>0</v>
      </c>
      <c r="J138" s="428">
        <f t="shared" si="13"/>
        <v>0</v>
      </c>
      <c r="K138" s="428">
        <f t="shared" si="14"/>
        <v>0</v>
      </c>
    </row>
    <row r="139" spans="1:11" s="285" customFormat="1" hidden="1" x14ac:dyDescent="0.25">
      <c r="A139" s="118">
        <v>46</v>
      </c>
      <c r="B139" s="151">
        <v>5860</v>
      </c>
      <c r="C139" s="94" t="s">
        <v>322</v>
      </c>
      <c r="D139" s="85"/>
      <c r="E139" s="85"/>
      <c r="F139" s="85">
        <v>0</v>
      </c>
      <c r="G139" s="428">
        <v>0</v>
      </c>
      <c r="H139" s="85">
        <f t="shared" si="12"/>
        <v>0</v>
      </c>
      <c r="I139" s="428">
        <v>0</v>
      </c>
      <c r="J139" s="428">
        <f t="shared" si="13"/>
        <v>0</v>
      </c>
      <c r="K139" s="428">
        <f t="shared" si="14"/>
        <v>0</v>
      </c>
    </row>
    <row r="140" spans="1:11" s="285" customFormat="1" hidden="1" x14ac:dyDescent="0.25">
      <c r="A140" s="118">
        <v>46</v>
      </c>
      <c r="B140" s="151">
        <v>5865</v>
      </c>
      <c r="C140" s="94" t="s">
        <v>323</v>
      </c>
      <c r="D140" s="85"/>
      <c r="E140" s="85"/>
      <c r="F140" s="85">
        <v>0</v>
      </c>
      <c r="G140" s="428">
        <v>0</v>
      </c>
      <c r="H140" s="85">
        <f t="shared" si="12"/>
        <v>0</v>
      </c>
      <c r="I140" s="428">
        <v>0</v>
      </c>
      <c r="J140" s="428">
        <f t="shared" si="13"/>
        <v>0</v>
      </c>
      <c r="K140" s="428">
        <f t="shared" si="14"/>
        <v>0</v>
      </c>
    </row>
    <row r="141" spans="1:11" s="285" customFormat="1" hidden="1" x14ac:dyDescent="0.25">
      <c r="A141" s="118">
        <v>46</v>
      </c>
      <c r="B141" s="151">
        <v>5870</v>
      </c>
      <c r="C141" s="94" t="s">
        <v>324</v>
      </c>
      <c r="D141" s="85"/>
      <c r="E141" s="85"/>
      <c r="F141" s="85">
        <v>0</v>
      </c>
      <c r="G141" s="428">
        <v>0</v>
      </c>
      <c r="H141" s="85">
        <f t="shared" si="12"/>
        <v>0</v>
      </c>
      <c r="I141" s="428">
        <v>0</v>
      </c>
      <c r="J141" s="428">
        <f t="shared" si="13"/>
        <v>0</v>
      </c>
      <c r="K141" s="428">
        <f t="shared" si="14"/>
        <v>0</v>
      </c>
    </row>
    <row r="142" spans="1:11" s="285" customFormat="1" hidden="1" x14ac:dyDescent="0.25">
      <c r="A142" s="118">
        <v>46</v>
      </c>
      <c r="B142" s="151">
        <v>5875</v>
      </c>
      <c r="C142" s="94" t="s">
        <v>325</v>
      </c>
      <c r="D142" s="85"/>
      <c r="E142" s="85"/>
      <c r="F142" s="85">
        <v>0</v>
      </c>
      <c r="G142" s="428">
        <v>0</v>
      </c>
      <c r="H142" s="85">
        <f t="shared" si="12"/>
        <v>0</v>
      </c>
      <c r="I142" s="428">
        <v>0</v>
      </c>
      <c r="J142" s="428">
        <f t="shared" si="13"/>
        <v>0</v>
      </c>
      <c r="K142" s="428">
        <f t="shared" si="14"/>
        <v>0</v>
      </c>
    </row>
    <row r="143" spans="1:11" s="285" customFormat="1" hidden="1" x14ac:dyDescent="0.25">
      <c r="A143" s="118">
        <v>46</v>
      </c>
      <c r="B143" s="151">
        <v>5880</v>
      </c>
      <c r="C143" s="94" t="s">
        <v>326</v>
      </c>
      <c r="D143" s="85"/>
      <c r="E143" s="85"/>
      <c r="F143" s="85">
        <v>0</v>
      </c>
      <c r="G143" s="428">
        <v>0</v>
      </c>
      <c r="H143" s="85">
        <f t="shared" si="12"/>
        <v>0</v>
      </c>
      <c r="I143" s="428">
        <v>0</v>
      </c>
      <c r="J143" s="428">
        <f t="shared" si="13"/>
        <v>0</v>
      </c>
      <c r="K143" s="428">
        <f t="shared" si="14"/>
        <v>0</v>
      </c>
    </row>
    <row r="144" spans="1:11" s="285" customFormat="1" x14ac:dyDescent="0.25">
      <c r="A144" s="118">
        <v>46</v>
      </c>
      <c r="B144" s="151">
        <v>5885</v>
      </c>
      <c r="C144" s="94" t="s">
        <v>331</v>
      </c>
      <c r="D144" s="85">
        <v>16489</v>
      </c>
      <c r="E144" s="85">
        <v>0</v>
      </c>
      <c r="F144" s="85">
        <v>0</v>
      </c>
      <c r="G144" s="428">
        <v>0</v>
      </c>
      <c r="H144" s="85">
        <f t="shared" si="12"/>
        <v>0</v>
      </c>
      <c r="I144" s="428"/>
      <c r="J144" s="428">
        <f t="shared" si="13"/>
        <v>0</v>
      </c>
      <c r="K144" s="428">
        <f t="shared" si="14"/>
        <v>0</v>
      </c>
    </row>
    <row r="145" spans="1:11" s="285" customFormat="1" hidden="1" x14ac:dyDescent="0.25">
      <c r="A145" s="118">
        <v>46</v>
      </c>
      <c r="B145" s="151">
        <v>5890</v>
      </c>
      <c r="C145" s="94" t="s">
        <v>327</v>
      </c>
      <c r="D145" s="85"/>
      <c r="E145" s="85"/>
      <c r="F145" s="85">
        <v>0</v>
      </c>
      <c r="G145" s="428">
        <v>0</v>
      </c>
      <c r="H145" s="85">
        <f t="shared" si="12"/>
        <v>0</v>
      </c>
      <c r="I145" s="428"/>
      <c r="J145" s="85"/>
      <c r="K145" s="85"/>
    </row>
    <row r="146" spans="1:11" s="285" customFormat="1" hidden="1" x14ac:dyDescent="0.25">
      <c r="A146" s="118">
        <v>46</v>
      </c>
      <c r="B146" s="151">
        <v>5895</v>
      </c>
      <c r="C146" s="94" t="s">
        <v>328</v>
      </c>
      <c r="D146" s="85"/>
      <c r="E146" s="85"/>
      <c r="F146" s="85">
        <v>0</v>
      </c>
      <c r="G146" s="428"/>
      <c r="H146" s="85">
        <f t="shared" si="12"/>
        <v>0</v>
      </c>
      <c r="I146" s="428"/>
      <c r="J146" s="85"/>
      <c r="K146" s="85"/>
    </row>
    <row r="147" spans="1:11" s="285" customFormat="1" hidden="1" x14ac:dyDescent="0.25">
      <c r="A147" s="118">
        <v>46</v>
      </c>
      <c r="B147" s="151">
        <v>5910</v>
      </c>
      <c r="C147" s="94" t="s">
        <v>330</v>
      </c>
      <c r="D147" s="85"/>
      <c r="E147" s="85"/>
      <c r="F147" s="85">
        <v>0</v>
      </c>
      <c r="G147" s="428"/>
      <c r="H147" s="85">
        <f t="shared" si="12"/>
        <v>0</v>
      </c>
      <c r="I147" s="428"/>
      <c r="J147" s="85"/>
      <c r="K147" s="85"/>
    </row>
    <row r="148" spans="1:11" s="285" customFormat="1" x14ac:dyDescent="0.25">
      <c r="A148" s="344"/>
      <c r="B148" s="151"/>
      <c r="C148" s="94"/>
      <c r="D148" s="89">
        <v>2477710</v>
      </c>
      <c r="E148" s="89">
        <f>SUM(E72:E147)</f>
        <v>2159564.27</v>
      </c>
      <c r="F148" s="89">
        <v>2486860.8650000002</v>
      </c>
      <c r="G148" s="429">
        <v>2486860.8650000002</v>
      </c>
      <c r="H148" s="89">
        <v>2486860.8650000002</v>
      </c>
      <c r="I148" s="429">
        <v>2486860.8650000002</v>
      </c>
      <c r="J148" s="429">
        <v>2486860.8650000002</v>
      </c>
      <c r="K148" s="429">
        <v>2486860.8650000002</v>
      </c>
    </row>
    <row r="149" spans="1:11" s="285" customFormat="1" hidden="1" x14ac:dyDescent="0.25">
      <c r="A149" s="344"/>
      <c r="B149" s="151"/>
      <c r="C149" s="93" t="s">
        <v>187</v>
      </c>
      <c r="D149" s="85"/>
      <c r="E149" s="108"/>
      <c r="F149" s="108"/>
      <c r="G149" s="425"/>
      <c r="H149" s="108"/>
      <c r="I149" s="425"/>
      <c r="J149" s="108"/>
      <c r="K149" s="108"/>
    </row>
    <row r="150" spans="1:11" s="285" customFormat="1" hidden="1" x14ac:dyDescent="0.25">
      <c r="A150" s="118">
        <v>46</v>
      </c>
      <c r="B150" s="151">
        <v>6005</v>
      </c>
      <c r="C150" s="94" t="s">
        <v>188</v>
      </c>
      <c r="D150" s="85"/>
      <c r="E150" s="108"/>
      <c r="F150" s="85">
        <v>0</v>
      </c>
      <c r="G150" s="428">
        <v>0</v>
      </c>
      <c r="H150" s="85"/>
      <c r="I150" s="428"/>
      <c r="J150" s="85"/>
      <c r="K150" s="108"/>
    </row>
    <row r="151" spans="1:11" s="285" customFormat="1" hidden="1" x14ac:dyDescent="0.25">
      <c r="A151" s="344"/>
      <c r="B151" s="151"/>
      <c r="C151" s="94"/>
      <c r="D151" s="89"/>
      <c r="E151" s="89">
        <f>SUM(E150)</f>
        <v>0</v>
      </c>
      <c r="F151" s="89">
        <v>0</v>
      </c>
      <c r="G151" s="429">
        <v>0</v>
      </c>
      <c r="H151" s="89"/>
      <c r="I151" s="429"/>
      <c r="J151" s="89"/>
      <c r="K151" s="89"/>
    </row>
    <row r="152" spans="1:11" s="285" customFormat="1" x14ac:dyDescent="0.25">
      <c r="A152" s="344"/>
      <c r="B152" s="151"/>
      <c r="C152" s="93" t="s">
        <v>64</v>
      </c>
      <c r="D152" s="88"/>
      <c r="E152" s="113"/>
      <c r="F152" s="113"/>
      <c r="G152" s="113"/>
      <c r="H152" s="113"/>
      <c r="I152" s="113"/>
      <c r="J152" s="113"/>
      <c r="K152" s="113"/>
    </row>
    <row r="153" spans="1:11" s="285" customFormat="1" x14ac:dyDescent="0.25">
      <c r="A153" s="118">
        <v>46</v>
      </c>
      <c r="B153" s="151">
        <v>6105</v>
      </c>
      <c r="C153" s="94" t="s">
        <v>336</v>
      </c>
      <c r="D153" s="85"/>
      <c r="E153" s="108"/>
      <c r="F153" s="85">
        <v>0</v>
      </c>
      <c r="G153" s="428">
        <v>0</v>
      </c>
      <c r="H153" s="85"/>
      <c r="I153" s="428"/>
      <c r="J153" s="85"/>
      <c r="K153" s="108"/>
    </row>
    <row r="154" spans="1:11" s="285" customFormat="1" x14ac:dyDescent="0.25">
      <c r="A154" s="118">
        <v>46</v>
      </c>
      <c r="B154" s="151">
        <v>6110</v>
      </c>
      <c r="C154" s="94" t="s">
        <v>337</v>
      </c>
      <c r="D154" s="85"/>
      <c r="E154" s="108">
        <v>1200000</v>
      </c>
      <c r="F154" s="85">
        <v>1200000</v>
      </c>
      <c r="G154" s="428">
        <v>1200000</v>
      </c>
      <c r="H154" s="85"/>
      <c r="I154" s="428"/>
      <c r="J154" s="85"/>
      <c r="K154" s="85"/>
    </row>
    <row r="155" spans="1:11" s="285" customFormat="1" x14ac:dyDescent="0.25">
      <c r="A155" s="118">
        <v>46</v>
      </c>
      <c r="B155" s="151">
        <v>6115</v>
      </c>
      <c r="C155" s="94" t="s">
        <v>60</v>
      </c>
      <c r="D155" s="85">
        <v>1500000</v>
      </c>
      <c r="E155" s="108"/>
      <c r="F155" s="85">
        <v>0</v>
      </c>
      <c r="G155" s="428">
        <v>0</v>
      </c>
      <c r="H155" s="85"/>
      <c r="I155" s="428"/>
      <c r="J155" s="85"/>
      <c r="K155" s="85"/>
    </row>
    <row r="156" spans="1:11" s="285" customFormat="1" x14ac:dyDescent="0.25">
      <c r="A156" s="344"/>
      <c r="B156" s="151"/>
      <c r="C156" s="94"/>
      <c r="D156" s="89">
        <v>1500000</v>
      </c>
      <c r="E156" s="89">
        <f>SUM(E153:E155)</f>
        <v>1200000</v>
      </c>
      <c r="F156" s="89">
        <f>SUM(F153:F155)</f>
        <v>1200000</v>
      </c>
      <c r="G156" s="429">
        <v>1200000</v>
      </c>
      <c r="H156" s="89">
        <f>SUM(H153:H155)</f>
        <v>0</v>
      </c>
      <c r="I156" s="429">
        <f>SUM(I153:I155)</f>
        <v>0</v>
      </c>
      <c r="J156" s="429">
        <f>SUM(J153:J155)</f>
        <v>0</v>
      </c>
      <c r="K156" s="429">
        <f>SUM(K153:K155)</f>
        <v>0</v>
      </c>
    </row>
    <row r="157" spans="1:11" s="285" customFormat="1" hidden="1" x14ac:dyDescent="0.25">
      <c r="A157" s="344"/>
      <c r="B157" s="151"/>
      <c r="C157" s="184" t="s">
        <v>65</v>
      </c>
      <c r="D157" s="88"/>
      <c r="E157" s="113"/>
      <c r="F157" s="113"/>
      <c r="G157" s="113"/>
      <c r="H157" s="113"/>
      <c r="I157" s="113"/>
      <c r="J157" s="113"/>
      <c r="K157" s="113"/>
    </row>
    <row r="158" spans="1:11" s="285" customFormat="1" hidden="1" x14ac:dyDescent="0.25">
      <c r="A158" s="118">
        <v>46</v>
      </c>
      <c r="B158" s="151">
        <v>6205</v>
      </c>
      <c r="C158" s="94" t="s">
        <v>338</v>
      </c>
      <c r="D158" s="85">
        <v>0</v>
      </c>
      <c r="E158" s="108"/>
      <c r="F158" s="85"/>
      <c r="G158" s="428"/>
      <c r="H158" s="85"/>
      <c r="I158" s="428"/>
      <c r="J158" s="428"/>
      <c r="K158" s="428"/>
    </row>
    <row r="159" spans="1:11" s="285" customFormat="1" hidden="1" x14ac:dyDescent="0.25">
      <c r="A159" s="118">
        <v>46</v>
      </c>
      <c r="B159" s="151">
        <v>6210</v>
      </c>
      <c r="C159" s="94" t="s">
        <v>339</v>
      </c>
      <c r="D159" s="85">
        <v>0</v>
      </c>
      <c r="E159" s="85"/>
      <c r="F159" s="85"/>
      <c r="G159" s="428"/>
      <c r="H159" s="85"/>
      <c r="I159" s="428"/>
      <c r="J159" s="428"/>
      <c r="K159" s="428"/>
    </row>
    <row r="160" spans="1:11" s="285" customFormat="1" hidden="1" x14ac:dyDescent="0.25">
      <c r="A160" s="344"/>
      <c r="B160" s="346"/>
      <c r="C160" s="347"/>
      <c r="D160" s="116">
        <v>0</v>
      </c>
      <c r="E160" s="116">
        <f>SUM(E158:E159)</f>
        <v>0</v>
      </c>
      <c r="F160" s="116">
        <f>SUM(F158:F159)</f>
        <v>0</v>
      </c>
      <c r="G160" s="441">
        <v>0</v>
      </c>
      <c r="H160" s="116">
        <f>SUM(H158:H159)</f>
        <v>0</v>
      </c>
      <c r="I160" s="441">
        <f>SUM(I158:I159)</f>
        <v>0</v>
      </c>
      <c r="J160" s="441">
        <f>SUM(J158:J159)</f>
        <v>0</v>
      </c>
      <c r="K160" s="441">
        <f>SUM(K158:K159)</f>
        <v>0</v>
      </c>
    </row>
    <row r="161" spans="1:11" s="285" customFormat="1" x14ac:dyDescent="0.25">
      <c r="A161" s="344"/>
      <c r="B161" s="346"/>
      <c r="C161" s="93" t="s">
        <v>189</v>
      </c>
      <c r="D161" s="441">
        <f t="shared" ref="D161:K161" si="15">D160+D156+D151+D148+D70+D66+D63+D59+D38+D35+D32+D29+D25+D18</f>
        <v>17289515</v>
      </c>
      <c r="E161" s="116">
        <f t="shared" si="15"/>
        <v>18623212.754999999</v>
      </c>
      <c r="F161" s="116">
        <f t="shared" si="15"/>
        <v>14193206.35</v>
      </c>
      <c r="G161" s="441">
        <f t="shared" si="15"/>
        <v>14193209.35</v>
      </c>
      <c r="H161" s="116">
        <f t="shared" si="15"/>
        <v>13958342.261</v>
      </c>
      <c r="I161" s="441">
        <f t="shared" si="15"/>
        <v>13763330.76957141</v>
      </c>
      <c r="J161" s="441">
        <f t="shared" si="15"/>
        <v>14383536.614322837</v>
      </c>
      <c r="K161" s="441">
        <f t="shared" si="15"/>
        <v>15014060.429036947</v>
      </c>
    </row>
    <row r="162" spans="1:11" s="285" customFormat="1" hidden="1" x14ac:dyDescent="0.25">
      <c r="A162" s="344"/>
      <c r="B162" s="151"/>
      <c r="C162" s="93" t="s">
        <v>258</v>
      </c>
      <c r="D162" s="117"/>
      <c r="E162" s="117"/>
      <c r="F162" s="117"/>
      <c r="G162" s="442"/>
      <c r="H162" s="117"/>
      <c r="I162" s="442"/>
      <c r="J162" s="442"/>
      <c r="K162" s="442"/>
    </row>
    <row r="163" spans="1:11" s="285" customFormat="1" hidden="1" x14ac:dyDescent="0.25">
      <c r="A163" s="118">
        <v>46</v>
      </c>
      <c r="B163" s="151">
        <v>6305</v>
      </c>
      <c r="C163" s="94" t="s">
        <v>190</v>
      </c>
      <c r="D163" s="85">
        <v>0</v>
      </c>
      <c r="E163" s="85"/>
      <c r="F163" s="85"/>
      <c r="G163" s="428"/>
      <c r="H163" s="85"/>
      <c r="I163" s="428"/>
      <c r="J163" s="428"/>
      <c r="K163" s="428"/>
    </row>
    <row r="164" spans="1:11" s="285" customFormat="1" hidden="1" x14ac:dyDescent="0.25">
      <c r="A164" s="344"/>
      <c r="B164" s="151"/>
      <c r="C164" s="94"/>
      <c r="D164" s="116">
        <v>0</v>
      </c>
      <c r="E164" s="116">
        <f>E163</f>
        <v>0</v>
      </c>
      <c r="F164" s="116">
        <f>F163</f>
        <v>0</v>
      </c>
      <c r="G164" s="441">
        <v>0</v>
      </c>
      <c r="H164" s="116">
        <f>H163</f>
        <v>0</v>
      </c>
      <c r="I164" s="441">
        <f>I163</f>
        <v>0</v>
      </c>
      <c r="J164" s="441">
        <f>J163</f>
        <v>0</v>
      </c>
      <c r="K164" s="441">
        <f>K163</f>
        <v>0</v>
      </c>
    </row>
    <row r="165" spans="1:11" s="285" customFormat="1" x14ac:dyDescent="0.25">
      <c r="A165" s="348"/>
      <c r="B165" s="152"/>
      <c r="C165" s="119" t="s">
        <v>191</v>
      </c>
      <c r="D165" s="448">
        <f t="shared" ref="D165:K165" si="16">SUM(D161+D164)</f>
        <v>17289515</v>
      </c>
      <c r="E165" s="160">
        <f t="shared" si="16"/>
        <v>18623212.754999999</v>
      </c>
      <c r="F165" s="160">
        <f t="shared" si="16"/>
        <v>14193206.35</v>
      </c>
      <c r="G165" s="448">
        <f t="shared" si="16"/>
        <v>14193209.35</v>
      </c>
      <c r="H165" s="160">
        <f t="shared" si="16"/>
        <v>13958342.261</v>
      </c>
      <c r="I165" s="448">
        <f t="shared" si="16"/>
        <v>13763330.76957141</v>
      </c>
      <c r="J165" s="448">
        <f t="shared" si="16"/>
        <v>14383536.614322837</v>
      </c>
      <c r="K165" s="448">
        <f t="shared" si="16"/>
        <v>15014060.429036947</v>
      </c>
    </row>
    <row r="166" spans="1:11" s="285" customFormat="1" x14ac:dyDescent="0.25">
      <c r="A166" s="344"/>
      <c r="B166" s="130"/>
      <c r="C166" s="115"/>
      <c r="D166" s="111"/>
      <c r="E166" s="120"/>
      <c r="F166" s="120"/>
      <c r="G166" s="120"/>
      <c r="H166" s="120"/>
      <c r="I166" s="120"/>
      <c r="J166" s="120"/>
      <c r="K166" s="120"/>
    </row>
    <row r="167" spans="1:11" s="285" customFormat="1" x14ac:dyDescent="0.25">
      <c r="A167" s="344"/>
      <c r="B167" s="130"/>
      <c r="C167" s="115"/>
      <c r="D167" s="111"/>
      <c r="E167" s="111"/>
      <c r="F167" s="111"/>
      <c r="G167" s="111"/>
      <c r="H167" s="111"/>
      <c r="I167" s="111"/>
      <c r="J167" s="111"/>
      <c r="K167" s="111"/>
    </row>
    <row r="168" spans="1:11" s="285" customFormat="1" x14ac:dyDescent="0.25">
      <c r="A168" s="349"/>
      <c r="B168" s="546" t="s">
        <v>416</v>
      </c>
      <c r="C168" s="546"/>
      <c r="D168" s="547"/>
      <c r="E168" s="338"/>
      <c r="F168" s="338"/>
      <c r="G168" s="563"/>
      <c r="H168" s="420"/>
      <c r="I168" s="581"/>
      <c r="J168" s="338"/>
      <c r="K168" s="338"/>
    </row>
    <row r="169" spans="1:11" s="285" customFormat="1" x14ac:dyDescent="0.25">
      <c r="A169" s="944" t="s">
        <v>21</v>
      </c>
      <c r="B169" s="945"/>
      <c r="C169" s="150" t="s">
        <v>22</v>
      </c>
      <c r="D169" s="103" t="s">
        <v>878</v>
      </c>
      <c r="E169" s="104" t="s">
        <v>24</v>
      </c>
      <c r="F169" s="103" t="s">
        <v>535</v>
      </c>
      <c r="G169" s="103" t="s">
        <v>413</v>
      </c>
      <c r="H169" s="104" t="s">
        <v>24</v>
      </c>
      <c r="I169" s="583" t="s">
        <v>24</v>
      </c>
      <c r="J169" s="583" t="s">
        <v>24</v>
      </c>
      <c r="K169" s="583" t="s">
        <v>24</v>
      </c>
    </row>
    <row r="170" spans="1:11" s="285" customFormat="1" x14ac:dyDescent="0.25">
      <c r="A170" s="946"/>
      <c r="B170" s="947"/>
      <c r="C170" s="106"/>
      <c r="D170" s="333" t="s">
        <v>257</v>
      </c>
      <c r="E170" s="107" t="s">
        <v>382</v>
      </c>
      <c r="F170" s="107" t="s">
        <v>382</v>
      </c>
      <c r="G170" s="107" t="s">
        <v>382</v>
      </c>
      <c r="H170" s="107" t="s">
        <v>407</v>
      </c>
      <c r="I170" s="586" t="s">
        <v>414</v>
      </c>
      <c r="J170" s="586" t="s">
        <v>530</v>
      </c>
      <c r="K170" s="586" t="s">
        <v>886</v>
      </c>
    </row>
    <row r="171" spans="1:11" s="285" customFormat="1" hidden="1" x14ac:dyDescent="0.25">
      <c r="A171" s="350"/>
      <c r="B171" s="153"/>
      <c r="C171" s="93" t="s">
        <v>98</v>
      </c>
      <c r="D171" s="122"/>
      <c r="E171" s="98"/>
      <c r="F171" s="98"/>
      <c r="G171" s="435"/>
      <c r="H171" s="98"/>
      <c r="I171" s="435"/>
      <c r="J171" s="98"/>
      <c r="K171" s="98"/>
    </row>
    <row r="172" spans="1:11" s="285" customFormat="1" hidden="1" x14ac:dyDescent="0.25">
      <c r="A172" s="118">
        <v>46</v>
      </c>
      <c r="B172" s="151">
        <v>1237</v>
      </c>
      <c r="C172" s="94" t="s">
        <v>99</v>
      </c>
      <c r="D172" s="122"/>
      <c r="E172" s="108"/>
      <c r="F172" s="98">
        <v>0</v>
      </c>
      <c r="G172" s="435">
        <v>0</v>
      </c>
      <c r="H172" s="98"/>
      <c r="I172" s="435"/>
      <c r="J172" s="98"/>
      <c r="K172" s="108">
        <f>F172*(1+[1]INPUT!C15)</f>
        <v>0</v>
      </c>
    </row>
    <row r="173" spans="1:11" s="285" customFormat="1" hidden="1" x14ac:dyDescent="0.25">
      <c r="A173" s="118">
        <v>46</v>
      </c>
      <c r="B173" s="151">
        <v>5725</v>
      </c>
      <c r="C173" s="94" t="s">
        <v>400</v>
      </c>
      <c r="D173" s="85"/>
      <c r="E173" s="85">
        <v>0</v>
      </c>
      <c r="F173" s="85">
        <v>0</v>
      </c>
      <c r="G173" s="428">
        <v>0</v>
      </c>
      <c r="H173" s="85"/>
      <c r="I173" s="428"/>
      <c r="J173" s="85"/>
      <c r="K173" s="85">
        <f>F173*(1+[1]INPUT!C$10)</f>
        <v>0</v>
      </c>
    </row>
    <row r="174" spans="1:11" s="285" customFormat="1" hidden="1" x14ac:dyDescent="0.25">
      <c r="A174" s="344"/>
      <c r="B174" s="151"/>
      <c r="C174" s="94"/>
      <c r="D174" s="99"/>
      <c r="E174" s="99">
        <f>SUM(E172)</f>
        <v>0</v>
      </c>
      <c r="F174" s="99">
        <v>0</v>
      </c>
      <c r="G174" s="436">
        <v>0</v>
      </c>
      <c r="H174" s="99"/>
      <c r="I174" s="436"/>
      <c r="J174" s="99"/>
      <c r="K174" s="99">
        <f>SUM(K172)</f>
        <v>0</v>
      </c>
    </row>
    <row r="175" spans="1:11" s="285" customFormat="1" x14ac:dyDescent="0.25">
      <c r="A175" s="344"/>
      <c r="B175" s="151"/>
      <c r="C175" s="93" t="s">
        <v>100</v>
      </c>
      <c r="D175" s="122"/>
      <c r="E175" s="98"/>
      <c r="F175" s="98"/>
      <c r="G175" s="435"/>
      <c r="H175" s="98"/>
      <c r="I175" s="435"/>
      <c r="J175" s="98"/>
      <c r="K175" s="98"/>
    </row>
    <row r="176" spans="1:11" s="285" customFormat="1" hidden="1" x14ac:dyDescent="0.25">
      <c r="A176" s="118">
        <v>46</v>
      </c>
      <c r="B176" s="151">
        <v>1147</v>
      </c>
      <c r="C176" s="94" t="s">
        <v>102</v>
      </c>
      <c r="D176" s="122"/>
      <c r="E176" s="98"/>
      <c r="F176" s="98">
        <v>0</v>
      </c>
      <c r="G176" s="435">
        <v>0</v>
      </c>
      <c r="H176" s="98"/>
      <c r="I176" s="435"/>
      <c r="J176" s="98"/>
      <c r="K176" s="98"/>
    </row>
    <row r="177" spans="1:11" s="285" customFormat="1" hidden="1" x14ac:dyDescent="0.25">
      <c r="A177" s="118">
        <v>46</v>
      </c>
      <c r="B177" s="151">
        <v>1202</v>
      </c>
      <c r="C177" s="94" t="s">
        <v>343</v>
      </c>
      <c r="D177" s="122"/>
      <c r="E177" s="98"/>
      <c r="F177" s="98">
        <v>0</v>
      </c>
      <c r="G177" s="435">
        <v>0</v>
      </c>
      <c r="H177" s="98"/>
      <c r="I177" s="435"/>
      <c r="J177" s="98"/>
      <c r="K177" s="98"/>
    </row>
    <row r="178" spans="1:11" s="285" customFormat="1" hidden="1" x14ac:dyDescent="0.25">
      <c r="A178" s="118">
        <v>46</v>
      </c>
      <c r="B178" s="151">
        <v>1207</v>
      </c>
      <c r="C178" s="94" t="s">
        <v>104</v>
      </c>
      <c r="D178" s="122"/>
      <c r="E178" s="98"/>
      <c r="F178" s="98">
        <v>0</v>
      </c>
      <c r="G178" s="435">
        <v>0</v>
      </c>
      <c r="H178" s="98"/>
      <c r="I178" s="435"/>
      <c r="J178" s="98"/>
      <c r="K178" s="98"/>
    </row>
    <row r="179" spans="1:11" s="285" customFormat="1" hidden="1" x14ac:dyDescent="0.25">
      <c r="A179" s="118">
        <v>46</v>
      </c>
      <c r="B179" s="151">
        <v>1153</v>
      </c>
      <c r="C179" s="94" t="s">
        <v>115</v>
      </c>
      <c r="D179" s="122"/>
      <c r="E179" s="98"/>
      <c r="F179" s="98">
        <v>0</v>
      </c>
      <c r="G179" s="435">
        <v>0</v>
      </c>
      <c r="H179" s="98"/>
      <c r="I179" s="435"/>
      <c r="J179" s="98"/>
      <c r="K179" s="98"/>
    </row>
    <row r="180" spans="1:11" s="285" customFormat="1" hidden="1" x14ac:dyDescent="0.25">
      <c r="A180" s="118">
        <v>46</v>
      </c>
      <c r="B180" s="151">
        <v>1143</v>
      </c>
      <c r="C180" s="94" t="s">
        <v>109</v>
      </c>
      <c r="D180" s="122"/>
      <c r="E180" s="98"/>
      <c r="F180" s="98">
        <v>0</v>
      </c>
      <c r="G180" s="435">
        <v>0</v>
      </c>
      <c r="H180" s="98"/>
      <c r="I180" s="435"/>
      <c r="J180" s="98"/>
      <c r="K180" s="98"/>
    </row>
    <row r="181" spans="1:11" s="285" customFormat="1" x14ac:dyDescent="0.25">
      <c r="A181" s="118">
        <v>46</v>
      </c>
      <c r="B181" s="151">
        <v>5500</v>
      </c>
      <c r="C181" s="94" t="s">
        <v>266</v>
      </c>
      <c r="D181" s="85">
        <v>-265793</v>
      </c>
      <c r="E181" s="85">
        <v>-283076</v>
      </c>
      <c r="F181" s="85">
        <v>-283076</v>
      </c>
      <c r="G181" s="428">
        <v>-283076</v>
      </c>
      <c r="H181" s="85">
        <f t="shared" ref="H181:H204" si="17">(F181*10/100)+F181</f>
        <v>-311383.59999999998</v>
      </c>
      <c r="I181" s="428">
        <v>-141538</v>
      </c>
      <c r="J181" s="85">
        <f>+I181*1.055</f>
        <v>-149322.59</v>
      </c>
      <c r="K181" s="85">
        <f>+J181*1.053</f>
        <v>-157236.68726999999</v>
      </c>
    </row>
    <row r="182" spans="1:11" s="285" customFormat="1" hidden="1" x14ac:dyDescent="0.25">
      <c r="A182" s="118">
        <v>46</v>
      </c>
      <c r="B182" s="151">
        <v>5705</v>
      </c>
      <c r="C182" s="94" t="s">
        <v>296</v>
      </c>
      <c r="D182" s="85"/>
      <c r="E182" s="85"/>
      <c r="F182" s="85">
        <v>0</v>
      </c>
      <c r="G182" s="428">
        <v>0</v>
      </c>
      <c r="H182" s="85">
        <f t="shared" si="17"/>
        <v>0</v>
      </c>
      <c r="I182" s="428"/>
      <c r="J182" s="428">
        <f t="shared" ref="J182:J205" si="18">+I182*1.055</f>
        <v>0</v>
      </c>
      <c r="K182" s="428">
        <f t="shared" ref="K182:K205" si="19">+J182*1.053</f>
        <v>0</v>
      </c>
    </row>
    <row r="183" spans="1:11" s="285" customFormat="1" hidden="1" x14ac:dyDescent="0.25">
      <c r="A183" s="118">
        <v>46</v>
      </c>
      <c r="B183" s="151">
        <v>1140</v>
      </c>
      <c r="C183" s="94" t="s">
        <v>113</v>
      </c>
      <c r="D183" s="122"/>
      <c r="E183" s="98"/>
      <c r="F183" s="85">
        <v>0</v>
      </c>
      <c r="G183" s="428">
        <v>0</v>
      </c>
      <c r="H183" s="85">
        <f t="shared" si="17"/>
        <v>0</v>
      </c>
      <c r="I183" s="428"/>
      <c r="J183" s="428">
        <f t="shared" si="18"/>
        <v>0</v>
      </c>
      <c r="K183" s="428">
        <f t="shared" si="19"/>
        <v>0</v>
      </c>
    </row>
    <row r="184" spans="1:11" s="285" customFormat="1" hidden="1" x14ac:dyDescent="0.25">
      <c r="A184" s="118">
        <v>46</v>
      </c>
      <c r="B184" s="151">
        <v>1145</v>
      </c>
      <c r="C184" s="94" t="s">
        <v>132</v>
      </c>
      <c r="D184" s="122"/>
      <c r="E184" s="98"/>
      <c r="F184" s="85">
        <v>0</v>
      </c>
      <c r="G184" s="428">
        <v>0</v>
      </c>
      <c r="H184" s="85">
        <f t="shared" si="17"/>
        <v>0</v>
      </c>
      <c r="I184" s="428"/>
      <c r="J184" s="428">
        <f t="shared" si="18"/>
        <v>0</v>
      </c>
      <c r="K184" s="428">
        <f t="shared" si="19"/>
        <v>0</v>
      </c>
    </row>
    <row r="185" spans="1:11" s="285" customFormat="1" hidden="1" x14ac:dyDescent="0.25">
      <c r="A185" s="118">
        <v>46</v>
      </c>
      <c r="B185" s="151">
        <v>1150</v>
      </c>
      <c r="C185" s="94" t="s">
        <v>120</v>
      </c>
      <c r="D185" s="122"/>
      <c r="E185" s="98"/>
      <c r="F185" s="85">
        <v>0</v>
      </c>
      <c r="G185" s="428">
        <v>0</v>
      </c>
      <c r="H185" s="85">
        <f t="shared" si="17"/>
        <v>0</v>
      </c>
      <c r="I185" s="428"/>
      <c r="J185" s="428">
        <f t="shared" si="18"/>
        <v>0</v>
      </c>
      <c r="K185" s="428">
        <f t="shared" si="19"/>
        <v>0</v>
      </c>
    </row>
    <row r="186" spans="1:11" s="285" customFormat="1" hidden="1" x14ac:dyDescent="0.25">
      <c r="A186" s="118">
        <v>46</v>
      </c>
      <c r="B186" s="151">
        <v>1155</v>
      </c>
      <c r="C186" s="94" t="s">
        <v>116</v>
      </c>
      <c r="D186" s="122"/>
      <c r="E186" s="98"/>
      <c r="F186" s="85">
        <v>0</v>
      </c>
      <c r="G186" s="428">
        <v>0</v>
      </c>
      <c r="H186" s="85">
        <f t="shared" si="17"/>
        <v>0</v>
      </c>
      <c r="I186" s="428"/>
      <c r="J186" s="428">
        <f t="shared" si="18"/>
        <v>0</v>
      </c>
      <c r="K186" s="428">
        <f t="shared" si="19"/>
        <v>0</v>
      </c>
    </row>
    <row r="187" spans="1:11" s="285" customFormat="1" hidden="1" x14ac:dyDescent="0.25">
      <c r="A187" s="118">
        <v>46</v>
      </c>
      <c r="B187" s="151">
        <v>1160</v>
      </c>
      <c r="C187" s="94" t="s">
        <v>101</v>
      </c>
      <c r="D187" s="122"/>
      <c r="E187" s="98"/>
      <c r="F187" s="85">
        <v>0</v>
      </c>
      <c r="G187" s="428">
        <v>0</v>
      </c>
      <c r="H187" s="85">
        <f t="shared" si="17"/>
        <v>0</v>
      </c>
      <c r="I187" s="428"/>
      <c r="J187" s="428">
        <f t="shared" si="18"/>
        <v>0</v>
      </c>
      <c r="K187" s="428">
        <f t="shared" si="19"/>
        <v>0</v>
      </c>
    </row>
    <row r="188" spans="1:11" s="285" customFormat="1" hidden="1" x14ac:dyDescent="0.25">
      <c r="A188" s="118">
        <v>46</v>
      </c>
      <c r="B188" s="151">
        <v>1165</v>
      </c>
      <c r="C188" s="94" t="s">
        <v>114</v>
      </c>
      <c r="D188" s="122"/>
      <c r="E188" s="98"/>
      <c r="F188" s="85">
        <v>0</v>
      </c>
      <c r="G188" s="428">
        <v>0</v>
      </c>
      <c r="H188" s="85">
        <f t="shared" si="17"/>
        <v>0</v>
      </c>
      <c r="I188" s="428"/>
      <c r="J188" s="428">
        <f t="shared" si="18"/>
        <v>0</v>
      </c>
      <c r="K188" s="428">
        <f t="shared" si="19"/>
        <v>0</v>
      </c>
    </row>
    <row r="189" spans="1:11" s="285" customFormat="1" hidden="1" x14ac:dyDescent="0.25">
      <c r="A189" s="118"/>
      <c r="B189" s="151"/>
      <c r="C189" s="94" t="s">
        <v>401</v>
      </c>
      <c r="D189" s="122"/>
      <c r="E189" s="98"/>
      <c r="F189" s="85">
        <v>0</v>
      </c>
      <c r="G189" s="428">
        <v>0</v>
      </c>
      <c r="H189" s="85">
        <f t="shared" si="17"/>
        <v>0</v>
      </c>
      <c r="I189" s="428"/>
      <c r="J189" s="428">
        <f t="shared" si="18"/>
        <v>0</v>
      </c>
      <c r="K189" s="428">
        <f t="shared" si="19"/>
        <v>0</v>
      </c>
    </row>
    <row r="190" spans="1:11" s="285" customFormat="1" hidden="1" x14ac:dyDescent="0.25">
      <c r="A190" s="118">
        <v>46</v>
      </c>
      <c r="B190" s="151">
        <v>1180</v>
      </c>
      <c r="C190" s="94" t="s">
        <v>402</v>
      </c>
      <c r="D190" s="122"/>
      <c r="E190" s="98"/>
      <c r="F190" s="85">
        <v>0</v>
      </c>
      <c r="G190" s="428">
        <v>0</v>
      </c>
      <c r="H190" s="85">
        <f t="shared" si="17"/>
        <v>0</v>
      </c>
      <c r="I190" s="428"/>
      <c r="J190" s="428">
        <f t="shared" si="18"/>
        <v>0</v>
      </c>
      <c r="K190" s="428">
        <f t="shared" si="19"/>
        <v>0</v>
      </c>
    </row>
    <row r="191" spans="1:11" s="285" customFormat="1" hidden="1" x14ac:dyDescent="0.25">
      <c r="A191" s="118">
        <v>46</v>
      </c>
      <c r="B191" s="151">
        <v>1185</v>
      </c>
      <c r="C191" s="94" t="s">
        <v>403</v>
      </c>
      <c r="D191" s="122"/>
      <c r="E191" s="98"/>
      <c r="F191" s="85">
        <v>0</v>
      </c>
      <c r="G191" s="428">
        <v>0</v>
      </c>
      <c r="H191" s="85">
        <f t="shared" si="17"/>
        <v>0</v>
      </c>
      <c r="I191" s="428"/>
      <c r="J191" s="428">
        <f t="shared" si="18"/>
        <v>0</v>
      </c>
      <c r="K191" s="428">
        <f t="shared" si="19"/>
        <v>0</v>
      </c>
    </row>
    <row r="192" spans="1:11" s="285" customFormat="1" hidden="1" x14ac:dyDescent="0.25">
      <c r="A192" s="118">
        <v>46</v>
      </c>
      <c r="B192" s="151">
        <v>1190</v>
      </c>
      <c r="C192" s="94" t="s">
        <v>404</v>
      </c>
      <c r="D192" s="122"/>
      <c r="E192" s="98"/>
      <c r="F192" s="85">
        <v>0</v>
      </c>
      <c r="G192" s="428">
        <v>0</v>
      </c>
      <c r="H192" s="85">
        <f t="shared" si="17"/>
        <v>0</v>
      </c>
      <c r="I192" s="428"/>
      <c r="J192" s="428">
        <f t="shared" si="18"/>
        <v>0</v>
      </c>
      <c r="K192" s="428">
        <f t="shared" si="19"/>
        <v>0</v>
      </c>
    </row>
    <row r="193" spans="1:11" s="285" customFormat="1" hidden="1" x14ac:dyDescent="0.25">
      <c r="A193" s="118"/>
      <c r="B193" s="151"/>
      <c r="C193" s="94" t="s">
        <v>405</v>
      </c>
      <c r="D193" s="122"/>
      <c r="E193" s="98"/>
      <c r="F193" s="85">
        <v>0</v>
      </c>
      <c r="G193" s="428">
        <v>0</v>
      </c>
      <c r="H193" s="85">
        <f t="shared" si="17"/>
        <v>0</v>
      </c>
      <c r="I193" s="428"/>
      <c r="J193" s="428">
        <f t="shared" si="18"/>
        <v>0</v>
      </c>
      <c r="K193" s="428">
        <f t="shared" si="19"/>
        <v>0</v>
      </c>
    </row>
    <row r="194" spans="1:11" s="285" customFormat="1" x14ac:dyDescent="0.25">
      <c r="A194" s="118">
        <v>46</v>
      </c>
      <c r="B194" s="151">
        <v>1195</v>
      </c>
      <c r="C194" s="94" t="s">
        <v>199</v>
      </c>
      <c r="D194" s="122">
        <v>20000</v>
      </c>
      <c r="E194" s="98">
        <v>21120</v>
      </c>
      <c r="F194" s="85">
        <v>81120</v>
      </c>
      <c r="G194" s="428">
        <v>81120</v>
      </c>
      <c r="H194" s="85">
        <f t="shared" si="17"/>
        <v>89232</v>
      </c>
      <c r="I194" s="428">
        <v>89232</v>
      </c>
      <c r="J194" s="428">
        <f t="shared" si="18"/>
        <v>94139.76</v>
      </c>
      <c r="K194" s="428">
        <f t="shared" si="19"/>
        <v>99129.167279999994</v>
      </c>
    </row>
    <row r="195" spans="1:11" s="285" customFormat="1" hidden="1" x14ac:dyDescent="0.25">
      <c r="A195" s="118">
        <v>46</v>
      </c>
      <c r="B195" s="151">
        <v>1200</v>
      </c>
      <c r="C195" s="94" t="s">
        <v>117</v>
      </c>
      <c r="D195" s="122"/>
      <c r="E195" s="98"/>
      <c r="F195" s="85">
        <v>0</v>
      </c>
      <c r="G195" s="428">
        <v>0</v>
      </c>
      <c r="H195" s="85">
        <f t="shared" si="17"/>
        <v>0</v>
      </c>
      <c r="I195" s="428"/>
      <c r="J195" s="428">
        <f t="shared" si="18"/>
        <v>0</v>
      </c>
      <c r="K195" s="428">
        <f t="shared" si="19"/>
        <v>0</v>
      </c>
    </row>
    <row r="196" spans="1:11" s="285" customFormat="1" hidden="1" x14ac:dyDescent="0.25">
      <c r="A196" s="118">
        <v>46</v>
      </c>
      <c r="B196" s="151">
        <v>1205</v>
      </c>
      <c r="C196" s="115" t="s">
        <v>105</v>
      </c>
      <c r="D196" s="122"/>
      <c r="E196" s="98"/>
      <c r="F196" s="85">
        <v>0</v>
      </c>
      <c r="G196" s="428">
        <v>0</v>
      </c>
      <c r="H196" s="85">
        <f t="shared" si="17"/>
        <v>0</v>
      </c>
      <c r="I196" s="428"/>
      <c r="J196" s="428">
        <f t="shared" si="18"/>
        <v>0</v>
      </c>
      <c r="K196" s="428">
        <f t="shared" si="19"/>
        <v>0</v>
      </c>
    </row>
    <row r="197" spans="1:11" s="285" customFormat="1" hidden="1" x14ac:dyDescent="0.25">
      <c r="A197" s="118">
        <v>46</v>
      </c>
      <c r="B197" s="151">
        <v>1210</v>
      </c>
      <c r="C197" s="94" t="s">
        <v>118</v>
      </c>
      <c r="D197" s="122"/>
      <c r="E197" s="98"/>
      <c r="F197" s="85">
        <v>0</v>
      </c>
      <c r="G197" s="428">
        <v>0</v>
      </c>
      <c r="H197" s="85">
        <f t="shared" si="17"/>
        <v>0</v>
      </c>
      <c r="I197" s="428"/>
      <c r="J197" s="428">
        <f t="shared" si="18"/>
        <v>0</v>
      </c>
      <c r="K197" s="428">
        <f t="shared" si="19"/>
        <v>0</v>
      </c>
    </row>
    <row r="198" spans="1:11" s="285" customFormat="1" hidden="1" x14ac:dyDescent="0.25">
      <c r="A198" s="118">
        <v>46</v>
      </c>
      <c r="B198" s="151">
        <v>1215</v>
      </c>
      <c r="C198" s="94" t="s">
        <v>133</v>
      </c>
      <c r="D198" s="122"/>
      <c r="E198" s="98"/>
      <c r="F198" s="85">
        <v>0</v>
      </c>
      <c r="G198" s="428">
        <v>0</v>
      </c>
      <c r="H198" s="85">
        <f t="shared" si="17"/>
        <v>0</v>
      </c>
      <c r="I198" s="428"/>
      <c r="J198" s="428">
        <f t="shared" si="18"/>
        <v>0</v>
      </c>
      <c r="K198" s="428">
        <f t="shared" si="19"/>
        <v>0</v>
      </c>
    </row>
    <row r="199" spans="1:11" s="285" customFormat="1" hidden="1" x14ac:dyDescent="0.25">
      <c r="A199" s="118">
        <v>46</v>
      </c>
      <c r="B199" s="151">
        <v>5905</v>
      </c>
      <c r="C199" s="94" t="s">
        <v>329</v>
      </c>
      <c r="D199" s="85"/>
      <c r="E199" s="85"/>
      <c r="F199" s="85">
        <v>0</v>
      </c>
      <c r="G199" s="428">
        <v>0</v>
      </c>
      <c r="H199" s="85">
        <f t="shared" si="17"/>
        <v>0</v>
      </c>
      <c r="I199" s="428"/>
      <c r="J199" s="428">
        <f t="shared" si="18"/>
        <v>0</v>
      </c>
      <c r="K199" s="428">
        <f t="shared" si="19"/>
        <v>0</v>
      </c>
    </row>
    <row r="200" spans="1:11" s="285" customFormat="1" x14ac:dyDescent="0.25">
      <c r="A200" s="118">
        <v>46</v>
      </c>
      <c r="B200" s="151">
        <v>5900</v>
      </c>
      <c r="C200" s="94" t="s">
        <v>333</v>
      </c>
      <c r="D200" s="85">
        <v>-91375</v>
      </c>
      <c r="E200" s="85">
        <v>-96468</v>
      </c>
      <c r="F200" s="85">
        <v>-96468</v>
      </c>
      <c r="G200" s="428">
        <v>-96468</v>
      </c>
      <c r="H200" s="85">
        <f t="shared" si="17"/>
        <v>-106114.8</v>
      </c>
      <c r="I200" s="428">
        <v>-48234</v>
      </c>
      <c r="J200" s="428">
        <f t="shared" si="18"/>
        <v>-50886.869999999995</v>
      </c>
      <c r="K200" s="428">
        <f t="shared" si="19"/>
        <v>-53583.87410999999</v>
      </c>
    </row>
    <row r="201" spans="1:11" s="285" customFormat="1" hidden="1" x14ac:dyDescent="0.25">
      <c r="A201" s="118">
        <v>46</v>
      </c>
      <c r="B201" s="151">
        <v>1220</v>
      </c>
      <c r="C201" s="94" t="s">
        <v>340</v>
      </c>
      <c r="D201" s="122"/>
      <c r="E201" s="98">
        <v>0</v>
      </c>
      <c r="F201" s="85">
        <v>0</v>
      </c>
      <c r="G201" s="428">
        <v>0</v>
      </c>
      <c r="H201" s="85">
        <f t="shared" si="17"/>
        <v>0</v>
      </c>
      <c r="I201" s="428"/>
      <c r="J201" s="428">
        <f t="shared" si="18"/>
        <v>0</v>
      </c>
      <c r="K201" s="428">
        <f t="shared" si="19"/>
        <v>0</v>
      </c>
    </row>
    <row r="202" spans="1:11" s="285" customFormat="1" hidden="1" x14ac:dyDescent="0.25">
      <c r="A202" s="118">
        <v>46</v>
      </c>
      <c r="B202" s="151">
        <v>1225</v>
      </c>
      <c r="C202" s="94" t="s">
        <v>370</v>
      </c>
      <c r="D202" s="122"/>
      <c r="E202" s="98">
        <v>0</v>
      </c>
      <c r="F202" s="85">
        <v>0</v>
      </c>
      <c r="G202" s="428">
        <v>0</v>
      </c>
      <c r="H202" s="85">
        <f t="shared" si="17"/>
        <v>0</v>
      </c>
      <c r="I202" s="428"/>
      <c r="J202" s="428">
        <f t="shared" si="18"/>
        <v>0</v>
      </c>
      <c r="K202" s="428">
        <f t="shared" si="19"/>
        <v>0</v>
      </c>
    </row>
    <row r="203" spans="1:11" s="285" customFormat="1" hidden="1" x14ac:dyDescent="0.25">
      <c r="A203" s="118">
        <v>46</v>
      </c>
      <c r="B203" s="151">
        <v>1230</v>
      </c>
      <c r="C203" s="94" t="s">
        <v>119</v>
      </c>
      <c r="D203" s="122"/>
      <c r="E203" s="98">
        <v>0</v>
      </c>
      <c r="F203" s="85">
        <v>0</v>
      </c>
      <c r="G203" s="428">
        <v>0</v>
      </c>
      <c r="H203" s="85">
        <f t="shared" si="17"/>
        <v>0</v>
      </c>
      <c r="I203" s="428"/>
      <c r="J203" s="428">
        <f t="shared" si="18"/>
        <v>0</v>
      </c>
      <c r="K203" s="428">
        <f t="shared" si="19"/>
        <v>0</v>
      </c>
    </row>
    <row r="204" spans="1:11" s="285" customFormat="1" hidden="1" x14ac:dyDescent="0.25">
      <c r="A204" s="118">
        <v>46</v>
      </c>
      <c r="B204" s="151">
        <v>1235</v>
      </c>
      <c r="C204" s="94" t="s">
        <v>347</v>
      </c>
      <c r="D204" s="122"/>
      <c r="E204" s="98">
        <v>0</v>
      </c>
      <c r="F204" s="85">
        <v>0</v>
      </c>
      <c r="G204" s="428">
        <v>0</v>
      </c>
      <c r="H204" s="85">
        <f t="shared" si="17"/>
        <v>0</v>
      </c>
      <c r="I204" s="428"/>
      <c r="J204" s="428">
        <f t="shared" si="18"/>
        <v>0</v>
      </c>
      <c r="K204" s="428">
        <f t="shared" si="19"/>
        <v>0</v>
      </c>
    </row>
    <row r="205" spans="1:11" s="285" customFormat="1" x14ac:dyDescent="0.25">
      <c r="A205" s="118"/>
      <c r="B205" s="151"/>
      <c r="C205" s="94" t="s">
        <v>510</v>
      </c>
      <c r="D205" s="225"/>
      <c r="E205" s="85"/>
      <c r="F205" s="85">
        <v>0</v>
      </c>
      <c r="G205" s="428">
        <v>0</v>
      </c>
      <c r="H205" s="85"/>
      <c r="I205" s="428"/>
      <c r="J205" s="428">
        <f t="shared" si="18"/>
        <v>0</v>
      </c>
      <c r="K205" s="428">
        <f t="shared" si="19"/>
        <v>0</v>
      </c>
    </row>
    <row r="206" spans="1:11" s="285" customFormat="1" x14ac:dyDescent="0.25">
      <c r="A206" s="344"/>
      <c r="B206" s="151"/>
      <c r="C206" s="94"/>
      <c r="D206" s="437">
        <f t="shared" ref="D206:K206" si="20">SUM(D176:D204)</f>
        <v>-337168</v>
      </c>
      <c r="E206" s="100">
        <f t="shared" si="20"/>
        <v>-358424</v>
      </c>
      <c r="F206" s="437">
        <f t="shared" si="20"/>
        <v>-298424</v>
      </c>
      <c r="G206" s="437">
        <f t="shared" si="20"/>
        <v>-298424</v>
      </c>
      <c r="H206" s="437">
        <f t="shared" si="20"/>
        <v>-328266.39999999997</v>
      </c>
      <c r="I206" s="437">
        <f t="shared" si="20"/>
        <v>-100540</v>
      </c>
      <c r="J206" s="437">
        <f t="shared" si="20"/>
        <v>-106069.7</v>
      </c>
      <c r="K206" s="437">
        <f t="shared" si="20"/>
        <v>-111691.39409999999</v>
      </c>
    </row>
    <row r="207" spans="1:11" s="285" customFormat="1" hidden="1" x14ac:dyDescent="0.25">
      <c r="A207" s="344"/>
      <c r="B207" s="151"/>
      <c r="C207" s="93" t="s">
        <v>66</v>
      </c>
      <c r="D207" s="122"/>
      <c r="E207" s="98"/>
      <c r="F207" s="98"/>
      <c r="G207" s="435"/>
      <c r="H207" s="98"/>
      <c r="I207" s="435"/>
      <c r="J207" s="98"/>
      <c r="K207" s="98"/>
    </row>
    <row r="208" spans="1:11" s="285" customFormat="1" hidden="1" x14ac:dyDescent="0.25">
      <c r="A208" s="118">
        <v>46</v>
      </c>
      <c r="B208" s="151">
        <v>1305</v>
      </c>
      <c r="C208" s="94" t="s">
        <v>342</v>
      </c>
      <c r="D208" s="122"/>
      <c r="E208" s="98"/>
      <c r="F208" s="98">
        <v>0</v>
      </c>
      <c r="G208" s="435">
        <v>0</v>
      </c>
      <c r="H208" s="98"/>
      <c r="I208" s="435"/>
      <c r="J208" s="98"/>
      <c r="K208" s="98"/>
    </row>
    <row r="209" spans="1:11" s="285" customFormat="1" hidden="1" x14ac:dyDescent="0.25">
      <c r="A209" s="118">
        <v>46</v>
      </c>
      <c r="B209" s="151">
        <v>1310</v>
      </c>
      <c r="C209" s="94" t="s">
        <v>344</v>
      </c>
      <c r="D209" s="122"/>
      <c r="E209" s="98"/>
      <c r="F209" s="98">
        <v>0</v>
      </c>
      <c r="G209" s="435">
        <v>0</v>
      </c>
      <c r="H209" s="98"/>
      <c r="I209" s="435"/>
      <c r="J209" s="98"/>
      <c r="K209" s="98"/>
    </row>
    <row r="210" spans="1:11" s="285" customFormat="1" hidden="1" x14ac:dyDescent="0.25">
      <c r="A210" s="118">
        <v>46</v>
      </c>
      <c r="B210" s="151">
        <v>1320</v>
      </c>
      <c r="C210" s="94" t="s">
        <v>345</v>
      </c>
      <c r="D210" s="122"/>
      <c r="E210" s="98"/>
      <c r="F210" s="98">
        <v>0</v>
      </c>
      <c r="G210" s="435">
        <v>0</v>
      </c>
      <c r="H210" s="98"/>
      <c r="I210" s="435"/>
      <c r="J210" s="98"/>
      <c r="K210" s="98"/>
    </row>
    <row r="211" spans="1:11" s="285" customFormat="1" hidden="1" x14ac:dyDescent="0.25">
      <c r="A211" s="118">
        <v>46</v>
      </c>
      <c r="B211" s="151">
        <v>1315</v>
      </c>
      <c r="C211" s="94" t="s">
        <v>346</v>
      </c>
      <c r="D211" s="122"/>
      <c r="E211" s="108"/>
      <c r="F211" s="98">
        <v>0</v>
      </c>
      <c r="G211" s="435">
        <v>0</v>
      </c>
      <c r="H211" s="98"/>
      <c r="I211" s="435"/>
      <c r="J211" s="98"/>
      <c r="K211" s="108"/>
    </row>
    <row r="212" spans="1:11" s="285" customFormat="1" hidden="1" x14ac:dyDescent="0.25">
      <c r="A212" s="344"/>
      <c r="B212" s="151"/>
      <c r="C212" s="94"/>
      <c r="D212" s="99"/>
      <c r="E212" s="99">
        <f>SUM(E208:E211)</f>
        <v>0</v>
      </c>
      <c r="F212" s="99">
        <v>0</v>
      </c>
      <c r="G212" s="436">
        <v>0</v>
      </c>
      <c r="H212" s="99"/>
      <c r="I212" s="436"/>
      <c r="J212" s="99"/>
      <c r="K212" s="99"/>
    </row>
    <row r="213" spans="1:11" s="285" customFormat="1" hidden="1" x14ac:dyDescent="0.25">
      <c r="A213" s="344"/>
      <c r="B213" s="151"/>
      <c r="C213" s="93" t="s">
        <v>67</v>
      </c>
      <c r="D213" s="122"/>
      <c r="E213" s="98"/>
      <c r="F213" s="98"/>
      <c r="G213" s="435"/>
      <c r="H213" s="98"/>
      <c r="I213" s="435"/>
      <c r="J213" s="98"/>
      <c r="K213" s="98"/>
    </row>
    <row r="214" spans="1:11" s="285" customFormat="1" hidden="1" x14ac:dyDescent="0.25">
      <c r="A214" s="118">
        <v>46</v>
      </c>
      <c r="B214" s="151">
        <v>1400</v>
      </c>
      <c r="C214" s="94" t="s">
        <v>68</v>
      </c>
      <c r="D214" s="122"/>
      <c r="E214" s="108"/>
      <c r="F214" s="98"/>
      <c r="G214" s="435"/>
      <c r="H214" s="98"/>
      <c r="I214" s="435"/>
      <c r="J214" s="98"/>
      <c r="K214" s="108"/>
    </row>
    <row r="215" spans="1:11" s="285" customFormat="1" hidden="1" x14ac:dyDescent="0.25">
      <c r="A215" s="118">
        <v>46</v>
      </c>
      <c r="B215" s="151">
        <v>1405</v>
      </c>
      <c r="C215" s="94" t="s">
        <v>69</v>
      </c>
      <c r="D215" s="122"/>
      <c r="E215" s="108"/>
      <c r="F215" s="98"/>
      <c r="G215" s="435"/>
      <c r="H215" s="98"/>
      <c r="I215" s="435"/>
      <c r="J215" s="98"/>
      <c r="K215" s="108"/>
    </row>
    <row r="216" spans="1:11" s="285" customFormat="1" hidden="1" x14ac:dyDescent="0.25">
      <c r="A216" s="344"/>
      <c r="B216" s="151"/>
      <c r="C216" s="94"/>
      <c r="D216" s="99"/>
      <c r="E216" s="99">
        <f>SUM(E214:E215)</f>
        <v>0</v>
      </c>
      <c r="F216" s="99">
        <v>0</v>
      </c>
      <c r="G216" s="436">
        <v>0</v>
      </c>
      <c r="H216" s="99"/>
      <c r="I216" s="436"/>
      <c r="J216" s="99"/>
      <c r="K216" s="99"/>
    </row>
    <row r="217" spans="1:11" s="285" customFormat="1" hidden="1" x14ac:dyDescent="0.25">
      <c r="A217" s="344"/>
      <c r="B217" s="151"/>
      <c r="C217" s="93" t="s">
        <v>70</v>
      </c>
      <c r="D217" s="122"/>
      <c r="E217" s="98"/>
      <c r="F217" s="98"/>
      <c r="G217" s="435"/>
      <c r="H217" s="98"/>
      <c r="I217" s="435"/>
      <c r="J217" s="98"/>
      <c r="K217" s="98"/>
    </row>
    <row r="218" spans="1:11" s="285" customFormat="1" hidden="1" x14ac:dyDescent="0.25">
      <c r="A218" s="118">
        <v>46</v>
      </c>
      <c r="B218" s="151">
        <v>1500</v>
      </c>
      <c r="C218" s="94" t="s">
        <v>106</v>
      </c>
      <c r="D218" s="122"/>
      <c r="E218" s="108"/>
      <c r="F218" s="98"/>
      <c r="G218" s="435"/>
      <c r="H218" s="98"/>
      <c r="I218" s="435"/>
      <c r="J218" s="98"/>
      <c r="K218" s="108"/>
    </row>
    <row r="219" spans="1:11" s="285" customFormat="1" hidden="1" x14ac:dyDescent="0.25">
      <c r="A219" s="118">
        <v>46</v>
      </c>
      <c r="B219" s="151">
        <v>1505</v>
      </c>
      <c r="C219" s="94" t="s">
        <v>71</v>
      </c>
      <c r="D219" s="122"/>
      <c r="E219" s="108"/>
      <c r="F219" s="98"/>
      <c r="G219" s="435"/>
      <c r="H219" s="98"/>
      <c r="I219" s="435"/>
      <c r="J219" s="98"/>
      <c r="K219" s="108"/>
    </row>
    <row r="220" spans="1:11" s="285" customFormat="1" hidden="1" x14ac:dyDescent="0.25">
      <c r="A220" s="118">
        <v>46</v>
      </c>
      <c r="B220" s="151">
        <v>1510</v>
      </c>
      <c r="C220" s="94" t="s">
        <v>72</v>
      </c>
      <c r="D220" s="122"/>
      <c r="E220" s="108"/>
      <c r="F220" s="98"/>
      <c r="G220" s="435"/>
      <c r="H220" s="98"/>
      <c r="I220" s="435"/>
      <c r="J220" s="98"/>
      <c r="K220" s="108"/>
    </row>
    <row r="221" spans="1:11" s="285" customFormat="1" hidden="1" x14ac:dyDescent="0.25">
      <c r="A221" s="344"/>
      <c r="B221" s="151"/>
      <c r="C221" s="94"/>
      <c r="D221" s="99"/>
      <c r="E221" s="99">
        <f>SUM(E218:E220)</f>
        <v>0</v>
      </c>
      <c r="F221" s="99">
        <v>0</v>
      </c>
      <c r="G221" s="436">
        <v>0</v>
      </c>
      <c r="H221" s="99"/>
      <c r="I221" s="436"/>
      <c r="J221" s="99"/>
      <c r="K221" s="99"/>
    </row>
    <row r="222" spans="1:11" s="285" customFormat="1" hidden="1" x14ac:dyDescent="0.25">
      <c r="A222" s="344"/>
      <c r="B222" s="151"/>
      <c r="C222" s="93" t="s">
        <v>73</v>
      </c>
      <c r="D222" s="122"/>
      <c r="E222" s="98"/>
      <c r="F222" s="98"/>
      <c r="G222" s="435"/>
      <c r="H222" s="98"/>
      <c r="I222" s="435"/>
      <c r="J222" s="98"/>
      <c r="K222" s="98"/>
    </row>
    <row r="223" spans="1:11" s="285" customFormat="1" hidden="1" x14ac:dyDescent="0.25">
      <c r="A223" s="118">
        <v>46</v>
      </c>
      <c r="B223" s="151">
        <v>1550</v>
      </c>
      <c r="C223" s="94" t="s">
        <v>349</v>
      </c>
      <c r="D223" s="122"/>
      <c r="E223" s="98"/>
      <c r="F223" s="98"/>
      <c r="G223" s="435"/>
      <c r="H223" s="98"/>
      <c r="I223" s="435"/>
      <c r="J223" s="98"/>
      <c r="K223" s="98"/>
    </row>
    <row r="224" spans="1:11" s="285" customFormat="1" hidden="1" x14ac:dyDescent="0.25">
      <c r="A224" s="118">
        <v>46</v>
      </c>
      <c r="B224" s="151">
        <v>1555</v>
      </c>
      <c r="C224" s="94" t="s">
        <v>348</v>
      </c>
      <c r="D224" s="122"/>
      <c r="E224" s="98"/>
      <c r="F224" s="98"/>
      <c r="G224" s="435"/>
      <c r="H224" s="98"/>
      <c r="I224" s="435"/>
      <c r="J224" s="98"/>
      <c r="K224" s="108"/>
    </row>
    <row r="225" spans="1:11" s="285" customFormat="1" hidden="1" x14ac:dyDescent="0.25">
      <c r="A225" s="344"/>
      <c r="B225" s="151"/>
      <c r="C225" s="94"/>
      <c r="D225" s="100"/>
      <c r="E225" s="100">
        <f>SUM(E223:E224)</f>
        <v>0</v>
      </c>
      <c r="F225" s="100">
        <v>0</v>
      </c>
      <c r="G225" s="437">
        <v>0</v>
      </c>
      <c r="H225" s="100"/>
      <c r="I225" s="437"/>
      <c r="J225" s="100"/>
      <c r="K225" s="100"/>
    </row>
    <row r="226" spans="1:11" s="285" customFormat="1" ht="13.5" customHeight="1" x14ac:dyDescent="0.25">
      <c r="A226" s="344"/>
      <c r="B226" s="151"/>
      <c r="C226" s="93" t="s">
        <v>74</v>
      </c>
      <c r="D226" s="122"/>
      <c r="E226" s="98"/>
      <c r="F226" s="98"/>
      <c r="G226" s="435"/>
      <c r="H226" s="98"/>
      <c r="I226" s="435"/>
      <c r="J226" s="98"/>
      <c r="K226" s="98"/>
    </row>
    <row r="227" spans="1:11" s="285" customFormat="1" hidden="1" x14ac:dyDescent="0.25">
      <c r="A227" s="118">
        <v>46</v>
      </c>
      <c r="B227" s="151">
        <v>1605</v>
      </c>
      <c r="C227" s="94" t="s">
        <v>75</v>
      </c>
      <c r="D227" s="122"/>
      <c r="E227" s="98"/>
      <c r="F227" s="98"/>
      <c r="G227" s="435"/>
      <c r="H227" s="98"/>
      <c r="I227" s="435"/>
      <c r="J227" s="98"/>
      <c r="K227" s="98"/>
    </row>
    <row r="228" spans="1:11" s="285" customFormat="1" hidden="1" x14ac:dyDescent="0.25">
      <c r="A228" s="118">
        <v>46</v>
      </c>
      <c r="B228" s="151">
        <v>1610</v>
      </c>
      <c r="C228" s="94" t="s">
        <v>131</v>
      </c>
      <c r="D228" s="122"/>
      <c r="E228" s="108"/>
      <c r="F228" s="98"/>
      <c r="G228" s="435"/>
      <c r="H228" s="98"/>
      <c r="I228" s="435"/>
      <c r="J228" s="98"/>
      <c r="K228" s="98"/>
    </row>
    <row r="229" spans="1:11" s="285" customFormat="1" hidden="1" x14ac:dyDescent="0.25">
      <c r="A229" s="118">
        <v>46</v>
      </c>
      <c r="B229" s="151">
        <v>1615</v>
      </c>
      <c r="C229" s="94" t="s">
        <v>182</v>
      </c>
      <c r="D229" s="122"/>
      <c r="E229" s="108"/>
      <c r="F229" s="98"/>
      <c r="G229" s="435"/>
      <c r="H229" s="98"/>
      <c r="I229" s="435"/>
      <c r="J229" s="98"/>
      <c r="K229" s="98"/>
    </row>
    <row r="230" spans="1:11" s="285" customFormat="1" hidden="1" x14ac:dyDescent="0.25">
      <c r="A230" s="118">
        <v>46</v>
      </c>
      <c r="B230" s="151">
        <v>1620</v>
      </c>
      <c r="C230" s="94" t="s">
        <v>255</v>
      </c>
      <c r="D230" s="122"/>
      <c r="E230" s="108"/>
      <c r="F230" s="98"/>
      <c r="G230" s="435"/>
      <c r="H230" s="98"/>
      <c r="I230" s="435"/>
      <c r="J230" s="98"/>
      <c r="K230" s="98"/>
    </row>
    <row r="231" spans="1:11" s="285" customFormat="1" hidden="1" x14ac:dyDescent="0.25">
      <c r="A231" s="118">
        <v>46</v>
      </c>
      <c r="B231" s="151">
        <v>1625</v>
      </c>
      <c r="C231" s="94" t="s">
        <v>108</v>
      </c>
      <c r="D231" s="122"/>
      <c r="E231" s="108"/>
      <c r="F231" s="98"/>
      <c r="G231" s="435"/>
      <c r="H231" s="98"/>
      <c r="I231" s="435"/>
      <c r="J231" s="98"/>
      <c r="K231" s="98"/>
    </row>
    <row r="232" spans="1:11" s="285" customFormat="1" hidden="1" x14ac:dyDescent="0.25">
      <c r="A232" s="118">
        <v>46</v>
      </c>
      <c r="B232" s="151">
        <v>1630</v>
      </c>
      <c r="C232" s="94" t="s">
        <v>76</v>
      </c>
      <c r="D232" s="122"/>
      <c r="E232" s="108"/>
      <c r="F232" s="98"/>
      <c r="G232" s="435"/>
      <c r="H232" s="98"/>
      <c r="I232" s="435"/>
      <c r="J232" s="98"/>
      <c r="K232" s="98"/>
    </row>
    <row r="233" spans="1:11" s="285" customFormat="1" hidden="1" x14ac:dyDescent="0.25">
      <c r="A233" s="118">
        <v>46</v>
      </c>
      <c r="B233" s="151">
        <v>1635</v>
      </c>
      <c r="C233" s="94" t="s">
        <v>180</v>
      </c>
      <c r="D233" s="122"/>
      <c r="E233" s="108"/>
      <c r="F233" s="98"/>
      <c r="G233" s="435"/>
      <c r="H233" s="98"/>
      <c r="I233" s="435"/>
      <c r="J233" s="98"/>
      <c r="K233" s="98"/>
    </row>
    <row r="234" spans="1:11" s="285" customFormat="1" hidden="1" x14ac:dyDescent="0.25">
      <c r="A234" s="118">
        <v>46</v>
      </c>
      <c r="B234" s="151">
        <v>1640</v>
      </c>
      <c r="C234" s="94" t="s">
        <v>184</v>
      </c>
      <c r="D234" s="122"/>
      <c r="E234" s="108"/>
      <c r="F234" s="98"/>
      <c r="G234" s="435"/>
      <c r="H234" s="98"/>
      <c r="I234" s="435"/>
      <c r="J234" s="98"/>
      <c r="K234" s="98"/>
    </row>
    <row r="235" spans="1:11" s="285" customFormat="1" hidden="1" x14ac:dyDescent="0.25">
      <c r="A235" s="118">
        <v>46</v>
      </c>
      <c r="B235" s="151">
        <v>1645</v>
      </c>
      <c r="C235" s="94" t="s">
        <v>77</v>
      </c>
      <c r="D235" s="122"/>
      <c r="E235" s="108"/>
      <c r="F235" s="98"/>
      <c r="G235" s="435"/>
      <c r="H235" s="98"/>
      <c r="I235" s="435"/>
      <c r="J235" s="98"/>
      <c r="K235" s="98"/>
    </row>
    <row r="236" spans="1:11" s="285" customFormat="1" x14ac:dyDescent="0.25">
      <c r="A236" s="118">
        <v>46</v>
      </c>
      <c r="B236" s="151">
        <v>1650</v>
      </c>
      <c r="C236" s="94" t="s">
        <v>78</v>
      </c>
      <c r="D236" s="122">
        <v>44782000</v>
      </c>
      <c r="E236" s="108">
        <v>34921000</v>
      </c>
      <c r="F236" s="85">
        <v>34921000</v>
      </c>
      <c r="G236" s="428">
        <v>34921000</v>
      </c>
      <c r="H236" s="85">
        <v>28731000</v>
      </c>
      <c r="I236" s="428">
        <v>23730000</v>
      </c>
      <c r="J236" s="108">
        <v>24538000</v>
      </c>
      <c r="K236" s="85">
        <v>25750000</v>
      </c>
    </row>
    <row r="237" spans="1:11" s="285" customFormat="1" hidden="1" x14ac:dyDescent="0.25">
      <c r="A237" s="118">
        <v>46</v>
      </c>
      <c r="B237" s="151"/>
      <c r="C237" s="94" t="s">
        <v>200</v>
      </c>
      <c r="D237" s="122"/>
      <c r="E237" s="108"/>
      <c r="F237" s="85">
        <v>0</v>
      </c>
      <c r="G237" s="86">
        <v>0</v>
      </c>
      <c r="H237" s="86"/>
      <c r="I237" s="86"/>
      <c r="J237" s="98"/>
      <c r="K237" s="85"/>
    </row>
    <row r="238" spans="1:11" s="285" customFormat="1" x14ac:dyDescent="0.25">
      <c r="A238" s="118">
        <v>46</v>
      </c>
      <c r="B238" s="151">
        <v>1660</v>
      </c>
      <c r="C238" s="94" t="s">
        <v>503</v>
      </c>
      <c r="D238" s="122"/>
      <c r="E238" s="108">
        <v>1000000</v>
      </c>
      <c r="F238" s="85">
        <v>1000000</v>
      </c>
      <c r="G238" s="86">
        <v>1000000</v>
      </c>
      <c r="H238" s="86">
        <v>1023000</v>
      </c>
      <c r="I238" s="86">
        <v>1112000</v>
      </c>
      <c r="J238" s="98"/>
      <c r="K238" s="85"/>
    </row>
    <row r="239" spans="1:11" s="285" customFormat="1" hidden="1" x14ac:dyDescent="0.25">
      <c r="A239" s="118">
        <v>46</v>
      </c>
      <c r="B239" s="151">
        <v>1665</v>
      </c>
      <c r="C239" s="94" t="s">
        <v>494</v>
      </c>
      <c r="D239" s="122"/>
      <c r="E239" s="108"/>
      <c r="F239" s="98"/>
      <c r="G239" s="435"/>
      <c r="H239" s="98"/>
      <c r="I239" s="435"/>
      <c r="J239" s="98"/>
      <c r="K239" s="98"/>
    </row>
    <row r="240" spans="1:11" s="285" customFormat="1" x14ac:dyDescent="0.25">
      <c r="A240" s="344"/>
      <c r="B240" s="151"/>
      <c r="C240" s="94"/>
      <c r="D240" s="436">
        <f t="shared" ref="D240:K240" si="21">SUM(D227:D239)</f>
        <v>44782000</v>
      </c>
      <c r="E240" s="99">
        <f t="shared" si="21"/>
        <v>35921000</v>
      </c>
      <c r="F240" s="99">
        <f t="shared" si="21"/>
        <v>35921000</v>
      </c>
      <c r="G240" s="436">
        <f t="shared" si="21"/>
        <v>35921000</v>
      </c>
      <c r="H240" s="99">
        <f t="shared" si="21"/>
        <v>29754000</v>
      </c>
      <c r="I240" s="436">
        <f t="shared" si="21"/>
        <v>24842000</v>
      </c>
      <c r="J240" s="436">
        <f t="shared" si="21"/>
        <v>24538000</v>
      </c>
      <c r="K240" s="436">
        <f t="shared" si="21"/>
        <v>25750000</v>
      </c>
    </row>
    <row r="241" spans="1:11" s="285" customFormat="1" x14ac:dyDescent="0.25">
      <c r="A241" s="344"/>
      <c r="B241" s="151"/>
      <c r="C241" s="93" t="s">
        <v>79</v>
      </c>
      <c r="D241" s="122"/>
      <c r="E241" s="98"/>
      <c r="F241" s="98"/>
      <c r="G241" s="435"/>
      <c r="H241" s="98"/>
      <c r="I241" s="435"/>
      <c r="J241" s="98"/>
      <c r="K241" s="98"/>
    </row>
    <row r="242" spans="1:11" s="285" customFormat="1" hidden="1" x14ac:dyDescent="0.25">
      <c r="A242" s="118">
        <v>46</v>
      </c>
      <c r="B242" s="151">
        <v>1705</v>
      </c>
      <c r="C242" s="94" t="s">
        <v>123</v>
      </c>
      <c r="D242" s="122"/>
      <c r="E242" s="98"/>
      <c r="F242" s="98"/>
      <c r="G242" s="435"/>
      <c r="H242" s="98"/>
      <c r="I242" s="435"/>
      <c r="J242" s="98"/>
      <c r="K242" s="98"/>
    </row>
    <row r="243" spans="1:11" s="285" customFormat="1" hidden="1" x14ac:dyDescent="0.25">
      <c r="A243" s="118">
        <v>46</v>
      </c>
      <c r="B243" s="151">
        <v>1710</v>
      </c>
      <c r="C243" s="94" t="s">
        <v>242</v>
      </c>
      <c r="D243" s="122"/>
      <c r="E243" s="98"/>
      <c r="F243" s="98"/>
      <c r="G243" s="435"/>
      <c r="H243" s="98"/>
      <c r="I243" s="435"/>
      <c r="J243" s="98"/>
      <c r="K243" s="98"/>
    </row>
    <row r="244" spans="1:11" s="285" customFormat="1" hidden="1" x14ac:dyDescent="0.25">
      <c r="A244" s="118">
        <v>46</v>
      </c>
      <c r="B244" s="151">
        <v>1715</v>
      </c>
      <c r="C244" s="94" t="s">
        <v>183</v>
      </c>
      <c r="D244" s="122"/>
      <c r="E244" s="98"/>
      <c r="F244" s="98"/>
      <c r="G244" s="435"/>
      <c r="H244" s="98"/>
      <c r="I244" s="435"/>
      <c r="J244" s="98"/>
      <c r="K244" s="98"/>
    </row>
    <row r="245" spans="1:11" s="285" customFormat="1" x14ac:dyDescent="0.25">
      <c r="A245" s="118">
        <v>46</v>
      </c>
      <c r="B245" s="151">
        <v>1720</v>
      </c>
      <c r="C245" s="94" t="s">
        <v>103</v>
      </c>
      <c r="D245" s="122"/>
      <c r="E245" s="98"/>
      <c r="F245" s="98"/>
      <c r="G245" s="435"/>
      <c r="H245" s="98"/>
      <c r="I245" s="435"/>
      <c r="J245" s="98"/>
      <c r="K245" s="98"/>
    </row>
    <row r="246" spans="1:11" s="285" customFormat="1" hidden="1" x14ac:dyDescent="0.25">
      <c r="A246" s="118">
        <v>46</v>
      </c>
      <c r="B246" s="151">
        <v>1725</v>
      </c>
      <c r="C246" s="94" t="s">
        <v>107</v>
      </c>
      <c r="D246" s="122"/>
      <c r="E246" s="98"/>
      <c r="F246" s="98"/>
      <c r="G246" s="435"/>
      <c r="H246" s="98"/>
      <c r="I246" s="435"/>
      <c r="J246" s="98"/>
      <c r="K246" s="98"/>
    </row>
    <row r="247" spans="1:11" s="285" customFormat="1" hidden="1" x14ac:dyDescent="0.25">
      <c r="A247" s="118">
        <v>46</v>
      </c>
      <c r="B247" s="151">
        <v>1730</v>
      </c>
      <c r="C247" s="94" t="s">
        <v>256</v>
      </c>
      <c r="D247" s="122"/>
      <c r="E247" s="98"/>
      <c r="F247" s="98"/>
      <c r="G247" s="435"/>
      <c r="H247" s="98"/>
      <c r="I247" s="435"/>
      <c r="J247" s="98"/>
      <c r="K247" s="98"/>
    </row>
    <row r="248" spans="1:11" s="285" customFormat="1" hidden="1" x14ac:dyDescent="0.25">
      <c r="A248" s="344"/>
      <c r="B248" s="151"/>
      <c r="C248" s="94"/>
      <c r="D248" s="99">
        <v>0</v>
      </c>
      <c r="E248" s="99">
        <f>SUM(E242:E247)</f>
        <v>0</v>
      </c>
      <c r="F248" s="99">
        <v>0</v>
      </c>
      <c r="G248" s="436">
        <v>0</v>
      </c>
      <c r="H248" s="99"/>
      <c r="I248" s="436"/>
      <c r="J248" s="99"/>
      <c r="K248" s="99"/>
    </row>
    <row r="249" spans="1:11" s="285" customFormat="1" hidden="1" x14ac:dyDescent="0.25">
      <c r="A249" s="344"/>
      <c r="B249" s="151"/>
      <c r="C249" s="93" t="s">
        <v>80</v>
      </c>
      <c r="D249" s="122"/>
      <c r="E249" s="98"/>
      <c r="F249" s="98"/>
      <c r="G249" s="435"/>
      <c r="H249" s="98"/>
      <c r="I249" s="435"/>
      <c r="J249" s="98"/>
      <c r="K249" s="98"/>
    </row>
    <row r="250" spans="1:11" s="285" customFormat="1" hidden="1" x14ac:dyDescent="0.25">
      <c r="A250" s="118">
        <v>46</v>
      </c>
      <c r="B250" s="151">
        <v>1805</v>
      </c>
      <c r="C250" s="94" t="s">
        <v>81</v>
      </c>
      <c r="D250" s="122">
        <v>0</v>
      </c>
      <c r="E250" s="108"/>
      <c r="F250" s="98"/>
      <c r="G250" s="435"/>
      <c r="H250" s="98"/>
      <c r="I250" s="435"/>
      <c r="J250" s="98"/>
      <c r="K250" s="108"/>
    </row>
    <row r="251" spans="1:11" s="285" customFormat="1" hidden="1" x14ac:dyDescent="0.25">
      <c r="A251" s="344"/>
      <c r="B251" s="151"/>
      <c r="C251" s="94"/>
      <c r="D251" s="99">
        <v>0</v>
      </c>
      <c r="E251" s="99">
        <f>E250</f>
        <v>0</v>
      </c>
      <c r="F251" s="99">
        <v>0</v>
      </c>
      <c r="G251" s="436">
        <v>0</v>
      </c>
      <c r="H251" s="99"/>
      <c r="I251" s="436"/>
      <c r="J251" s="99"/>
      <c r="K251" s="99"/>
    </row>
    <row r="252" spans="1:11" s="285" customFormat="1" x14ac:dyDescent="0.25">
      <c r="A252" s="344"/>
      <c r="B252" s="346"/>
      <c r="C252" s="93" t="s">
        <v>192</v>
      </c>
      <c r="D252" s="117">
        <v>44444832</v>
      </c>
      <c r="E252" s="117">
        <f>SUM(E171:E251)/2</f>
        <v>35562576</v>
      </c>
      <c r="F252" s="117">
        <f>SUM(F171:F251)/2</f>
        <v>35622576</v>
      </c>
      <c r="G252" s="442">
        <v>35622576</v>
      </c>
      <c r="H252" s="442">
        <f>SUM(H171:H251)/2</f>
        <v>29425733.600000001</v>
      </c>
      <c r="I252" s="442">
        <f>SUM(I171:I251)/2</f>
        <v>24741460</v>
      </c>
      <c r="J252" s="442">
        <f>SUM(J171:J251)/2</f>
        <v>24431930.300000001</v>
      </c>
      <c r="K252" s="442">
        <f>SUM(K171:K251)/2</f>
        <v>25638308.605900001</v>
      </c>
    </row>
    <row r="253" spans="1:11" s="285" customFormat="1" hidden="1" x14ac:dyDescent="0.25">
      <c r="A253" s="344"/>
      <c r="B253" s="151"/>
      <c r="C253" s="94"/>
      <c r="D253" s="117"/>
      <c r="E253" s="117"/>
      <c r="F253" s="117"/>
      <c r="G253" s="442"/>
      <c r="H253" s="442"/>
      <c r="I253" s="442"/>
      <c r="J253" s="442"/>
      <c r="K253" s="442"/>
    </row>
    <row r="254" spans="1:11" s="285" customFormat="1" hidden="1" x14ac:dyDescent="0.25">
      <c r="A254" s="344"/>
      <c r="B254" s="151"/>
      <c r="C254" s="145" t="s">
        <v>193</v>
      </c>
      <c r="D254" s="124"/>
      <c r="E254" s="146"/>
      <c r="F254" s="124"/>
      <c r="G254" s="445"/>
      <c r="H254" s="445"/>
      <c r="I254" s="445"/>
      <c r="J254" s="445"/>
      <c r="K254" s="445"/>
    </row>
    <row r="255" spans="1:11" s="285" customFormat="1" hidden="1" x14ac:dyDescent="0.25">
      <c r="A255" s="118">
        <v>46</v>
      </c>
      <c r="B255" s="151">
        <v>1905</v>
      </c>
      <c r="C255" s="118" t="s">
        <v>194</v>
      </c>
      <c r="D255" s="127">
        <v>0</v>
      </c>
      <c r="E255" s="147"/>
      <c r="F255" s="98"/>
      <c r="G255" s="435"/>
      <c r="H255" s="435"/>
      <c r="I255" s="435"/>
      <c r="J255" s="435"/>
      <c r="K255" s="435"/>
    </row>
    <row r="256" spans="1:11" s="285" customFormat="1" hidden="1" x14ac:dyDescent="0.25">
      <c r="A256" s="344"/>
      <c r="B256" s="151"/>
      <c r="C256" s="94"/>
      <c r="D256" s="117">
        <v>0</v>
      </c>
      <c r="E256" s="117">
        <f>SUM(E255)</f>
        <v>0</v>
      </c>
      <c r="F256" s="117">
        <f>SUM(F255)</f>
        <v>0</v>
      </c>
      <c r="G256" s="442">
        <v>0</v>
      </c>
      <c r="H256" s="442">
        <f>SUM(H255)</f>
        <v>0</v>
      </c>
      <c r="I256" s="442">
        <f>SUM(I255)</f>
        <v>0</v>
      </c>
      <c r="J256" s="442">
        <f>SUM(J255)</f>
        <v>0</v>
      </c>
      <c r="K256" s="442">
        <f>SUM(K255)</f>
        <v>0</v>
      </c>
    </row>
    <row r="257" spans="1:11" s="285" customFormat="1" x14ac:dyDescent="0.25">
      <c r="A257" s="344"/>
      <c r="B257" s="151"/>
      <c r="C257" s="93" t="s">
        <v>189</v>
      </c>
      <c r="D257" s="117">
        <v>44444832</v>
      </c>
      <c r="E257" s="117">
        <f>E252+E256</f>
        <v>35562576</v>
      </c>
      <c r="F257" s="117">
        <f>F252+F256</f>
        <v>35622576</v>
      </c>
      <c r="G257" s="442">
        <v>35622576</v>
      </c>
      <c r="H257" s="442">
        <f>H252+H256</f>
        <v>29425733.600000001</v>
      </c>
      <c r="I257" s="442">
        <f>I252+I256</f>
        <v>24741460</v>
      </c>
      <c r="J257" s="442">
        <f>J252+J256</f>
        <v>24431930.300000001</v>
      </c>
      <c r="K257" s="442">
        <f>K252+K256</f>
        <v>25638308.605900001</v>
      </c>
    </row>
    <row r="258" spans="1:11" s="285" customFormat="1" hidden="1" x14ac:dyDescent="0.25">
      <c r="A258" s="344"/>
      <c r="B258" s="151"/>
      <c r="C258" s="145" t="s">
        <v>195</v>
      </c>
      <c r="D258" s="124"/>
      <c r="E258" s="148"/>
      <c r="F258" s="125"/>
      <c r="G258" s="446"/>
      <c r="H258" s="446"/>
      <c r="I258" s="446"/>
      <c r="J258" s="446"/>
      <c r="K258" s="446"/>
    </row>
    <row r="259" spans="1:11" s="285" customFormat="1" hidden="1" x14ac:dyDescent="0.25">
      <c r="A259" s="118">
        <v>46</v>
      </c>
      <c r="B259" s="151">
        <v>1950</v>
      </c>
      <c r="C259" s="118" t="s">
        <v>196</v>
      </c>
      <c r="D259" s="127">
        <v>0</v>
      </c>
      <c r="E259" s="147"/>
      <c r="F259" s="98"/>
      <c r="G259" s="435"/>
      <c r="H259" s="435"/>
      <c r="I259" s="435"/>
      <c r="J259" s="435"/>
      <c r="K259" s="435"/>
    </row>
    <row r="260" spans="1:11" s="285" customFormat="1" hidden="1" x14ac:dyDescent="0.25">
      <c r="A260" s="344"/>
      <c r="B260" s="346"/>
      <c r="C260" s="94"/>
      <c r="D260" s="124">
        <v>0</v>
      </c>
      <c r="E260" s="124">
        <f>E259</f>
        <v>0</v>
      </c>
      <c r="F260" s="124">
        <f>F259</f>
        <v>0</v>
      </c>
      <c r="G260" s="445">
        <v>0</v>
      </c>
      <c r="H260" s="445">
        <f>H259</f>
        <v>0</v>
      </c>
      <c r="I260" s="445">
        <f>I259</f>
        <v>0</v>
      </c>
      <c r="J260" s="445">
        <f>J259</f>
        <v>0</v>
      </c>
      <c r="K260" s="445">
        <f>K259</f>
        <v>0</v>
      </c>
    </row>
    <row r="261" spans="1:11" s="285" customFormat="1" x14ac:dyDescent="0.25">
      <c r="A261" s="348"/>
      <c r="B261" s="351"/>
      <c r="C261" s="93" t="s">
        <v>197</v>
      </c>
      <c r="D261" s="448">
        <f t="shared" ref="D261:K261" si="22">D257+D260</f>
        <v>44444832</v>
      </c>
      <c r="E261" s="160">
        <f t="shared" si="22"/>
        <v>35562576</v>
      </c>
      <c r="F261" s="160">
        <f t="shared" si="22"/>
        <v>35622576</v>
      </c>
      <c r="G261" s="448">
        <f t="shared" si="22"/>
        <v>35622576</v>
      </c>
      <c r="H261" s="448">
        <f t="shared" si="22"/>
        <v>29425733.600000001</v>
      </c>
      <c r="I261" s="448">
        <f t="shared" si="22"/>
        <v>24741460</v>
      </c>
      <c r="J261" s="448">
        <f t="shared" si="22"/>
        <v>24431930.300000001</v>
      </c>
      <c r="K261" s="448">
        <f t="shared" si="22"/>
        <v>25638308.605900001</v>
      </c>
    </row>
    <row r="262" spans="1:11" s="285" customFormat="1" x14ac:dyDescent="0.25">
      <c r="A262" s="349"/>
      <c r="B262" s="154"/>
      <c r="C262" s="126" t="s">
        <v>82</v>
      </c>
      <c r="D262" s="449">
        <f t="shared" ref="D262:K262" si="23">D261-D165</f>
        <v>27155317</v>
      </c>
      <c r="E262" s="161">
        <f t="shared" si="23"/>
        <v>16939363.245000001</v>
      </c>
      <c r="F262" s="161">
        <f t="shared" si="23"/>
        <v>21429369.649999999</v>
      </c>
      <c r="G262" s="449">
        <f t="shared" si="23"/>
        <v>21429366.649999999</v>
      </c>
      <c r="H262" s="449">
        <f t="shared" si="23"/>
        <v>15467391.339000002</v>
      </c>
      <c r="I262" s="449">
        <f t="shared" si="23"/>
        <v>10978129.23042859</v>
      </c>
      <c r="J262" s="449">
        <f t="shared" si="23"/>
        <v>10048393.685677163</v>
      </c>
      <c r="K262" s="449">
        <f t="shared" si="23"/>
        <v>10624248.176863054</v>
      </c>
    </row>
    <row r="263" spans="1:11" s="285" customFormat="1" x14ac:dyDescent="0.25">
      <c r="A263" s="284"/>
      <c r="B263" s="352"/>
      <c r="G263" s="468"/>
      <c r="I263" s="468"/>
    </row>
    <row r="264" spans="1:11" s="285" customFormat="1" x14ac:dyDescent="0.25">
      <c r="A264" s="284"/>
      <c r="B264" s="352"/>
      <c r="G264" s="468"/>
      <c r="I264" s="468"/>
    </row>
    <row r="265" spans="1:11" s="285" customFormat="1" x14ac:dyDescent="0.25">
      <c r="B265" s="352"/>
      <c r="G265" s="468"/>
      <c r="I265" s="468"/>
    </row>
    <row r="266" spans="1:11" s="285" customFormat="1" x14ac:dyDescent="0.25">
      <c r="B266" s="352"/>
      <c r="E266" s="128"/>
      <c r="F266" s="128"/>
      <c r="G266" s="128"/>
      <c r="H266" s="128"/>
      <c r="I266" s="128"/>
      <c r="J266" s="128"/>
    </row>
    <row r="267" spans="1:11" s="285" customFormat="1" x14ac:dyDescent="0.25">
      <c r="B267" s="352"/>
      <c r="E267" s="128"/>
      <c r="F267" s="128"/>
      <c r="G267" s="128"/>
      <c r="H267" s="128"/>
      <c r="I267" s="128"/>
      <c r="J267" s="128"/>
      <c r="K267" s="355"/>
    </row>
    <row r="268" spans="1:11" s="285" customFormat="1" x14ac:dyDescent="0.25">
      <c r="B268" s="352"/>
      <c r="E268" s="128"/>
      <c r="F268" s="128"/>
      <c r="G268" s="128"/>
      <c r="H268" s="128"/>
      <c r="I268" s="128"/>
      <c r="J268" s="128"/>
    </row>
  </sheetData>
  <mergeCells count="4">
    <mergeCell ref="A3:C3"/>
    <mergeCell ref="A4:B5"/>
    <mergeCell ref="A169:B170"/>
    <mergeCell ref="A1:K1"/>
  </mergeCells>
  <phoneticPr fontId="0" type="noConversion"/>
  <pageMargins left="0.55118110236220474" right="0.74803149606299213" top="0.98425196850393704" bottom="0.98425196850393704" header="0.51181102362204722" footer="0.51181102362204722"/>
  <pageSetup scale="54" orientation="portrait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>
    <tabColor rgb="FFFF0000"/>
    <pageSetUpPr fitToPage="1"/>
  </sheetPr>
  <dimension ref="A1:M268"/>
  <sheetViews>
    <sheetView view="pageBreakPreview" topLeftCell="A193" zoomScaleSheetLayoutView="100" workbookViewId="0">
      <selection activeCell="I161" sqref="I161:K161"/>
    </sheetView>
  </sheetViews>
  <sheetFormatPr defaultColWidth="9.109375" defaultRowHeight="13.2" x14ac:dyDescent="0.25"/>
  <cols>
    <col min="1" max="1" width="3.33203125" style="96" customWidth="1"/>
    <col min="2" max="2" width="9" style="131" customWidth="1"/>
    <col min="3" max="3" width="38.109375" style="96" customWidth="1"/>
    <col min="4" max="4" width="15" style="96" customWidth="1"/>
    <col min="5" max="5" width="15.88671875" style="96" customWidth="1"/>
    <col min="6" max="6" width="16.33203125" style="96" customWidth="1"/>
    <col min="7" max="7" width="16.33203125" style="434" customWidth="1"/>
    <col min="8" max="8" width="16.33203125" style="96" customWidth="1"/>
    <col min="9" max="9" width="16.33203125" style="434" customWidth="1"/>
    <col min="10" max="11" width="12.88671875" style="96" customWidth="1"/>
    <col min="12" max="16384" width="9.109375" style="96"/>
  </cols>
  <sheetData>
    <row r="1" spans="1:11" ht="12.75" customHeight="1" x14ac:dyDescent="0.25">
      <c r="A1" s="937" t="s">
        <v>364</v>
      </c>
      <c r="B1" s="938"/>
      <c r="C1" s="938"/>
      <c r="D1" s="938"/>
      <c r="E1" s="938"/>
      <c r="F1" s="938"/>
      <c r="G1" s="938"/>
      <c r="H1" s="938"/>
      <c r="I1" s="938"/>
      <c r="J1" s="938"/>
      <c r="K1" s="938"/>
    </row>
    <row r="2" spans="1:11" ht="12.75" customHeight="1" x14ac:dyDescent="0.25">
      <c r="A2" s="552"/>
      <c r="B2" s="553"/>
      <c r="C2" s="553"/>
      <c r="D2" s="553"/>
      <c r="E2" s="553"/>
      <c r="F2" s="553"/>
      <c r="G2" s="553"/>
      <c r="H2" s="553"/>
      <c r="I2" s="553"/>
      <c r="J2" s="553"/>
      <c r="K2" s="553"/>
    </row>
    <row r="3" spans="1:11" x14ac:dyDescent="0.25">
      <c r="A3" s="941" t="s">
        <v>415</v>
      </c>
      <c r="B3" s="942"/>
      <c r="C3" s="943"/>
      <c r="D3" s="149"/>
      <c r="E3" s="102"/>
      <c r="F3" s="102"/>
      <c r="G3" s="563"/>
      <c r="H3" s="420"/>
      <c r="I3" s="581"/>
      <c r="J3" s="276"/>
      <c r="K3" s="276"/>
    </row>
    <row r="4" spans="1:11" x14ac:dyDescent="0.25">
      <c r="A4" s="944" t="s">
        <v>21</v>
      </c>
      <c r="B4" s="945"/>
      <c r="C4" s="150" t="s">
        <v>22</v>
      </c>
      <c r="D4" s="103" t="s">
        <v>23</v>
      </c>
      <c r="E4" s="104" t="s">
        <v>24</v>
      </c>
      <c r="F4" s="103" t="s">
        <v>535</v>
      </c>
      <c r="G4" s="103" t="s">
        <v>413</v>
      </c>
      <c r="H4" s="104" t="s">
        <v>24</v>
      </c>
      <c r="I4" s="583" t="s">
        <v>24</v>
      </c>
      <c r="J4" s="583" t="s">
        <v>24</v>
      </c>
      <c r="K4" s="583" t="s">
        <v>24</v>
      </c>
    </row>
    <row r="5" spans="1:11" x14ac:dyDescent="0.25">
      <c r="A5" s="946"/>
      <c r="B5" s="947"/>
      <c r="C5" s="106"/>
      <c r="D5" s="333" t="s">
        <v>257</v>
      </c>
      <c r="E5" s="107" t="s">
        <v>382</v>
      </c>
      <c r="F5" s="107" t="s">
        <v>382</v>
      </c>
      <c r="G5" s="107" t="s">
        <v>382</v>
      </c>
      <c r="H5" s="107" t="s">
        <v>407</v>
      </c>
      <c r="I5" s="586" t="s">
        <v>414</v>
      </c>
      <c r="J5" s="586" t="s">
        <v>530</v>
      </c>
      <c r="K5" s="586" t="s">
        <v>886</v>
      </c>
    </row>
    <row r="6" spans="1:11" x14ac:dyDescent="0.25">
      <c r="A6" s="129"/>
      <c r="B6" s="151"/>
      <c r="C6" s="93" t="s">
        <v>33</v>
      </c>
      <c r="D6" s="85"/>
      <c r="E6" s="85"/>
      <c r="F6" s="85"/>
      <c r="G6" s="428"/>
      <c r="H6" s="85"/>
      <c r="I6" s="428"/>
      <c r="J6" s="85"/>
      <c r="K6" s="85"/>
    </row>
    <row r="7" spans="1:11" x14ac:dyDescent="0.25">
      <c r="A7" s="118">
        <v>48</v>
      </c>
      <c r="B7" s="155">
        <v>5005</v>
      </c>
      <c r="C7" s="94" t="s">
        <v>241</v>
      </c>
      <c r="D7" s="85">
        <v>1450</v>
      </c>
      <c r="E7" s="85">
        <v>1600</v>
      </c>
      <c r="F7" s="85">
        <v>1600</v>
      </c>
      <c r="G7" s="428">
        <v>1600</v>
      </c>
      <c r="H7" s="428">
        <f t="shared" ref="H7:H17" si="0">(F7*0.068)+F7</f>
        <v>1708.8</v>
      </c>
      <c r="I7" s="428">
        <f>+H7*1.058</f>
        <v>1807.9104</v>
      </c>
      <c r="J7" s="428">
        <f>+I7*1.055</f>
        <v>1907.345472</v>
      </c>
      <c r="K7" s="428">
        <f>+J7*1.053</f>
        <v>2008.4347820159999</v>
      </c>
    </row>
    <row r="8" spans="1:11" hidden="1" x14ac:dyDescent="0.25">
      <c r="A8" s="118">
        <v>48</v>
      </c>
      <c r="B8" s="151">
        <v>5010</v>
      </c>
      <c r="C8" s="94" t="s">
        <v>34</v>
      </c>
      <c r="D8" s="85">
        <v>0</v>
      </c>
      <c r="E8" s="85"/>
      <c r="F8" s="85">
        <v>0</v>
      </c>
      <c r="G8" s="428">
        <v>0</v>
      </c>
      <c r="H8" s="428">
        <f t="shared" si="0"/>
        <v>0</v>
      </c>
      <c r="I8" s="428">
        <v>0</v>
      </c>
      <c r="J8" s="428">
        <f t="shared" ref="J8:J17" si="1">+I8*1.055</f>
        <v>0</v>
      </c>
      <c r="K8" s="428">
        <f t="shared" ref="K8:K17" si="2">+J8*1.053</f>
        <v>0</v>
      </c>
    </row>
    <row r="9" spans="1:11" hidden="1" x14ac:dyDescent="0.25">
      <c r="A9" s="118">
        <v>48</v>
      </c>
      <c r="B9" s="151">
        <v>5015</v>
      </c>
      <c r="C9" s="94" t="s">
        <v>35</v>
      </c>
      <c r="D9" s="85">
        <v>0</v>
      </c>
      <c r="E9" s="85"/>
      <c r="F9" s="85">
        <v>0</v>
      </c>
      <c r="G9" s="428">
        <v>0</v>
      </c>
      <c r="H9" s="428">
        <f t="shared" si="0"/>
        <v>0</v>
      </c>
      <c r="I9" s="428">
        <v>0</v>
      </c>
      <c r="J9" s="428">
        <f t="shared" si="1"/>
        <v>0</v>
      </c>
      <c r="K9" s="428">
        <f t="shared" si="2"/>
        <v>0</v>
      </c>
    </row>
    <row r="10" spans="1:11" x14ac:dyDescent="0.25">
      <c r="A10" s="118">
        <v>48</v>
      </c>
      <c r="B10" s="151">
        <v>5020</v>
      </c>
      <c r="C10" s="94" t="s">
        <v>350</v>
      </c>
      <c r="D10" s="85">
        <v>2700</v>
      </c>
      <c r="E10" s="85"/>
      <c r="F10" s="85">
        <v>0</v>
      </c>
      <c r="G10" s="428">
        <v>0</v>
      </c>
      <c r="H10" s="428">
        <f t="shared" si="0"/>
        <v>0</v>
      </c>
      <c r="I10" s="428"/>
      <c r="J10" s="428">
        <f t="shared" si="1"/>
        <v>0</v>
      </c>
      <c r="K10" s="428">
        <f t="shared" si="2"/>
        <v>0</v>
      </c>
    </row>
    <row r="11" spans="1:11" hidden="1" x14ac:dyDescent="0.25">
      <c r="A11" s="118">
        <v>48</v>
      </c>
      <c r="B11" s="151">
        <v>5025</v>
      </c>
      <c r="C11" s="94" t="s">
        <v>36</v>
      </c>
      <c r="D11" s="85">
        <v>0</v>
      </c>
      <c r="E11" s="85"/>
      <c r="F11" s="85">
        <v>0</v>
      </c>
      <c r="G11" s="428">
        <v>0</v>
      </c>
      <c r="H11" s="428">
        <f t="shared" si="0"/>
        <v>0</v>
      </c>
      <c r="I11" s="428">
        <v>0</v>
      </c>
      <c r="J11" s="428">
        <f t="shared" si="1"/>
        <v>0</v>
      </c>
      <c r="K11" s="428">
        <f t="shared" si="2"/>
        <v>0</v>
      </c>
    </row>
    <row r="12" spans="1:11" x14ac:dyDescent="0.25">
      <c r="A12" s="118">
        <v>48</v>
      </c>
      <c r="B12" s="151">
        <v>5030</v>
      </c>
      <c r="C12" s="94" t="s">
        <v>85</v>
      </c>
      <c r="D12" s="85">
        <v>91700</v>
      </c>
      <c r="E12" s="85">
        <v>62000</v>
      </c>
      <c r="F12" s="85">
        <v>62000</v>
      </c>
      <c r="G12" s="428">
        <v>62000</v>
      </c>
      <c r="H12" s="428">
        <f t="shared" si="0"/>
        <v>66216</v>
      </c>
      <c r="I12" s="428">
        <f>+H12*1.058</f>
        <v>70056.528000000006</v>
      </c>
      <c r="J12" s="428">
        <f t="shared" si="1"/>
        <v>73909.637040000001</v>
      </c>
      <c r="K12" s="428">
        <f t="shared" si="2"/>
        <v>77826.847803119992</v>
      </c>
    </row>
    <row r="13" spans="1:11" hidden="1" x14ac:dyDescent="0.25">
      <c r="A13" s="118">
        <v>48</v>
      </c>
      <c r="B13" s="151">
        <v>5035</v>
      </c>
      <c r="C13" s="94" t="s">
        <v>84</v>
      </c>
      <c r="D13" s="85">
        <v>0</v>
      </c>
      <c r="E13" s="85"/>
      <c r="F13" s="85">
        <v>0</v>
      </c>
      <c r="G13" s="428">
        <v>0</v>
      </c>
      <c r="H13" s="428">
        <f t="shared" si="0"/>
        <v>0</v>
      </c>
      <c r="I13" s="428">
        <v>103566</v>
      </c>
      <c r="J13" s="428">
        <f t="shared" si="1"/>
        <v>109262.12999999999</v>
      </c>
      <c r="K13" s="428">
        <f t="shared" si="2"/>
        <v>115053.02288999998</v>
      </c>
    </row>
    <row r="14" spans="1:11" x14ac:dyDescent="0.25">
      <c r="A14" s="118">
        <v>48</v>
      </c>
      <c r="B14" s="151">
        <v>5040</v>
      </c>
      <c r="C14" s="94" t="s">
        <v>37</v>
      </c>
      <c r="D14" s="85">
        <v>149900</v>
      </c>
      <c r="E14" s="85">
        <v>140000</v>
      </c>
      <c r="F14" s="85">
        <v>140000</v>
      </c>
      <c r="G14" s="428">
        <v>140000</v>
      </c>
      <c r="H14" s="428">
        <f t="shared" si="0"/>
        <v>149520</v>
      </c>
      <c r="I14" s="428">
        <f>+H14*1.058</f>
        <v>158192.16</v>
      </c>
      <c r="J14" s="428">
        <f t="shared" si="1"/>
        <v>166892.72879999998</v>
      </c>
      <c r="K14" s="428">
        <f t="shared" si="2"/>
        <v>175738.04342639996</v>
      </c>
    </row>
    <row r="15" spans="1:11" hidden="1" x14ac:dyDescent="0.25">
      <c r="A15" s="118">
        <v>48</v>
      </c>
      <c r="B15" s="151">
        <v>5045</v>
      </c>
      <c r="C15" s="94" t="s">
        <v>38</v>
      </c>
      <c r="D15" s="85">
        <v>0</v>
      </c>
      <c r="E15" s="85"/>
      <c r="F15" s="85">
        <v>0</v>
      </c>
      <c r="G15" s="428">
        <v>0</v>
      </c>
      <c r="H15" s="428">
        <f t="shared" si="0"/>
        <v>0</v>
      </c>
      <c r="I15" s="428">
        <v>0</v>
      </c>
      <c r="J15" s="428">
        <f t="shared" si="1"/>
        <v>0</v>
      </c>
      <c r="K15" s="428">
        <f t="shared" si="2"/>
        <v>0</v>
      </c>
    </row>
    <row r="16" spans="1:11" x14ac:dyDescent="0.25">
      <c r="A16" s="118">
        <v>48</v>
      </c>
      <c r="B16" s="151">
        <v>5050</v>
      </c>
      <c r="C16" s="94" t="s">
        <v>83</v>
      </c>
      <c r="D16" s="85">
        <v>538000</v>
      </c>
      <c r="E16" s="85">
        <v>236000</v>
      </c>
      <c r="F16" s="85">
        <v>236000</v>
      </c>
      <c r="G16" s="428">
        <v>236000</v>
      </c>
      <c r="H16" s="428">
        <f t="shared" si="0"/>
        <v>252048</v>
      </c>
      <c r="I16" s="428">
        <v>506257.5</v>
      </c>
      <c r="J16" s="428">
        <f t="shared" si="1"/>
        <v>534101.66249999998</v>
      </c>
      <c r="K16" s="428">
        <f t="shared" si="2"/>
        <v>562409.05061249994</v>
      </c>
    </row>
    <row r="17" spans="1:11" x14ac:dyDescent="0.25">
      <c r="A17" s="118">
        <v>48</v>
      </c>
      <c r="B17" s="151">
        <v>5055</v>
      </c>
      <c r="C17" s="94" t="s">
        <v>39</v>
      </c>
      <c r="D17" s="85">
        <v>1884600</v>
      </c>
      <c r="E17" s="85">
        <v>2850000</v>
      </c>
      <c r="F17" s="85">
        <v>2650000</v>
      </c>
      <c r="G17" s="428">
        <v>2650000</v>
      </c>
      <c r="H17" s="428">
        <f t="shared" si="0"/>
        <v>2830200</v>
      </c>
      <c r="I17" s="428">
        <v>2276877</v>
      </c>
      <c r="J17" s="428">
        <f t="shared" si="1"/>
        <v>2402105.2349999999</v>
      </c>
      <c r="K17" s="428">
        <f t="shared" si="2"/>
        <v>2529416.8124549999</v>
      </c>
    </row>
    <row r="18" spans="1:11" x14ac:dyDescent="0.25">
      <c r="A18" s="129"/>
      <c r="B18" s="151"/>
      <c r="C18" s="94"/>
      <c r="D18" s="429">
        <f t="shared" ref="D18:K18" si="3">SUM(D7:D17)</f>
        <v>2668350</v>
      </c>
      <c r="E18" s="89">
        <f t="shared" si="3"/>
        <v>3289600</v>
      </c>
      <c r="F18" s="429">
        <f t="shared" si="3"/>
        <v>3089600</v>
      </c>
      <c r="G18" s="429">
        <f t="shared" si="3"/>
        <v>3089600</v>
      </c>
      <c r="H18" s="429">
        <f t="shared" si="3"/>
        <v>3299692.8</v>
      </c>
      <c r="I18" s="429">
        <f t="shared" si="3"/>
        <v>3116757.0984</v>
      </c>
      <c r="J18" s="429">
        <f t="shared" si="3"/>
        <v>3288178.7388119996</v>
      </c>
      <c r="K18" s="429">
        <f t="shared" si="3"/>
        <v>3462452.2119690357</v>
      </c>
    </row>
    <row r="19" spans="1:11" x14ac:dyDescent="0.25">
      <c r="A19" s="129"/>
      <c r="B19" s="151"/>
      <c r="C19" s="93" t="s">
        <v>40</v>
      </c>
      <c r="D19" s="85"/>
      <c r="E19" s="86"/>
      <c r="F19" s="86"/>
      <c r="G19" s="86"/>
      <c r="H19" s="86"/>
      <c r="I19" s="86"/>
      <c r="J19" s="86"/>
      <c r="K19" s="86"/>
    </row>
    <row r="20" spans="1:11" s="285" customFormat="1" x14ac:dyDescent="0.25">
      <c r="A20" s="118">
        <v>48</v>
      </c>
      <c r="B20" s="151">
        <v>5105</v>
      </c>
      <c r="C20" s="94" t="s">
        <v>41</v>
      </c>
      <c r="D20" s="85">
        <v>26800</v>
      </c>
      <c r="E20" s="85">
        <v>38900</v>
      </c>
      <c r="F20" s="85">
        <v>38900</v>
      </c>
      <c r="G20" s="428">
        <v>38900</v>
      </c>
      <c r="H20" s="428">
        <f>(F20*0.068)+F20</f>
        <v>41545.199999999997</v>
      </c>
      <c r="I20" s="428">
        <v>157087.5</v>
      </c>
      <c r="J20" s="428">
        <f>+I20*1.055</f>
        <v>165727.3125</v>
      </c>
      <c r="K20" s="428">
        <f>+J20*1.053</f>
        <v>174510.8600625</v>
      </c>
    </row>
    <row r="21" spans="1:11" s="285" customFormat="1" x14ac:dyDescent="0.25">
      <c r="A21" s="118">
        <v>48</v>
      </c>
      <c r="B21" s="151">
        <v>5115</v>
      </c>
      <c r="C21" s="94" t="s">
        <v>42</v>
      </c>
      <c r="D21" s="85">
        <v>171800</v>
      </c>
      <c r="E21" s="85">
        <v>295000</v>
      </c>
      <c r="F21" s="85">
        <v>295000</v>
      </c>
      <c r="G21" s="428">
        <v>295000</v>
      </c>
      <c r="H21" s="428">
        <f>(F21*0.068)+F21</f>
        <v>315060</v>
      </c>
      <c r="I21" s="428">
        <v>356682</v>
      </c>
      <c r="J21" s="428">
        <f>+I21*1.055</f>
        <v>376299.50999999995</v>
      </c>
      <c r="K21" s="428">
        <f>+J21*1.053</f>
        <v>396243.3840299999</v>
      </c>
    </row>
    <row r="22" spans="1:11" s="285" customFormat="1" x14ac:dyDescent="0.25">
      <c r="A22" s="118">
        <v>48</v>
      </c>
      <c r="B22" s="151">
        <v>5120</v>
      </c>
      <c r="C22" s="94" t="s">
        <v>43</v>
      </c>
      <c r="D22" s="85">
        <v>156900</v>
      </c>
      <c r="E22" s="85">
        <v>128000</v>
      </c>
      <c r="F22" s="85">
        <v>128000</v>
      </c>
      <c r="G22" s="428">
        <v>128000</v>
      </c>
      <c r="H22" s="428">
        <f>(F22*0.068)+F22</f>
        <v>136704</v>
      </c>
      <c r="I22" s="428">
        <v>34176</v>
      </c>
      <c r="J22" s="428">
        <f>+I22*1.055</f>
        <v>36055.68</v>
      </c>
      <c r="K22" s="428">
        <f>+J22*1.053</f>
        <v>37966.63104</v>
      </c>
    </row>
    <row r="23" spans="1:11" s="285" customFormat="1" hidden="1" x14ac:dyDescent="0.25">
      <c r="A23" s="118">
        <v>48</v>
      </c>
      <c r="B23" s="151">
        <v>5125</v>
      </c>
      <c r="C23" s="94" t="s">
        <v>44</v>
      </c>
      <c r="D23" s="85">
        <v>0</v>
      </c>
      <c r="E23" s="85"/>
      <c r="F23" s="85">
        <v>0</v>
      </c>
      <c r="G23" s="428">
        <v>0</v>
      </c>
      <c r="H23" s="428">
        <f>(F23*0.068)+F23</f>
        <v>0</v>
      </c>
      <c r="I23" s="428"/>
      <c r="J23" s="428">
        <f>+I23*1.055</f>
        <v>0</v>
      </c>
      <c r="K23" s="428">
        <f>+J23*1.053</f>
        <v>0</v>
      </c>
    </row>
    <row r="24" spans="1:11" s="285" customFormat="1" x14ac:dyDescent="0.25">
      <c r="A24" s="118">
        <v>48</v>
      </c>
      <c r="B24" s="151">
        <v>5130</v>
      </c>
      <c r="C24" s="94" t="s">
        <v>45</v>
      </c>
      <c r="D24" s="85">
        <v>26400</v>
      </c>
      <c r="E24" s="85">
        <v>39500</v>
      </c>
      <c r="F24" s="85">
        <v>39500</v>
      </c>
      <c r="G24" s="428">
        <v>39500</v>
      </c>
      <c r="H24" s="428">
        <f>(F24*0.068)+F24</f>
        <v>42186</v>
      </c>
      <c r="I24" s="428">
        <v>30613.5</v>
      </c>
      <c r="J24" s="428">
        <f>+I24*1.055</f>
        <v>32297.242499999997</v>
      </c>
      <c r="K24" s="428">
        <f>+J24*1.053</f>
        <v>34008.996352499991</v>
      </c>
    </row>
    <row r="25" spans="1:11" s="285" customFormat="1" x14ac:dyDescent="0.25">
      <c r="A25" s="344"/>
      <c r="B25" s="151"/>
      <c r="C25" s="94"/>
      <c r="D25" s="429">
        <f t="shared" ref="D25:K25" si="4">SUM(D20:D24)</f>
        <v>381900</v>
      </c>
      <c r="E25" s="89">
        <f t="shared" si="4"/>
        <v>501400</v>
      </c>
      <c r="F25" s="429">
        <f t="shared" si="4"/>
        <v>501400</v>
      </c>
      <c r="G25" s="429">
        <f t="shared" si="4"/>
        <v>501400</v>
      </c>
      <c r="H25" s="429">
        <f t="shared" si="4"/>
        <v>535495.19999999995</v>
      </c>
      <c r="I25" s="429">
        <f t="shared" si="4"/>
        <v>578559</v>
      </c>
      <c r="J25" s="429">
        <f t="shared" si="4"/>
        <v>610379.74500000011</v>
      </c>
      <c r="K25" s="429">
        <f t="shared" si="4"/>
        <v>642729.87148499978</v>
      </c>
    </row>
    <row r="26" spans="1:11" s="285" customFormat="1" x14ac:dyDescent="0.25">
      <c r="A26" s="344"/>
      <c r="B26" s="151"/>
      <c r="C26" s="93" t="s">
        <v>46</v>
      </c>
      <c r="D26" s="85"/>
      <c r="E26" s="86"/>
      <c r="F26" s="86"/>
      <c r="G26" s="86"/>
      <c r="H26" s="86"/>
      <c r="I26" s="86"/>
      <c r="J26" s="86"/>
      <c r="K26" s="86"/>
    </row>
    <row r="27" spans="1:11" s="285" customFormat="1" hidden="1" x14ac:dyDescent="0.25">
      <c r="A27" s="344"/>
      <c r="B27" s="151"/>
      <c r="C27" s="93" t="s">
        <v>47</v>
      </c>
      <c r="D27" s="85"/>
      <c r="E27" s="86"/>
      <c r="F27" s="86"/>
      <c r="G27" s="86"/>
      <c r="H27" s="86"/>
      <c r="I27" s="86"/>
      <c r="J27" s="86"/>
      <c r="K27" s="86"/>
    </row>
    <row r="28" spans="1:11" s="285" customFormat="1" hidden="1" x14ac:dyDescent="0.25">
      <c r="A28" s="118">
        <v>48</v>
      </c>
      <c r="B28" s="151">
        <v>5150</v>
      </c>
      <c r="C28" s="94" t="s">
        <v>48</v>
      </c>
      <c r="D28" s="85"/>
      <c r="E28" s="85"/>
      <c r="F28" s="85">
        <v>0</v>
      </c>
      <c r="G28" s="428">
        <v>0</v>
      </c>
      <c r="H28" s="85"/>
      <c r="I28" s="428"/>
      <c r="J28" s="85"/>
      <c r="K28" s="85"/>
    </row>
    <row r="29" spans="1:11" s="285" customFormat="1" hidden="1" x14ac:dyDescent="0.25">
      <c r="A29" s="344"/>
      <c r="B29" s="151"/>
      <c r="C29" s="94"/>
      <c r="D29" s="89"/>
      <c r="E29" s="89">
        <f>E28</f>
        <v>0</v>
      </c>
      <c r="F29" s="89">
        <v>0</v>
      </c>
      <c r="G29" s="429">
        <v>0</v>
      </c>
      <c r="H29" s="89"/>
      <c r="I29" s="429"/>
      <c r="J29" s="89"/>
      <c r="K29" s="89"/>
    </row>
    <row r="30" spans="1:11" s="285" customFormat="1" x14ac:dyDescent="0.25">
      <c r="A30" s="344"/>
      <c r="B30" s="151"/>
      <c r="C30" s="93" t="s">
        <v>49</v>
      </c>
      <c r="D30" s="85"/>
      <c r="E30" s="86"/>
      <c r="F30" s="86"/>
      <c r="G30" s="86"/>
      <c r="H30" s="86"/>
      <c r="I30" s="86"/>
      <c r="J30" s="86"/>
      <c r="K30" s="86"/>
    </row>
    <row r="31" spans="1:11" s="285" customFormat="1" x14ac:dyDescent="0.25">
      <c r="A31" s="118">
        <v>48</v>
      </c>
      <c r="B31" s="151">
        <v>5170</v>
      </c>
      <c r="C31" s="94" t="s">
        <v>341</v>
      </c>
      <c r="D31" s="85">
        <v>8136900</v>
      </c>
      <c r="E31" s="85">
        <v>8576292.5999999996</v>
      </c>
      <c r="F31" s="85">
        <v>76292.599999999627</v>
      </c>
      <c r="G31" s="428">
        <v>76292.599999999627</v>
      </c>
      <c r="H31" s="428">
        <f>7633535-1500000-60000-1094540</f>
        <v>4978995</v>
      </c>
      <c r="I31" s="428"/>
      <c r="J31" s="85"/>
      <c r="K31" s="85"/>
    </row>
    <row r="32" spans="1:11" s="285" customFormat="1" x14ac:dyDescent="0.25">
      <c r="A32" s="344"/>
      <c r="B32" s="151"/>
      <c r="C32" s="94"/>
      <c r="D32" s="429">
        <f>SUM(D31)</f>
        <v>8136900</v>
      </c>
      <c r="E32" s="89">
        <f>SUM(E31)</f>
        <v>8576292.5999999996</v>
      </c>
      <c r="F32" s="429">
        <f>SUM(F31)</f>
        <v>76292.599999999627</v>
      </c>
      <c r="G32" s="429">
        <f>SUM(G31)</f>
        <v>76292.599999999627</v>
      </c>
      <c r="H32" s="429">
        <f>SUM(H31)</f>
        <v>4978995</v>
      </c>
      <c r="I32" s="429"/>
      <c r="J32" s="429"/>
      <c r="K32" s="429"/>
    </row>
    <row r="33" spans="1:11" s="285" customFormat="1" hidden="1" x14ac:dyDescent="0.25">
      <c r="A33" s="344"/>
      <c r="B33" s="151"/>
      <c r="C33" s="93" t="s">
        <v>50</v>
      </c>
      <c r="D33" s="85"/>
      <c r="E33" s="86"/>
      <c r="F33" s="86"/>
      <c r="G33" s="86"/>
      <c r="H33" s="86"/>
      <c r="I33" s="86"/>
      <c r="J33" s="86"/>
      <c r="K33" s="86"/>
    </row>
    <row r="34" spans="1:11" s="285" customFormat="1" hidden="1" x14ac:dyDescent="0.25">
      <c r="A34" s="118">
        <v>48</v>
      </c>
      <c r="B34" s="151">
        <v>5180</v>
      </c>
      <c r="C34" s="94" t="s">
        <v>51</v>
      </c>
      <c r="D34" s="85"/>
      <c r="E34" s="108"/>
      <c r="F34" s="85"/>
      <c r="G34" s="428"/>
      <c r="H34" s="85"/>
      <c r="I34" s="428"/>
      <c r="J34" s="85"/>
      <c r="K34" s="108"/>
    </row>
    <row r="35" spans="1:11" s="285" customFormat="1" hidden="1" x14ac:dyDescent="0.25">
      <c r="A35" s="344"/>
      <c r="B35" s="151"/>
      <c r="C35" s="94"/>
      <c r="D35" s="89"/>
      <c r="E35" s="89">
        <f>SUM(E34)</f>
        <v>0</v>
      </c>
      <c r="F35" s="89">
        <v>0</v>
      </c>
      <c r="G35" s="429">
        <v>0</v>
      </c>
      <c r="H35" s="89"/>
      <c r="I35" s="429"/>
      <c r="J35" s="89"/>
      <c r="K35" s="89"/>
    </row>
    <row r="36" spans="1:11" s="285" customFormat="1" hidden="1" x14ac:dyDescent="0.25">
      <c r="A36" s="344"/>
      <c r="B36" s="151"/>
      <c r="C36" s="93" t="s">
        <v>52</v>
      </c>
      <c r="D36" s="85"/>
      <c r="E36" s="86"/>
      <c r="F36" s="86"/>
      <c r="G36" s="86"/>
      <c r="H36" s="86"/>
      <c r="I36" s="86"/>
      <c r="J36" s="86"/>
      <c r="K36" s="86"/>
    </row>
    <row r="37" spans="1:11" s="285" customFormat="1" hidden="1" x14ac:dyDescent="0.25">
      <c r="A37" s="118">
        <v>48</v>
      </c>
      <c r="B37" s="151">
        <v>5190</v>
      </c>
      <c r="C37" s="94" t="s">
        <v>53</v>
      </c>
      <c r="D37" s="85"/>
      <c r="E37" s="85">
        <v>0</v>
      </c>
      <c r="F37" s="108"/>
      <c r="G37" s="425"/>
      <c r="H37" s="108"/>
      <c r="I37" s="425"/>
      <c r="J37" s="108"/>
      <c r="K37" s="85"/>
    </row>
    <row r="38" spans="1:11" s="285" customFormat="1" hidden="1" x14ac:dyDescent="0.25">
      <c r="A38" s="344"/>
      <c r="B38" s="151"/>
      <c r="C38" s="94"/>
      <c r="D38" s="89"/>
      <c r="E38" s="89">
        <f>E37</f>
        <v>0</v>
      </c>
      <c r="F38" s="89">
        <v>0</v>
      </c>
      <c r="G38" s="429">
        <v>0</v>
      </c>
      <c r="H38" s="89"/>
      <c r="I38" s="429"/>
      <c r="J38" s="89"/>
      <c r="K38" s="89"/>
    </row>
    <row r="39" spans="1:11" s="285" customFormat="1" x14ac:dyDescent="0.25">
      <c r="A39" s="344"/>
      <c r="B39" s="151"/>
      <c r="C39" s="93" t="s">
        <v>54</v>
      </c>
      <c r="D39" s="85"/>
      <c r="E39" s="86"/>
      <c r="F39" s="86"/>
      <c r="G39" s="86"/>
      <c r="H39" s="86"/>
      <c r="I39" s="86"/>
      <c r="J39" s="86"/>
      <c r="K39" s="86"/>
    </row>
    <row r="40" spans="1:11" s="285" customFormat="1" hidden="1" x14ac:dyDescent="0.25">
      <c r="A40" s="118">
        <v>48</v>
      </c>
      <c r="B40" s="151">
        <v>5200</v>
      </c>
      <c r="C40" s="94" t="s">
        <v>55</v>
      </c>
      <c r="D40" s="85"/>
      <c r="E40" s="108"/>
      <c r="F40" s="85">
        <v>0</v>
      </c>
      <c r="G40" s="428">
        <v>0</v>
      </c>
      <c r="H40" s="85"/>
      <c r="I40" s="428"/>
      <c r="J40" s="85"/>
      <c r="K40" s="85"/>
    </row>
    <row r="41" spans="1:11" s="285" customFormat="1" x14ac:dyDescent="0.25">
      <c r="A41" s="118">
        <v>48</v>
      </c>
      <c r="B41" s="151">
        <v>5205</v>
      </c>
      <c r="C41" s="94" t="s">
        <v>56</v>
      </c>
      <c r="D41" s="85">
        <v>156000</v>
      </c>
      <c r="E41" s="85">
        <v>38000</v>
      </c>
      <c r="F41" s="85">
        <v>3000</v>
      </c>
      <c r="G41" s="428">
        <v>3000</v>
      </c>
      <c r="H41" s="85">
        <f t="shared" ref="H41:H48" si="5">(F41*10/100)+F41</f>
        <v>3300</v>
      </c>
      <c r="I41" s="428">
        <v>3300</v>
      </c>
      <c r="J41" s="85">
        <f>+I41*1.055</f>
        <v>3481.5</v>
      </c>
      <c r="K41" s="85">
        <f>+J41*1.053</f>
        <v>3666.0194999999999</v>
      </c>
    </row>
    <row r="42" spans="1:11" s="285" customFormat="1" hidden="1" x14ac:dyDescent="0.25">
      <c r="A42" s="118">
        <v>48</v>
      </c>
      <c r="B42" s="151">
        <v>5210</v>
      </c>
      <c r="C42" s="94" t="s">
        <v>57</v>
      </c>
      <c r="D42" s="85"/>
      <c r="E42" s="85">
        <v>0</v>
      </c>
      <c r="F42" s="85">
        <v>0</v>
      </c>
      <c r="G42" s="428">
        <v>0</v>
      </c>
      <c r="H42" s="85">
        <f t="shared" si="5"/>
        <v>0</v>
      </c>
      <c r="I42" s="428"/>
      <c r="J42" s="428">
        <f t="shared" ref="J42:J57" si="6">+I42*1.055</f>
        <v>0</v>
      </c>
      <c r="K42" s="428">
        <f t="shared" ref="K42:K57" si="7">+J42*1.053</f>
        <v>0</v>
      </c>
    </row>
    <row r="43" spans="1:11" s="285" customFormat="1" x14ac:dyDescent="0.25">
      <c r="A43" s="118">
        <v>48</v>
      </c>
      <c r="B43" s="151">
        <v>5215</v>
      </c>
      <c r="C43" s="94" t="s">
        <v>186</v>
      </c>
      <c r="D43" s="85">
        <v>76983</v>
      </c>
      <c r="E43" s="85">
        <v>85115.29</v>
      </c>
      <c r="F43" s="85">
        <v>85115.29</v>
      </c>
      <c r="G43" s="428">
        <v>85115.29</v>
      </c>
      <c r="H43" s="85">
        <f t="shared" si="5"/>
        <v>93626.818999999989</v>
      </c>
      <c r="I43" s="428">
        <v>1752300</v>
      </c>
      <c r="J43" s="428">
        <f t="shared" si="6"/>
        <v>1848676.5</v>
      </c>
      <c r="K43" s="428">
        <f t="shared" si="7"/>
        <v>1946656.3544999999</v>
      </c>
    </row>
    <row r="44" spans="1:11" s="285" customFormat="1" hidden="1" x14ac:dyDescent="0.25">
      <c r="A44" s="118">
        <v>48</v>
      </c>
      <c r="B44" s="151">
        <v>5220</v>
      </c>
      <c r="C44" s="94" t="s">
        <v>58</v>
      </c>
      <c r="D44" s="85"/>
      <c r="E44" s="85">
        <v>0</v>
      </c>
      <c r="F44" s="85">
        <v>0</v>
      </c>
      <c r="G44" s="428">
        <v>0</v>
      </c>
      <c r="H44" s="85">
        <f t="shared" si="5"/>
        <v>0</v>
      </c>
      <c r="I44" s="428"/>
      <c r="J44" s="428">
        <f t="shared" si="6"/>
        <v>0</v>
      </c>
      <c r="K44" s="428">
        <f t="shared" si="7"/>
        <v>0</v>
      </c>
    </row>
    <row r="45" spans="1:11" s="285" customFormat="1" hidden="1" x14ac:dyDescent="0.25">
      <c r="A45" s="118">
        <v>48</v>
      </c>
      <c r="B45" s="151">
        <v>5225</v>
      </c>
      <c r="C45" s="94" t="s">
        <v>92</v>
      </c>
      <c r="D45" s="85"/>
      <c r="E45" s="85">
        <v>0</v>
      </c>
      <c r="F45" s="85">
        <v>0</v>
      </c>
      <c r="G45" s="428">
        <v>0</v>
      </c>
      <c r="H45" s="85">
        <f t="shared" si="5"/>
        <v>0</v>
      </c>
      <c r="I45" s="428"/>
      <c r="J45" s="428">
        <f t="shared" si="6"/>
        <v>0</v>
      </c>
      <c r="K45" s="428">
        <f t="shared" si="7"/>
        <v>0</v>
      </c>
    </row>
    <row r="46" spans="1:11" s="285" customFormat="1" x14ac:dyDescent="0.25">
      <c r="A46" s="118">
        <v>48</v>
      </c>
      <c r="B46" s="151">
        <v>5230</v>
      </c>
      <c r="C46" s="94" t="s">
        <v>86</v>
      </c>
      <c r="D46" s="85">
        <v>1155026</v>
      </c>
      <c r="E46" s="85">
        <v>1100000</v>
      </c>
      <c r="F46" s="85">
        <v>1335000</v>
      </c>
      <c r="G46" s="428">
        <v>1335000</v>
      </c>
      <c r="H46" s="85">
        <f t="shared" si="5"/>
        <v>1468500</v>
      </c>
      <c r="I46" s="428">
        <v>1115470.6100000001</v>
      </c>
      <c r="J46" s="428">
        <f t="shared" si="6"/>
        <v>1176821.49355</v>
      </c>
      <c r="K46" s="428">
        <f t="shared" si="7"/>
        <v>1239193.0327081499</v>
      </c>
    </row>
    <row r="47" spans="1:11" s="285" customFormat="1" x14ac:dyDescent="0.25">
      <c r="A47" s="118">
        <v>48</v>
      </c>
      <c r="B47" s="151">
        <v>5235</v>
      </c>
      <c r="C47" s="94" t="s">
        <v>124</v>
      </c>
      <c r="D47" s="85">
        <v>1468629</v>
      </c>
      <c r="E47" s="85">
        <v>1300000</v>
      </c>
      <c r="F47" s="85">
        <v>900000</v>
      </c>
      <c r="G47" s="428">
        <v>900000</v>
      </c>
      <c r="H47" s="85">
        <f t="shared" si="5"/>
        <v>990000</v>
      </c>
      <c r="I47" s="428">
        <v>3168001.2699999949</v>
      </c>
      <c r="J47" s="428">
        <f t="shared" si="6"/>
        <v>3342241.3398499945</v>
      </c>
      <c r="K47" s="428">
        <f t="shared" si="7"/>
        <v>3519380.1308620442</v>
      </c>
    </row>
    <row r="48" spans="1:11" s="285" customFormat="1" hidden="1" x14ac:dyDescent="0.25">
      <c r="A48" s="118">
        <v>48</v>
      </c>
      <c r="B48" s="151">
        <v>5240</v>
      </c>
      <c r="C48" s="94" t="s">
        <v>59</v>
      </c>
      <c r="D48" s="85"/>
      <c r="E48" s="85">
        <v>0</v>
      </c>
      <c r="F48" s="85">
        <v>0</v>
      </c>
      <c r="G48" s="428">
        <v>0</v>
      </c>
      <c r="H48" s="85">
        <f t="shared" si="5"/>
        <v>0</v>
      </c>
      <c r="I48" s="428"/>
      <c r="J48" s="428">
        <f t="shared" si="6"/>
        <v>0</v>
      </c>
      <c r="K48" s="428">
        <f t="shared" si="7"/>
        <v>0</v>
      </c>
    </row>
    <row r="49" spans="1:11" s="285" customFormat="1" x14ac:dyDescent="0.25">
      <c r="A49" s="118">
        <v>48</v>
      </c>
      <c r="B49" s="151">
        <v>5245</v>
      </c>
      <c r="C49" s="94" t="s">
        <v>541</v>
      </c>
      <c r="D49" s="85">
        <v>419366</v>
      </c>
      <c r="E49" s="85">
        <v>420000</v>
      </c>
      <c r="F49" s="85">
        <v>120000</v>
      </c>
      <c r="G49" s="428">
        <v>120000</v>
      </c>
      <c r="H49" s="85">
        <v>200000</v>
      </c>
      <c r="I49" s="428">
        <v>275500</v>
      </c>
      <c r="J49" s="428">
        <f t="shared" si="6"/>
        <v>290652.5</v>
      </c>
      <c r="K49" s="428">
        <f t="shared" si="7"/>
        <v>306057.08249999996</v>
      </c>
    </row>
    <row r="50" spans="1:11" s="285" customFormat="1" x14ac:dyDescent="0.25">
      <c r="A50" s="118">
        <v>48</v>
      </c>
      <c r="B50" s="151">
        <v>5250</v>
      </c>
      <c r="C50" s="94" t="s">
        <v>88</v>
      </c>
      <c r="D50" s="85">
        <v>645380</v>
      </c>
      <c r="E50" s="85">
        <v>670000</v>
      </c>
      <c r="F50" s="85">
        <v>870000</v>
      </c>
      <c r="G50" s="428">
        <v>870000</v>
      </c>
      <c r="H50" s="85">
        <f t="shared" ref="H50:H56" si="8">(F50*10/100)+F50</f>
        <v>957000</v>
      </c>
      <c r="I50" s="428">
        <v>325000</v>
      </c>
      <c r="J50" s="428">
        <f t="shared" si="6"/>
        <v>342875</v>
      </c>
      <c r="K50" s="428">
        <f t="shared" si="7"/>
        <v>361047.375</v>
      </c>
    </row>
    <row r="51" spans="1:11" s="285" customFormat="1" hidden="1" x14ac:dyDescent="0.25">
      <c r="A51" s="118">
        <v>48</v>
      </c>
      <c r="B51" s="151">
        <v>5255</v>
      </c>
      <c r="C51" s="94" t="s">
        <v>125</v>
      </c>
      <c r="D51" s="85"/>
      <c r="E51" s="85">
        <v>0</v>
      </c>
      <c r="F51" s="85">
        <v>0</v>
      </c>
      <c r="G51" s="428">
        <v>0</v>
      </c>
      <c r="H51" s="85">
        <f t="shared" si="8"/>
        <v>0</v>
      </c>
      <c r="I51" s="428"/>
      <c r="J51" s="428">
        <f t="shared" si="6"/>
        <v>0</v>
      </c>
      <c r="K51" s="428">
        <f t="shared" si="7"/>
        <v>0</v>
      </c>
    </row>
    <row r="52" spans="1:11" s="285" customFormat="1" hidden="1" x14ac:dyDescent="0.25">
      <c r="A52" s="118">
        <v>48</v>
      </c>
      <c r="B52" s="151">
        <v>5260</v>
      </c>
      <c r="C52" s="94" t="s">
        <v>90</v>
      </c>
      <c r="D52" s="85"/>
      <c r="E52" s="85">
        <v>0</v>
      </c>
      <c r="F52" s="85">
        <v>0</v>
      </c>
      <c r="G52" s="428">
        <v>0</v>
      </c>
      <c r="H52" s="85">
        <f t="shared" si="8"/>
        <v>0</v>
      </c>
      <c r="I52" s="428"/>
      <c r="J52" s="428">
        <f t="shared" si="6"/>
        <v>0</v>
      </c>
      <c r="K52" s="428">
        <f t="shared" si="7"/>
        <v>0</v>
      </c>
    </row>
    <row r="53" spans="1:11" s="285" customFormat="1" x14ac:dyDescent="0.25">
      <c r="A53" s="118">
        <v>48</v>
      </c>
      <c r="B53" s="151">
        <v>5265</v>
      </c>
      <c r="C53" s="94" t="s">
        <v>87</v>
      </c>
      <c r="D53" s="85">
        <v>1970</v>
      </c>
      <c r="E53" s="85">
        <v>470000</v>
      </c>
      <c r="F53" s="85">
        <v>370000</v>
      </c>
      <c r="G53" s="428">
        <v>370000</v>
      </c>
      <c r="H53" s="85">
        <f t="shared" si="8"/>
        <v>407000</v>
      </c>
      <c r="I53" s="428">
        <v>0</v>
      </c>
      <c r="J53" s="428">
        <f t="shared" si="6"/>
        <v>0</v>
      </c>
      <c r="K53" s="428">
        <f t="shared" si="7"/>
        <v>0</v>
      </c>
    </row>
    <row r="54" spans="1:11" s="285" customFormat="1" hidden="1" x14ac:dyDescent="0.25">
      <c r="A54" s="118">
        <v>48</v>
      </c>
      <c r="B54" s="151">
        <v>5270</v>
      </c>
      <c r="C54" s="94" t="s">
        <v>89</v>
      </c>
      <c r="D54" s="85"/>
      <c r="E54" s="85">
        <v>0</v>
      </c>
      <c r="F54" s="85">
        <v>0</v>
      </c>
      <c r="G54" s="428">
        <v>0</v>
      </c>
      <c r="H54" s="85">
        <f t="shared" si="8"/>
        <v>0</v>
      </c>
      <c r="I54" s="428"/>
      <c r="J54" s="428">
        <f t="shared" si="6"/>
        <v>0</v>
      </c>
      <c r="K54" s="428">
        <f t="shared" si="7"/>
        <v>0</v>
      </c>
    </row>
    <row r="55" spans="1:11" s="285" customFormat="1" hidden="1" x14ac:dyDescent="0.25">
      <c r="A55" s="118">
        <v>48</v>
      </c>
      <c r="B55" s="151">
        <v>5275</v>
      </c>
      <c r="C55" s="94" t="s">
        <v>93</v>
      </c>
      <c r="D55" s="85"/>
      <c r="E55" s="85">
        <v>0</v>
      </c>
      <c r="F55" s="85">
        <v>0</v>
      </c>
      <c r="G55" s="428">
        <v>0</v>
      </c>
      <c r="H55" s="85">
        <f t="shared" si="8"/>
        <v>0</v>
      </c>
      <c r="I55" s="428"/>
      <c r="J55" s="428">
        <f t="shared" si="6"/>
        <v>0</v>
      </c>
      <c r="K55" s="428">
        <f t="shared" si="7"/>
        <v>0</v>
      </c>
    </row>
    <row r="56" spans="1:11" s="285" customFormat="1" x14ac:dyDescent="0.25">
      <c r="A56" s="118">
        <v>48</v>
      </c>
      <c r="B56" s="151">
        <v>5280</v>
      </c>
      <c r="C56" s="94" t="s">
        <v>94</v>
      </c>
      <c r="D56" s="85">
        <v>99000</v>
      </c>
      <c r="E56" s="85">
        <v>450000</v>
      </c>
      <c r="F56" s="85">
        <v>450000</v>
      </c>
      <c r="G56" s="428">
        <v>450000</v>
      </c>
      <c r="H56" s="85">
        <f t="shared" si="8"/>
        <v>495000</v>
      </c>
      <c r="I56" s="428">
        <v>0</v>
      </c>
      <c r="J56" s="428">
        <f t="shared" si="6"/>
        <v>0</v>
      </c>
      <c r="K56" s="428">
        <f t="shared" si="7"/>
        <v>0</v>
      </c>
    </row>
    <row r="57" spans="1:11" s="285" customFormat="1" x14ac:dyDescent="0.25">
      <c r="A57" s="118">
        <v>48</v>
      </c>
      <c r="B57" s="151">
        <v>5285</v>
      </c>
      <c r="C57" s="94" t="s">
        <v>60</v>
      </c>
      <c r="D57" s="85">
        <v>322038</v>
      </c>
      <c r="E57" s="85">
        <v>245000</v>
      </c>
      <c r="F57" s="85">
        <v>145000</v>
      </c>
      <c r="G57" s="428">
        <v>145000</v>
      </c>
      <c r="H57" s="85">
        <v>200000</v>
      </c>
      <c r="I57" s="428">
        <v>200000</v>
      </c>
      <c r="J57" s="428">
        <f t="shared" si="6"/>
        <v>211000</v>
      </c>
      <c r="K57" s="428">
        <f t="shared" si="7"/>
        <v>222183</v>
      </c>
    </row>
    <row r="58" spans="1:11" s="285" customFormat="1" hidden="1" x14ac:dyDescent="0.25">
      <c r="A58" s="118">
        <v>48</v>
      </c>
      <c r="B58" s="151">
        <v>5290</v>
      </c>
      <c r="C58" s="94" t="s">
        <v>186</v>
      </c>
      <c r="D58" s="85"/>
      <c r="E58" s="108"/>
      <c r="F58" s="85">
        <v>0</v>
      </c>
      <c r="G58" s="428">
        <v>0</v>
      </c>
      <c r="H58" s="85"/>
      <c r="I58" s="428"/>
      <c r="J58" s="85"/>
      <c r="K58" s="85"/>
    </row>
    <row r="59" spans="1:11" s="285" customFormat="1" x14ac:dyDescent="0.25">
      <c r="A59" s="344"/>
      <c r="B59" s="151"/>
      <c r="C59" s="94"/>
      <c r="D59" s="439">
        <f t="shared" ref="D59:K59" si="9">SUM(D40:D58)</f>
        <v>4344392</v>
      </c>
      <c r="E59" s="110">
        <f t="shared" si="9"/>
        <v>4778115.29</v>
      </c>
      <c r="F59" s="110">
        <f t="shared" si="9"/>
        <v>4278115.29</v>
      </c>
      <c r="G59" s="439">
        <f t="shared" si="9"/>
        <v>4278115.29</v>
      </c>
      <c r="H59" s="439">
        <f t="shared" si="9"/>
        <v>4814426.8190000001</v>
      </c>
      <c r="I59" s="439">
        <f t="shared" si="9"/>
        <v>6839571.8799999952</v>
      </c>
      <c r="J59" s="439">
        <f t="shared" si="9"/>
        <v>7215748.3333999943</v>
      </c>
      <c r="K59" s="439">
        <f t="shared" si="9"/>
        <v>7598182.995070193</v>
      </c>
    </row>
    <row r="60" spans="1:11" s="285" customFormat="1" x14ac:dyDescent="0.25">
      <c r="A60" s="344"/>
      <c r="B60" s="151"/>
      <c r="C60" s="93" t="s">
        <v>198</v>
      </c>
      <c r="D60" s="85"/>
      <c r="E60" s="112"/>
      <c r="F60" s="112"/>
      <c r="G60" s="112"/>
      <c r="H60" s="112"/>
      <c r="I60" s="112"/>
      <c r="J60" s="112"/>
      <c r="K60" s="112"/>
    </row>
    <row r="61" spans="1:11" s="285" customFormat="1" hidden="1" x14ac:dyDescent="0.25">
      <c r="A61" s="118">
        <v>48</v>
      </c>
      <c r="B61" s="151">
        <v>5400</v>
      </c>
      <c r="C61" s="94" t="s">
        <v>334</v>
      </c>
      <c r="D61" s="85"/>
      <c r="E61" s="86"/>
      <c r="F61" s="85"/>
      <c r="G61" s="86"/>
      <c r="H61" s="86"/>
      <c r="I61" s="86"/>
      <c r="J61" s="86"/>
      <c r="K61" s="86"/>
    </row>
    <row r="62" spans="1:11" s="285" customFormat="1" x14ac:dyDescent="0.25">
      <c r="A62" s="118">
        <v>48</v>
      </c>
      <c r="B62" s="151">
        <v>5405</v>
      </c>
      <c r="C62" s="94" t="s">
        <v>335</v>
      </c>
      <c r="D62" s="85">
        <v>176000</v>
      </c>
      <c r="E62" s="108">
        <v>207858</v>
      </c>
      <c r="F62" s="85">
        <v>207858</v>
      </c>
      <c r="G62" s="428">
        <v>207858</v>
      </c>
      <c r="H62" s="85">
        <v>207858</v>
      </c>
      <c r="I62" s="428"/>
      <c r="J62" s="85"/>
      <c r="K62" s="85"/>
    </row>
    <row r="63" spans="1:11" s="285" customFormat="1" x14ac:dyDescent="0.25">
      <c r="A63" s="344"/>
      <c r="B63" s="151"/>
      <c r="C63" s="94"/>
      <c r="D63" s="429">
        <f>SUM(D61:D62)</f>
        <v>176000</v>
      </c>
      <c r="E63" s="89">
        <f>SUM(E61:E62)</f>
        <v>207858</v>
      </c>
      <c r="F63" s="429">
        <f>SUM(F61:F62)</f>
        <v>207858</v>
      </c>
      <c r="G63" s="429">
        <f>SUM(G61:G62)</f>
        <v>207858</v>
      </c>
      <c r="H63" s="429">
        <f>SUM(H61:H62)</f>
        <v>207858</v>
      </c>
      <c r="I63" s="429"/>
      <c r="J63" s="429"/>
      <c r="K63" s="429"/>
    </row>
    <row r="64" spans="1:11" s="285" customFormat="1" hidden="1" x14ac:dyDescent="0.25">
      <c r="A64" s="344"/>
      <c r="B64" s="151"/>
      <c r="C64" s="93" t="s">
        <v>61</v>
      </c>
      <c r="D64" s="85"/>
      <c r="E64" s="86"/>
      <c r="F64" s="86"/>
      <c r="G64" s="86"/>
      <c r="H64" s="86"/>
      <c r="I64" s="86"/>
      <c r="J64" s="86"/>
      <c r="K64" s="86"/>
    </row>
    <row r="65" spans="1:11" s="285" customFormat="1" hidden="1" x14ac:dyDescent="0.25">
      <c r="A65" s="118">
        <v>48</v>
      </c>
      <c r="B65" s="151">
        <v>5450</v>
      </c>
      <c r="C65" s="94" t="s">
        <v>351</v>
      </c>
      <c r="D65" s="85"/>
      <c r="E65" s="108"/>
      <c r="F65" s="85"/>
      <c r="G65" s="428"/>
      <c r="H65" s="85"/>
      <c r="I65" s="428"/>
      <c r="J65" s="85"/>
      <c r="K65" s="108"/>
    </row>
    <row r="66" spans="1:11" s="285" customFormat="1" hidden="1" x14ac:dyDescent="0.25">
      <c r="A66" s="344"/>
      <c r="B66" s="151"/>
      <c r="C66" s="94"/>
      <c r="D66" s="89"/>
      <c r="E66" s="89">
        <f>E65</f>
        <v>0</v>
      </c>
      <c r="F66" s="89">
        <v>0</v>
      </c>
      <c r="G66" s="429">
        <v>0</v>
      </c>
      <c r="H66" s="89"/>
      <c r="I66" s="429"/>
      <c r="J66" s="89"/>
      <c r="K66" s="89"/>
    </row>
    <row r="67" spans="1:11" s="285" customFormat="1" x14ac:dyDescent="0.25">
      <c r="A67" s="344"/>
      <c r="B67" s="151"/>
      <c r="C67" s="93" t="s">
        <v>96</v>
      </c>
      <c r="D67" s="85"/>
      <c r="E67" s="86"/>
      <c r="F67" s="86"/>
      <c r="G67" s="86"/>
      <c r="H67" s="86"/>
      <c r="I67" s="86"/>
      <c r="J67" s="86"/>
      <c r="K67" s="86"/>
    </row>
    <row r="68" spans="1:11" s="285" customFormat="1" x14ac:dyDescent="0.25">
      <c r="A68" s="118">
        <v>48</v>
      </c>
      <c r="B68" s="151">
        <v>5470</v>
      </c>
      <c r="C68" s="94" t="s">
        <v>97</v>
      </c>
      <c r="D68" s="85">
        <v>3737368</v>
      </c>
      <c r="E68" s="86"/>
      <c r="F68" s="85">
        <v>0</v>
      </c>
      <c r="G68" s="428">
        <v>0</v>
      </c>
      <c r="H68" s="85"/>
      <c r="I68" s="428"/>
      <c r="J68" s="85"/>
      <c r="K68" s="85"/>
    </row>
    <row r="69" spans="1:11" s="285" customFormat="1" x14ac:dyDescent="0.25">
      <c r="A69" s="118">
        <v>48</v>
      </c>
      <c r="B69" s="151">
        <v>5475</v>
      </c>
      <c r="C69" s="94" t="s">
        <v>134</v>
      </c>
      <c r="D69" s="85">
        <v>1836263</v>
      </c>
      <c r="E69" s="85">
        <v>2162750</v>
      </c>
      <c r="F69" s="85">
        <v>3362750</v>
      </c>
      <c r="G69" s="428">
        <v>3362750</v>
      </c>
      <c r="H69" s="85">
        <f>(F69*10/100)+F69</f>
        <v>3699025</v>
      </c>
      <c r="I69" s="428">
        <v>5360200</v>
      </c>
      <c r="J69" s="85">
        <f>+I69*1.055</f>
        <v>5655011</v>
      </c>
      <c r="K69" s="85">
        <f>+J69*1.053</f>
        <v>5954726.5829999996</v>
      </c>
    </row>
    <row r="70" spans="1:11" s="285" customFormat="1" x14ac:dyDescent="0.25">
      <c r="A70" s="344"/>
      <c r="B70" s="151"/>
      <c r="C70" s="94"/>
      <c r="D70" s="439">
        <f t="shared" ref="D70:K70" si="10">SUM(D68:D69)</f>
        <v>5573631</v>
      </c>
      <c r="E70" s="110">
        <f t="shared" si="10"/>
        <v>2162750</v>
      </c>
      <c r="F70" s="439">
        <f t="shared" si="10"/>
        <v>3362750</v>
      </c>
      <c r="G70" s="439">
        <f t="shared" si="10"/>
        <v>3362750</v>
      </c>
      <c r="H70" s="439">
        <f t="shared" si="10"/>
        <v>3699025</v>
      </c>
      <c r="I70" s="439">
        <f t="shared" si="10"/>
        <v>5360200</v>
      </c>
      <c r="J70" s="439">
        <f t="shared" si="10"/>
        <v>5655011</v>
      </c>
      <c r="K70" s="439">
        <f t="shared" si="10"/>
        <v>5954726.5829999996</v>
      </c>
    </row>
    <row r="71" spans="1:11" s="285" customFormat="1" x14ac:dyDescent="0.25">
      <c r="A71" s="344"/>
      <c r="B71" s="151"/>
      <c r="C71" s="93" t="s">
        <v>62</v>
      </c>
      <c r="D71" s="88"/>
      <c r="E71" s="113"/>
      <c r="F71" s="113"/>
      <c r="G71" s="113"/>
      <c r="H71" s="113"/>
      <c r="I71" s="113"/>
      <c r="J71" s="113"/>
      <c r="K71" s="113"/>
    </row>
    <row r="72" spans="1:11" s="285" customFormat="1" x14ac:dyDescent="0.25">
      <c r="A72" s="118">
        <v>48</v>
      </c>
      <c r="B72" s="151">
        <v>5505</v>
      </c>
      <c r="C72" s="94" t="s">
        <v>259</v>
      </c>
      <c r="D72" s="85"/>
      <c r="E72" s="85"/>
      <c r="F72" s="85">
        <v>80000</v>
      </c>
      <c r="G72" s="428">
        <v>80000</v>
      </c>
      <c r="H72" s="85">
        <v>100000</v>
      </c>
      <c r="I72" s="428">
        <v>25000</v>
      </c>
      <c r="J72" s="85">
        <f t="shared" ref="J72:J133" si="11">+I72*1.055</f>
        <v>26375</v>
      </c>
      <c r="K72" s="85">
        <f t="shared" ref="K72:K133" si="12">+J72*1.053</f>
        <v>27772.875</v>
      </c>
    </row>
    <row r="73" spans="1:11" s="285" customFormat="1" x14ac:dyDescent="0.25">
      <c r="A73" s="118">
        <v>48</v>
      </c>
      <c r="B73" s="151">
        <v>5510</v>
      </c>
      <c r="C73" s="94" t="s">
        <v>63</v>
      </c>
      <c r="D73" s="85">
        <v>83150</v>
      </c>
      <c r="E73" s="85">
        <v>100108</v>
      </c>
      <c r="F73" s="85">
        <v>100108</v>
      </c>
      <c r="G73" s="428">
        <v>100108</v>
      </c>
      <c r="H73" s="85">
        <f t="shared" ref="H73:H78" si="13">(F73*10/100)+F73</f>
        <v>110118.8</v>
      </c>
      <c r="I73" s="428"/>
      <c r="J73" s="85">
        <f t="shared" si="11"/>
        <v>0</v>
      </c>
      <c r="K73" s="85">
        <f t="shared" si="12"/>
        <v>0</v>
      </c>
    </row>
    <row r="74" spans="1:11" s="285" customFormat="1" x14ac:dyDescent="0.25">
      <c r="A74" s="118">
        <v>48</v>
      </c>
      <c r="B74" s="151">
        <v>5520</v>
      </c>
      <c r="C74" s="94" t="s">
        <v>260</v>
      </c>
      <c r="D74" s="354">
        <v>2922000</v>
      </c>
      <c r="E74" s="85">
        <v>2896742</v>
      </c>
      <c r="F74" s="85">
        <v>2896742</v>
      </c>
      <c r="G74" s="428">
        <v>2896742</v>
      </c>
      <c r="H74" s="85">
        <f t="shared" si="13"/>
        <v>3186416.2</v>
      </c>
      <c r="I74" s="428">
        <v>3186416</v>
      </c>
      <c r="J74" s="85">
        <f t="shared" si="11"/>
        <v>3361668.88</v>
      </c>
      <c r="K74" s="85">
        <f t="shared" si="12"/>
        <v>3539837.3306399998</v>
      </c>
    </row>
    <row r="75" spans="1:11" s="285" customFormat="1" hidden="1" x14ac:dyDescent="0.25">
      <c r="A75" s="118">
        <v>48</v>
      </c>
      <c r="B75" s="151">
        <v>5525</v>
      </c>
      <c r="C75" s="94" t="s">
        <v>261</v>
      </c>
      <c r="D75" s="85"/>
      <c r="E75" s="85"/>
      <c r="F75" s="85">
        <v>0</v>
      </c>
      <c r="G75" s="428">
        <v>0</v>
      </c>
      <c r="H75" s="85">
        <f t="shared" si="13"/>
        <v>0</v>
      </c>
      <c r="I75" s="428"/>
      <c r="J75" s="85">
        <f t="shared" si="11"/>
        <v>0</v>
      </c>
      <c r="K75" s="85">
        <f t="shared" si="12"/>
        <v>0</v>
      </c>
    </row>
    <row r="76" spans="1:11" s="285" customFormat="1" hidden="1" x14ac:dyDescent="0.25">
      <c r="A76" s="118">
        <v>48</v>
      </c>
      <c r="B76" s="151">
        <v>5530</v>
      </c>
      <c r="C76" s="94" t="s">
        <v>262</v>
      </c>
      <c r="D76" s="85"/>
      <c r="E76" s="85"/>
      <c r="F76" s="85">
        <v>0</v>
      </c>
      <c r="G76" s="428">
        <v>0</v>
      </c>
      <c r="H76" s="85">
        <f t="shared" si="13"/>
        <v>0</v>
      </c>
      <c r="I76" s="428"/>
      <c r="J76" s="85">
        <f t="shared" si="11"/>
        <v>0</v>
      </c>
      <c r="K76" s="85">
        <f t="shared" si="12"/>
        <v>0</v>
      </c>
    </row>
    <row r="77" spans="1:11" s="285" customFormat="1" hidden="1" x14ac:dyDescent="0.25">
      <c r="A77" s="118">
        <v>48</v>
      </c>
      <c r="B77" s="151">
        <v>5535</v>
      </c>
      <c r="C77" s="94" t="s">
        <v>263</v>
      </c>
      <c r="D77" s="85"/>
      <c r="E77" s="85"/>
      <c r="F77" s="85">
        <v>0</v>
      </c>
      <c r="G77" s="428">
        <v>0</v>
      </c>
      <c r="H77" s="85">
        <f t="shared" si="13"/>
        <v>0</v>
      </c>
      <c r="I77" s="428"/>
      <c r="J77" s="85">
        <f t="shared" si="11"/>
        <v>0</v>
      </c>
      <c r="K77" s="85">
        <f t="shared" si="12"/>
        <v>0</v>
      </c>
    </row>
    <row r="78" spans="1:11" s="285" customFormat="1" hidden="1" x14ac:dyDescent="0.25">
      <c r="A78" s="118">
        <v>48</v>
      </c>
      <c r="B78" s="151">
        <v>5540</v>
      </c>
      <c r="C78" s="94" t="s">
        <v>264</v>
      </c>
      <c r="D78" s="85"/>
      <c r="E78" s="85"/>
      <c r="F78" s="85">
        <v>0</v>
      </c>
      <c r="G78" s="428">
        <v>0</v>
      </c>
      <c r="H78" s="85">
        <f t="shared" si="13"/>
        <v>0</v>
      </c>
      <c r="I78" s="428"/>
      <c r="J78" s="85">
        <f t="shared" si="11"/>
        <v>0</v>
      </c>
      <c r="K78" s="85">
        <f t="shared" si="12"/>
        <v>0</v>
      </c>
    </row>
    <row r="79" spans="1:11" s="285" customFormat="1" ht="13.5" customHeight="1" x14ac:dyDescent="0.25">
      <c r="A79" s="118">
        <v>48</v>
      </c>
      <c r="B79" s="151">
        <v>5545</v>
      </c>
      <c r="C79" s="94" t="s">
        <v>265</v>
      </c>
      <c r="D79" s="85">
        <v>1188</v>
      </c>
      <c r="E79" s="85">
        <v>1313.4749999999999</v>
      </c>
      <c r="F79" s="85">
        <v>1313.4749999999999</v>
      </c>
      <c r="G79" s="428">
        <v>1313.4749999999999</v>
      </c>
      <c r="H79" s="85">
        <v>0</v>
      </c>
      <c r="I79" s="428"/>
      <c r="J79" s="85">
        <f t="shared" si="11"/>
        <v>0</v>
      </c>
      <c r="K79" s="85">
        <f t="shared" si="12"/>
        <v>0</v>
      </c>
    </row>
    <row r="80" spans="1:11" s="285" customFormat="1" hidden="1" x14ac:dyDescent="0.25">
      <c r="A80" s="118">
        <v>48</v>
      </c>
      <c r="B80" s="151">
        <v>5550</v>
      </c>
      <c r="C80" s="94" t="s">
        <v>267</v>
      </c>
      <c r="D80" s="85"/>
      <c r="E80" s="85"/>
      <c r="F80" s="85">
        <v>0</v>
      </c>
      <c r="G80" s="428">
        <v>0</v>
      </c>
      <c r="H80" s="85">
        <f>(F80*10/100)+F80</f>
        <v>0</v>
      </c>
      <c r="I80" s="428"/>
      <c r="J80" s="85">
        <f t="shared" si="11"/>
        <v>0</v>
      </c>
      <c r="K80" s="85">
        <f t="shared" si="12"/>
        <v>0</v>
      </c>
    </row>
    <row r="81" spans="1:11" s="285" customFormat="1" x14ac:dyDescent="0.25">
      <c r="A81" s="118">
        <v>48</v>
      </c>
      <c r="B81" s="151">
        <v>5555</v>
      </c>
      <c r="C81" s="94" t="s">
        <v>268</v>
      </c>
      <c r="D81" s="85">
        <v>71016</v>
      </c>
      <c r="E81" s="85">
        <v>79297</v>
      </c>
      <c r="F81" s="85">
        <v>49297</v>
      </c>
      <c r="G81" s="428">
        <v>49297</v>
      </c>
      <c r="H81" s="85">
        <f>(F81*10/100)+F81</f>
        <v>54226.7</v>
      </c>
      <c r="I81" s="428">
        <v>23000</v>
      </c>
      <c r="J81" s="85">
        <f t="shared" si="11"/>
        <v>24265</v>
      </c>
      <c r="K81" s="85">
        <f t="shared" si="12"/>
        <v>25551.044999999998</v>
      </c>
    </row>
    <row r="82" spans="1:11" s="285" customFormat="1" hidden="1" x14ac:dyDescent="0.25">
      <c r="A82" s="118">
        <v>48</v>
      </c>
      <c r="B82" s="151">
        <v>5560</v>
      </c>
      <c r="C82" s="94" t="s">
        <v>269</v>
      </c>
      <c r="D82" s="85"/>
      <c r="E82" s="85"/>
      <c r="F82" s="85">
        <v>0</v>
      </c>
      <c r="G82" s="428">
        <v>0</v>
      </c>
      <c r="H82" s="85">
        <f>(F82*10/100)+F82</f>
        <v>0</v>
      </c>
      <c r="I82" s="428"/>
      <c r="J82" s="85">
        <f t="shared" si="11"/>
        <v>0</v>
      </c>
      <c r="K82" s="85">
        <f t="shared" si="12"/>
        <v>0</v>
      </c>
    </row>
    <row r="83" spans="1:11" s="285" customFormat="1" hidden="1" x14ac:dyDescent="0.25">
      <c r="A83" s="118">
        <v>48</v>
      </c>
      <c r="B83" s="151">
        <v>5565</v>
      </c>
      <c r="C83" s="94" t="s">
        <v>246</v>
      </c>
      <c r="D83" s="85"/>
      <c r="E83" s="85"/>
      <c r="F83" s="85">
        <v>0</v>
      </c>
      <c r="G83" s="428">
        <v>0</v>
      </c>
      <c r="H83" s="85">
        <f>(F83*10/100)+F83</f>
        <v>0</v>
      </c>
      <c r="I83" s="428"/>
      <c r="J83" s="85">
        <f t="shared" si="11"/>
        <v>0</v>
      </c>
      <c r="K83" s="85">
        <f t="shared" si="12"/>
        <v>0</v>
      </c>
    </row>
    <row r="84" spans="1:11" s="285" customFormat="1" x14ac:dyDescent="0.25">
      <c r="A84" s="118">
        <v>48</v>
      </c>
      <c r="B84" s="151">
        <v>5570</v>
      </c>
      <c r="C84" s="94" t="s">
        <v>270</v>
      </c>
      <c r="D84" s="85">
        <v>3866</v>
      </c>
      <c r="E84" s="85">
        <v>4532.28</v>
      </c>
      <c r="F84" s="85">
        <v>4532.28</v>
      </c>
      <c r="G84" s="428">
        <v>4532.28</v>
      </c>
      <c r="H84" s="85">
        <v>0</v>
      </c>
      <c r="I84" s="428"/>
      <c r="J84" s="85">
        <f t="shared" si="11"/>
        <v>0</v>
      </c>
      <c r="K84" s="85">
        <f t="shared" si="12"/>
        <v>0</v>
      </c>
    </row>
    <row r="85" spans="1:11" s="285" customFormat="1" hidden="1" x14ac:dyDescent="0.25">
      <c r="A85" s="118">
        <v>48</v>
      </c>
      <c r="B85" s="151">
        <v>5575</v>
      </c>
      <c r="C85" s="94" t="s">
        <v>271</v>
      </c>
      <c r="D85" s="85"/>
      <c r="E85" s="85">
        <v>0</v>
      </c>
      <c r="F85" s="85">
        <v>0</v>
      </c>
      <c r="G85" s="428"/>
      <c r="H85" s="85"/>
      <c r="I85" s="428"/>
      <c r="J85" s="85">
        <f t="shared" si="11"/>
        <v>0</v>
      </c>
      <c r="K85" s="85">
        <f t="shared" si="12"/>
        <v>0</v>
      </c>
    </row>
    <row r="86" spans="1:11" s="285" customFormat="1" hidden="1" x14ac:dyDescent="0.25">
      <c r="A86" s="118">
        <v>48</v>
      </c>
      <c r="B86" s="151">
        <v>5580</v>
      </c>
      <c r="C86" s="94" t="s">
        <v>272</v>
      </c>
      <c r="D86" s="85"/>
      <c r="E86" s="85">
        <v>0</v>
      </c>
      <c r="F86" s="85">
        <v>0</v>
      </c>
      <c r="G86" s="428"/>
      <c r="H86" s="85"/>
      <c r="I86" s="428"/>
      <c r="J86" s="85">
        <f t="shared" si="11"/>
        <v>0</v>
      </c>
      <c r="K86" s="85">
        <f t="shared" si="12"/>
        <v>0</v>
      </c>
    </row>
    <row r="87" spans="1:11" s="285" customFormat="1" hidden="1" x14ac:dyDescent="0.25">
      <c r="A87" s="118">
        <v>48</v>
      </c>
      <c r="B87" s="151">
        <v>5585</v>
      </c>
      <c r="C87" s="94" t="s">
        <v>273</v>
      </c>
      <c r="D87" s="86"/>
      <c r="E87" s="85">
        <v>0</v>
      </c>
      <c r="F87" s="85">
        <v>0</v>
      </c>
      <c r="G87" s="428"/>
      <c r="H87" s="85"/>
      <c r="I87" s="428"/>
      <c r="J87" s="85">
        <f t="shared" si="11"/>
        <v>0</v>
      </c>
      <c r="K87" s="85">
        <f t="shared" si="12"/>
        <v>0</v>
      </c>
    </row>
    <row r="88" spans="1:11" s="285" customFormat="1" hidden="1" x14ac:dyDescent="0.25">
      <c r="A88" s="118">
        <v>48</v>
      </c>
      <c r="B88" s="151">
        <v>5590</v>
      </c>
      <c r="C88" s="94" t="s">
        <v>274</v>
      </c>
      <c r="D88" s="86"/>
      <c r="E88" s="85">
        <v>0</v>
      </c>
      <c r="F88" s="85">
        <v>0</v>
      </c>
      <c r="G88" s="428"/>
      <c r="H88" s="85"/>
      <c r="I88" s="428"/>
      <c r="J88" s="85">
        <f t="shared" si="11"/>
        <v>0</v>
      </c>
      <c r="K88" s="85">
        <f t="shared" si="12"/>
        <v>0</v>
      </c>
    </row>
    <row r="89" spans="1:11" s="285" customFormat="1" hidden="1" x14ac:dyDescent="0.25">
      <c r="A89" s="118">
        <v>48</v>
      </c>
      <c r="B89" s="151">
        <v>5595</v>
      </c>
      <c r="C89" s="94" t="s">
        <v>275</v>
      </c>
      <c r="D89" s="85"/>
      <c r="E89" s="85">
        <v>0</v>
      </c>
      <c r="F89" s="85">
        <v>0</v>
      </c>
      <c r="G89" s="428"/>
      <c r="H89" s="85"/>
      <c r="I89" s="428"/>
      <c r="J89" s="85">
        <f t="shared" si="11"/>
        <v>0</v>
      </c>
      <c r="K89" s="85">
        <f t="shared" si="12"/>
        <v>0</v>
      </c>
    </row>
    <row r="90" spans="1:11" s="285" customFormat="1" hidden="1" x14ac:dyDescent="0.25">
      <c r="A90" s="118">
        <v>48</v>
      </c>
      <c r="B90" s="151">
        <v>5600</v>
      </c>
      <c r="C90" s="159" t="s">
        <v>276</v>
      </c>
      <c r="D90" s="85"/>
      <c r="E90" s="85">
        <v>0</v>
      </c>
      <c r="F90" s="85">
        <v>0</v>
      </c>
      <c r="G90" s="428"/>
      <c r="H90" s="85"/>
      <c r="I90" s="428"/>
      <c r="J90" s="85">
        <f t="shared" si="11"/>
        <v>0</v>
      </c>
      <c r="K90" s="85">
        <f t="shared" si="12"/>
        <v>0</v>
      </c>
    </row>
    <row r="91" spans="1:11" s="285" customFormat="1" hidden="1" x14ac:dyDescent="0.25">
      <c r="A91" s="118">
        <v>48</v>
      </c>
      <c r="B91" s="151">
        <v>5605</v>
      </c>
      <c r="C91" s="159" t="s">
        <v>277</v>
      </c>
      <c r="D91" s="85"/>
      <c r="E91" s="85">
        <v>0</v>
      </c>
      <c r="F91" s="85">
        <v>0</v>
      </c>
      <c r="G91" s="428"/>
      <c r="H91" s="85"/>
      <c r="I91" s="428"/>
      <c r="J91" s="85">
        <f t="shared" si="11"/>
        <v>0</v>
      </c>
      <c r="K91" s="85">
        <f t="shared" si="12"/>
        <v>0</v>
      </c>
    </row>
    <row r="92" spans="1:11" s="285" customFormat="1" hidden="1" x14ac:dyDescent="0.25">
      <c r="A92" s="118">
        <v>48</v>
      </c>
      <c r="B92" s="151">
        <v>5610</v>
      </c>
      <c r="C92" s="159" t="s">
        <v>278</v>
      </c>
      <c r="D92" s="85"/>
      <c r="E92" s="85">
        <v>0</v>
      </c>
      <c r="F92" s="85">
        <v>0</v>
      </c>
      <c r="G92" s="428"/>
      <c r="H92" s="85"/>
      <c r="I92" s="428"/>
      <c r="J92" s="85">
        <f t="shared" si="11"/>
        <v>0</v>
      </c>
      <c r="K92" s="85">
        <f t="shared" si="12"/>
        <v>0</v>
      </c>
    </row>
    <row r="93" spans="1:11" s="285" customFormat="1" hidden="1" x14ac:dyDescent="0.25">
      <c r="A93" s="118">
        <v>48</v>
      </c>
      <c r="B93" s="151">
        <v>5615</v>
      </c>
      <c r="C93" s="159" t="s">
        <v>279</v>
      </c>
      <c r="D93" s="85"/>
      <c r="E93" s="85">
        <v>0</v>
      </c>
      <c r="F93" s="85">
        <v>0</v>
      </c>
      <c r="G93" s="428"/>
      <c r="H93" s="85"/>
      <c r="I93" s="428"/>
      <c r="J93" s="85">
        <f t="shared" si="11"/>
        <v>0</v>
      </c>
      <c r="K93" s="85">
        <f t="shared" si="12"/>
        <v>0</v>
      </c>
    </row>
    <row r="94" spans="1:11" s="285" customFormat="1" hidden="1" x14ac:dyDescent="0.25">
      <c r="A94" s="118">
        <v>48</v>
      </c>
      <c r="B94" s="151">
        <v>5620</v>
      </c>
      <c r="C94" s="159" t="s">
        <v>280</v>
      </c>
      <c r="D94" s="85"/>
      <c r="E94" s="85">
        <v>0</v>
      </c>
      <c r="F94" s="85">
        <v>0</v>
      </c>
      <c r="G94" s="428"/>
      <c r="H94" s="85"/>
      <c r="I94" s="428"/>
      <c r="J94" s="85">
        <f t="shared" si="11"/>
        <v>0</v>
      </c>
      <c r="K94" s="85">
        <f t="shared" si="12"/>
        <v>0</v>
      </c>
    </row>
    <row r="95" spans="1:11" s="285" customFormat="1" hidden="1" x14ac:dyDescent="0.25">
      <c r="A95" s="118">
        <v>48</v>
      </c>
      <c r="B95" s="151">
        <v>5625</v>
      </c>
      <c r="C95" s="159" t="s">
        <v>281</v>
      </c>
      <c r="D95" s="85"/>
      <c r="E95" s="85">
        <v>0</v>
      </c>
      <c r="F95" s="85">
        <v>0</v>
      </c>
      <c r="G95" s="428"/>
      <c r="H95" s="85"/>
      <c r="I95" s="428"/>
      <c r="J95" s="85">
        <f t="shared" si="11"/>
        <v>0</v>
      </c>
      <c r="K95" s="85">
        <f t="shared" si="12"/>
        <v>0</v>
      </c>
    </row>
    <row r="96" spans="1:11" s="285" customFormat="1" hidden="1" x14ac:dyDescent="0.25">
      <c r="A96" s="118">
        <v>48</v>
      </c>
      <c r="B96" s="151">
        <v>5630</v>
      </c>
      <c r="C96" s="159" t="s">
        <v>282</v>
      </c>
      <c r="D96" s="85"/>
      <c r="E96" s="85">
        <v>0</v>
      </c>
      <c r="F96" s="85">
        <v>0</v>
      </c>
      <c r="G96" s="428"/>
      <c r="H96" s="85"/>
      <c r="I96" s="428"/>
      <c r="J96" s="85">
        <f t="shared" si="11"/>
        <v>0</v>
      </c>
      <c r="K96" s="85">
        <f t="shared" si="12"/>
        <v>0</v>
      </c>
    </row>
    <row r="97" spans="1:11" s="285" customFormat="1" hidden="1" x14ac:dyDescent="0.25">
      <c r="A97" s="118">
        <v>48</v>
      </c>
      <c r="B97" s="151">
        <v>5635</v>
      </c>
      <c r="C97" s="159" t="s">
        <v>283</v>
      </c>
      <c r="D97" s="85"/>
      <c r="E97" s="85">
        <v>0</v>
      </c>
      <c r="F97" s="85">
        <v>0</v>
      </c>
      <c r="G97" s="428"/>
      <c r="H97" s="85"/>
      <c r="I97" s="428"/>
      <c r="J97" s="85">
        <f t="shared" si="11"/>
        <v>0</v>
      </c>
      <c r="K97" s="85">
        <f t="shared" si="12"/>
        <v>0</v>
      </c>
    </row>
    <row r="98" spans="1:11" s="285" customFormat="1" hidden="1" x14ac:dyDescent="0.25">
      <c r="A98" s="118">
        <v>48</v>
      </c>
      <c r="B98" s="151">
        <v>5640</v>
      </c>
      <c r="C98" s="159" t="s">
        <v>284</v>
      </c>
      <c r="D98" s="85"/>
      <c r="E98" s="85">
        <v>0</v>
      </c>
      <c r="F98" s="85">
        <v>0</v>
      </c>
      <c r="G98" s="428"/>
      <c r="H98" s="85"/>
      <c r="I98" s="428"/>
      <c r="J98" s="85">
        <f t="shared" si="11"/>
        <v>0</v>
      </c>
      <c r="K98" s="85">
        <f t="shared" si="12"/>
        <v>0</v>
      </c>
    </row>
    <row r="99" spans="1:11" s="285" customFormat="1" hidden="1" x14ac:dyDescent="0.25">
      <c r="A99" s="118">
        <v>48</v>
      </c>
      <c r="B99" s="151">
        <v>5645</v>
      </c>
      <c r="C99" s="159" t="s">
        <v>285</v>
      </c>
      <c r="D99" s="85"/>
      <c r="E99" s="85">
        <v>0</v>
      </c>
      <c r="F99" s="85">
        <v>0</v>
      </c>
      <c r="G99" s="428"/>
      <c r="H99" s="85"/>
      <c r="I99" s="428"/>
      <c r="J99" s="85">
        <f t="shared" si="11"/>
        <v>0</v>
      </c>
      <c r="K99" s="85">
        <f t="shared" si="12"/>
        <v>0</v>
      </c>
    </row>
    <row r="100" spans="1:11" s="285" customFormat="1" hidden="1" x14ac:dyDescent="0.25">
      <c r="A100" s="118">
        <v>48</v>
      </c>
      <c r="B100" s="151">
        <v>5650</v>
      </c>
      <c r="C100" s="159" t="s">
        <v>286</v>
      </c>
      <c r="D100" s="85"/>
      <c r="E100" s="85">
        <v>0</v>
      </c>
      <c r="F100" s="85">
        <v>0</v>
      </c>
      <c r="G100" s="428"/>
      <c r="H100" s="85"/>
      <c r="I100" s="428"/>
      <c r="J100" s="85">
        <f t="shared" si="11"/>
        <v>0</v>
      </c>
      <c r="K100" s="85">
        <f t="shared" si="12"/>
        <v>0</v>
      </c>
    </row>
    <row r="101" spans="1:11" s="285" customFormat="1" hidden="1" x14ac:dyDescent="0.25">
      <c r="A101" s="118">
        <v>48</v>
      </c>
      <c r="B101" s="151">
        <v>5655</v>
      </c>
      <c r="C101" s="159" t="s">
        <v>287</v>
      </c>
      <c r="D101" s="85"/>
      <c r="E101" s="85">
        <v>0</v>
      </c>
      <c r="F101" s="85">
        <v>0</v>
      </c>
      <c r="G101" s="428"/>
      <c r="H101" s="85"/>
      <c r="I101" s="428"/>
      <c r="J101" s="85">
        <f t="shared" si="11"/>
        <v>0</v>
      </c>
      <c r="K101" s="85">
        <f t="shared" si="12"/>
        <v>0</v>
      </c>
    </row>
    <row r="102" spans="1:11" s="285" customFormat="1" hidden="1" x14ac:dyDescent="0.25">
      <c r="A102" s="118">
        <v>48</v>
      </c>
      <c r="B102" s="151">
        <v>5660</v>
      </c>
      <c r="C102" s="159" t="s">
        <v>288</v>
      </c>
      <c r="D102" s="85"/>
      <c r="E102" s="85">
        <v>0</v>
      </c>
      <c r="F102" s="85">
        <v>0</v>
      </c>
      <c r="G102" s="428"/>
      <c r="H102" s="85"/>
      <c r="I102" s="428"/>
      <c r="J102" s="85">
        <f t="shared" si="11"/>
        <v>0</v>
      </c>
      <c r="K102" s="85">
        <f t="shared" si="12"/>
        <v>0</v>
      </c>
    </row>
    <row r="103" spans="1:11" s="285" customFormat="1" hidden="1" x14ac:dyDescent="0.25">
      <c r="A103" s="118">
        <v>48</v>
      </c>
      <c r="B103" s="151">
        <v>5665</v>
      </c>
      <c r="C103" s="94" t="s">
        <v>289</v>
      </c>
      <c r="D103" s="85"/>
      <c r="E103" s="85">
        <v>0</v>
      </c>
      <c r="F103" s="85">
        <v>0</v>
      </c>
      <c r="G103" s="428"/>
      <c r="H103" s="85"/>
      <c r="I103" s="428"/>
      <c r="J103" s="85">
        <f t="shared" si="11"/>
        <v>0</v>
      </c>
      <c r="K103" s="85">
        <f t="shared" si="12"/>
        <v>0</v>
      </c>
    </row>
    <row r="104" spans="1:11" s="285" customFormat="1" hidden="1" x14ac:dyDescent="0.25">
      <c r="A104" s="118">
        <v>48</v>
      </c>
      <c r="B104" s="151">
        <v>5670</v>
      </c>
      <c r="C104" s="94" t="s">
        <v>290</v>
      </c>
      <c r="D104" s="85"/>
      <c r="E104" s="85">
        <v>0</v>
      </c>
      <c r="F104" s="85">
        <v>0</v>
      </c>
      <c r="G104" s="428"/>
      <c r="H104" s="85"/>
      <c r="I104" s="428"/>
      <c r="J104" s="85">
        <f t="shared" si="11"/>
        <v>0</v>
      </c>
      <c r="K104" s="85">
        <f t="shared" si="12"/>
        <v>0</v>
      </c>
    </row>
    <row r="105" spans="1:11" s="285" customFormat="1" hidden="1" x14ac:dyDescent="0.25">
      <c r="A105" s="118">
        <v>48</v>
      </c>
      <c r="B105" s="151">
        <v>5675</v>
      </c>
      <c r="C105" s="94" t="s">
        <v>291</v>
      </c>
      <c r="D105" s="85"/>
      <c r="E105" s="85">
        <v>0</v>
      </c>
      <c r="F105" s="85">
        <v>0</v>
      </c>
      <c r="G105" s="428"/>
      <c r="H105" s="85"/>
      <c r="I105" s="428"/>
      <c r="J105" s="85">
        <f t="shared" si="11"/>
        <v>0</v>
      </c>
      <c r="K105" s="85">
        <f t="shared" si="12"/>
        <v>0</v>
      </c>
    </row>
    <row r="106" spans="1:11" s="285" customFormat="1" hidden="1" x14ac:dyDescent="0.25">
      <c r="A106" s="118">
        <v>48</v>
      </c>
      <c r="B106" s="151">
        <v>5680</v>
      </c>
      <c r="C106" s="94" t="s">
        <v>292</v>
      </c>
      <c r="D106" s="85"/>
      <c r="E106" s="85">
        <v>0</v>
      </c>
      <c r="F106" s="85">
        <v>0</v>
      </c>
      <c r="G106" s="428"/>
      <c r="H106" s="85"/>
      <c r="I106" s="428"/>
      <c r="J106" s="85">
        <f t="shared" si="11"/>
        <v>0</v>
      </c>
      <c r="K106" s="85">
        <f t="shared" si="12"/>
        <v>0</v>
      </c>
    </row>
    <row r="107" spans="1:11" s="285" customFormat="1" hidden="1" x14ac:dyDescent="0.25">
      <c r="A107" s="118">
        <v>48</v>
      </c>
      <c r="B107" s="151">
        <v>5685</v>
      </c>
      <c r="C107" s="94" t="s">
        <v>293</v>
      </c>
      <c r="D107" s="85"/>
      <c r="E107" s="85">
        <v>0</v>
      </c>
      <c r="F107" s="85">
        <v>0</v>
      </c>
      <c r="G107" s="428"/>
      <c r="H107" s="85"/>
      <c r="I107" s="428"/>
      <c r="J107" s="85">
        <f t="shared" si="11"/>
        <v>0</v>
      </c>
      <c r="K107" s="85">
        <f t="shared" si="12"/>
        <v>0</v>
      </c>
    </row>
    <row r="108" spans="1:11" s="285" customFormat="1" hidden="1" x14ac:dyDescent="0.25">
      <c r="A108" s="118">
        <v>48</v>
      </c>
      <c r="B108" s="151">
        <v>5690</v>
      </c>
      <c r="C108" s="94" t="s">
        <v>247</v>
      </c>
      <c r="D108" s="85"/>
      <c r="E108" s="85">
        <v>0</v>
      </c>
      <c r="F108" s="85">
        <v>0</v>
      </c>
      <c r="G108" s="428"/>
      <c r="H108" s="85"/>
      <c r="I108" s="428"/>
      <c r="J108" s="85">
        <f t="shared" si="11"/>
        <v>0</v>
      </c>
      <c r="K108" s="85">
        <f t="shared" si="12"/>
        <v>0</v>
      </c>
    </row>
    <row r="109" spans="1:11" s="285" customFormat="1" hidden="1" x14ac:dyDescent="0.25">
      <c r="A109" s="118">
        <v>48</v>
      </c>
      <c r="B109" s="151">
        <v>5695</v>
      </c>
      <c r="C109" s="94" t="s">
        <v>294</v>
      </c>
      <c r="D109" s="85"/>
      <c r="E109" s="85">
        <v>0</v>
      </c>
      <c r="F109" s="85">
        <v>0</v>
      </c>
      <c r="G109" s="428"/>
      <c r="H109" s="85"/>
      <c r="I109" s="428"/>
      <c r="J109" s="85">
        <f t="shared" si="11"/>
        <v>0</v>
      </c>
      <c r="K109" s="85">
        <f t="shared" si="12"/>
        <v>0</v>
      </c>
    </row>
    <row r="110" spans="1:11" s="285" customFormat="1" hidden="1" x14ac:dyDescent="0.25">
      <c r="A110" s="118">
        <v>48</v>
      </c>
      <c r="B110" s="151">
        <v>5700</v>
      </c>
      <c r="C110" s="94" t="s">
        <v>295</v>
      </c>
      <c r="D110" s="85"/>
      <c r="E110" s="85">
        <v>0</v>
      </c>
      <c r="F110" s="85">
        <v>0</v>
      </c>
      <c r="G110" s="428"/>
      <c r="H110" s="85"/>
      <c r="I110" s="428"/>
      <c r="J110" s="85">
        <f t="shared" si="11"/>
        <v>0</v>
      </c>
      <c r="K110" s="85">
        <f t="shared" si="12"/>
        <v>0</v>
      </c>
    </row>
    <row r="111" spans="1:11" s="285" customFormat="1" hidden="1" x14ac:dyDescent="0.25">
      <c r="A111" s="118">
        <v>48</v>
      </c>
      <c r="B111" s="151">
        <v>5710</v>
      </c>
      <c r="C111" s="94" t="s">
        <v>297</v>
      </c>
      <c r="D111" s="85"/>
      <c r="E111" s="85">
        <v>0</v>
      </c>
      <c r="F111" s="85">
        <v>0</v>
      </c>
      <c r="G111" s="428"/>
      <c r="H111" s="85"/>
      <c r="I111" s="428"/>
      <c r="J111" s="85">
        <f t="shared" si="11"/>
        <v>0</v>
      </c>
      <c r="K111" s="85">
        <f t="shared" si="12"/>
        <v>0</v>
      </c>
    </row>
    <row r="112" spans="1:11" s="285" customFormat="1" hidden="1" x14ac:dyDescent="0.25">
      <c r="A112" s="118">
        <v>48</v>
      </c>
      <c r="B112" s="151">
        <v>5715</v>
      </c>
      <c r="C112" s="94" t="s">
        <v>298</v>
      </c>
      <c r="D112" s="85"/>
      <c r="E112" s="85">
        <v>0</v>
      </c>
      <c r="F112" s="85">
        <v>0</v>
      </c>
      <c r="G112" s="428"/>
      <c r="H112" s="85"/>
      <c r="I112" s="428"/>
      <c r="J112" s="85">
        <f t="shared" si="11"/>
        <v>0</v>
      </c>
      <c r="K112" s="85">
        <f t="shared" si="12"/>
        <v>0</v>
      </c>
    </row>
    <row r="113" spans="1:11" s="285" customFormat="1" hidden="1" x14ac:dyDescent="0.25">
      <c r="A113" s="118">
        <v>48</v>
      </c>
      <c r="B113" s="151">
        <v>5720</v>
      </c>
      <c r="C113" s="94" t="s">
        <v>299</v>
      </c>
      <c r="D113" s="85"/>
      <c r="E113" s="85">
        <v>0</v>
      </c>
      <c r="F113" s="85">
        <v>0</v>
      </c>
      <c r="G113" s="428"/>
      <c r="H113" s="85"/>
      <c r="I113" s="428"/>
      <c r="J113" s="85">
        <f t="shared" si="11"/>
        <v>0</v>
      </c>
      <c r="K113" s="85">
        <f t="shared" si="12"/>
        <v>0</v>
      </c>
    </row>
    <row r="114" spans="1:11" s="285" customFormat="1" x14ac:dyDescent="0.25">
      <c r="A114" s="118">
        <v>48</v>
      </c>
      <c r="B114" s="151">
        <v>5730</v>
      </c>
      <c r="C114" s="94" t="s">
        <v>300</v>
      </c>
      <c r="D114" s="85">
        <v>93944</v>
      </c>
      <c r="E114" s="85">
        <v>100225</v>
      </c>
      <c r="F114" s="85">
        <v>100225</v>
      </c>
      <c r="G114" s="428">
        <v>100225</v>
      </c>
      <c r="H114" s="85">
        <f t="shared" ref="H114:H133" si="14">(F114*10/100)+F114</f>
        <v>110247.5</v>
      </c>
      <c r="I114" s="428">
        <v>27561.875</v>
      </c>
      <c r="J114" s="85">
        <f t="shared" si="11"/>
        <v>29077.778124999997</v>
      </c>
      <c r="K114" s="85">
        <f t="shared" si="12"/>
        <v>30618.900365624995</v>
      </c>
    </row>
    <row r="115" spans="1:11" s="285" customFormat="1" hidden="1" x14ac:dyDescent="0.25">
      <c r="A115" s="118">
        <v>48</v>
      </c>
      <c r="B115" s="151">
        <v>5735</v>
      </c>
      <c r="C115" s="94" t="s">
        <v>301</v>
      </c>
      <c r="D115" s="85"/>
      <c r="E115" s="85">
        <v>0</v>
      </c>
      <c r="F115" s="85">
        <v>0</v>
      </c>
      <c r="G115" s="428">
        <v>0</v>
      </c>
      <c r="H115" s="85">
        <f t="shared" si="14"/>
        <v>0</v>
      </c>
      <c r="I115" s="428"/>
      <c r="J115" s="85">
        <f t="shared" si="11"/>
        <v>0</v>
      </c>
      <c r="K115" s="85">
        <f t="shared" si="12"/>
        <v>0</v>
      </c>
    </row>
    <row r="116" spans="1:11" s="285" customFormat="1" hidden="1" x14ac:dyDescent="0.25">
      <c r="A116" s="118">
        <v>48</v>
      </c>
      <c r="B116" s="151">
        <v>5740</v>
      </c>
      <c r="C116" s="94" t="s">
        <v>302</v>
      </c>
      <c r="D116" s="85"/>
      <c r="E116" s="85">
        <v>0</v>
      </c>
      <c r="F116" s="85">
        <v>0</v>
      </c>
      <c r="G116" s="428">
        <v>0</v>
      </c>
      <c r="H116" s="85">
        <f t="shared" si="14"/>
        <v>0</v>
      </c>
      <c r="I116" s="428"/>
      <c r="J116" s="85">
        <f t="shared" si="11"/>
        <v>0</v>
      </c>
      <c r="K116" s="85">
        <f t="shared" si="12"/>
        <v>0</v>
      </c>
    </row>
    <row r="117" spans="1:11" s="285" customFormat="1" hidden="1" x14ac:dyDescent="0.25">
      <c r="A117" s="118">
        <v>48</v>
      </c>
      <c r="B117" s="151">
        <v>5745</v>
      </c>
      <c r="C117" s="94" t="s">
        <v>303</v>
      </c>
      <c r="D117" s="85"/>
      <c r="E117" s="85">
        <v>0</v>
      </c>
      <c r="F117" s="85">
        <v>0</v>
      </c>
      <c r="G117" s="428">
        <v>0</v>
      </c>
      <c r="H117" s="85">
        <f t="shared" si="14"/>
        <v>0</v>
      </c>
      <c r="I117" s="428"/>
      <c r="J117" s="85">
        <f t="shared" si="11"/>
        <v>0</v>
      </c>
      <c r="K117" s="85">
        <f t="shared" si="12"/>
        <v>0</v>
      </c>
    </row>
    <row r="118" spans="1:11" s="285" customFormat="1" x14ac:dyDescent="0.25">
      <c r="A118" s="118">
        <v>48</v>
      </c>
      <c r="B118" s="151">
        <v>5750</v>
      </c>
      <c r="C118" s="94" t="s">
        <v>304</v>
      </c>
      <c r="D118" s="85">
        <v>1095</v>
      </c>
      <c r="E118" s="85">
        <v>3000</v>
      </c>
      <c r="F118" s="85">
        <v>3000</v>
      </c>
      <c r="G118" s="428">
        <v>3000</v>
      </c>
      <c r="H118" s="85">
        <f t="shared" si="14"/>
        <v>3300</v>
      </c>
      <c r="I118" s="428">
        <v>2022</v>
      </c>
      <c r="J118" s="85">
        <f t="shared" si="11"/>
        <v>2133.21</v>
      </c>
      <c r="K118" s="85">
        <f t="shared" si="12"/>
        <v>2246.2701299999999</v>
      </c>
    </row>
    <row r="119" spans="1:11" s="285" customFormat="1" x14ac:dyDescent="0.25">
      <c r="A119" s="118">
        <v>48</v>
      </c>
      <c r="B119" s="151">
        <v>5755</v>
      </c>
      <c r="C119" s="94" t="s">
        <v>305</v>
      </c>
      <c r="D119" s="85">
        <v>20093</v>
      </c>
      <c r="E119" s="85">
        <v>38500</v>
      </c>
      <c r="F119" s="85">
        <v>38500</v>
      </c>
      <c r="G119" s="428">
        <v>38500</v>
      </c>
      <c r="H119" s="85">
        <f t="shared" si="14"/>
        <v>42350</v>
      </c>
      <c r="I119" s="428">
        <v>30511.5</v>
      </c>
      <c r="J119" s="85">
        <f t="shared" si="11"/>
        <v>32189.6325</v>
      </c>
      <c r="K119" s="85">
        <f t="shared" si="12"/>
        <v>33895.683022500001</v>
      </c>
    </row>
    <row r="120" spans="1:11" s="285" customFormat="1" ht="12" customHeight="1" x14ac:dyDescent="0.25">
      <c r="A120" s="118">
        <v>48</v>
      </c>
      <c r="B120" s="151">
        <v>5760</v>
      </c>
      <c r="C120" s="94" t="s">
        <v>306</v>
      </c>
      <c r="D120" s="85"/>
      <c r="E120" s="85">
        <v>0</v>
      </c>
      <c r="F120" s="85">
        <v>0</v>
      </c>
      <c r="G120" s="428">
        <v>0</v>
      </c>
      <c r="H120" s="85">
        <f t="shared" si="14"/>
        <v>0</v>
      </c>
      <c r="I120" s="428"/>
      <c r="J120" s="85">
        <f t="shared" si="11"/>
        <v>0</v>
      </c>
      <c r="K120" s="85">
        <f t="shared" si="12"/>
        <v>0</v>
      </c>
    </row>
    <row r="121" spans="1:11" s="285" customFormat="1" x14ac:dyDescent="0.25">
      <c r="A121" s="118">
        <v>48</v>
      </c>
      <c r="B121" s="151">
        <v>5765</v>
      </c>
      <c r="C121" s="94" t="s">
        <v>307</v>
      </c>
      <c r="D121" s="85"/>
      <c r="E121" s="85">
        <v>0</v>
      </c>
      <c r="F121" s="85">
        <v>0</v>
      </c>
      <c r="G121" s="428">
        <v>0</v>
      </c>
      <c r="H121" s="85">
        <f t="shared" si="14"/>
        <v>0</v>
      </c>
      <c r="I121" s="428"/>
      <c r="J121" s="85">
        <f t="shared" si="11"/>
        <v>0</v>
      </c>
      <c r="K121" s="85">
        <f t="shared" si="12"/>
        <v>0</v>
      </c>
    </row>
    <row r="122" spans="1:11" s="285" customFormat="1" x14ac:dyDescent="0.25">
      <c r="A122" s="118">
        <v>48</v>
      </c>
      <c r="B122" s="151">
        <v>5770</v>
      </c>
      <c r="C122" s="94" t="s">
        <v>308</v>
      </c>
      <c r="D122" s="85"/>
      <c r="E122" s="85">
        <v>0</v>
      </c>
      <c r="F122" s="85">
        <v>0</v>
      </c>
      <c r="G122" s="428">
        <v>0</v>
      </c>
      <c r="H122" s="85">
        <f t="shared" si="14"/>
        <v>0</v>
      </c>
      <c r="I122" s="428"/>
      <c r="J122" s="85">
        <f t="shared" si="11"/>
        <v>0</v>
      </c>
      <c r="K122" s="85">
        <f t="shared" si="12"/>
        <v>0</v>
      </c>
    </row>
    <row r="123" spans="1:11" s="285" customFormat="1" x14ac:dyDescent="0.25">
      <c r="A123" s="118">
        <v>48</v>
      </c>
      <c r="B123" s="151">
        <v>5775</v>
      </c>
      <c r="C123" s="94" t="s">
        <v>309</v>
      </c>
      <c r="D123" s="85"/>
      <c r="E123" s="85">
        <v>0</v>
      </c>
      <c r="F123" s="85">
        <v>0</v>
      </c>
      <c r="G123" s="428">
        <v>0</v>
      </c>
      <c r="H123" s="85">
        <f t="shared" si="14"/>
        <v>0</v>
      </c>
      <c r="I123" s="428"/>
      <c r="J123" s="85">
        <f t="shared" si="11"/>
        <v>0</v>
      </c>
      <c r="K123" s="85">
        <f t="shared" si="12"/>
        <v>0</v>
      </c>
    </row>
    <row r="124" spans="1:11" s="285" customFormat="1" x14ac:dyDescent="0.25">
      <c r="A124" s="118">
        <v>48</v>
      </c>
      <c r="B124" s="151">
        <v>5780</v>
      </c>
      <c r="C124" s="94" t="s">
        <v>310</v>
      </c>
      <c r="D124" s="85"/>
      <c r="E124" s="85">
        <v>0</v>
      </c>
      <c r="F124" s="85">
        <v>0</v>
      </c>
      <c r="G124" s="428">
        <v>0</v>
      </c>
      <c r="H124" s="85">
        <f t="shared" si="14"/>
        <v>0</v>
      </c>
      <c r="I124" s="428"/>
      <c r="J124" s="85">
        <f t="shared" si="11"/>
        <v>0</v>
      </c>
      <c r="K124" s="85">
        <f t="shared" si="12"/>
        <v>0</v>
      </c>
    </row>
    <row r="125" spans="1:11" s="285" customFormat="1" x14ac:dyDescent="0.25">
      <c r="A125" s="118">
        <v>48</v>
      </c>
      <c r="B125" s="151">
        <v>5785</v>
      </c>
      <c r="C125" s="94" t="s">
        <v>311</v>
      </c>
      <c r="D125" s="85"/>
      <c r="E125" s="85">
        <v>0</v>
      </c>
      <c r="F125" s="85">
        <v>0</v>
      </c>
      <c r="G125" s="428">
        <v>0</v>
      </c>
      <c r="H125" s="85">
        <f t="shared" si="14"/>
        <v>0</v>
      </c>
      <c r="I125" s="428"/>
      <c r="J125" s="85">
        <f t="shared" si="11"/>
        <v>0</v>
      </c>
      <c r="K125" s="85">
        <f t="shared" si="12"/>
        <v>0</v>
      </c>
    </row>
    <row r="126" spans="1:11" s="285" customFormat="1" x14ac:dyDescent="0.25">
      <c r="A126" s="118">
        <v>48</v>
      </c>
      <c r="B126" s="151">
        <v>5790</v>
      </c>
      <c r="C126" s="94" t="s">
        <v>312</v>
      </c>
      <c r="D126" s="85"/>
      <c r="E126" s="85">
        <v>0</v>
      </c>
      <c r="F126" s="85">
        <v>0</v>
      </c>
      <c r="G126" s="428">
        <v>0</v>
      </c>
      <c r="H126" s="85">
        <f t="shared" si="14"/>
        <v>0</v>
      </c>
      <c r="I126" s="428"/>
      <c r="J126" s="85">
        <f t="shared" si="11"/>
        <v>0</v>
      </c>
      <c r="K126" s="85">
        <f t="shared" si="12"/>
        <v>0</v>
      </c>
    </row>
    <row r="127" spans="1:11" s="285" customFormat="1" x14ac:dyDescent="0.25">
      <c r="A127" s="118">
        <v>48</v>
      </c>
      <c r="B127" s="151">
        <v>5795</v>
      </c>
      <c r="C127" s="94" t="s">
        <v>313</v>
      </c>
      <c r="D127" s="85"/>
      <c r="E127" s="85">
        <v>0</v>
      </c>
      <c r="F127" s="85">
        <v>0</v>
      </c>
      <c r="G127" s="428">
        <v>0</v>
      </c>
      <c r="H127" s="85">
        <f t="shared" si="14"/>
        <v>0</v>
      </c>
      <c r="I127" s="428"/>
      <c r="J127" s="85">
        <f t="shared" si="11"/>
        <v>0</v>
      </c>
      <c r="K127" s="85">
        <f t="shared" si="12"/>
        <v>0</v>
      </c>
    </row>
    <row r="128" spans="1:11" s="285" customFormat="1" x14ac:dyDescent="0.25">
      <c r="A128" s="118">
        <v>48</v>
      </c>
      <c r="B128" s="151">
        <v>5800</v>
      </c>
      <c r="C128" s="94" t="s">
        <v>314</v>
      </c>
      <c r="D128" s="85"/>
      <c r="E128" s="85">
        <v>0</v>
      </c>
      <c r="F128" s="85">
        <v>0</v>
      </c>
      <c r="G128" s="428">
        <v>0</v>
      </c>
      <c r="H128" s="85">
        <f t="shared" si="14"/>
        <v>0</v>
      </c>
      <c r="I128" s="428"/>
      <c r="J128" s="85">
        <f t="shared" si="11"/>
        <v>0</v>
      </c>
      <c r="K128" s="85">
        <f t="shared" si="12"/>
        <v>0</v>
      </c>
    </row>
    <row r="129" spans="1:11" s="285" customFormat="1" x14ac:dyDescent="0.25">
      <c r="A129" s="118">
        <v>48</v>
      </c>
      <c r="B129" s="151">
        <v>5805</v>
      </c>
      <c r="C129" s="94" t="s">
        <v>315</v>
      </c>
      <c r="D129" s="85"/>
      <c r="E129" s="85">
        <v>0</v>
      </c>
      <c r="F129" s="85">
        <v>0</v>
      </c>
      <c r="G129" s="428">
        <v>0</v>
      </c>
      <c r="H129" s="85">
        <f t="shared" si="14"/>
        <v>0</v>
      </c>
      <c r="I129" s="428"/>
      <c r="J129" s="85">
        <f t="shared" si="11"/>
        <v>0</v>
      </c>
      <c r="K129" s="85">
        <f t="shared" si="12"/>
        <v>0</v>
      </c>
    </row>
    <row r="130" spans="1:11" s="285" customFormat="1" x14ac:dyDescent="0.25">
      <c r="A130" s="118">
        <v>48</v>
      </c>
      <c r="B130" s="151">
        <v>5810</v>
      </c>
      <c r="C130" s="94" t="s">
        <v>316</v>
      </c>
      <c r="D130" s="85"/>
      <c r="E130" s="85">
        <v>0</v>
      </c>
      <c r="F130" s="85">
        <v>0</v>
      </c>
      <c r="G130" s="428">
        <v>0</v>
      </c>
      <c r="H130" s="85">
        <f t="shared" si="14"/>
        <v>0</v>
      </c>
      <c r="I130" s="428"/>
      <c r="J130" s="85">
        <f t="shared" si="11"/>
        <v>0</v>
      </c>
      <c r="K130" s="85">
        <f t="shared" si="12"/>
        <v>0</v>
      </c>
    </row>
    <row r="131" spans="1:11" s="285" customFormat="1" x14ac:dyDescent="0.25">
      <c r="A131" s="118">
        <v>48</v>
      </c>
      <c r="B131" s="151">
        <v>5815</v>
      </c>
      <c r="C131" s="94" t="s">
        <v>99</v>
      </c>
      <c r="D131" s="85"/>
      <c r="E131" s="85">
        <v>0</v>
      </c>
      <c r="F131" s="85">
        <v>0</v>
      </c>
      <c r="G131" s="428">
        <v>0</v>
      </c>
      <c r="H131" s="85">
        <f t="shared" si="14"/>
        <v>0</v>
      </c>
      <c r="I131" s="428"/>
      <c r="J131" s="85">
        <f t="shared" si="11"/>
        <v>0</v>
      </c>
      <c r="K131" s="85">
        <f t="shared" si="12"/>
        <v>0</v>
      </c>
    </row>
    <row r="132" spans="1:11" s="285" customFormat="1" x14ac:dyDescent="0.25">
      <c r="A132" s="118">
        <v>48</v>
      </c>
      <c r="B132" s="151">
        <v>5820</v>
      </c>
      <c r="C132" s="94" t="s">
        <v>114</v>
      </c>
      <c r="D132" s="86"/>
      <c r="E132" s="85">
        <v>0</v>
      </c>
      <c r="F132" s="85">
        <v>0</v>
      </c>
      <c r="G132" s="428">
        <v>0</v>
      </c>
      <c r="H132" s="85">
        <f t="shared" si="14"/>
        <v>0</v>
      </c>
      <c r="I132" s="428"/>
      <c r="J132" s="85">
        <f t="shared" si="11"/>
        <v>0</v>
      </c>
      <c r="K132" s="85">
        <f t="shared" si="12"/>
        <v>0</v>
      </c>
    </row>
    <row r="133" spans="1:11" s="285" customFormat="1" x14ac:dyDescent="0.25">
      <c r="A133" s="118">
        <v>48</v>
      </c>
      <c r="B133" s="151">
        <v>5825</v>
      </c>
      <c r="C133" s="94" t="s">
        <v>317</v>
      </c>
      <c r="D133" s="86">
        <v>143056</v>
      </c>
      <c r="E133" s="85">
        <v>147700</v>
      </c>
      <c r="F133" s="85">
        <v>147700</v>
      </c>
      <c r="G133" s="428">
        <v>147700</v>
      </c>
      <c r="H133" s="85">
        <f t="shared" si="14"/>
        <v>162470</v>
      </c>
      <c r="I133" s="428">
        <v>1129919</v>
      </c>
      <c r="J133" s="85">
        <f t="shared" si="11"/>
        <v>1192064.5449999999</v>
      </c>
      <c r="K133" s="85">
        <f t="shared" si="12"/>
        <v>1255243.9658849998</v>
      </c>
    </row>
    <row r="134" spans="1:11" s="285" customFormat="1" x14ac:dyDescent="0.25">
      <c r="A134" s="118">
        <v>48</v>
      </c>
      <c r="B134" s="151">
        <v>5830</v>
      </c>
      <c r="C134" s="94" t="s">
        <v>318</v>
      </c>
      <c r="D134" s="86"/>
      <c r="E134" s="85"/>
      <c r="F134" s="85">
        <v>0</v>
      </c>
      <c r="G134" s="428">
        <v>0</v>
      </c>
      <c r="H134" s="85"/>
      <c r="I134" s="428"/>
      <c r="J134" s="85"/>
      <c r="K134" s="85"/>
    </row>
    <row r="135" spans="1:11" s="285" customFormat="1" x14ac:dyDescent="0.25">
      <c r="A135" s="118">
        <v>48</v>
      </c>
      <c r="B135" s="151">
        <v>5835</v>
      </c>
      <c r="C135" s="94" t="s">
        <v>319</v>
      </c>
      <c r="D135" s="86"/>
      <c r="E135" s="85"/>
      <c r="F135" s="85">
        <v>0</v>
      </c>
      <c r="G135" s="428"/>
      <c r="H135" s="85"/>
      <c r="I135" s="428"/>
      <c r="J135" s="85"/>
      <c r="K135" s="85"/>
    </row>
    <row r="136" spans="1:11" s="285" customFormat="1" x14ac:dyDescent="0.25">
      <c r="A136" s="118">
        <v>48</v>
      </c>
      <c r="B136" s="151">
        <v>5840</v>
      </c>
      <c r="C136" s="94" t="s">
        <v>332</v>
      </c>
      <c r="D136" s="115"/>
      <c r="E136" s="85"/>
      <c r="F136" s="85">
        <v>0</v>
      </c>
      <c r="G136" s="428"/>
      <c r="H136" s="85"/>
      <c r="I136" s="428"/>
      <c r="J136" s="85"/>
      <c r="K136" s="85"/>
    </row>
    <row r="137" spans="1:11" s="285" customFormat="1" x14ac:dyDescent="0.25">
      <c r="A137" s="118">
        <v>48</v>
      </c>
      <c r="B137" s="151">
        <v>5845</v>
      </c>
      <c r="C137" s="94" t="s">
        <v>320</v>
      </c>
      <c r="D137" s="86"/>
      <c r="E137" s="85"/>
      <c r="F137" s="85">
        <v>0</v>
      </c>
      <c r="G137" s="428"/>
      <c r="H137" s="85"/>
      <c r="I137" s="428"/>
      <c r="J137" s="85"/>
      <c r="K137" s="85"/>
    </row>
    <row r="138" spans="1:11" s="285" customFormat="1" x14ac:dyDescent="0.25">
      <c r="A138" s="118">
        <v>48</v>
      </c>
      <c r="B138" s="151">
        <v>5855</v>
      </c>
      <c r="C138" s="94" t="s">
        <v>321</v>
      </c>
      <c r="D138" s="85"/>
      <c r="E138" s="85"/>
      <c r="F138" s="85">
        <v>0</v>
      </c>
      <c r="G138" s="428"/>
      <c r="H138" s="85"/>
      <c r="I138" s="428"/>
      <c r="J138" s="85"/>
      <c r="K138" s="85"/>
    </row>
    <row r="139" spans="1:11" s="285" customFormat="1" x14ac:dyDescent="0.25">
      <c r="A139" s="118">
        <v>48</v>
      </c>
      <c r="B139" s="151">
        <v>5860</v>
      </c>
      <c r="C139" s="94" t="s">
        <v>322</v>
      </c>
      <c r="D139" s="85"/>
      <c r="E139" s="85"/>
      <c r="F139" s="85">
        <v>0</v>
      </c>
      <c r="G139" s="428"/>
      <c r="H139" s="85"/>
      <c r="I139" s="428"/>
      <c r="J139" s="85"/>
      <c r="K139" s="85"/>
    </row>
    <row r="140" spans="1:11" s="285" customFormat="1" x14ac:dyDescent="0.25">
      <c r="A140" s="118">
        <v>48</v>
      </c>
      <c r="B140" s="151">
        <v>5865</v>
      </c>
      <c r="C140" s="94" t="s">
        <v>323</v>
      </c>
      <c r="D140" s="85"/>
      <c r="E140" s="85"/>
      <c r="F140" s="85">
        <v>0</v>
      </c>
      <c r="G140" s="428"/>
      <c r="H140" s="85"/>
      <c r="I140" s="428"/>
      <c r="J140" s="85"/>
      <c r="K140" s="85"/>
    </row>
    <row r="141" spans="1:11" s="285" customFormat="1" x14ac:dyDescent="0.25">
      <c r="A141" s="118">
        <v>48</v>
      </c>
      <c r="B141" s="151">
        <v>5870</v>
      </c>
      <c r="C141" s="94" t="s">
        <v>324</v>
      </c>
      <c r="D141" s="85"/>
      <c r="E141" s="85"/>
      <c r="F141" s="85">
        <v>0</v>
      </c>
      <c r="G141" s="428"/>
      <c r="H141" s="85"/>
      <c r="I141" s="428"/>
      <c r="J141" s="85"/>
      <c r="K141" s="85"/>
    </row>
    <row r="142" spans="1:11" s="285" customFormat="1" x14ac:dyDescent="0.25">
      <c r="A142" s="118">
        <v>48</v>
      </c>
      <c r="B142" s="151">
        <v>5875</v>
      </c>
      <c r="C142" s="94" t="s">
        <v>325</v>
      </c>
      <c r="D142" s="85"/>
      <c r="E142" s="85"/>
      <c r="F142" s="85">
        <v>0</v>
      </c>
      <c r="G142" s="428"/>
      <c r="H142" s="85"/>
      <c r="I142" s="428"/>
      <c r="J142" s="85"/>
      <c r="K142" s="85"/>
    </row>
    <row r="143" spans="1:11" s="285" customFormat="1" x14ac:dyDescent="0.25">
      <c r="A143" s="118">
        <v>48</v>
      </c>
      <c r="B143" s="151">
        <v>5880</v>
      </c>
      <c r="C143" s="94" t="s">
        <v>326</v>
      </c>
      <c r="D143" s="85"/>
      <c r="E143" s="85"/>
      <c r="F143" s="85">
        <v>0</v>
      </c>
      <c r="G143" s="428"/>
      <c r="H143" s="85"/>
      <c r="I143" s="428"/>
      <c r="J143" s="85"/>
      <c r="K143" s="85"/>
    </row>
    <row r="144" spans="1:11" s="285" customFormat="1" x14ac:dyDescent="0.25">
      <c r="A144" s="118">
        <v>48</v>
      </c>
      <c r="B144" s="151">
        <v>5885</v>
      </c>
      <c r="C144" s="94" t="s">
        <v>331</v>
      </c>
      <c r="D144" s="85"/>
      <c r="E144" s="85"/>
      <c r="F144" s="85">
        <v>0</v>
      </c>
      <c r="G144" s="428"/>
      <c r="H144" s="85"/>
      <c r="I144" s="428"/>
      <c r="J144" s="85"/>
      <c r="K144" s="85"/>
    </row>
    <row r="145" spans="1:11" s="285" customFormat="1" x14ac:dyDescent="0.25">
      <c r="A145" s="118">
        <v>48</v>
      </c>
      <c r="B145" s="151">
        <v>5890</v>
      </c>
      <c r="C145" s="94" t="s">
        <v>327</v>
      </c>
      <c r="D145" s="85"/>
      <c r="E145" s="85"/>
      <c r="F145" s="85">
        <v>0</v>
      </c>
      <c r="G145" s="428"/>
      <c r="H145" s="85"/>
      <c r="I145" s="428"/>
      <c r="J145" s="85"/>
      <c r="K145" s="85"/>
    </row>
    <row r="146" spans="1:11" s="285" customFormat="1" x14ac:dyDescent="0.25">
      <c r="A146" s="118">
        <v>48</v>
      </c>
      <c r="B146" s="151">
        <v>5895</v>
      </c>
      <c r="C146" s="94" t="s">
        <v>328</v>
      </c>
      <c r="D146" s="85"/>
      <c r="E146" s="85"/>
      <c r="F146" s="85">
        <v>0</v>
      </c>
      <c r="G146" s="428"/>
      <c r="H146" s="85"/>
      <c r="I146" s="428"/>
      <c r="J146" s="85"/>
      <c r="K146" s="85"/>
    </row>
    <row r="147" spans="1:11" s="285" customFormat="1" x14ac:dyDescent="0.25">
      <c r="A147" s="118">
        <v>48</v>
      </c>
      <c r="B147" s="151">
        <v>5910</v>
      </c>
      <c r="C147" s="94" t="s">
        <v>330</v>
      </c>
      <c r="D147" s="85"/>
      <c r="E147" s="85"/>
      <c r="F147" s="85">
        <v>0</v>
      </c>
      <c r="G147" s="428"/>
      <c r="H147" s="85"/>
      <c r="I147" s="428">
        <v>2275973</v>
      </c>
      <c r="J147" s="85"/>
      <c r="K147" s="85"/>
    </row>
    <row r="148" spans="1:11" s="285" customFormat="1" x14ac:dyDescent="0.25">
      <c r="A148" s="344"/>
      <c r="B148" s="151"/>
      <c r="C148" s="94"/>
      <c r="D148" s="429">
        <f t="shared" ref="D148:K148" si="15">SUM(D72:D147)</f>
        <v>3339408</v>
      </c>
      <c r="E148" s="89">
        <f t="shared" si="15"/>
        <v>3371417.7549999999</v>
      </c>
      <c r="F148" s="429">
        <f t="shared" si="15"/>
        <v>3421417.7549999999</v>
      </c>
      <c r="G148" s="429">
        <f t="shared" si="15"/>
        <v>3421417.7549999999</v>
      </c>
      <c r="H148" s="429">
        <f t="shared" si="15"/>
        <v>3769129.2</v>
      </c>
      <c r="I148" s="429">
        <f t="shared" si="15"/>
        <v>6700403.375</v>
      </c>
      <c r="J148" s="429">
        <f t="shared" si="15"/>
        <v>4667774.0456249993</v>
      </c>
      <c r="K148" s="429">
        <f t="shared" si="15"/>
        <v>4915166.0700431243</v>
      </c>
    </row>
    <row r="149" spans="1:11" s="285" customFormat="1" hidden="1" x14ac:dyDescent="0.25">
      <c r="A149" s="344"/>
      <c r="B149" s="151"/>
      <c r="C149" s="93" t="s">
        <v>187</v>
      </c>
      <c r="D149" s="85"/>
      <c r="E149" s="108"/>
      <c r="F149" s="108"/>
      <c r="G149" s="425"/>
      <c r="H149" s="108"/>
      <c r="I149" s="425"/>
      <c r="J149" s="108"/>
      <c r="K149" s="108"/>
    </row>
    <row r="150" spans="1:11" s="285" customFormat="1" hidden="1" x14ac:dyDescent="0.25">
      <c r="A150" s="118">
        <v>48</v>
      </c>
      <c r="B150" s="151">
        <v>6005</v>
      </c>
      <c r="C150" s="94" t="s">
        <v>188</v>
      </c>
      <c r="D150" s="85">
        <v>0</v>
      </c>
      <c r="E150" s="108"/>
      <c r="F150" s="85">
        <v>0</v>
      </c>
      <c r="G150" s="428">
        <v>0</v>
      </c>
      <c r="H150" s="85"/>
      <c r="I150" s="428"/>
      <c r="J150" s="85"/>
      <c r="K150" s="108"/>
    </row>
    <row r="151" spans="1:11" s="285" customFormat="1" hidden="1" x14ac:dyDescent="0.25">
      <c r="A151" s="344"/>
      <c r="B151" s="151"/>
      <c r="C151" s="94"/>
      <c r="D151" s="89">
        <v>0</v>
      </c>
      <c r="E151" s="89">
        <f>SUM(E150)</f>
        <v>0</v>
      </c>
      <c r="F151" s="89">
        <v>0</v>
      </c>
      <c r="G151" s="429">
        <v>0</v>
      </c>
      <c r="H151" s="89"/>
      <c r="I151" s="429"/>
      <c r="J151" s="89"/>
      <c r="K151" s="89"/>
    </row>
    <row r="152" spans="1:11" s="285" customFormat="1" x14ac:dyDescent="0.25">
      <c r="A152" s="344"/>
      <c r="B152" s="151"/>
      <c r="C152" s="93" t="s">
        <v>64</v>
      </c>
      <c r="D152" s="88"/>
      <c r="E152" s="113"/>
      <c r="F152" s="113"/>
      <c r="G152" s="113"/>
      <c r="H152" s="113"/>
      <c r="I152" s="113"/>
      <c r="J152" s="113"/>
      <c r="K152" s="113"/>
    </row>
    <row r="153" spans="1:11" s="285" customFormat="1" hidden="1" x14ac:dyDescent="0.25">
      <c r="A153" s="118">
        <v>48</v>
      </c>
      <c r="B153" s="151">
        <v>6105</v>
      </c>
      <c r="C153" s="94" t="s">
        <v>336</v>
      </c>
      <c r="D153" s="85">
        <v>0</v>
      </c>
      <c r="E153" s="108"/>
      <c r="F153" s="85">
        <v>0</v>
      </c>
      <c r="G153" s="428">
        <v>0</v>
      </c>
      <c r="H153" s="85"/>
      <c r="I153" s="428"/>
      <c r="J153" s="85"/>
      <c r="K153" s="108"/>
    </row>
    <row r="154" spans="1:11" s="285" customFormat="1" x14ac:dyDescent="0.25">
      <c r="A154" s="118">
        <v>48</v>
      </c>
      <c r="B154" s="151">
        <v>6110</v>
      </c>
      <c r="C154" s="94" t="s">
        <v>337</v>
      </c>
      <c r="D154" s="85">
        <v>0</v>
      </c>
      <c r="E154" s="108">
        <v>50000</v>
      </c>
      <c r="F154" s="85">
        <v>50000</v>
      </c>
      <c r="G154" s="428">
        <v>50000</v>
      </c>
      <c r="H154" s="85"/>
      <c r="I154" s="428"/>
      <c r="J154" s="85"/>
      <c r="K154" s="85"/>
    </row>
    <row r="155" spans="1:11" s="285" customFormat="1" hidden="1" x14ac:dyDescent="0.25">
      <c r="A155" s="118">
        <v>48</v>
      </c>
      <c r="B155" s="151">
        <v>6115</v>
      </c>
      <c r="C155" s="94" t="s">
        <v>60</v>
      </c>
      <c r="D155" s="85">
        <v>0</v>
      </c>
      <c r="E155" s="108"/>
      <c r="F155" s="85">
        <v>0</v>
      </c>
      <c r="G155" s="428">
        <v>0</v>
      </c>
      <c r="H155" s="85"/>
      <c r="I155" s="428"/>
      <c r="J155" s="85"/>
      <c r="K155" s="85"/>
    </row>
    <row r="156" spans="1:11" s="285" customFormat="1" x14ac:dyDescent="0.25">
      <c r="A156" s="344"/>
      <c r="B156" s="151"/>
      <c r="C156" s="94"/>
      <c r="D156" s="89">
        <v>0</v>
      </c>
      <c r="E156" s="89">
        <f>SUM(E153:E155)</f>
        <v>50000</v>
      </c>
      <c r="F156" s="89">
        <v>50000</v>
      </c>
      <c r="G156" s="429">
        <v>50000</v>
      </c>
      <c r="H156" s="89">
        <f>SUM(H154:H155)</f>
        <v>0</v>
      </c>
      <c r="I156" s="429"/>
      <c r="J156" s="89"/>
      <c r="K156" s="89"/>
    </row>
    <row r="157" spans="1:11" s="285" customFormat="1" hidden="1" x14ac:dyDescent="0.25">
      <c r="A157" s="344"/>
      <c r="B157" s="151"/>
      <c r="C157" s="184" t="s">
        <v>65</v>
      </c>
      <c r="D157" s="88"/>
      <c r="E157" s="113"/>
      <c r="F157" s="113"/>
      <c r="G157" s="113"/>
      <c r="H157" s="113"/>
      <c r="I157" s="113"/>
      <c r="J157" s="113"/>
      <c r="K157" s="113"/>
    </row>
    <row r="158" spans="1:11" s="285" customFormat="1" hidden="1" x14ac:dyDescent="0.25">
      <c r="A158" s="118">
        <v>48</v>
      </c>
      <c r="B158" s="151">
        <v>6205</v>
      </c>
      <c r="C158" s="94" t="s">
        <v>338</v>
      </c>
      <c r="D158" s="85">
        <v>0</v>
      </c>
      <c r="E158" s="108"/>
      <c r="F158" s="85">
        <f>0/8*12</f>
        <v>0</v>
      </c>
      <c r="G158" s="428">
        <v>0</v>
      </c>
      <c r="H158" s="85"/>
      <c r="I158" s="428"/>
      <c r="J158" s="85"/>
      <c r="K158" s="85"/>
    </row>
    <row r="159" spans="1:11" s="285" customFormat="1" hidden="1" x14ac:dyDescent="0.25">
      <c r="A159" s="118">
        <v>48</v>
      </c>
      <c r="B159" s="151">
        <v>6210</v>
      </c>
      <c r="C159" s="94" t="s">
        <v>339</v>
      </c>
      <c r="D159" s="85">
        <v>0</v>
      </c>
      <c r="E159" s="85"/>
      <c r="F159" s="85">
        <f>0/8*12</f>
        <v>0</v>
      </c>
      <c r="G159" s="428">
        <v>0</v>
      </c>
      <c r="H159" s="85"/>
      <c r="I159" s="428"/>
      <c r="J159" s="85"/>
      <c r="K159" s="85"/>
    </row>
    <row r="160" spans="1:11" s="285" customFormat="1" hidden="1" x14ac:dyDescent="0.25">
      <c r="A160" s="344"/>
      <c r="B160" s="346"/>
      <c r="C160" s="347"/>
      <c r="D160" s="116">
        <v>0</v>
      </c>
      <c r="E160" s="116">
        <f>SUM(E158:E159)</f>
        <v>0</v>
      </c>
      <c r="F160" s="116">
        <f>SUM(F158:F159)</f>
        <v>0</v>
      </c>
      <c r="G160" s="441">
        <v>0</v>
      </c>
      <c r="H160" s="116"/>
      <c r="I160" s="441"/>
      <c r="J160" s="116"/>
      <c r="K160" s="116"/>
    </row>
    <row r="161" spans="1:13" s="285" customFormat="1" x14ac:dyDescent="0.25">
      <c r="A161" s="344"/>
      <c r="B161" s="346"/>
      <c r="C161" s="93" t="s">
        <v>189</v>
      </c>
      <c r="D161" s="116">
        <v>24620581</v>
      </c>
      <c r="E161" s="116">
        <f>E160+E156+E151+E148+E70+E66+E63+E59+E38+E35+E32+E29+E25+E18</f>
        <v>22937433.645</v>
      </c>
      <c r="F161" s="116">
        <f>F160+F156+F151+F148+F70+F66+F63+F59+F38+F35+F32+F29+F25+F18</f>
        <v>14987433.645</v>
      </c>
      <c r="G161" s="441">
        <v>14987433.645</v>
      </c>
      <c r="H161" s="116">
        <f>H160+H156+H151+H148+H70+H66+H63+H59+H38+H35+H32+H29+H25+H18</f>
        <v>21304622.019000001</v>
      </c>
      <c r="I161" s="441">
        <f>I160+I156+I151+I148+I70+I66+I63+I59+I38+I35+I32+I29+I25+I18</f>
        <v>22595491.353399996</v>
      </c>
      <c r="J161" s="441">
        <f>J160+J156+J151+J148+J70+J66+J63+J59+J38+J35+J32+J29+J25+J18</f>
        <v>21437091.862836994</v>
      </c>
      <c r="K161" s="441">
        <f>K160+K156+K151+K148+K70+K66+K63+K59+K38+K35+K32+K29+K25+K18</f>
        <v>22573257.731567353</v>
      </c>
    </row>
    <row r="162" spans="1:13" s="285" customFormat="1" hidden="1" x14ac:dyDescent="0.25">
      <c r="A162" s="344"/>
      <c r="B162" s="151"/>
      <c r="C162" s="93" t="s">
        <v>258</v>
      </c>
      <c r="D162" s="117"/>
      <c r="E162" s="117"/>
      <c r="F162" s="117"/>
      <c r="G162" s="442"/>
      <c r="H162" s="117"/>
      <c r="I162" s="442"/>
      <c r="J162" s="442"/>
      <c r="K162" s="442"/>
    </row>
    <row r="163" spans="1:13" s="285" customFormat="1" hidden="1" x14ac:dyDescent="0.25">
      <c r="A163" s="118">
        <v>48</v>
      </c>
      <c r="B163" s="151">
        <v>6305</v>
      </c>
      <c r="C163" s="94" t="s">
        <v>190</v>
      </c>
      <c r="D163" s="85">
        <v>0</v>
      </c>
      <c r="E163" s="85"/>
      <c r="F163" s="85">
        <f>0/8*12</f>
        <v>0</v>
      </c>
      <c r="G163" s="428">
        <v>0</v>
      </c>
      <c r="H163" s="85"/>
      <c r="I163" s="428"/>
      <c r="J163" s="428"/>
      <c r="K163" s="428"/>
    </row>
    <row r="164" spans="1:13" s="285" customFormat="1" hidden="1" x14ac:dyDescent="0.25">
      <c r="A164" s="344"/>
      <c r="B164" s="151"/>
      <c r="C164" s="94"/>
      <c r="D164" s="116">
        <v>0</v>
      </c>
      <c r="E164" s="116">
        <f>E163</f>
        <v>0</v>
      </c>
      <c r="F164" s="116">
        <f>F163</f>
        <v>0</v>
      </c>
      <c r="G164" s="441">
        <v>0</v>
      </c>
      <c r="H164" s="116"/>
      <c r="I164" s="441"/>
      <c r="J164" s="441"/>
      <c r="K164" s="441"/>
    </row>
    <row r="165" spans="1:13" s="285" customFormat="1" x14ac:dyDescent="0.25">
      <c r="A165" s="348"/>
      <c r="B165" s="152"/>
      <c r="C165" s="119" t="s">
        <v>191</v>
      </c>
      <c r="D165" s="448">
        <f t="shared" ref="D165:K165" si="16">SUM(D161+D164)</f>
        <v>24620581</v>
      </c>
      <c r="E165" s="160">
        <f t="shared" si="16"/>
        <v>22937433.645</v>
      </c>
      <c r="F165" s="160">
        <f t="shared" si="16"/>
        <v>14987433.645</v>
      </c>
      <c r="G165" s="448">
        <f t="shared" si="16"/>
        <v>14987433.645</v>
      </c>
      <c r="H165" s="448">
        <f t="shared" si="16"/>
        <v>21304622.019000001</v>
      </c>
      <c r="I165" s="448">
        <f t="shared" si="16"/>
        <v>22595491.353399996</v>
      </c>
      <c r="J165" s="448">
        <f t="shared" si="16"/>
        <v>21437091.862836994</v>
      </c>
      <c r="K165" s="448">
        <f t="shared" si="16"/>
        <v>22573257.731567353</v>
      </c>
      <c r="M165" s="244"/>
    </row>
    <row r="166" spans="1:13" s="285" customFormat="1" x14ac:dyDescent="0.25">
      <c r="A166" s="344"/>
      <c r="B166" s="130"/>
      <c r="C166" s="115"/>
      <c r="D166" s="111"/>
      <c r="E166" s="120"/>
      <c r="F166" s="120"/>
      <c r="G166" s="120"/>
      <c r="H166" s="120"/>
      <c r="I166" s="120"/>
      <c r="J166" s="120"/>
      <c r="K166" s="120"/>
    </row>
    <row r="167" spans="1:13" s="285" customFormat="1" x14ac:dyDescent="0.25">
      <c r="A167" s="344"/>
      <c r="B167" s="130"/>
      <c r="C167" s="115"/>
      <c r="D167" s="111"/>
      <c r="E167" s="111"/>
      <c r="F167" s="111"/>
      <c r="G167" s="111"/>
      <c r="H167" s="111"/>
      <c r="I167" s="111"/>
      <c r="J167" s="111"/>
      <c r="K167" s="111"/>
    </row>
    <row r="168" spans="1:13" s="285" customFormat="1" x14ac:dyDescent="0.25">
      <c r="A168" s="349"/>
      <c r="B168" s="546" t="s">
        <v>416</v>
      </c>
      <c r="C168" s="546"/>
      <c r="D168" s="547"/>
      <c r="E168" s="338"/>
      <c r="F168" s="338"/>
      <c r="G168" s="563"/>
      <c r="H168" s="420"/>
      <c r="I168" s="581"/>
      <c r="J168" s="338"/>
      <c r="K168" s="338"/>
    </row>
    <row r="169" spans="1:13" s="285" customFormat="1" x14ac:dyDescent="0.25">
      <c r="A169" s="944" t="s">
        <v>21</v>
      </c>
      <c r="B169" s="945"/>
      <c r="C169" s="150" t="s">
        <v>22</v>
      </c>
      <c r="D169" s="103" t="s">
        <v>878</v>
      </c>
      <c r="E169" s="104" t="s">
        <v>24</v>
      </c>
      <c r="F169" s="103" t="s">
        <v>535</v>
      </c>
      <c r="G169" s="103" t="s">
        <v>413</v>
      </c>
      <c r="H169" s="104" t="s">
        <v>24</v>
      </c>
      <c r="I169" s="583" t="s">
        <v>24</v>
      </c>
      <c r="J169" s="583" t="s">
        <v>24</v>
      </c>
      <c r="K169" s="583" t="s">
        <v>24</v>
      </c>
    </row>
    <row r="170" spans="1:13" s="285" customFormat="1" x14ac:dyDescent="0.25">
      <c r="A170" s="946"/>
      <c r="B170" s="947"/>
      <c r="C170" s="106"/>
      <c r="D170" s="333" t="s">
        <v>257</v>
      </c>
      <c r="E170" s="107" t="s">
        <v>382</v>
      </c>
      <c r="F170" s="107" t="s">
        <v>382</v>
      </c>
      <c r="G170" s="107" t="s">
        <v>382</v>
      </c>
      <c r="H170" s="107" t="s">
        <v>407</v>
      </c>
      <c r="I170" s="586" t="s">
        <v>414</v>
      </c>
      <c r="J170" s="586" t="s">
        <v>530</v>
      </c>
      <c r="K170" s="586" t="s">
        <v>886</v>
      </c>
    </row>
    <row r="171" spans="1:13" s="285" customFormat="1" hidden="1" x14ac:dyDescent="0.25">
      <c r="A171" s="350"/>
      <c r="B171" s="153"/>
      <c r="C171" s="93" t="s">
        <v>98</v>
      </c>
      <c r="D171" s="122"/>
      <c r="E171" s="98"/>
      <c r="F171" s="98"/>
      <c r="G171" s="435"/>
      <c r="H171" s="98"/>
      <c r="I171" s="435"/>
      <c r="J171" s="98"/>
      <c r="K171" s="98"/>
    </row>
    <row r="172" spans="1:13" s="285" customFormat="1" hidden="1" x14ac:dyDescent="0.25">
      <c r="A172" s="118">
        <v>48</v>
      </c>
      <c r="B172" s="151">
        <v>1237</v>
      </c>
      <c r="C172" s="94" t="s">
        <v>99</v>
      </c>
      <c r="D172" s="122"/>
      <c r="E172" s="108"/>
      <c r="F172" s="98">
        <f>E172/8*12</f>
        <v>0</v>
      </c>
      <c r="G172" s="435"/>
      <c r="H172" s="98"/>
      <c r="I172" s="435"/>
      <c r="J172" s="98"/>
      <c r="K172" s="108"/>
    </row>
    <row r="173" spans="1:13" s="285" customFormat="1" hidden="1" x14ac:dyDescent="0.25">
      <c r="A173" s="118">
        <v>48</v>
      </c>
      <c r="B173" s="151">
        <v>5725</v>
      </c>
      <c r="C173" s="94" t="s">
        <v>400</v>
      </c>
      <c r="D173" s="85"/>
      <c r="E173" s="85">
        <v>0</v>
      </c>
      <c r="F173" s="85">
        <f>(0/8*12)*-1</f>
        <v>0</v>
      </c>
      <c r="G173" s="428"/>
      <c r="H173" s="85"/>
      <c r="I173" s="428"/>
      <c r="J173" s="85"/>
      <c r="K173" s="85"/>
    </row>
    <row r="174" spans="1:13" s="285" customFormat="1" hidden="1" x14ac:dyDescent="0.25">
      <c r="A174" s="344"/>
      <c r="B174" s="151"/>
      <c r="C174" s="94"/>
      <c r="D174" s="99"/>
      <c r="E174" s="99">
        <f>SUM(E172)</f>
        <v>0</v>
      </c>
      <c r="F174" s="99">
        <f>SUM(F172)</f>
        <v>0</v>
      </c>
      <c r="G174" s="436"/>
      <c r="H174" s="99"/>
      <c r="I174" s="436"/>
      <c r="J174" s="99"/>
      <c r="K174" s="99"/>
    </row>
    <row r="175" spans="1:13" s="285" customFormat="1" x14ac:dyDescent="0.25">
      <c r="A175" s="344"/>
      <c r="B175" s="151"/>
      <c r="C175" s="93" t="s">
        <v>100</v>
      </c>
      <c r="D175" s="122"/>
      <c r="E175" s="98"/>
      <c r="F175" s="98"/>
      <c r="G175" s="435"/>
      <c r="H175" s="98"/>
      <c r="I175" s="435"/>
      <c r="J175" s="98"/>
      <c r="K175" s="98"/>
    </row>
    <row r="176" spans="1:13" s="285" customFormat="1" x14ac:dyDescent="0.25">
      <c r="A176" s="118">
        <v>48</v>
      </c>
      <c r="B176" s="151">
        <v>1147</v>
      </c>
      <c r="C176" s="94" t="s">
        <v>102</v>
      </c>
      <c r="D176" s="122"/>
      <c r="E176" s="98"/>
      <c r="F176" s="98">
        <f>E176/8*12</f>
        <v>0</v>
      </c>
      <c r="G176" s="435"/>
      <c r="H176" s="98"/>
      <c r="I176" s="435"/>
      <c r="J176" s="98"/>
      <c r="K176" s="98"/>
    </row>
    <row r="177" spans="1:11" s="285" customFormat="1" x14ac:dyDescent="0.25">
      <c r="A177" s="118">
        <v>48</v>
      </c>
      <c r="B177" s="151">
        <v>1202</v>
      </c>
      <c r="C177" s="94" t="s">
        <v>343</v>
      </c>
      <c r="D177" s="122"/>
      <c r="E177" s="98"/>
      <c r="F177" s="98">
        <f>E177/8*12</f>
        <v>0</v>
      </c>
      <c r="G177" s="435"/>
      <c r="H177" s="98"/>
      <c r="I177" s="435"/>
      <c r="J177" s="98"/>
      <c r="K177" s="98"/>
    </row>
    <row r="178" spans="1:11" s="285" customFormat="1" x14ac:dyDescent="0.25">
      <c r="A178" s="118">
        <v>48</v>
      </c>
      <c r="B178" s="151">
        <v>1207</v>
      </c>
      <c r="C178" s="94" t="s">
        <v>104</v>
      </c>
      <c r="D178" s="122"/>
      <c r="E178" s="98"/>
      <c r="F178" s="98">
        <f>E178/8*12</f>
        <v>0</v>
      </c>
      <c r="G178" s="435"/>
      <c r="H178" s="98"/>
      <c r="I178" s="435"/>
      <c r="J178" s="98"/>
      <c r="K178" s="98"/>
    </row>
    <row r="179" spans="1:11" s="285" customFormat="1" x14ac:dyDescent="0.25">
      <c r="A179" s="118">
        <v>48</v>
      </c>
      <c r="B179" s="151">
        <v>1153</v>
      </c>
      <c r="C179" s="94" t="s">
        <v>115</v>
      </c>
      <c r="D179" s="122"/>
      <c r="E179" s="98"/>
      <c r="F179" s="98">
        <f>E179/8*12</f>
        <v>0</v>
      </c>
      <c r="G179" s="435"/>
      <c r="H179" s="98"/>
      <c r="I179" s="435"/>
      <c r="J179" s="98"/>
      <c r="K179" s="98"/>
    </row>
    <row r="180" spans="1:11" s="285" customFormat="1" x14ac:dyDescent="0.25">
      <c r="A180" s="118">
        <v>48</v>
      </c>
      <c r="B180" s="151">
        <v>1143</v>
      </c>
      <c r="C180" s="94" t="s">
        <v>109</v>
      </c>
      <c r="D180" s="122"/>
      <c r="E180" s="98"/>
      <c r="F180" s="98">
        <f>E180/8*12</f>
        <v>0</v>
      </c>
      <c r="G180" s="435"/>
      <c r="H180" s="98"/>
      <c r="I180" s="435"/>
      <c r="J180" s="98"/>
      <c r="K180" s="98"/>
    </row>
    <row r="181" spans="1:11" s="285" customFormat="1" x14ac:dyDescent="0.25">
      <c r="A181" s="118">
        <v>48</v>
      </c>
      <c r="B181" s="151">
        <v>5500</v>
      </c>
      <c r="C181" s="94" t="s">
        <v>266</v>
      </c>
      <c r="D181" s="85">
        <v>-106317</v>
      </c>
      <c r="E181" s="85">
        <v>-113230</v>
      </c>
      <c r="F181" s="85">
        <f t="shared" ref="F181:F205" si="17">E181-D181</f>
        <v>-6913</v>
      </c>
      <c r="G181" s="428">
        <v>-113229</v>
      </c>
      <c r="H181" s="446">
        <f t="shared" ref="H181:H204" si="18">(G181*10/100)+G181</f>
        <v>-124551.9</v>
      </c>
      <c r="I181" s="446">
        <v>-31137.974999999999</v>
      </c>
      <c r="J181" s="85"/>
      <c r="K181" s="85"/>
    </row>
    <row r="182" spans="1:11" s="285" customFormat="1" x14ac:dyDescent="0.25">
      <c r="A182" s="118">
        <v>48</v>
      </c>
      <c r="B182" s="151">
        <v>5705</v>
      </c>
      <c r="C182" s="94" t="s">
        <v>296</v>
      </c>
      <c r="D182" s="85">
        <v>0</v>
      </c>
      <c r="E182" s="85"/>
      <c r="F182" s="85">
        <f t="shared" si="17"/>
        <v>0</v>
      </c>
      <c r="G182" s="428">
        <v>0</v>
      </c>
      <c r="H182" s="446">
        <f t="shared" si="18"/>
        <v>0</v>
      </c>
      <c r="I182" s="446"/>
      <c r="J182" s="85"/>
      <c r="K182" s="85"/>
    </row>
    <row r="183" spans="1:11" s="285" customFormat="1" x14ac:dyDescent="0.25">
      <c r="A183" s="118">
        <v>48</v>
      </c>
      <c r="B183" s="151">
        <v>1140</v>
      </c>
      <c r="C183" s="94" t="s">
        <v>113</v>
      </c>
      <c r="D183" s="122">
        <v>0</v>
      </c>
      <c r="E183" s="98"/>
      <c r="F183" s="85">
        <f t="shared" si="17"/>
        <v>0</v>
      </c>
      <c r="G183" s="428">
        <v>0</v>
      </c>
      <c r="H183" s="446">
        <f t="shared" si="18"/>
        <v>0</v>
      </c>
      <c r="I183" s="446"/>
      <c r="J183" s="85"/>
      <c r="K183" s="85"/>
    </row>
    <row r="184" spans="1:11" s="285" customFormat="1" x14ac:dyDescent="0.25">
      <c r="A184" s="118">
        <v>48</v>
      </c>
      <c r="B184" s="151">
        <v>1145</v>
      </c>
      <c r="C184" s="94" t="s">
        <v>132</v>
      </c>
      <c r="D184" s="122">
        <v>0</v>
      </c>
      <c r="E184" s="98"/>
      <c r="F184" s="85">
        <f t="shared" si="17"/>
        <v>0</v>
      </c>
      <c r="G184" s="428">
        <v>0</v>
      </c>
      <c r="H184" s="446">
        <f t="shared" si="18"/>
        <v>0</v>
      </c>
      <c r="I184" s="446"/>
      <c r="J184" s="85"/>
      <c r="K184" s="85"/>
    </row>
    <row r="185" spans="1:11" s="285" customFormat="1" x14ac:dyDescent="0.25">
      <c r="A185" s="118">
        <v>48</v>
      </c>
      <c r="B185" s="151">
        <v>1150</v>
      </c>
      <c r="C185" s="94" t="s">
        <v>120</v>
      </c>
      <c r="D185" s="122">
        <v>0</v>
      </c>
      <c r="E185" s="98"/>
      <c r="F185" s="85">
        <f t="shared" si="17"/>
        <v>0</v>
      </c>
      <c r="G185" s="428">
        <v>0</v>
      </c>
      <c r="H185" s="446">
        <f t="shared" si="18"/>
        <v>0</v>
      </c>
      <c r="I185" s="446"/>
      <c r="J185" s="85"/>
      <c r="K185" s="85"/>
    </row>
    <row r="186" spans="1:11" s="285" customFormat="1" x14ac:dyDescent="0.25">
      <c r="A186" s="118">
        <v>48</v>
      </c>
      <c r="B186" s="151">
        <v>1155</v>
      </c>
      <c r="C186" s="94" t="s">
        <v>116</v>
      </c>
      <c r="D186" s="122">
        <v>0</v>
      </c>
      <c r="E186" s="98"/>
      <c r="F186" s="85">
        <f t="shared" si="17"/>
        <v>0</v>
      </c>
      <c r="G186" s="428">
        <v>0</v>
      </c>
      <c r="H186" s="446">
        <f t="shared" si="18"/>
        <v>0</v>
      </c>
      <c r="I186" s="446"/>
      <c r="J186" s="85"/>
      <c r="K186" s="85"/>
    </row>
    <row r="187" spans="1:11" s="285" customFormat="1" x14ac:dyDescent="0.25">
      <c r="A187" s="118">
        <v>48</v>
      </c>
      <c r="B187" s="151">
        <v>1160</v>
      </c>
      <c r="C187" s="94" t="s">
        <v>101</v>
      </c>
      <c r="D187" s="122">
        <v>0</v>
      </c>
      <c r="E187" s="98"/>
      <c r="F187" s="85">
        <f t="shared" si="17"/>
        <v>0</v>
      </c>
      <c r="G187" s="428">
        <v>0</v>
      </c>
      <c r="H187" s="446">
        <f t="shared" si="18"/>
        <v>0</v>
      </c>
      <c r="I187" s="446"/>
      <c r="J187" s="85"/>
      <c r="K187" s="85"/>
    </row>
    <row r="188" spans="1:11" s="285" customFormat="1" x14ac:dyDescent="0.25">
      <c r="A188" s="118">
        <v>48</v>
      </c>
      <c r="B188" s="151">
        <v>1165</v>
      </c>
      <c r="C188" s="94" t="s">
        <v>114</v>
      </c>
      <c r="D188" s="122">
        <v>0</v>
      </c>
      <c r="E188" s="98"/>
      <c r="F188" s="85">
        <f t="shared" si="17"/>
        <v>0</v>
      </c>
      <c r="G188" s="428">
        <v>0</v>
      </c>
      <c r="H188" s="446">
        <f t="shared" si="18"/>
        <v>0</v>
      </c>
      <c r="I188" s="446"/>
      <c r="J188" s="85"/>
      <c r="K188" s="85"/>
    </row>
    <row r="189" spans="1:11" s="285" customFormat="1" x14ac:dyDescent="0.25">
      <c r="A189" s="118"/>
      <c r="B189" s="151"/>
      <c r="C189" s="94" t="s">
        <v>401</v>
      </c>
      <c r="D189" s="122">
        <v>0</v>
      </c>
      <c r="E189" s="98"/>
      <c r="F189" s="85">
        <f t="shared" si="17"/>
        <v>0</v>
      </c>
      <c r="G189" s="428">
        <v>0</v>
      </c>
      <c r="H189" s="446">
        <f t="shared" si="18"/>
        <v>0</v>
      </c>
      <c r="I189" s="446"/>
      <c r="J189" s="85"/>
      <c r="K189" s="85"/>
    </row>
    <row r="190" spans="1:11" s="285" customFormat="1" x14ac:dyDescent="0.25">
      <c r="A190" s="118">
        <v>48</v>
      </c>
      <c r="B190" s="151">
        <v>1180</v>
      </c>
      <c r="C190" s="94" t="s">
        <v>402</v>
      </c>
      <c r="D190" s="122">
        <v>0</v>
      </c>
      <c r="E190" s="98"/>
      <c r="F190" s="85">
        <f t="shared" si="17"/>
        <v>0</v>
      </c>
      <c r="G190" s="428">
        <v>0</v>
      </c>
      <c r="H190" s="446">
        <f t="shared" si="18"/>
        <v>0</v>
      </c>
      <c r="I190" s="446"/>
      <c r="J190" s="85"/>
      <c r="K190" s="85"/>
    </row>
    <row r="191" spans="1:11" s="285" customFormat="1" x14ac:dyDescent="0.25">
      <c r="A191" s="118">
        <v>48</v>
      </c>
      <c r="B191" s="151">
        <v>1185</v>
      </c>
      <c r="C191" s="94" t="s">
        <v>403</v>
      </c>
      <c r="D191" s="122">
        <v>0</v>
      </c>
      <c r="E191" s="98"/>
      <c r="F191" s="85">
        <f t="shared" si="17"/>
        <v>0</v>
      </c>
      <c r="G191" s="428">
        <v>0</v>
      </c>
      <c r="H191" s="446">
        <f t="shared" si="18"/>
        <v>0</v>
      </c>
      <c r="I191" s="446"/>
      <c r="J191" s="85"/>
      <c r="K191" s="85"/>
    </row>
    <row r="192" spans="1:11" s="285" customFormat="1" x14ac:dyDescent="0.25">
      <c r="A192" s="118">
        <v>48</v>
      </c>
      <c r="B192" s="151">
        <v>1190</v>
      </c>
      <c r="C192" s="94" t="s">
        <v>404</v>
      </c>
      <c r="D192" s="122">
        <v>0</v>
      </c>
      <c r="E192" s="98"/>
      <c r="F192" s="85">
        <f t="shared" si="17"/>
        <v>0</v>
      </c>
      <c r="G192" s="428">
        <v>0</v>
      </c>
      <c r="H192" s="446">
        <f t="shared" si="18"/>
        <v>0</v>
      </c>
      <c r="I192" s="446"/>
      <c r="J192" s="85"/>
      <c r="K192" s="85"/>
    </row>
    <row r="193" spans="1:11" s="285" customFormat="1" x14ac:dyDescent="0.25">
      <c r="A193" s="118"/>
      <c r="B193" s="151"/>
      <c r="C193" s="94" t="s">
        <v>405</v>
      </c>
      <c r="D193" s="122">
        <v>0</v>
      </c>
      <c r="E193" s="98"/>
      <c r="F193" s="85">
        <f t="shared" si="17"/>
        <v>0</v>
      </c>
      <c r="G193" s="428">
        <v>0</v>
      </c>
      <c r="H193" s="446">
        <f t="shared" si="18"/>
        <v>0</v>
      </c>
      <c r="I193" s="446"/>
      <c r="J193" s="85"/>
      <c r="K193" s="85"/>
    </row>
    <row r="194" spans="1:11" s="285" customFormat="1" x14ac:dyDescent="0.25">
      <c r="A194" s="118">
        <v>48</v>
      </c>
      <c r="B194" s="151">
        <v>1195</v>
      </c>
      <c r="C194" s="94" t="s">
        <v>199</v>
      </c>
      <c r="D194" s="122">
        <v>0</v>
      </c>
      <c r="E194" s="98"/>
      <c r="F194" s="85">
        <f t="shared" si="17"/>
        <v>0</v>
      </c>
      <c r="G194" s="428">
        <v>0</v>
      </c>
      <c r="H194" s="446">
        <f t="shared" si="18"/>
        <v>0</v>
      </c>
      <c r="I194" s="446"/>
      <c r="J194" s="85"/>
      <c r="K194" s="85"/>
    </row>
    <row r="195" spans="1:11" s="285" customFormat="1" x14ac:dyDescent="0.25">
      <c r="A195" s="118">
        <v>48</v>
      </c>
      <c r="B195" s="151">
        <v>1200</v>
      </c>
      <c r="C195" s="94" t="s">
        <v>117</v>
      </c>
      <c r="D195" s="122">
        <v>0</v>
      </c>
      <c r="E195" s="98"/>
      <c r="F195" s="85">
        <f t="shared" si="17"/>
        <v>0</v>
      </c>
      <c r="G195" s="428">
        <v>0</v>
      </c>
      <c r="H195" s="446">
        <f t="shared" si="18"/>
        <v>0</v>
      </c>
      <c r="I195" s="446"/>
      <c r="J195" s="85"/>
      <c r="K195" s="85"/>
    </row>
    <row r="196" spans="1:11" s="285" customFormat="1" x14ac:dyDescent="0.25">
      <c r="A196" s="118">
        <v>48</v>
      </c>
      <c r="B196" s="151">
        <v>1205</v>
      </c>
      <c r="C196" s="115" t="s">
        <v>105</v>
      </c>
      <c r="D196" s="122">
        <v>0</v>
      </c>
      <c r="E196" s="98"/>
      <c r="F196" s="85">
        <f t="shared" si="17"/>
        <v>0</v>
      </c>
      <c r="G196" s="428">
        <v>0</v>
      </c>
      <c r="H196" s="446">
        <f t="shared" si="18"/>
        <v>0</v>
      </c>
      <c r="I196" s="446"/>
      <c r="J196" s="85"/>
      <c r="K196" s="85"/>
    </row>
    <row r="197" spans="1:11" s="285" customFormat="1" x14ac:dyDescent="0.25">
      <c r="A197" s="118">
        <v>48</v>
      </c>
      <c r="B197" s="151">
        <v>1210</v>
      </c>
      <c r="C197" s="94" t="s">
        <v>118</v>
      </c>
      <c r="D197" s="122">
        <v>15922069.200000001</v>
      </c>
      <c r="E197" s="98">
        <v>16877393.352000002</v>
      </c>
      <c r="F197" s="85">
        <v>16877393</v>
      </c>
      <c r="G197" s="428">
        <v>8487972</v>
      </c>
      <c r="H197" s="446">
        <f t="shared" si="18"/>
        <v>9336769.1999999993</v>
      </c>
      <c r="I197" s="446">
        <f>15815251*1.71428571428571*1.058</f>
        <v>28684346.670857072</v>
      </c>
      <c r="J197" s="85">
        <f>+I197*1.055</f>
        <v>30261985.737754211</v>
      </c>
      <c r="K197" s="85">
        <f>+J197*1.053</f>
        <v>31865870.981855184</v>
      </c>
    </row>
    <row r="198" spans="1:11" s="285" customFormat="1" x14ac:dyDescent="0.25">
      <c r="A198" s="118">
        <v>48</v>
      </c>
      <c r="B198" s="151">
        <v>1215</v>
      </c>
      <c r="C198" s="94" t="s">
        <v>133</v>
      </c>
      <c r="D198" s="122">
        <v>0</v>
      </c>
      <c r="E198" s="98">
        <v>0</v>
      </c>
      <c r="F198" s="85">
        <f t="shared" si="17"/>
        <v>0</v>
      </c>
      <c r="G198" s="428">
        <v>0</v>
      </c>
      <c r="H198" s="446">
        <f t="shared" si="18"/>
        <v>0</v>
      </c>
      <c r="I198" s="446"/>
      <c r="J198" s="85"/>
      <c r="K198" s="85"/>
    </row>
    <row r="199" spans="1:11" s="285" customFormat="1" x14ac:dyDescent="0.25">
      <c r="A199" s="118">
        <v>48</v>
      </c>
      <c r="B199" s="151">
        <v>5905</v>
      </c>
      <c r="C199" s="94" t="s">
        <v>406</v>
      </c>
      <c r="D199" s="85">
        <v>-3240000</v>
      </c>
      <c r="E199" s="85">
        <v>-3434400</v>
      </c>
      <c r="F199" s="85">
        <v>-3934400</v>
      </c>
      <c r="G199" s="428">
        <v>-1422260</v>
      </c>
      <c r="H199" s="446">
        <f t="shared" si="18"/>
        <v>-1564486</v>
      </c>
      <c r="I199" s="446">
        <v>-3624189</v>
      </c>
      <c r="J199" s="85">
        <f>+I199*1.055</f>
        <v>-3823519.3949999996</v>
      </c>
      <c r="K199" s="85">
        <f>+J199*1.053</f>
        <v>-4026165.9229349992</v>
      </c>
    </row>
    <row r="200" spans="1:11" s="285" customFormat="1" x14ac:dyDescent="0.25">
      <c r="A200" s="118">
        <v>48</v>
      </c>
      <c r="B200" s="151">
        <v>5900</v>
      </c>
      <c r="C200" s="94" t="s">
        <v>333</v>
      </c>
      <c r="D200" s="85">
        <v>-16125</v>
      </c>
      <c r="E200" s="85">
        <v>-17024</v>
      </c>
      <c r="F200" s="85">
        <f t="shared" si="17"/>
        <v>-899</v>
      </c>
      <c r="G200" s="428">
        <v>-17024</v>
      </c>
      <c r="H200" s="446">
        <f t="shared" si="18"/>
        <v>-18726.400000000001</v>
      </c>
      <c r="I200" s="446">
        <v>-4681.6000000000004</v>
      </c>
      <c r="J200" s="85"/>
      <c r="K200" s="85"/>
    </row>
    <row r="201" spans="1:11" s="285" customFormat="1" x14ac:dyDescent="0.25">
      <c r="A201" s="118">
        <v>48</v>
      </c>
      <c r="B201" s="151">
        <v>1220</v>
      </c>
      <c r="C201" s="94" t="s">
        <v>340</v>
      </c>
      <c r="D201" s="122"/>
      <c r="E201" s="98">
        <v>0</v>
      </c>
      <c r="F201" s="85">
        <f t="shared" si="17"/>
        <v>0</v>
      </c>
      <c r="G201" s="428">
        <v>0</v>
      </c>
      <c r="H201" s="446">
        <f t="shared" si="18"/>
        <v>0</v>
      </c>
      <c r="I201" s="446"/>
      <c r="J201" s="85"/>
      <c r="K201" s="85"/>
    </row>
    <row r="202" spans="1:11" s="285" customFormat="1" x14ac:dyDescent="0.25">
      <c r="A202" s="118">
        <v>48</v>
      </c>
      <c r="B202" s="151">
        <v>1225</v>
      </c>
      <c r="C202" s="94" t="s">
        <v>370</v>
      </c>
      <c r="D202" s="122"/>
      <c r="E202" s="98">
        <v>0</v>
      </c>
      <c r="F202" s="85">
        <f t="shared" si="17"/>
        <v>0</v>
      </c>
      <c r="G202" s="428">
        <v>0</v>
      </c>
      <c r="H202" s="446">
        <f t="shared" si="18"/>
        <v>0</v>
      </c>
      <c r="I202" s="446"/>
      <c r="J202" s="85"/>
      <c r="K202" s="85"/>
    </row>
    <row r="203" spans="1:11" s="285" customFormat="1" x14ac:dyDescent="0.25">
      <c r="A203" s="118">
        <v>48</v>
      </c>
      <c r="B203" s="151">
        <v>1230</v>
      </c>
      <c r="C203" s="94" t="s">
        <v>119</v>
      </c>
      <c r="D203" s="122"/>
      <c r="E203" s="98">
        <v>0</v>
      </c>
      <c r="F203" s="85">
        <f t="shared" si="17"/>
        <v>0</v>
      </c>
      <c r="G203" s="428">
        <v>0</v>
      </c>
      <c r="H203" s="446">
        <f t="shared" si="18"/>
        <v>0</v>
      </c>
      <c r="I203" s="446"/>
      <c r="J203" s="85"/>
      <c r="K203" s="85"/>
    </row>
    <row r="204" spans="1:11" s="285" customFormat="1" x14ac:dyDescent="0.25">
      <c r="A204" s="118">
        <v>48</v>
      </c>
      <c r="B204" s="151">
        <v>1235</v>
      </c>
      <c r="C204" s="94" t="s">
        <v>347</v>
      </c>
      <c r="D204" s="122"/>
      <c r="E204" s="98">
        <v>0</v>
      </c>
      <c r="F204" s="85">
        <f t="shared" si="17"/>
        <v>0</v>
      </c>
      <c r="G204" s="428">
        <v>0</v>
      </c>
      <c r="H204" s="446">
        <f t="shared" si="18"/>
        <v>0</v>
      </c>
      <c r="I204" s="446"/>
      <c r="J204" s="85"/>
      <c r="K204" s="85"/>
    </row>
    <row r="205" spans="1:11" s="285" customFormat="1" x14ac:dyDescent="0.25">
      <c r="A205" s="118">
        <v>48</v>
      </c>
      <c r="B205" s="151">
        <v>1210</v>
      </c>
      <c r="C205" s="94" t="s">
        <v>510</v>
      </c>
      <c r="D205" s="225"/>
      <c r="E205" s="85">
        <v>11600000</v>
      </c>
      <c r="F205" s="85">
        <f t="shared" si="17"/>
        <v>11600000</v>
      </c>
      <c r="G205" s="428">
        <v>7524374</v>
      </c>
      <c r="H205" s="446">
        <f>(G205*10/100)+G205</f>
        <v>8276811.4000000004</v>
      </c>
      <c r="I205" s="446">
        <f>+H205*1.058</f>
        <v>8756866.4612000007</v>
      </c>
      <c r="J205" s="85">
        <f>+I205*1.055</f>
        <v>9238494.1165660005</v>
      </c>
      <c r="K205" s="85">
        <f>+J205*1.053</f>
        <v>9728134.3047439978</v>
      </c>
    </row>
    <row r="206" spans="1:11" s="285" customFormat="1" x14ac:dyDescent="0.25">
      <c r="A206" s="344"/>
      <c r="B206" s="151"/>
      <c r="C206" s="94"/>
      <c r="D206" s="436">
        <f t="shared" ref="D206:K206" si="19">SUM(D176:D205)</f>
        <v>12559627.200000001</v>
      </c>
      <c r="E206" s="99">
        <f t="shared" si="19"/>
        <v>24912739.352000002</v>
      </c>
      <c r="F206" s="99">
        <f t="shared" si="19"/>
        <v>24535181</v>
      </c>
      <c r="G206" s="436">
        <f t="shared" si="19"/>
        <v>14459833</v>
      </c>
      <c r="H206" s="436">
        <f t="shared" si="19"/>
        <v>15905816.299999999</v>
      </c>
      <c r="I206" s="436">
        <f t="shared" si="19"/>
        <v>33781204.557057068</v>
      </c>
      <c r="J206" s="436">
        <f t="shared" si="19"/>
        <v>35676960.45932021</v>
      </c>
      <c r="K206" s="436">
        <f t="shared" si="19"/>
        <v>37567839.36366418</v>
      </c>
    </row>
    <row r="207" spans="1:11" s="285" customFormat="1" x14ac:dyDescent="0.25">
      <c r="A207" s="344"/>
      <c r="B207" s="151"/>
      <c r="C207" s="93" t="s">
        <v>66</v>
      </c>
      <c r="D207" s="122"/>
      <c r="E207" s="98"/>
      <c r="F207" s="98"/>
      <c r="G207" s="435"/>
      <c r="H207" s="98"/>
      <c r="I207" s="435"/>
      <c r="J207" s="98"/>
      <c r="K207" s="98"/>
    </row>
    <row r="208" spans="1:11" s="285" customFormat="1" hidden="1" x14ac:dyDescent="0.25">
      <c r="A208" s="118">
        <v>48</v>
      </c>
      <c r="B208" s="151">
        <v>1305</v>
      </c>
      <c r="C208" s="94" t="s">
        <v>342</v>
      </c>
      <c r="D208" s="122"/>
      <c r="E208" s="98"/>
      <c r="F208" s="98">
        <f>E208/8*12</f>
        <v>0</v>
      </c>
      <c r="G208" s="435">
        <v>0</v>
      </c>
      <c r="H208" s="98"/>
      <c r="I208" s="435"/>
      <c r="J208" s="98"/>
      <c r="K208" s="98"/>
    </row>
    <row r="209" spans="1:11" s="285" customFormat="1" hidden="1" x14ac:dyDescent="0.25">
      <c r="A209" s="118">
        <v>48</v>
      </c>
      <c r="B209" s="151">
        <v>1310</v>
      </c>
      <c r="C209" s="94" t="s">
        <v>344</v>
      </c>
      <c r="D209" s="122"/>
      <c r="E209" s="98"/>
      <c r="F209" s="98">
        <f>E209/8*12</f>
        <v>0</v>
      </c>
      <c r="G209" s="435">
        <v>0</v>
      </c>
      <c r="H209" s="98"/>
      <c r="I209" s="435"/>
      <c r="J209" s="98"/>
      <c r="K209" s="98"/>
    </row>
    <row r="210" spans="1:11" s="285" customFormat="1" hidden="1" x14ac:dyDescent="0.25">
      <c r="A210" s="118">
        <v>48</v>
      </c>
      <c r="B210" s="151">
        <v>1320</v>
      </c>
      <c r="C210" s="94" t="s">
        <v>345</v>
      </c>
      <c r="D210" s="122"/>
      <c r="E210" s="98"/>
      <c r="F210" s="98">
        <f>E210/8*12</f>
        <v>0</v>
      </c>
      <c r="G210" s="435">
        <v>0</v>
      </c>
      <c r="H210" s="98"/>
      <c r="I210" s="435"/>
      <c r="J210" s="98"/>
      <c r="K210" s="98"/>
    </row>
    <row r="211" spans="1:11" s="285" customFormat="1" hidden="1" x14ac:dyDescent="0.25">
      <c r="A211" s="118">
        <v>48</v>
      </c>
      <c r="B211" s="151">
        <v>1315</v>
      </c>
      <c r="C211" s="94" t="s">
        <v>346</v>
      </c>
      <c r="D211" s="122"/>
      <c r="E211" s="108"/>
      <c r="F211" s="98">
        <f>E211/8*12</f>
        <v>0</v>
      </c>
      <c r="G211" s="435">
        <v>0</v>
      </c>
      <c r="H211" s="98"/>
      <c r="I211" s="435"/>
      <c r="J211" s="98"/>
      <c r="K211" s="108"/>
    </row>
    <row r="212" spans="1:11" s="285" customFormat="1" hidden="1" x14ac:dyDescent="0.25">
      <c r="A212" s="344"/>
      <c r="B212" s="151"/>
      <c r="C212" s="94"/>
      <c r="D212" s="99"/>
      <c r="E212" s="99">
        <f>SUM(E208:E211)</f>
        <v>0</v>
      </c>
      <c r="F212" s="99">
        <f>SUM(F208:F211)</f>
        <v>0</v>
      </c>
      <c r="G212" s="436">
        <v>0</v>
      </c>
      <c r="H212" s="99"/>
      <c r="I212" s="436"/>
      <c r="J212" s="99"/>
      <c r="K212" s="99"/>
    </row>
    <row r="213" spans="1:11" s="285" customFormat="1" hidden="1" x14ac:dyDescent="0.25">
      <c r="A213" s="344"/>
      <c r="B213" s="151"/>
      <c r="C213" s="93" t="s">
        <v>67</v>
      </c>
      <c r="D213" s="122"/>
      <c r="E213" s="98"/>
      <c r="F213" s="98"/>
      <c r="G213" s="435"/>
      <c r="H213" s="98"/>
      <c r="I213" s="435"/>
      <c r="J213" s="98"/>
      <c r="K213" s="98"/>
    </row>
    <row r="214" spans="1:11" s="285" customFormat="1" hidden="1" x14ac:dyDescent="0.25">
      <c r="A214" s="118">
        <v>48</v>
      </c>
      <c r="B214" s="151">
        <v>1400</v>
      </c>
      <c r="C214" s="94" t="s">
        <v>68</v>
      </c>
      <c r="D214" s="122"/>
      <c r="E214" s="108"/>
      <c r="F214" s="98">
        <f>E214/8*12</f>
        <v>0</v>
      </c>
      <c r="G214" s="435">
        <v>0</v>
      </c>
      <c r="H214" s="98"/>
      <c r="I214" s="435"/>
      <c r="J214" s="98"/>
      <c r="K214" s="108"/>
    </row>
    <row r="215" spans="1:11" s="285" customFormat="1" hidden="1" x14ac:dyDescent="0.25">
      <c r="A215" s="118">
        <v>48</v>
      </c>
      <c r="B215" s="151">
        <v>1405</v>
      </c>
      <c r="C215" s="94" t="s">
        <v>69</v>
      </c>
      <c r="D215" s="122"/>
      <c r="E215" s="108"/>
      <c r="F215" s="98">
        <f>E215/8*12</f>
        <v>0</v>
      </c>
      <c r="G215" s="435">
        <v>0</v>
      </c>
      <c r="H215" s="98"/>
      <c r="I215" s="435"/>
      <c r="J215" s="98"/>
      <c r="K215" s="108"/>
    </row>
    <row r="216" spans="1:11" s="285" customFormat="1" hidden="1" x14ac:dyDescent="0.25">
      <c r="A216" s="344"/>
      <c r="B216" s="151"/>
      <c r="C216" s="94"/>
      <c r="D216" s="99"/>
      <c r="E216" s="99">
        <f>SUM(E214:E215)</f>
        <v>0</v>
      </c>
      <c r="F216" s="99">
        <f>SUM(F214:F215)</f>
        <v>0</v>
      </c>
      <c r="G216" s="436">
        <v>0</v>
      </c>
      <c r="H216" s="99"/>
      <c r="I216" s="436"/>
      <c r="J216" s="99"/>
      <c r="K216" s="99"/>
    </row>
    <row r="217" spans="1:11" s="285" customFormat="1" hidden="1" x14ac:dyDescent="0.25">
      <c r="A217" s="344"/>
      <c r="B217" s="151"/>
      <c r="C217" s="93" t="s">
        <v>70</v>
      </c>
      <c r="D217" s="122"/>
      <c r="E217" s="98"/>
      <c r="F217" s="98"/>
      <c r="G217" s="435"/>
      <c r="H217" s="98"/>
      <c r="I217" s="435"/>
      <c r="J217" s="98"/>
      <c r="K217" s="98"/>
    </row>
    <row r="218" spans="1:11" s="285" customFormat="1" hidden="1" x14ac:dyDescent="0.25">
      <c r="A218" s="118">
        <v>48</v>
      </c>
      <c r="B218" s="151">
        <v>1500</v>
      </c>
      <c r="C218" s="94" t="s">
        <v>106</v>
      </c>
      <c r="D218" s="122"/>
      <c r="E218" s="108"/>
      <c r="F218" s="98">
        <f>E218/8*12</f>
        <v>0</v>
      </c>
      <c r="G218" s="435">
        <v>0</v>
      </c>
      <c r="H218" s="98"/>
      <c r="I218" s="435"/>
      <c r="J218" s="98"/>
      <c r="K218" s="108"/>
    </row>
    <row r="219" spans="1:11" s="285" customFormat="1" hidden="1" x14ac:dyDescent="0.25">
      <c r="A219" s="118">
        <v>48</v>
      </c>
      <c r="B219" s="151">
        <v>1505</v>
      </c>
      <c r="C219" s="94" t="s">
        <v>71</v>
      </c>
      <c r="D219" s="122"/>
      <c r="E219" s="108"/>
      <c r="F219" s="98">
        <f>E219/8*12</f>
        <v>0</v>
      </c>
      <c r="G219" s="435">
        <v>0</v>
      </c>
      <c r="H219" s="98"/>
      <c r="I219" s="435"/>
      <c r="J219" s="98"/>
      <c r="K219" s="108"/>
    </row>
    <row r="220" spans="1:11" s="285" customFormat="1" hidden="1" x14ac:dyDescent="0.25">
      <c r="A220" s="118">
        <v>48</v>
      </c>
      <c r="B220" s="151">
        <v>1510</v>
      </c>
      <c r="C220" s="94" t="s">
        <v>72</v>
      </c>
      <c r="D220" s="122"/>
      <c r="E220" s="108"/>
      <c r="F220" s="98">
        <f>E220/8*12</f>
        <v>0</v>
      </c>
      <c r="G220" s="435">
        <v>0</v>
      </c>
      <c r="H220" s="98"/>
      <c r="I220" s="435"/>
      <c r="J220" s="98"/>
      <c r="K220" s="108"/>
    </row>
    <row r="221" spans="1:11" s="285" customFormat="1" hidden="1" x14ac:dyDescent="0.25">
      <c r="A221" s="344"/>
      <c r="B221" s="151"/>
      <c r="C221" s="94"/>
      <c r="D221" s="99"/>
      <c r="E221" s="99">
        <f>SUM(E218:E220)</f>
        <v>0</v>
      </c>
      <c r="F221" s="99">
        <f>SUM(F218:F220)</f>
        <v>0</v>
      </c>
      <c r="G221" s="436">
        <v>0</v>
      </c>
      <c r="H221" s="99"/>
      <c r="I221" s="436"/>
      <c r="J221" s="99"/>
      <c r="K221" s="99"/>
    </row>
    <row r="222" spans="1:11" s="285" customFormat="1" hidden="1" x14ac:dyDescent="0.25">
      <c r="A222" s="344"/>
      <c r="B222" s="151"/>
      <c r="C222" s="93" t="s">
        <v>73</v>
      </c>
      <c r="D222" s="122"/>
      <c r="E222" s="98"/>
      <c r="F222" s="98"/>
      <c r="G222" s="435"/>
      <c r="H222" s="98"/>
      <c r="I222" s="435"/>
      <c r="J222" s="98"/>
      <c r="K222" s="98"/>
    </row>
    <row r="223" spans="1:11" s="285" customFormat="1" hidden="1" x14ac:dyDescent="0.25">
      <c r="A223" s="118">
        <v>48</v>
      </c>
      <c r="B223" s="151">
        <v>1550</v>
      </c>
      <c r="C223" s="94" t="s">
        <v>349</v>
      </c>
      <c r="D223" s="122"/>
      <c r="E223" s="98"/>
      <c r="F223" s="98">
        <f>E223/8*12</f>
        <v>0</v>
      </c>
      <c r="G223" s="435">
        <v>0</v>
      </c>
      <c r="H223" s="98"/>
      <c r="I223" s="435"/>
      <c r="J223" s="98"/>
      <c r="K223" s="98"/>
    </row>
    <row r="224" spans="1:11" s="285" customFormat="1" hidden="1" x14ac:dyDescent="0.25">
      <c r="A224" s="118">
        <v>48</v>
      </c>
      <c r="B224" s="151">
        <v>1555</v>
      </c>
      <c r="C224" s="94" t="s">
        <v>348</v>
      </c>
      <c r="D224" s="122"/>
      <c r="E224" s="98"/>
      <c r="F224" s="98">
        <f>E224/8*12</f>
        <v>0</v>
      </c>
      <c r="G224" s="435">
        <v>0</v>
      </c>
      <c r="H224" s="98"/>
      <c r="I224" s="435"/>
      <c r="J224" s="98"/>
      <c r="K224" s="108"/>
    </row>
    <row r="225" spans="1:11" s="285" customFormat="1" hidden="1" x14ac:dyDescent="0.25">
      <c r="A225" s="344"/>
      <c r="B225" s="151"/>
      <c r="C225" s="94"/>
      <c r="D225" s="100"/>
      <c r="E225" s="100">
        <f>SUM(E223:E224)</f>
        <v>0</v>
      </c>
      <c r="F225" s="100">
        <f>SUM(F223:F224)</f>
        <v>0</v>
      </c>
      <c r="G225" s="437">
        <v>0</v>
      </c>
      <c r="H225" s="100"/>
      <c r="I225" s="437"/>
      <c r="J225" s="100"/>
      <c r="K225" s="100"/>
    </row>
    <row r="226" spans="1:11" s="285" customFormat="1" ht="13.5" customHeight="1" x14ac:dyDescent="0.25">
      <c r="A226" s="344"/>
      <c r="B226" s="151"/>
      <c r="C226" s="93" t="s">
        <v>74</v>
      </c>
      <c r="D226" s="122"/>
      <c r="E226" s="98"/>
      <c r="F226" s="98"/>
      <c r="G226" s="435"/>
      <c r="H226" s="98"/>
      <c r="I226" s="435"/>
      <c r="J226" s="98"/>
      <c r="K226" s="98"/>
    </row>
    <row r="227" spans="1:11" s="285" customFormat="1" x14ac:dyDescent="0.25">
      <c r="A227" s="118">
        <v>48</v>
      </c>
      <c r="B227" s="151">
        <v>1605</v>
      </c>
      <c r="C227" s="94" t="s">
        <v>75</v>
      </c>
      <c r="D227" s="122">
        <v>9000000</v>
      </c>
      <c r="E227" s="98">
        <v>20000000</v>
      </c>
      <c r="F227" s="85">
        <v>20000000</v>
      </c>
      <c r="G227" s="86">
        <v>20000000</v>
      </c>
      <c r="H227" s="86">
        <v>21212000</v>
      </c>
      <c r="I227" s="86">
        <v>13248150</v>
      </c>
      <c r="J227" s="98">
        <f>4000000+7741170</f>
        <v>11741170</v>
      </c>
      <c r="K227" s="85">
        <f>7512840+5000000</f>
        <v>12512840</v>
      </c>
    </row>
    <row r="228" spans="1:11" s="285" customFormat="1" hidden="1" x14ac:dyDescent="0.25">
      <c r="A228" s="118">
        <v>48</v>
      </c>
      <c r="B228" s="151">
        <v>1610</v>
      </c>
      <c r="C228" s="94" t="s">
        <v>131</v>
      </c>
      <c r="D228" s="122"/>
      <c r="E228" s="108"/>
      <c r="F228" s="85"/>
      <c r="G228" s="86">
        <v>0</v>
      </c>
      <c r="H228" s="86"/>
      <c r="I228" s="86"/>
      <c r="J228" s="98"/>
      <c r="K228" s="85"/>
    </row>
    <row r="229" spans="1:11" s="285" customFormat="1" hidden="1" x14ac:dyDescent="0.25">
      <c r="A229" s="118">
        <v>48</v>
      </c>
      <c r="B229" s="151">
        <v>1615</v>
      </c>
      <c r="C229" s="94" t="s">
        <v>182</v>
      </c>
      <c r="D229" s="122"/>
      <c r="E229" s="108"/>
      <c r="F229" s="85"/>
      <c r="G229" s="86">
        <v>0</v>
      </c>
      <c r="H229" s="86"/>
      <c r="I229" s="86"/>
      <c r="J229" s="98"/>
      <c r="K229" s="85"/>
    </row>
    <row r="230" spans="1:11" s="285" customFormat="1" hidden="1" x14ac:dyDescent="0.25">
      <c r="A230" s="118">
        <v>48</v>
      </c>
      <c r="B230" s="151">
        <v>1620</v>
      </c>
      <c r="C230" s="94" t="s">
        <v>255</v>
      </c>
      <c r="D230" s="122"/>
      <c r="E230" s="108"/>
      <c r="F230" s="85"/>
      <c r="G230" s="86">
        <v>0</v>
      </c>
      <c r="H230" s="86"/>
      <c r="I230" s="86"/>
      <c r="J230" s="98"/>
      <c r="K230" s="85"/>
    </row>
    <row r="231" spans="1:11" s="285" customFormat="1" hidden="1" x14ac:dyDescent="0.25">
      <c r="A231" s="118">
        <v>48</v>
      </c>
      <c r="B231" s="151">
        <v>1625</v>
      </c>
      <c r="C231" s="94" t="s">
        <v>108</v>
      </c>
      <c r="D231" s="122"/>
      <c r="E231" s="108"/>
      <c r="F231" s="85"/>
      <c r="G231" s="86">
        <v>0</v>
      </c>
      <c r="H231" s="86"/>
      <c r="I231" s="86"/>
      <c r="J231" s="98"/>
      <c r="K231" s="85"/>
    </row>
    <row r="232" spans="1:11" s="285" customFormat="1" hidden="1" x14ac:dyDescent="0.25">
      <c r="A232" s="118">
        <v>48</v>
      </c>
      <c r="B232" s="151">
        <v>1630</v>
      </c>
      <c r="C232" s="94" t="s">
        <v>76</v>
      </c>
      <c r="D232" s="122"/>
      <c r="E232" s="108"/>
      <c r="F232" s="85"/>
      <c r="G232" s="86">
        <v>0</v>
      </c>
      <c r="H232" s="86"/>
      <c r="I232" s="86"/>
      <c r="J232" s="98"/>
      <c r="K232" s="85"/>
    </row>
    <row r="233" spans="1:11" s="285" customFormat="1" hidden="1" x14ac:dyDescent="0.25">
      <c r="A233" s="118">
        <v>48</v>
      </c>
      <c r="B233" s="151">
        <v>1635</v>
      </c>
      <c r="C233" s="94" t="s">
        <v>180</v>
      </c>
      <c r="D233" s="122"/>
      <c r="E233" s="108"/>
      <c r="F233" s="85"/>
      <c r="G233" s="86">
        <v>0</v>
      </c>
      <c r="H233" s="86"/>
      <c r="I233" s="86"/>
      <c r="J233" s="98"/>
      <c r="K233" s="85"/>
    </row>
    <row r="234" spans="1:11" s="285" customFormat="1" hidden="1" x14ac:dyDescent="0.25">
      <c r="A234" s="118">
        <v>48</v>
      </c>
      <c r="B234" s="151">
        <v>1640</v>
      </c>
      <c r="C234" s="94" t="s">
        <v>184</v>
      </c>
      <c r="D234" s="122"/>
      <c r="E234" s="108"/>
      <c r="F234" s="85"/>
      <c r="G234" s="86">
        <v>0</v>
      </c>
      <c r="H234" s="86"/>
      <c r="I234" s="86"/>
      <c r="J234" s="98"/>
      <c r="K234" s="85"/>
    </row>
    <row r="235" spans="1:11" s="285" customFormat="1" hidden="1" x14ac:dyDescent="0.25">
      <c r="A235" s="118">
        <v>48</v>
      </c>
      <c r="B235" s="151">
        <v>1645</v>
      </c>
      <c r="C235" s="94" t="s">
        <v>77</v>
      </c>
      <c r="D235" s="122"/>
      <c r="E235" s="108"/>
      <c r="F235" s="85"/>
      <c r="G235" s="86">
        <v>0</v>
      </c>
      <c r="H235" s="86"/>
      <c r="I235" s="86"/>
      <c r="J235" s="98"/>
      <c r="K235" s="85"/>
    </row>
    <row r="236" spans="1:11" s="285" customFormat="1" hidden="1" x14ac:dyDescent="0.25">
      <c r="A236" s="118">
        <v>48</v>
      </c>
      <c r="B236" s="151">
        <v>1650</v>
      </c>
      <c r="C236" s="94" t="s">
        <v>78</v>
      </c>
      <c r="D236" s="122"/>
      <c r="E236" s="108"/>
      <c r="F236" s="85"/>
      <c r="G236" s="86">
        <v>0</v>
      </c>
      <c r="H236" s="86"/>
      <c r="I236" s="86"/>
      <c r="J236" s="98"/>
      <c r="K236" s="85"/>
    </row>
    <row r="237" spans="1:11" s="285" customFormat="1" hidden="1" x14ac:dyDescent="0.25">
      <c r="A237" s="118">
        <v>48</v>
      </c>
      <c r="B237" s="151"/>
      <c r="C237" s="94" t="s">
        <v>200</v>
      </c>
      <c r="D237" s="122"/>
      <c r="E237" s="108"/>
      <c r="F237" s="85"/>
      <c r="G237" s="86">
        <v>0</v>
      </c>
      <c r="H237" s="86"/>
      <c r="I237" s="86"/>
      <c r="J237" s="98"/>
      <c r="K237" s="85"/>
    </row>
    <row r="238" spans="1:11" s="285" customFormat="1" hidden="1" x14ac:dyDescent="0.25">
      <c r="A238" s="118">
        <v>48</v>
      </c>
      <c r="B238" s="151">
        <v>1660</v>
      </c>
      <c r="C238" s="94" t="s">
        <v>185</v>
      </c>
      <c r="D238" s="122"/>
      <c r="E238" s="108"/>
      <c r="F238" s="85"/>
      <c r="G238" s="86">
        <v>0</v>
      </c>
      <c r="H238" s="86"/>
      <c r="I238" s="86"/>
      <c r="J238" s="98"/>
      <c r="K238" s="85"/>
    </row>
    <row r="239" spans="1:11" s="285" customFormat="1" x14ac:dyDescent="0.25">
      <c r="A239" s="118">
        <v>48</v>
      </c>
      <c r="B239" s="151">
        <v>1665</v>
      </c>
      <c r="C239" s="94" t="s">
        <v>494</v>
      </c>
      <c r="D239" s="122"/>
      <c r="E239" s="108">
        <v>17000000</v>
      </c>
      <c r="F239" s="85">
        <v>17000000</v>
      </c>
      <c r="G239" s="86">
        <v>17000000</v>
      </c>
      <c r="H239" s="86">
        <v>46000000</v>
      </c>
      <c r="I239" s="86">
        <v>55000000</v>
      </c>
      <c r="J239" s="98">
        <v>42000000</v>
      </c>
      <c r="K239" s="85">
        <v>30000000</v>
      </c>
    </row>
    <row r="240" spans="1:11" s="285" customFormat="1" x14ac:dyDescent="0.25">
      <c r="A240" s="344"/>
      <c r="B240" s="151"/>
      <c r="C240" s="94"/>
      <c r="D240" s="436">
        <f t="shared" ref="D240:K240" si="20">SUM(D227:D239)</f>
        <v>9000000</v>
      </c>
      <c r="E240" s="99">
        <f t="shared" si="20"/>
        <v>37000000</v>
      </c>
      <c r="F240" s="436">
        <f t="shared" si="20"/>
        <v>37000000</v>
      </c>
      <c r="G240" s="436">
        <f t="shared" si="20"/>
        <v>37000000</v>
      </c>
      <c r="H240" s="436">
        <f t="shared" si="20"/>
        <v>67212000</v>
      </c>
      <c r="I240" s="436">
        <f t="shared" si="20"/>
        <v>68248150</v>
      </c>
      <c r="J240" s="436">
        <f t="shared" si="20"/>
        <v>53741170</v>
      </c>
      <c r="K240" s="436">
        <f t="shared" si="20"/>
        <v>42512840</v>
      </c>
    </row>
    <row r="241" spans="1:11" s="285" customFormat="1" hidden="1" x14ac:dyDescent="0.25">
      <c r="A241" s="344"/>
      <c r="B241" s="151"/>
      <c r="C241" s="93" t="s">
        <v>79</v>
      </c>
      <c r="D241" s="122"/>
      <c r="E241" s="98"/>
      <c r="F241" s="98"/>
      <c r="G241" s="435"/>
      <c r="H241" s="98"/>
      <c r="I241" s="435"/>
      <c r="J241" s="435"/>
      <c r="K241" s="435"/>
    </row>
    <row r="242" spans="1:11" s="285" customFormat="1" hidden="1" x14ac:dyDescent="0.25">
      <c r="A242" s="118">
        <v>48</v>
      </c>
      <c r="B242" s="151">
        <v>1705</v>
      </c>
      <c r="C242" s="94" t="s">
        <v>123</v>
      </c>
      <c r="D242" s="122">
        <v>0</v>
      </c>
      <c r="E242" s="98"/>
      <c r="F242" s="98">
        <f t="shared" ref="F242:F247" si="21">E242/8*12</f>
        <v>0</v>
      </c>
      <c r="G242" s="435">
        <v>0</v>
      </c>
      <c r="H242" s="98">
        <f t="shared" ref="H242:H247" si="22">F242/8*12</f>
        <v>0</v>
      </c>
      <c r="I242" s="435">
        <f t="shared" ref="I242:I247" si="23">G242/8*12</f>
        <v>0</v>
      </c>
      <c r="J242" s="435">
        <f t="shared" ref="J242:J247" si="24">H242/8*12</f>
        <v>0</v>
      </c>
      <c r="K242" s="435">
        <f t="shared" ref="K242:K247" si="25">I242/8*12</f>
        <v>0</v>
      </c>
    </row>
    <row r="243" spans="1:11" s="285" customFormat="1" hidden="1" x14ac:dyDescent="0.25">
      <c r="A243" s="118">
        <v>48</v>
      </c>
      <c r="B243" s="151">
        <v>1710</v>
      </c>
      <c r="C243" s="94" t="s">
        <v>242</v>
      </c>
      <c r="D243" s="122">
        <v>0</v>
      </c>
      <c r="E243" s="98"/>
      <c r="F243" s="98">
        <f t="shared" si="21"/>
        <v>0</v>
      </c>
      <c r="G243" s="435">
        <v>0</v>
      </c>
      <c r="H243" s="98">
        <f t="shared" si="22"/>
        <v>0</v>
      </c>
      <c r="I243" s="435">
        <f t="shared" si="23"/>
        <v>0</v>
      </c>
      <c r="J243" s="435">
        <f t="shared" si="24"/>
        <v>0</v>
      </c>
      <c r="K243" s="435">
        <f t="shared" si="25"/>
        <v>0</v>
      </c>
    </row>
    <row r="244" spans="1:11" s="285" customFormat="1" hidden="1" x14ac:dyDescent="0.25">
      <c r="A244" s="118">
        <v>48</v>
      </c>
      <c r="B244" s="151">
        <v>1715</v>
      </c>
      <c r="C244" s="94" t="s">
        <v>183</v>
      </c>
      <c r="D244" s="122">
        <v>0</v>
      </c>
      <c r="E244" s="98"/>
      <c r="F244" s="98">
        <f t="shared" si="21"/>
        <v>0</v>
      </c>
      <c r="G244" s="435">
        <v>0</v>
      </c>
      <c r="H244" s="98">
        <f t="shared" si="22"/>
        <v>0</v>
      </c>
      <c r="I244" s="435">
        <f t="shared" si="23"/>
        <v>0</v>
      </c>
      <c r="J244" s="435">
        <f t="shared" si="24"/>
        <v>0</v>
      </c>
      <c r="K244" s="435">
        <f t="shared" si="25"/>
        <v>0</v>
      </c>
    </row>
    <row r="245" spans="1:11" s="285" customFormat="1" hidden="1" x14ac:dyDescent="0.25">
      <c r="A245" s="118">
        <v>48</v>
      </c>
      <c r="B245" s="151">
        <v>1720</v>
      </c>
      <c r="C245" s="94" t="s">
        <v>103</v>
      </c>
      <c r="D245" s="122">
        <v>0</v>
      </c>
      <c r="E245" s="98"/>
      <c r="F245" s="98">
        <f t="shared" si="21"/>
        <v>0</v>
      </c>
      <c r="G245" s="435">
        <v>0</v>
      </c>
      <c r="H245" s="98">
        <f t="shared" si="22"/>
        <v>0</v>
      </c>
      <c r="I245" s="435">
        <f t="shared" si="23"/>
        <v>0</v>
      </c>
      <c r="J245" s="435">
        <f t="shared" si="24"/>
        <v>0</v>
      </c>
      <c r="K245" s="435">
        <f t="shared" si="25"/>
        <v>0</v>
      </c>
    </row>
    <row r="246" spans="1:11" s="285" customFormat="1" hidden="1" x14ac:dyDescent="0.25">
      <c r="A246" s="118">
        <v>48</v>
      </c>
      <c r="B246" s="151">
        <v>1725</v>
      </c>
      <c r="C246" s="94" t="s">
        <v>107</v>
      </c>
      <c r="D246" s="122">
        <v>0</v>
      </c>
      <c r="E246" s="98"/>
      <c r="F246" s="98">
        <f t="shared" si="21"/>
        <v>0</v>
      </c>
      <c r="G246" s="435">
        <v>0</v>
      </c>
      <c r="H246" s="98">
        <f t="shared" si="22"/>
        <v>0</v>
      </c>
      <c r="I246" s="435">
        <f t="shared" si="23"/>
        <v>0</v>
      </c>
      <c r="J246" s="435">
        <f t="shared" si="24"/>
        <v>0</v>
      </c>
      <c r="K246" s="435">
        <f t="shared" si="25"/>
        <v>0</v>
      </c>
    </row>
    <row r="247" spans="1:11" s="285" customFormat="1" hidden="1" x14ac:dyDescent="0.25">
      <c r="A247" s="118">
        <v>48</v>
      </c>
      <c r="B247" s="151">
        <v>1730</v>
      </c>
      <c r="C247" s="94" t="s">
        <v>256</v>
      </c>
      <c r="D247" s="122">
        <v>0</v>
      </c>
      <c r="E247" s="98"/>
      <c r="F247" s="98">
        <f t="shared" si="21"/>
        <v>0</v>
      </c>
      <c r="G247" s="435">
        <v>0</v>
      </c>
      <c r="H247" s="98">
        <f t="shared" si="22"/>
        <v>0</v>
      </c>
      <c r="I247" s="435">
        <f t="shared" si="23"/>
        <v>0</v>
      </c>
      <c r="J247" s="435">
        <f t="shared" si="24"/>
        <v>0</v>
      </c>
      <c r="K247" s="435">
        <f t="shared" si="25"/>
        <v>0</v>
      </c>
    </row>
    <row r="248" spans="1:11" s="285" customFormat="1" hidden="1" x14ac:dyDescent="0.25">
      <c r="A248" s="344"/>
      <c r="B248" s="151"/>
      <c r="C248" s="94"/>
      <c r="D248" s="99">
        <v>0</v>
      </c>
      <c r="E248" s="99">
        <f>SUM(E242:E247)</f>
        <v>0</v>
      </c>
      <c r="F248" s="99">
        <f>SUM(F242:F247)</f>
        <v>0</v>
      </c>
      <c r="G248" s="436">
        <v>0</v>
      </c>
      <c r="H248" s="99">
        <f>SUM(H242:H247)</f>
        <v>0</v>
      </c>
      <c r="I248" s="436">
        <f>SUM(I242:I247)</f>
        <v>0</v>
      </c>
      <c r="J248" s="436">
        <f>SUM(J242:J247)</f>
        <v>0</v>
      </c>
      <c r="K248" s="436">
        <f>SUM(K242:K247)</f>
        <v>0</v>
      </c>
    </row>
    <row r="249" spans="1:11" s="285" customFormat="1" hidden="1" x14ac:dyDescent="0.25">
      <c r="A249" s="344"/>
      <c r="B249" s="151"/>
      <c r="C249" s="93" t="s">
        <v>80</v>
      </c>
      <c r="D249" s="122"/>
      <c r="E249" s="98"/>
      <c r="F249" s="98"/>
      <c r="G249" s="435"/>
      <c r="H249" s="98"/>
      <c r="I249" s="435"/>
      <c r="J249" s="435"/>
      <c r="K249" s="435"/>
    </row>
    <row r="250" spans="1:11" s="285" customFormat="1" hidden="1" x14ac:dyDescent="0.25">
      <c r="A250" s="118">
        <v>48</v>
      </c>
      <c r="B250" s="151">
        <v>1805</v>
      </c>
      <c r="C250" s="94" t="s">
        <v>81</v>
      </c>
      <c r="D250" s="122">
        <v>0</v>
      </c>
      <c r="E250" s="108"/>
      <c r="F250" s="98">
        <f>E250/8*12</f>
        <v>0</v>
      </c>
      <c r="G250" s="435">
        <v>0</v>
      </c>
      <c r="H250" s="98">
        <f>F250/8*12</f>
        <v>0</v>
      </c>
      <c r="I250" s="435">
        <f>G250/8*12</f>
        <v>0</v>
      </c>
      <c r="J250" s="435">
        <f>H250/8*12</f>
        <v>0</v>
      </c>
      <c r="K250" s="435">
        <f>I250/8*12</f>
        <v>0</v>
      </c>
    </row>
    <row r="251" spans="1:11" s="285" customFormat="1" hidden="1" x14ac:dyDescent="0.25">
      <c r="A251" s="344"/>
      <c r="B251" s="151"/>
      <c r="C251" s="94"/>
      <c r="D251" s="99">
        <v>0</v>
      </c>
      <c r="E251" s="99">
        <f>E250</f>
        <v>0</v>
      </c>
      <c r="F251" s="99">
        <f>F250</f>
        <v>0</v>
      </c>
      <c r="G251" s="436">
        <v>0</v>
      </c>
      <c r="H251" s="99">
        <f>H250</f>
        <v>0</v>
      </c>
      <c r="I251" s="436">
        <f>I250</f>
        <v>0</v>
      </c>
      <c r="J251" s="436">
        <f>J250</f>
        <v>0</v>
      </c>
      <c r="K251" s="436">
        <f>K250</f>
        <v>0</v>
      </c>
    </row>
    <row r="252" spans="1:11" s="285" customFormat="1" x14ac:dyDescent="0.25">
      <c r="A252" s="344"/>
      <c r="B252" s="346"/>
      <c r="C252" s="93" t="s">
        <v>192</v>
      </c>
      <c r="D252" s="442">
        <f t="shared" ref="D252:K252" si="26">SUM(D171:D251)/2</f>
        <v>21559627.200000003</v>
      </c>
      <c r="E252" s="442">
        <f t="shared" si="26"/>
        <v>61912739.351999998</v>
      </c>
      <c r="F252" s="442">
        <f t="shared" si="26"/>
        <v>61535181</v>
      </c>
      <c r="G252" s="442">
        <f t="shared" si="26"/>
        <v>51459833</v>
      </c>
      <c r="H252" s="442">
        <f t="shared" si="26"/>
        <v>83117816.299999997</v>
      </c>
      <c r="I252" s="442">
        <f t="shared" si="26"/>
        <v>102029354.55705707</v>
      </c>
      <c r="J252" s="442">
        <f t="shared" si="26"/>
        <v>89418130.459320217</v>
      </c>
      <c r="K252" s="442">
        <f t="shared" si="26"/>
        <v>80080679.36366418</v>
      </c>
    </row>
    <row r="253" spans="1:11" s="285" customFormat="1" hidden="1" x14ac:dyDescent="0.25">
      <c r="A253" s="344"/>
      <c r="B253" s="151"/>
      <c r="C253" s="94"/>
      <c r="D253" s="117"/>
      <c r="E253" s="117"/>
      <c r="F253" s="117"/>
      <c r="G253" s="442"/>
      <c r="H253" s="117"/>
      <c r="I253" s="442"/>
      <c r="J253" s="442"/>
      <c r="K253" s="442"/>
    </row>
    <row r="254" spans="1:11" s="285" customFormat="1" hidden="1" x14ac:dyDescent="0.25">
      <c r="A254" s="344"/>
      <c r="B254" s="151"/>
      <c r="C254" s="145" t="s">
        <v>193</v>
      </c>
      <c r="D254" s="124"/>
      <c r="E254" s="146"/>
      <c r="F254" s="124"/>
      <c r="G254" s="445"/>
      <c r="H254" s="124"/>
      <c r="I254" s="445"/>
      <c r="J254" s="445"/>
      <c r="K254" s="445"/>
    </row>
    <row r="255" spans="1:11" s="285" customFormat="1" hidden="1" x14ac:dyDescent="0.25">
      <c r="A255" s="118">
        <v>48</v>
      </c>
      <c r="B255" s="151">
        <v>1905</v>
      </c>
      <c r="C255" s="118" t="s">
        <v>194</v>
      </c>
      <c r="D255" s="127">
        <v>0</v>
      </c>
      <c r="E255" s="147"/>
      <c r="F255" s="98">
        <f>E255/8*12</f>
        <v>0</v>
      </c>
      <c r="G255" s="435">
        <v>0</v>
      </c>
      <c r="H255" s="98">
        <f>F255/8*12</f>
        <v>0</v>
      </c>
      <c r="I255" s="435">
        <f>G255/8*12</f>
        <v>0</v>
      </c>
      <c r="J255" s="435">
        <f>H255/8*12</f>
        <v>0</v>
      </c>
      <c r="K255" s="435">
        <f>I255/8*12</f>
        <v>0</v>
      </c>
    </row>
    <row r="256" spans="1:11" s="285" customFormat="1" hidden="1" x14ac:dyDescent="0.25">
      <c r="A256" s="344"/>
      <c r="B256" s="151"/>
      <c r="C256" s="94"/>
      <c r="D256" s="117">
        <v>0</v>
      </c>
      <c r="E256" s="117">
        <f>SUM(E255)</f>
        <v>0</v>
      </c>
      <c r="F256" s="117">
        <f>SUM(F255)</f>
        <v>0</v>
      </c>
      <c r="G256" s="442">
        <v>0</v>
      </c>
      <c r="H256" s="117">
        <f>SUM(H255)</f>
        <v>0</v>
      </c>
      <c r="I256" s="442">
        <f>SUM(I255)</f>
        <v>0</v>
      </c>
      <c r="J256" s="442">
        <f>SUM(J255)</f>
        <v>0</v>
      </c>
      <c r="K256" s="442">
        <f>SUM(K255)</f>
        <v>0</v>
      </c>
    </row>
    <row r="257" spans="1:11" s="285" customFormat="1" x14ac:dyDescent="0.25">
      <c r="A257" s="344"/>
      <c r="B257" s="151"/>
      <c r="C257" s="93" t="s">
        <v>189</v>
      </c>
      <c r="D257" s="117">
        <v>21559627.200000003</v>
      </c>
      <c r="E257" s="117">
        <f>E252+E256</f>
        <v>61912739.351999998</v>
      </c>
      <c r="F257" s="117">
        <f>F252+F256</f>
        <v>61535181</v>
      </c>
      <c r="G257" s="442">
        <v>46959833</v>
      </c>
      <c r="H257" s="117">
        <f>H252+H256</f>
        <v>83117816.299999997</v>
      </c>
      <c r="I257" s="442">
        <f>I252+I256</f>
        <v>102029354.55705707</v>
      </c>
      <c r="J257" s="442">
        <f>J252+J256</f>
        <v>89418130.459320217</v>
      </c>
      <c r="K257" s="442">
        <f>K252+K256</f>
        <v>80080679.36366418</v>
      </c>
    </row>
    <row r="258" spans="1:11" s="285" customFormat="1" hidden="1" x14ac:dyDescent="0.25">
      <c r="A258" s="344"/>
      <c r="B258" s="151"/>
      <c r="C258" s="145" t="s">
        <v>195</v>
      </c>
      <c r="D258" s="124"/>
      <c r="E258" s="148"/>
      <c r="F258" s="125"/>
      <c r="G258" s="446"/>
      <c r="H258" s="125"/>
      <c r="I258" s="446"/>
      <c r="J258" s="446"/>
      <c r="K258" s="446"/>
    </row>
    <row r="259" spans="1:11" s="285" customFormat="1" hidden="1" x14ac:dyDescent="0.25">
      <c r="A259" s="118">
        <v>48</v>
      </c>
      <c r="B259" s="151">
        <v>1950</v>
      </c>
      <c r="C259" s="118" t="s">
        <v>196</v>
      </c>
      <c r="D259" s="127">
        <v>0</v>
      </c>
      <c r="E259" s="147"/>
      <c r="F259" s="98">
        <f>E259/8*12</f>
        <v>0</v>
      </c>
      <c r="G259" s="435">
        <v>0</v>
      </c>
      <c r="H259" s="98">
        <f>F259/8*12</f>
        <v>0</v>
      </c>
      <c r="I259" s="435">
        <f>G259/8*12</f>
        <v>0</v>
      </c>
      <c r="J259" s="435">
        <f>H259/8*12</f>
        <v>0</v>
      </c>
      <c r="K259" s="435">
        <f>I259/8*12</f>
        <v>0</v>
      </c>
    </row>
    <row r="260" spans="1:11" s="285" customFormat="1" hidden="1" x14ac:dyDescent="0.25">
      <c r="A260" s="344"/>
      <c r="B260" s="346"/>
      <c r="C260" s="94"/>
      <c r="D260" s="124">
        <v>0</v>
      </c>
      <c r="E260" s="124">
        <f>E259</f>
        <v>0</v>
      </c>
      <c r="F260" s="124">
        <f>F259</f>
        <v>0</v>
      </c>
      <c r="G260" s="445">
        <v>0</v>
      </c>
      <c r="H260" s="124">
        <f>H259</f>
        <v>0</v>
      </c>
      <c r="I260" s="445">
        <f>I259</f>
        <v>0</v>
      </c>
      <c r="J260" s="445">
        <f>J259</f>
        <v>0</v>
      </c>
      <c r="K260" s="445">
        <f>K259</f>
        <v>0</v>
      </c>
    </row>
    <row r="261" spans="1:11" s="285" customFormat="1" x14ac:dyDescent="0.25">
      <c r="A261" s="348"/>
      <c r="B261" s="351"/>
      <c r="C261" s="93" t="s">
        <v>197</v>
      </c>
      <c r="D261" s="160">
        <v>21559627.200000003</v>
      </c>
      <c r="E261" s="160">
        <f>E257+E260</f>
        <v>61912739.351999998</v>
      </c>
      <c r="F261" s="160">
        <f>F257+F260</f>
        <v>61535181</v>
      </c>
      <c r="G261" s="448">
        <v>46959833</v>
      </c>
      <c r="H261" s="160">
        <f>H257+H260</f>
        <v>83117816.299999997</v>
      </c>
      <c r="I261" s="448">
        <f>I257+I260</f>
        <v>102029354.55705707</v>
      </c>
      <c r="J261" s="448">
        <f>J257+J260</f>
        <v>89418130.459320217</v>
      </c>
      <c r="K261" s="448">
        <f>K257+K260</f>
        <v>80080679.36366418</v>
      </c>
    </row>
    <row r="262" spans="1:11" s="285" customFormat="1" x14ac:dyDescent="0.25">
      <c r="A262" s="349"/>
      <c r="B262" s="154"/>
      <c r="C262" s="126" t="s">
        <v>82</v>
      </c>
      <c r="D262" s="449">
        <f t="shared" ref="D262:K262" si="27">D261-D165</f>
        <v>-3060953.799999997</v>
      </c>
      <c r="E262" s="161">
        <f t="shared" si="27"/>
        <v>38975305.707000002</v>
      </c>
      <c r="F262" s="161">
        <f t="shared" si="27"/>
        <v>46547747.355000004</v>
      </c>
      <c r="G262" s="449">
        <f t="shared" si="27"/>
        <v>31972399.355</v>
      </c>
      <c r="H262" s="161">
        <f t="shared" si="27"/>
        <v>61813194.280999996</v>
      </c>
      <c r="I262" s="449">
        <f t="shared" si="27"/>
        <v>79433863.203657076</v>
      </c>
      <c r="J262" s="449">
        <f t="shared" si="27"/>
        <v>67981038.596483231</v>
      </c>
      <c r="K262" s="449">
        <f t="shared" si="27"/>
        <v>57507421.632096827</v>
      </c>
    </row>
    <row r="263" spans="1:11" x14ac:dyDescent="0.25">
      <c r="A263" s="101"/>
    </row>
    <row r="264" spans="1:11" x14ac:dyDescent="0.25">
      <c r="A264" s="101"/>
    </row>
    <row r="266" spans="1:11" x14ac:dyDescent="0.25">
      <c r="E266" s="128"/>
      <c r="F266" s="128"/>
      <c r="G266" s="128"/>
      <c r="H266" s="128"/>
      <c r="I266" s="128"/>
      <c r="J266" s="128"/>
    </row>
    <row r="267" spans="1:11" x14ac:dyDescent="0.25">
      <c r="E267" s="128"/>
      <c r="F267" s="128"/>
      <c r="G267" s="128"/>
      <c r="H267" s="128"/>
      <c r="I267" s="128"/>
      <c r="J267" s="128"/>
      <c r="K267" s="109"/>
    </row>
    <row r="268" spans="1:11" x14ac:dyDescent="0.25">
      <c r="E268" s="128"/>
      <c r="F268" s="128"/>
      <c r="G268" s="128"/>
      <c r="H268" s="128"/>
      <c r="I268" s="128"/>
      <c r="J268" s="128"/>
    </row>
  </sheetData>
  <mergeCells count="4">
    <mergeCell ref="A3:C3"/>
    <mergeCell ref="A4:B5"/>
    <mergeCell ref="A169:B170"/>
    <mergeCell ref="A1:K1"/>
  </mergeCells>
  <phoneticPr fontId="0" type="noConversion"/>
  <pageMargins left="0.74803149606299213" right="0.74803149606299213" top="0.62992125984251968" bottom="0.51181102362204722" header="0.51181102362204722" footer="0.35433070866141736"/>
  <pageSetup scale="44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F148"/>
  <sheetViews>
    <sheetView view="pageBreakPreview" topLeftCell="B1" zoomScaleSheetLayoutView="100" workbookViewId="0">
      <selection activeCell="G188" sqref="G188"/>
    </sheetView>
  </sheetViews>
  <sheetFormatPr defaultRowHeight="13.2" x14ac:dyDescent="0.25"/>
  <cols>
    <col min="1" max="1" width="17.44140625" hidden="1" customWidth="1"/>
    <col min="2" max="2" width="26.88671875" customWidth="1"/>
    <col min="3" max="3" width="13.88671875" bestFit="1" customWidth="1"/>
    <col min="4" max="4" width="10.44140625" customWidth="1"/>
    <col min="5" max="5" width="12.44140625" customWidth="1"/>
    <col min="6" max="6" width="12.5546875" customWidth="1"/>
    <col min="7" max="7" width="11" customWidth="1"/>
    <col min="8" max="8" width="11" bestFit="1" customWidth="1"/>
    <col min="9" max="9" width="13.88671875" bestFit="1" customWidth="1"/>
    <col min="10" max="10" width="11.109375" customWidth="1"/>
    <col min="11" max="11" width="11" bestFit="1" customWidth="1"/>
    <col min="12" max="12" width="11.33203125" customWidth="1"/>
    <col min="13" max="13" width="10.6640625" customWidth="1"/>
    <col min="15" max="15" width="18.88671875" customWidth="1"/>
    <col min="16" max="16" width="26.109375" customWidth="1"/>
    <col min="17" max="17" width="11.44140625" style="16" customWidth="1"/>
    <col min="18" max="18" width="10.109375" style="16" bestFit="1" customWidth="1"/>
    <col min="19" max="19" width="10.109375" style="16" customWidth="1"/>
    <col min="20" max="20" width="9.109375" style="16" customWidth="1"/>
    <col min="21" max="21" width="9.33203125" style="16" bestFit="1" customWidth="1"/>
    <col min="22" max="22" width="11.44140625" style="16" bestFit="1" customWidth="1"/>
    <col min="23" max="23" width="15.33203125" style="16" bestFit="1" customWidth="1"/>
    <col min="24" max="24" width="13.88671875" style="16" bestFit="1" customWidth="1"/>
    <col min="25" max="25" width="13.88671875" style="16" customWidth="1"/>
    <col min="26" max="28" width="9.109375" style="16" customWidth="1"/>
  </cols>
  <sheetData>
    <row r="1" spans="1:32" x14ac:dyDescent="0.25">
      <c r="A1" s="924" t="s">
        <v>150</v>
      </c>
      <c r="B1" s="925"/>
      <c r="C1" s="925"/>
      <c r="D1" s="925"/>
      <c r="E1" s="925"/>
      <c r="F1" s="925"/>
      <c r="G1" s="925"/>
      <c r="H1" s="925"/>
      <c r="I1" s="18"/>
      <c r="J1" s="18"/>
      <c r="K1" s="18"/>
      <c r="L1" s="18"/>
      <c r="M1" s="137">
        <v>2</v>
      </c>
    </row>
    <row r="2" spans="1:32" x14ac:dyDescent="0.25">
      <c r="A2" s="23"/>
      <c r="B2" s="24"/>
      <c r="C2" s="24"/>
      <c r="D2" s="24"/>
      <c r="E2" s="24"/>
      <c r="F2" s="24"/>
      <c r="G2" s="24"/>
      <c r="H2" s="24"/>
      <c r="I2" s="19"/>
      <c r="J2" s="19"/>
      <c r="K2" s="19"/>
      <c r="L2" s="19"/>
      <c r="M2" s="20"/>
    </row>
    <row r="3" spans="1:32" x14ac:dyDescent="0.25">
      <c r="A3" s="926" t="s">
        <v>383</v>
      </c>
      <c r="B3" s="927"/>
      <c r="C3" s="927"/>
      <c r="D3" s="927"/>
      <c r="E3" s="927"/>
      <c r="F3" s="21"/>
      <c r="G3" s="21"/>
      <c r="H3" s="21"/>
      <c r="I3" s="21"/>
      <c r="J3" s="21"/>
      <c r="K3" s="21"/>
      <c r="L3" s="21"/>
      <c r="M3" s="22"/>
    </row>
    <row r="4" spans="1:32" x14ac:dyDescent="0.25">
      <c r="A4" s="29"/>
      <c r="B4" s="30"/>
      <c r="C4" s="30"/>
      <c r="D4" s="928" t="s">
        <v>129</v>
      </c>
      <c r="E4" s="928"/>
      <c r="F4" s="928"/>
      <c r="G4" s="928"/>
      <c r="H4" s="928"/>
      <c r="I4" s="929" t="s">
        <v>130</v>
      </c>
      <c r="J4" s="930"/>
      <c r="K4" s="930"/>
      <c r="L4" s="930"/>
      <c r="M4" s="931"/>
      <c r="O4" s="11"/>
      <c r="P4" s="11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11"/>
      <c r="AD4" s="11"/>
      <c r="AE4" s="11"/>
      <c r="AF4" s="11"/>
    </row>
    <row r="5" spans="1:32" x14ac:dyDescent="0.25">
      <c r="A5" s="5" t="s">
        <v>126</v>
      </c>
      <c r="B5" s="5" t="s">
        <v>127</v>
      </c>
      <c r="C5" s="14" t="s">
        <v>21</v>
      </c>
      <c r="D5" s="83" t="s">
        <v>396</v>
      </c>
      <c r="E5" s="83" t="s">
        <v>26</v>
      </c>
      <c r="F5" s="90" t="s">
        <v>24</v>
      </c>
      <c r="G5" s="83" t="s">
        <v>24</v>
      </c>
      <c r="H5" s="83" t="s">
        <v>24</v>
      </c>
      <c r="I5" s="83" t="s">
        <v>396</v>
      </c>
      <c r="J5" s="83" t="s">
        <v>26</v>
      </c>
      <c r="K5" s="90" t="s">
        <v>24</v>
      </c>
      <c r="L5" s="83" t="s">
        <v>24</v>
      </c>
      <c r="M5" s="83" t="s">
        <v>24</v>
      </c>
      <c r="O5" s="11"/>
      <c r="P5" s="11"/>
      <c r="Q5" s="53"/>
      <c r="R5" s="53"/>
      <c r="S5" s="53"/>
      <c r="T5" s="53"/>
      <c r="U5" s="53"/>
      <c r="V5" s="53"/>
      <c r="W5" s="53"/>
      <c r="X5" s="53"/>
      <c r="Y5" s="53"/>
      <c r="Z5" s="53"/>
      <c r="AA5" s="53"/>
      <c r="AB5" s="53"/>
      <c r="AC5" s="11"/>
      <c r="AD5" s="11"/>
      <c r="AE5" s="11"/>
      <c r="AF5" s="11"/>
    </row>
    <row r="6" spans="1:32" x14ac:dyDescent="0.25">
      <c r="A6" s="4"/>
      <c r="B6" s="4"/>
      <c r="C6" s="15"/>
      <c r="D6" s="84" t="s">
        <v>240</v>
      </c>
      <c r="E6" s="84" t="s">
        <v>240</v>
      </c>
      <c r="F6" s="91" t="s">
        <v>245</v>
      </c>
      <c r="G6" s="84" t="s">
        <v>257</v>
      </c>
      <c r="H6" s="84" t="s">
        <v>382</v>
      </c>
      <c r="I6" s="84" t="s">
        <v>240</v>
      </c>
      <c r="J6" s="84" t="s">
        <v>240</v>
      </c>
      <c r="K6" s="91" t="s">
        <v>245</v>
      </c>
      <c r="L6" s="84" t="s">
        <v>257</v>
      </c>
      <c r="M6" s="84" t="s">
        <v>382</v>
      </c>
      <c r="O6" s="11"/>
      <c r="P6" s="11"/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  <c r="AB6" s="53"/>
      <c r="AC6" s="11"/>
      <c r="AD6" s="11"/>
      <c r="AE6" s="11"/>
      <c r="AF6" s="11"/>
    </row>
    <row r="7" spans="1:32" x14ac:dyDescent="0.25">
      <c r="A7" s="5" t="s">
        <v>1</v>
      </c>
      <c r="B7" s="97" t="s">
        <v>12</v>
      </c>
      <c r="C7" s="5">
        <v>10</v>
      </c>
      <c r="D7" s="88">
        <f>+'EXP ALLOCATION'!H6</f>
        <v>5723258</v>
      </c>
      <c r="E7" s="88">
        <f>+'EXP ALLOCATION'!I6</f>
        <v>6257258</v>
      </c>
      <c r="F7" s="164">
        <f>+'EXP ALLOCATION'!J6</f>
        <v>6142861.7319771433</v>
      </c>
      <c r="G7" s="88" t="e">
        <f>+'EXP ALLOCATION'!L6</f>
        <v>#REF!</v>
      </c>
      <c r="H7" s="88" t="e">
        <f>+'EXP ALLOCATION'!M6</f>
        <v>#REF!</v>
      </c>
      <c r="I7" s="88">
        <f>+COUNCIL!E261</f>
        <v>27530007</v>
      </c>
      <c r="J7" s="88">
        <f>+COUNCIL!F261</f>
        <v>27588507</v>
      </c>
      <c r="K7" s="164">
        <f>+COUNCIL!K261</f>
        <v>8367305.6717576385</v>
      </c>
      <c r="L7" s="88" t="e">
        <f>+COUNCIL!#REF!</f>
        <v>#REF!</v>
      </c>
      <c r="M7" s="88" t="e">
        <f>+COUNCIL!#REF!</f>
        <v>#REF!</v>
      </c>
      <c r="O7" s="8"/>
      <c r="P7" s="8"/>
      <c r="Q7" s="53"/>
      <c r="R7" s="53"/>
      <c r="S7" s="53"/>
      <c r="T7" s="53"/>
      <c r="U7" s="53"/>
      <c r="V7" s="53"/>
      <c r="W7" s="53"/>
      <c r="X7" s="53"/>
      <c r="Y7" s="53"/>
      <c r="Z7" s="76"/>
      <c r="AA7" s="53"/>
      <c r="AB7" s="53"/>
      <c r="AC7" s="11"/>
      <c r="AD7" s="11"/>
      <c r="AE7" s="11"/>
      <c r="AF7" s="11"/>
    </row>
    <row r="8" spans="1:32" x14ac:dyDescent="0.25">
      <c r="A8" s="2"/>
      <c r="B8" s="94" t="s">
        <v>352</v>
      </c>
      <c r="C8" s="2">
        <v>12</v>
      </c>
      <c r="D8" s="85">
        <f>+'EXP ALLOCATION'!H7</f>
        <v>4190826</v>
      </c>
      <c r="E8" s="85">
        <f>+'EXP ALLOCATION'!I7</f>
        <v>4198826</v>
      </c>
      <c r="F8" s="165">
        <f>+'EXP ALLOCATION'!J7</f>
        <v>5271341.0208525714</v>
      </c>
      <c r="G8" s="85" t="e">
        <f>+'EXP ALLOCATION'!L7</f>
        <v>#REF!</v>
      </c>
      <c r="H8" s="85" t="e">
        <f>+'EXP ALLOCATION'!M7</f>
        <v>#REF!</v>
      </c>
      <c r="I8" s="85">
        <f>+MAYOR!E261</f>
        <v>929007</v>
      </c>
      <c r="J8" s="85">
        <f>+MAYOR!F261</f>
        <v>960902</v>
      </c>
      <c r="K8" s="165">
        <f>+MAYOR!K261</f>
        <v>2197138.5228150543</v>
      </c>
      <c r="L8" s="85" t="e">
        <f>+MAYOR!#REF!</f>
        <v>#REF!</v>
      </c>
      <c r="M8" s="85" t="e">
        <f>+MAYOR!#REF!</f>
        <v>#REF!</v>
      </c>
      <c r="O8" s="8"/>
      <c r="P8" s="8"/>
      <c r="Q8" s="53"/>
      <c r="R8" s="53"/>
      <c r="S8" s="53"/>
      <c r="T8" s="53"/>
      <c r="U8" s="53"/>
      <c r="V8" s="53"/>
      <c r="W8" s="53"/>
      <c r="X8" s="53"/>
      <c r="Y8" s="53"/>
      <c r="Z8" s="76"/>
      <c r="AA8" s="53"/>
      <c r="AB8" s="53"/>
      <c r="AC8" s="11"/>
      <c r="AD8" s="11"/>
      <c r="AE8" s="11"/>
      <c r="AF8" s="11"/>
    </row>
    <row r="9" spans="1:32" x14ac:dyDescent="0.25">
      <c r="A9" s="2"/>
      <c r="B9" s="94" t="s">
        <v>353</v>
      </c>
      <c r="C9" s="2">
        <v>14</v>
      </c>
      <c r="D9" s="85">
        <f>+'EXP ALLOCATION'!H8</f>
        <v>2175883</v>
      </c>
      <c r="E9" s="85">
        <f>+'EXP ALLOCATION'!I8</f>
        <v>2286875</v>
      </c>
      <c r="F9" s="165">
        <f>+'EXP ALLOCATION'!J8</f>
        <v>2122617.3239063518</v>
      </c>
      <c r="G9" s="85" t="e">
        <f>+'EXP ALLOCATION'!L8</f>
        <v>#REF!</v>
      </c>
      <c r="H9" s="85" t="e">
        <f>+'EXP ALLOCATION'!M8</f>
        <v>#REF!</v>
      </c>
      <c r="I9" s="85">
        <f>+SPEAKER!E261</f>
        <v>-50993</v>
      </c>
      <c r="J9" s="85">
        <f>+SPEAKER!F261</f>
        <v>-50993</v>
      </c>
      <c r="K9" s="165">
        <f>+SPEAKER!L261</f>
        <v>0</v>
      </c>
      <c r="L9" s="85" t="e">
        <f>+SPEAKER!#REF!</f>
        <v>#REF!</v>
      </c>
      <c r="M9" s="85" t="e">
        <f>+SPEAKER!#REF!</f>
        <v>#REF!</v>
      </c>
      <c r="O9" s="8"/>
      <c r="P9" s="8"/>
      <c r="Q9" s="53"/>
      <c r="R9" s="53"/>
      <c r="S9" s="53"/>
      <c r="T9" s="53"/>
      <c r="U9" s="53"/>
      <c r="V9" s="53"/>
      <c r="W9" s="53"/>
      <c r="X9" s="53"/>
      <c r="Y9" s="53"/>
      <c r="Z9" s="76"/>
      <c r="AA9" s="53"/>
      <c r="AB9" s="53"/>
      <c r="AC9" s="11"/>
      <c r="AD9" s="11"/>
      <c r="AE9" s="11"/>
      <c r="AF9" s="11"/>
    </row>
    <row r="10" spans="1:32" x14ac:dyDescent="0.25">
      <c r="A10" s="2"/>
      <c r="B10" s="94" t="s">
        <v>121</v>
      </c>
      <c r="C10" s="2">
        <v>16</v>
      </c>
      <c r="D10" s="85">
        <f>+'EXP ALLOCATION'!H9</f>
        <v>11014324</v>
      </c>
      <c r="E10" s="85">
        <f>+'EXP ALLOCATION'!I9</f>
        <v>13089324</v>
      </c>
      <c r="F10" s="165">
        <f>+'EXP ALLOCATION'!J9</f>
        <v>8835135.2929640003</v>
      </c>
      <c r="G10" s="85" t="e">
        <f>+'EXP ALLOCATION'!L9</f>
        <v>#REF!</v>
      </c>
      <c r="H10" s="85" t="e">
        <f>+'EXP ALLOCATION'!M9</f>
        <v>#REF!</v>
      </c>
      <c r="I10" s="85">
        <f>+MM!E261</f>
        <v>-62342</v>
      </c>
      <c r="J10" s="85">
        <f>+MM!F261</f>
        <v>-3572</v>
      </c>
      <c r="K10" s="165">
        <f>+MM!K261</f>
        <v>7581607.2457525823</v>
      </c>
      <c r="L10" s="85" t="e">
        <f>+MM!#REF!</f>
        <v>#REF!</v>
      </c>
      <c r="M10" s="85" t="e">
        <f>+MM!#REF!</f>
        <v>#REF!</v>
      </c>
      <c r="O10" s="8"/>
      <c r="P10" s="8"/>
      <c r="Q10" s="53"/>
      <c r="R10" s="53"/>
      <c r="S10" s="53"/>
      <c r="T10" s="53"/>
      <c r="U10" s="53"/>
      <c r="V10" s="53"/>
      <c r="W10" s="53"/>
      <c r="X10" s="53"/>
      <c r="Y10" s="53"/>
      <c r="Z10" s="76"/>
      <c r="AA10" s="53"/>
      <c r="AB10" s="53"/>
      <c r="AC10" s="11"/>
      <c r="AD10" s="11"/>
      <c r="AE10" s="11"/>
      <c r="AF10" s="11"/>
    </row>
    <row r="11" spans="1:32" x14ac:dyDescent="0.25">
      <c r="A11" s="2"/>
      <c r="B11" s="94" t="s">
        <v>148</v>
      </c>
      <c r="C11" s="2">
        <v>18</v>
      </c>
      <c r="D11" s="85">
        <f>+'EXP ALLOCATION'!H10</f>
        <v>9548628</v>
      </c>
      <c r="E11" s="85">
        <f>+'EXP ALLOCATION'!I10</f>
        <v>15489628</v>
      </c>
      <c r="F11" s="165">
        <f>+'EXP ALLOCATION'!J10</f>
        <v>28371933.074365199</v>
      </c>
      <c r="G11" s="85" t="e">
        <f>+'EXP ALLOCATION'!L10</f>
        <v>#REF!</v>
      </c>
      <c r="H11" s="85" t="e">
        <f>+'EXP ALLOCATION'!M10</f>
        <v>#REF!</v>
      </c>
      <c r="I11" s="85">
        <f>+CORP!E260</f>
        <v>0</v>
      </c>
      <c r="J11" s="85">
        <f>+CORP!F260</f>
        <v>0</v>
      </c>
      <c r="K11" s="165">
        <f>+CORP!K260</f>
        <v>0</v>
      </c>
      <c r="L11" s="85" t="e">
        <f>+CORP!#REF!</f>
        <v>#REF!</v>
      </c>
      <c r="M11" s="85" t="e">
        <f>+CORP!#REF!</f>
        <v>#REF!</v>
      </c>
      <c r="O11" s="8"/>
      <c r="P11" s="8"/>
      <c r="Q11" s="53"/>
      <c r="R11" s="53"/>
      <c r="S11" s="53"/>
      <c r="T11" s="53"/>
      <c r="U11" s="53"/>
      <c r="V11" s="53"/>
      <c r="W11" s="53"/>
      <c r="X11" s="53"/>
      <c r="Y11" s="53"/>
      <c r="Z11" s="76"/>
      <c r="AA11" s="53"/>
      <c r="AB11" s="53"/>
      <c r="AC11" s="11"/>
      <c r="AD11" s="11"/>
      <c r="AE11" s="11"/>
      <c r="AF11" s="11"/>
    </row>
    <row r="12" spans="1:32" x14ac:dyDescent="0.25">
      <c r="A12" s="2" t="s">
        <v>2</v>
      </c>
      <c r="B12" s="94" t="s">
        <v>13</v>
      </c>
      <c r="C12" s="2">
        <v>20</v>
      </c>
      <c r="D12" s="85">
        <f>+'EXP ALLOCATION'!H11</f>
        <v>1557832</v>
      </c>
      <c r="E12" s="85">
        <f>+'EXP ALLOCATION'!I11</f>
        <v>1557832</v>
      </c>
      <c r="F12" s="165">
        <f>+'EXP ALLOCATION'!J11</f>
        <v>105500</v>
      </c>
      <c r="G12" s="85" t="e">
        <f>+'EXP ALLOCATION'!L11</f>
        <v>#REF!</v>
      </c>
      <c r="H12" s="85" t="e">
        <f>+'EXP ALLOCATION'!M11</f>
        <v>#REF!</v>
      </c>
      <c r="I12" s="85">
        <f>+PROP!E261</f>
        <v>92877.98</v>
      </c>
      <c r="J12" s="85">
        <f>+PROP!F261</f>
        <v>92877.98</v>
      </c>
      <c r="K12" s="165">
        <f>+PROP!K261</f>
        <v>52560.944456072488</v>
      </c>
      <c r="L12" s="85" t="e">
        <f>+PROP!#REF!</f>
        <v>#REF!</v>
      </c>
      <c r="M12" s="85" t="e">
        <f>+PROP!#REF!</f>
        <v>#REF!</v>
      </c>
      <c r="O12" s="8"/>
      <c r="P12" s="8"/>
      <c r="Q12" s="53"/>
      <c r="R12" s="53"/>
      <c r="S12" s="53"/>
      <c r="T12" s="53"/>
      <c r="U12" s="53"/>
      <c r="V12" s="53"/>
      <c r="W12" s="53"/>
      <c r="X12" s="53"/>
      <c r="Y12" s="53"/>
      <c r="Z12" s="76"/>
      <c r="AA12" s="53"/>
      <c r="AB12" s="53"/>
      <c r="AC12" s="11"/>
      <c r="AD12" s="11"/>
      <c r="AE12" s="11"/>
      <c r="AF12" s="11"/>
    </row>
    <row r="13" spans="1:32" x14ac:dyDescent="0.25">
      <c r="A13" s="2"/>
      <c r="B13" s="94" t="s">
        <v>0</v>
      </c>
      <c r="C13" s="2">
        <v>22</v>
      </c>
      <c r="D13" s="85">
        <f>+'EXP ALLOCATION'!H12</f>
        <v>6471462.1299999999</v>
      </c>
      <c r="E13" s="85">
        <f>+'EXP ALLOCATION'!I12</f>
        <v>6471462.1299999999</v>
      </c>
      <c r="F13" s="165">
        <f>+'EXP ALLOCATION'!J12</f>
        <v>4209407.8</v>
      </c>
      <c r="G13" s="85" t="e">
        <f>+'EXP ALLOCATION'!L12</f>
        <v>#REF!</v>
      </c>
      <c r="H13" s="85" t="e">
        <f>+'EXP ALLOCATION'!M12</f>
        <v>#REF!</v>
      </c>
      <c r="I13" s="85">
        <f>+RATES!E261</f>
        <v>10980450.425760001</v>
      </c>
      <c r="J13" s="85">
        <f>+RATES!F261</f>
        <v>16280450.425760003</v>
      </c>
      <c r="K13" s="165">
        <f>+RATES!K261</f>
        <v>26475333.97768867</v>
      </c>
      <c r="L13" s="85" t="e">
        <f>+RATES!#REF!</f>
        <v>#REF!</v>
      </c>
      <c r="M13" s="85" t="e">
        <f>+RATES!#REF!</f>
        <v>#REF!</v>
      </c>
      <c r="O13" s="8"/>
      <c r="P13" s="8"/>
      <c r="Q13" s="53"/>
      <c r="R13" s="53"/>
      <c r="S13" s="53"/>
      <c r="T13" s="53"/>
      <c r="U13" s="53"/>
      <c r="V13" s="53"/>
      <c r="W13" s="53"/>
      <c r="X13" s="53"/>
      <c r="Y13" s="53"/>
      <c r="Z13" s="76"/>
      <c r="AA13" s="53"/>
      <c r="AB13" s="53"/>
      <c r="AC13" s="11"/>
      <c r="AD13" s="11"/>
      <c r="AE13" s="11"/>
      <c r="AF13" s="11"/>
    </row>
    <row r="14" spans="1:32" x14ac:dyDescent="0.25">
      <c r="A14" s="2"/>
      <c r="B14" s="94" t="s">
        <v>17</v>
      </c>
      <c r="C14" s="2">
        <v>24</v>
      </c>
      <c r="D14" s="85">
        <f>+'EXP ALLOCATION'!H13</f>
        <v>3041896</v>
      </c>
      <c r="E14" s="85">
        <f>+'EXP ALLOCATION'!I13</f>
        <v>2714876</v>
      </c>
      <c r="F14" s="165">
        <f>+'EXP ALLOCATION'!J13</f>
        <v>4678873.0872480003</v>
      </c>
      <c r="G14" s="85" t="e">
        <f>+'EXP ALLOCATION'!L13</f>
        <v>#REF!</v>
      </c>
      <c r="H14" s="85" t="e">
        <f>+'EXP ALLOCATION'!M13</f>
        <v>#REF!</v>
      </c>
      <c r="I14" s="85">
        <f>+THALL!E261</f>
        <v>1477</v>
      </c>
      <c r="J14" s="85">
        <f>+THALL!F261</f>
        <v>1478</v>
      </c>
      <c r="K14" s="165">
        <f>+THALL!K261</f>
        <v>53805.419762194142</v>
      </c>
      <c r="L14" s="85" t="e">
        <f>+THALL!#REF!</f>
        <v>#REF!</v>
      </c>
      <c r="M14" s="85" t="e">
        <f>+THALL!#REF!</f>
        <v>#REF!</v>
      </c>
      <c r="O14" s="8"/>
      <c r="P14" s="8"/>
      <c r="Q14" s="53"/>
      <c r="R14" s="53"/>
      <c r="S14" s="53"/>
      <c r="T14" s="53"/>
      <c r="U14" s="53"/>
      <c r="V14" s="53"/>
      <c r="W14" s="53"/>
      <c r="X14" s="53"/>
      <c r="Y14" s="53"/>
      <c r="Z14" s="76"/>
      <c r="AA14" s="53"/>
      <c r="AB14" s="53"/>
      <c r="AC14" s="11"/>
      <c r="AD14" s="11"/>
      <c r="AE14" s="11"/>
      <c r="AF14" s="11"/>
    </row>
    <row r="15" spans="1:32" x14ac:dyDescent="0.25">
      <c r="A15" s="2"/>
      <c r="B15" s="94" t="s">
        <v>356</v>
      </c>
      <c r="C15" s="2">
        <v>26</v>
      </c>
      <c r="D15" s="85">
        <f>+'EXP ALLOCATION'!H14</f>
        <v>19700491</v>
      </c>
      <c r="E15" s="85">
        <f>+'EXP ALLOCATION'!I14</f>
        <v>20176828</v>
      </c>
      <c r="F15" s="165">
        <f>+'EXP ALLOCATION'!J14</f>
        <v>92958722.325248554</v>
      </c>
      <c r="G15" s="85" t="e">
        <f>+'EXP ALLOCATION'!L14</f>
        <v>#REF!</v>
      </c>
      <c r="H15" s="85" t="e">
        <f>+'EXP ALLOCATION'!M14</f>
        <v>#REF!</v>
      </c>
      <c r="I15" s="85">
        <f>+FIN!E261</f>
        <v>16010321.321599999</v>
      </c>
      <c r="J15" s="85">
        <f>+FIN!F261</f>
        <v>8549999.3215999994</v>
      </c>
      <c r="K15" s="165">
        <f>+FIN!K261</f>
        <v>17146023.774233934</v>
      </c>
      <c r="L15" s="85" t="e">
        <f>+FIN!#REF!</f>
        <v>#REF!</v>
      </c>
      <c r="M15" s="85" t="e">
        <f>+FIN!#REF!</f>
        <v>#REF!</v>
      </c>
      <c r="O15" s="8"/>
      <c r="P15" s="8"/>
      <c r="Q15" s="53"/>
      <c r="R15" s="53"/>
      <c r="S15" s="53"/>
      <c r="T15" s="53"/>
      <c r="U15" s="53"/>
      <c r="V15" s="76"/>
      <c r="W15" s="53"/>
      <c r="X15" s="53"/>
      <c r="Y15" s="53"/>
      <c r="Z15" s="76"/>
      <c r="AA15" s="53"/>
      <c r="AB15" s="53"/>
      <c r="AC15" s="11"/>
      <c r="AD15" s="11"/>
      <c r="AE15" s="11"/>
      <c r="AF15" s="11"/>
    </row>
    <row r="16" spans="1:32" x14ac:dyDescent="0.25">
      <c r="A16" s="2" t="s">
        <v>3</v>
      </c>
      <c r="B16" s="94" t="s">
        <v>368</v>
      </c>
      <c r="C16" s="2">
        <v>28</v>
      </c>
      <c r="D16" s="85">
        <f>+'EXP ALLOCATION'!H15</f>
        <v>5451871.8949999996</v>
      </c>
      <c r="E16" s="85">
        <f>+'EXP ALLOCATION'!I15</f>
        <v>5623343.8949999996</v>
      </c>
      <c r="F16" s="165">
        <f>+'EXP ALLOCATION'!J15</f>
        <v>5739724.076812</v>
      </c>
      <c r="G16" s="85" t="e">
        <f>+'EXP ALLOCATION'!L15</f>
        <v>#REF!</v>
      </c>
      <c r="H16" s="85" t="e">
        <f>+'EXP ALLOCATION'!M15</f>
        <v>#REF!</v>
      </c>
      <c r="I16" s="85">
        <f>+SOCIAL!E260</f>
        <v>0</v>
      </c>
      <c r="J16" s="85">
        <f>+SOCIAL!F260</f>
        <v>0</v>
      </c>
      <c r="K16" s="165">
        <f>+SOCIAL!K260</f>
        <v>0</v>
      </c>
      <c r="L16" s="85" t="e">
        <f>+SOCIAL!#REF!</f>
        <v>#REF!</v>
      </c>
      <c r="M16" s="85" t="e">
        <f>+SOCIAL!#REF!</f>
        <v>#REF!</v>
      </c>
      <c r="O16" s="8"/>
      <c r="P16" s="8"/>
      <c r="Q16" s="53"/>
      <c r="R16" s="53"/>
      <c r="S16" s="53"/>
      <c r="T16" s="53"/>
      <c r="U16" s="53"/>
      <c r="V16" s="53"/>
      <c r="W16" s="53"/>
      <c r="X16" s="53"/>
      <c r="Y16" s="53"/>
      <c r="Z16" s="76"/>
      <c r="AA16" s="53"/>
      <c r="AB16" s="53"/>
      <c r="AC16" s="11"/>
      <c r="AD16" s="11"/>
      <c r="AE16" s="11"/>
      <c r="AF16" s="11"/>
    </row>
    <row r="17" spans="1:32" x14ac:dyDescent="0.25">
      <c r="A17" s="2" t="s">
        <v>4</v>
      </c>
      <c r="B17" s="94" t="s">
        <v>367</v>
      </c>
      <c r="C17" s="2">
        <v>30</v>
      </c>
      <c r="D17" s="85">
        <f>+'EXP ALLOCATION'!H16</f>
        <v>2293034.2000000002</v>
      </c>
      <c r="E17" s="85">
        <f>+'EXP ALLOCATION'!I16</f>
        <v>2293034.2000000002</v>
      </c>
      <c r="F17" s="165">
        <f>+'EXP ALLOCATION'!J16</f>
        <v>1418056.5608879998</v>
      </c>
      <c r="G17" s="85" t="e">
        <f>+'EXP ALLOCATION'!L16</f>
        <v>#REF!</v>
      </c>
      <c r="H17" s="85" t="e">
        <f>+'EXP ALLOCATION'!M16</f>
        <v>#REF!</v>
      </c>
      <c r="I17" s="85">
        <f>+CEMETERY!E261</f>
        <v>9643.8240000000078</v>
      </c>
      <c r="J17" s="85">
        <f>+CEMETERY!F261</f>
        <v>9643.8240000000078</v>
      </c>
      <c r="K17" s="165">
        <f>+CEMETERY!K261</f>
        <v>51565.493931656354</v>
      </c>
      <c r="L17" s="85" t="e">
        <f>+CEMETERY!#REF!</f>
        <v>#REF!</v>
      </c>
      <c r="M17" s="85" t="e">
        <f>+CEMETERY!#REF!</f>
        <v>#REF!</v>
      </c>
      <c r="O17" s="8"/>
      <c r="P17" s="8"/>
      <c r="Q17" s="53"/>
      <c r="R17" s="53"/>
      <c r="S17" s="53"/>
      <c r="T17" s="53"/>
      <c r="U17" s="53"/>
      <c r="V17" s="53"/>
      <c r="W17" s="53"/>
      <c r="X17" s="53"/>
      <c r="Y17" s="53"/>
      <c r="Z17" s="76"/>
      <c r="AA17" s="53"/>
      <c r="AB17" s="53"/>
      <c r="AC17" s="11"/>
      <c r="AD17" s="11"/>
      <c r="AE17" s="11"/>
      <c r="AF17" s="11"/>
    </row>
    <row r="18" spans="1:32" x14ac:dyDescent="0.25">
      <c r="A18" s="2"/>
      <c r="B18" s="94" t="s">
        <v>16</v>
      </c>
      <c r="C18" s="2">
        <v>32</v>
      </c>
      <c r="D18" s="85">
        <f>+'EXP ALLOCATION'!H17</f>
        <v>1200145</v>
      </c>
      <c r="E18" s="85">
        <f>+'EXP ALLOCATION'!I17</f>
        <v>1205545</v>
      </c>
      <c r="F18" s="165">
        <f>+'EXP ALLOCATION'!J17</f>
        <v>0</v>
      </c>
      <c r="G18" s="85" t="e">
        <f>+'EXP ALLOCATION'!L17</f>
        <v>#REF!</v>
      </c>
      <c r="H18" s="85" t="e">
        <f>+'EXP ALLOCATION'!M17</f>
        <v>#REF!</v>
      </c>
      <c r="I18" s="85">
        <f>+LIBRARIES!E261</f>
        <v>-64145</v>
      </c>
      <c r="J18" s="85">
        <f>+LIBRARIES!F261</f>
        <v>-16125</v>
      </c>
      <c r="K18" s="165">
        <f>+LIBRARIES!J261</f>
        <v>0</v>
      </c>
      <c r="L18" s="85" t="e">
        <f>+LIBRARIES!#REF!</f>
        <v>#REF!</v>
      </c>
      <c r="M18" s="85" t="e">
        <f>+LIBRARIES!#REF!</f>
        <v>#REF!</v>
      </c>
      <c r="O18" s="8"/>
      <c r="P18" s="8"/>
      <c r="Q18" s="53"/>
      <c r="R18" s="53"/>
      <c r="S18" s="53"/>
      <c r="T18" s="53"/>
      <c r="U18" s="53"/>
      <c r="V18" s="53"/>
      <c r="W18" s="53"/>
      <c r="X18" s="53"/>
      <c r="Y18" s="53"/>
      <c r="Z18" s="76"/>
      <c r="AA18" s="53"/>
      <c r="AB18" s="53"/>
      <c r="AC18" s="11"/>
      <c r="AD18" s="11"/>
      <c r="AE18" s="11"/>
      <c r="AF18" s="11"/>
    </row>
    <row r="19" spans="1:32" x14ac:dyDescent="0.25">
      <c r="A19" s="2" t="s">
        <v>5</v>
      </c>
      <c r="B19" s="94" t="s">
        <v>5</v>
      </c>
      <c r="C19" s="2">
        <v>34</v>
      </c>
      <c r="D19" s="85">
        <f>+'EXP ALLOCATION'!H18</f>
        <v>1217467.5</v>
      </c>
      <c r="E19" s="85">
        <f>+'EXP ALLOCATION'!I18</f>
        <v>1217467.5</v>
      </c>
      <c r="F19" s="165">
        <f>+'EXP ALLOCATION'!J18</f>
        <v>1236473.4949999999</v>
      </c>
      <c r="G19" s="85" t="e">
        <f>+'EXP ALLOCATION'!L18</f>
        <v>#REF!</v>
      </c>
      <c r="H19" s="85" t="e">
        <f>+'EXP ALLOCATION'!M18</f>
        <v>#REF!</v>
      </c>
      <c r="I19" s="85">
        <f>+HOUSING!E261</f>
        <v>-7397.0959999999977</v>
      </c>
      <c r="J19" s="85">
        <f>+HOUSING!F261</f>
        <v>-7397.0959999999977</v>
      </c>
      <c r="K19" s="165">
        <f>+HOUSING!K261</f>
        <v>100766.17977629497</v>
      </c>
      <c r="L19" s="85" t="e">
        <f>+HOUSING!#REF!</f>
        <v>#REF!</v>
      </c>
      <c r="M19" s="85" t="e">
        <f>+HOUSING!#REF!</f>
        <v>#REF!</v>
      </c>
      <c r="O19" s="8"/>
      <c r="P19" s="8"/>
      <c r="Q19" s="53"/>
      <c r="R19" s="53"/>
      <c r="S19" s="53"/>
      <c r="T19" s="53"/>
      <c r="U19" s="53"/>
      <c r="V19" s="53"/>
      <c r="W19" s="53"/>
      <c r="X19" s="53"/>
      <c r="Y19" s="53"/>
      <c r="Z19" s="76"/>
      <c r="AA19" s="53"/>
      <c r="AB19" s="53"/>
      <c r="AC19" s="11"/>
      <c r="AD19" s="11"/>
      <c r="AE19" s="11"/>
      <c r="AF19" s="11"/>
    </row>
    <row r="20" spans="1:32" x14ac:dyDescent="0.25">
      <c r="A20" s="2"/>
      <c r="B20" s="94" t="s">
        <v>15</v>
      </c>
      <c r="C20" s="2">
        <v>38</v>
      </c>
      <c r="D20" s="85">
        <f>+'EXP ALLOCATION'!H19</f>
        <v>1902771</v>
      </c>
      <c r="E20" s="85">
        <f>+'EXP ALLOCATION'!I19</f>
        <v>1902771</v>
      </c>
      <c r="F20" s="165">
        <f>+'EXP ALLOCATION'!J19</f>
        <v>2357487.3969720001</v>
      </c>
      <c r="G20" s="85" t="e">
        <f>+'EXP ALLOCATION'!L19</f>
        <v>#REF!</v>
      </c>
      <c r="H20" s="85" t="e">
        <f>+'EXP ALLOCATION'!M19</f>
        <v>#REF!</v>
      </c>
      <c r="I20" s="85">
        <f>+TRAFFIC!E261</f>
        <v>225000</v>
      </c>
      <c r="J20" s="85">
        <f>+TRAFFIC!F261</f>
        <v>225000</v>
      </c>
      <c r="K20" s="165">
        <f>+TRAFFIC!K261</f>
        <v>290898.64732499997</v>
      </c>
      <c r="L20" s="85" t="e">
        <f>+TRAFFIC!#REF!</f>
        <v>#REF!</v>
      </c>
      <c r="M20" s="85" t="e">
        <f>+TRAFFIC!#REF!</f>
        <v>#REF!</v>
      </c>
      <c r="O20" s="8"/>
      <c r="P20" s="8"/>
      <c r="Q20" s="53"/>
      <c r="R20" s="53"/>
      <c r="S20" s="53"/>
      <c r="T20" s="53"/>
      <c r="U20" s="53"/>
      <c r="V20" s="53"/>
      <c r="W20" s="53"/>
      <c r="X20" s="53"/>
      <c r="Y20" s="53"/>
      <c r="Z20" s="76"/>
      <c r="AA20" s="53"/>
      <c r="AB20" s="53"/>
      <c r="AC20" s="11"/>
      <c r="AD20" s="11"/>
      <c r="AE20" s="11"/>
      <c r="AF20" s="11"/>
    </row>
    <row r="21" spans="1:32" x14ac:dyDescent="0.25">
      <c r="A21" s="2" t="s">
        <v>6</v>
      </c>
      <c r="B21" s="94" t="s">
        <v>145</v>
      </c>
      <c r="C21" s="2">
        <v>40</v>
      </c>
      <c r="D21" s="85">
        <f>+'EXP ALLOCATION'!H20</f>
        <v>4100022</v>
      </c>
      <c r="E21" s="85">
        <f>+'EXP ALLOCATION'!I20</f>
        <v>3500022</v>
      </c>
      <c r="F21" s="165">
        <f>+'EXP ALLOCATION'!J20</f>
        <v>4132871.0171520002</v>
      </c>
      <c r="G21" s="85" t="e">
        <f>+'EXP ALLOCATION'!L20</f>
        <v>#REF!</v>
      </c>
      <c r="H21" s="85" t="e">
        <f>+'EXP ALLOCATION'!M20</f>
        <v>#REF!</v>
      </c>
      <c r="I21" s="85">
        <f>+PARKS!E261</f>
        <v>-198349</v>
      </c>
      <c r="J21" s="85">
        <f>+PARKS!F261</f>
        <v>-198349</v>
      </c>
      <c r="K21" s="165">
        <f>+PARKS!K261</f>
        <v>-256442.02577007294</v>
      </c>
      <c r="L21" s="85" t="e">
        <f>+PARKS!#REF!</f>
        <v>#REF!</v>
      </c>
      <c r="M21" s="85" t="e">
        <f>+PARKS!#REF!</f>
        <v>#REF!</v>
      </c>
      <c r="O21" s="8"/>
      <c r="P21" s="8"/>
      <c r="Q21" s="53"/>
      <c r="R21" s="53"/>
      <c r="S21" s="53"/>
      <c r="T21" s="53"/>
      <c r="U21" s="53"/>
      <c r="V21" s="53"/>
      <c r="W21" s="53"/>
      <c r="X21" s="53"/>
      <c r="Y21" s="53"/>
      <c r="Z21" s="76"/>
      <c r="AA21" s="53"/>
      <c r="AB21" s="53"/>
      <c r="AC21" s="11"/>
      <c r="AD21" s="11"/>
      <c r="AE21" s="11"/>
      <c r="AF21" s="11"/>
    </row>
    <row r="22" spans="1:32" x14ac:dyDescent="0.25">
      <c r="A22" s="2" t="s">
        <v>7</v>
      </c>
      <c r="B22" s="94" t="s">
        <v>19</v>
      </c>
      <c r="C22" s="2">
        <v>42</v>
      </c>
      <c r="D22" s="85">
        <f>+'EXP ALLOCATION'!H21</f>
        <v>11073611.959567999</v>
      </c>
      <c r="E22" s="85">
        <f>+'EXP ALLOCATION'!I21</f>
        <v>6977611.9595679995</v>
      </c>
      <c r="F22" s="165">
        <f>+'EXP ALLOCATION'!J21</f>
        <v>7088278.6842400003</v>
      </c>
      <c r="G22" s="85" t="e">
        <f>+'EXP ALLOCATION'!L21</f>
        <v>#REF!</v>
      </c>
      <c r="H22" s="85" t="e">
        <f>+'EXP ALLOCATION'!M21</f>
        <v>#REF!</v>
      </c>
      <c r="I22" s="85">
        <f>+REFUSE!E261</f>
        <v>15282176.364800001</v>
      </c>
      <c r="J22" s="85">
        <f>+REFUSE!F261</f>
        <v>16982176.364799999</v>
      </c>
      <c r="K22" s="165">
        <f>+REFUSE!K261</f>
        <v>25068216.817311138</v>
      </c>
      <c r="L22" s="85" t="e">
        <f>+REFUSE!#REF!</f>
        <v>#REF!</v>
      </c>
      <c r="M22" s="85" t="e">
        <f>+REFUSE!#REF!</f>
        <v>#REF!</v>
      </c>
      <c r="O22" s="8"/>
      <c r="P22" s="8"/>
      <c r="Q22" s="53"/>
      <c r="R22" s="53"/>
      <c r="S22" s="53"/>
      <c r="T22" s="53"/>
      <c r="U22" s="53"/>
      <c r="V22" s="53"/>
      <c r="W22" s="53"/>
      <c r="X22" s="53"/>
      <c r="Y22" s="53"/>
      <c r="Z22" s="76"/>
      <c r="AA22" s="53"/>
      <c r="AB22" s="53"/>
      <c r="AC22" s="11"/>
      <c r="AD22" s="11"/>
      <c r="AE22" s="11"/>
      <c r="AF22" s="11"/>
    </row>
    <row r="23" spans="1:32" x14ac:dyDescent="0.25">
      <c r="A23" s="2" t="s">
        <v>8</v>
      </c>
      <c r="B23" s="94" t="s">
        <v>18</v>
      </c>
      <c r="C23" s="2">
        <v>44</v>
      </c>
      <c r="D23" s="85">
        <f>+'EXP ALLOCATION'!H22</f>
        <v>16286654.298924001</v>
      </c>
      <c r="E23" s="85">
        <f>+'EXP ALLOCATION'!I22</f>
        <v>12286654.298924001</v>
      </c>
      <c r="F23" s="165">
        <f>+'EXP ALLOCATION'!J22</f>
        <v>13171248.7703561</v>
      </c>
      <c r="G23" s="85" t="e">
        <f>+'EXP ALLOCATION'!L22</f>
        <v>#REF!</v>
      </c>
      <c r="H23" s="85" t="e">
        <f>+'EXP ALLOCATION'!M22</f>
        <v>#REF!</v>
      </c>
      <c r="I23" s="85">
        <f>+SEWAGE!E261</f>
        <v>22812470.024800003</v>
      </c>
      <c r="J23" s="85">
        <f>+SEWAGE!F261</f>
        <v>25612470.024800003</v>
      </c>
      <c r="K23" s="165">
        <f>+SEWAGE!K261</f>
        <v>37104457.42956686</v>
      </c>
      <c r="L23" s="85" t="e">
        <f>+SEWAGE!#REF!</f>
        <v>#REF!</v>
      </c>
      <c r="M23" s="85" t="e">
        <f>+SEWAGE!#REF!</f>
        <v>#REF!</v>
      </c>
      <c r="O23" s="8"/>
      <c r="P23" s="8"/>
      <c r="Q23" s="53"/>
      <c r="R23" s="53"/>
      <c r="S23" s="53"/>
      <c r="T23" s="53"/>
      <c r="U23" s="53"/>
      <c r="V23" s="53"/>
      <c r="W23" s="53"/>
      <c r="X23" s="53"/>
      <c r="Y23" s="53"/>
      <c r="Z23" s="76"/>
      <c r="AA23" s="53"/>
      <c r="AB23" s="53"/>
      <c r="AC23" s="11"/>
      <c r="AD23" s="11"/>
      <c r="AE23" s="11"/>
      <c r="AF23" s="11"/>
    </row>
    <row r="24" spans="1:32" x14ac:dyDescent="0.25">
      <c r="A24" s="2" t="s">
        <v>9</v>
      </c>
      <c r="B24" s="94" t="s">
        <v>14</v>
      </c>
      <c r="C24" s="2">
        <v>46</v>
      </c>
      <c r="D24" s="85">
        <f>+'EXP ALLOCATION'!H23</f>
        <v>18623212.754999999</v>
      </c>
      <c r="E24" s="85">
        <f>+'EXP ALLOCATION'!I23</f>
        <v>14193206.35</v>
      </c>
      <c r="F24" s="165">
        <f>+'EXP ALLOCATION'!J23</f>
        <v>14383536.614322837</v>
      </c>
      <c r="G24" s="85" t="e">
        <f>+'EXP ALLOCATION'!L23</f>
        <v>#REF!</v>
      </c>
      <c r="H24" s="85" t="e">
        <f>+'EXP ALLOCATION'!M23</f>
        <v>#REF!</v>
      </c>
      <c r="I24" s="85">
        <f>+PWORKS!E261</f>
        <v>35562576</v>
      </c>
      <c r="J24" s="85">
        <f>+PWORKS!F261</f>
        <v>35622576</v>
      </c>
      <c r="K24" s="165">
        <f>+PWORKS!K261</f>
        <v>25638308.605900001</v>
      </c>
      <c r="L24" s="85" t="e">
        <f>+PWORKS!#REF!</f>
        <v>#REF!</v>
      </c>
      <c r="M24" s="85" t="e">
        <f>+PWORKS!#REF!</f>
        <v>#REF!</v>
      </c>
      <c r="O24" s="8"/>
      <c r="P24" s="8"/>
      <c r="Q24" s="53"/>
      <c r="R24" s="53"/>
      <c r="S24" s="53"/>
      <c r="T24" s="53"/>
      <c r="U24" s="53"/>
      <c r="V24" s="53"/>
      <c r="W24" s="53"/>
      <c r="X24" s="53"/>
      <c r="Y24" s="53"/>
      <c r="Z24" s="76"/>
      <c r="AA24" s="53"/>
      <c r="AB24" s="53"/>
      <c r="AC24" s="11"/>
      <c r="AD24" s="11"/>
      <c r="AE24" s="11"/>
      <c r="AF24" s="11"/>
    </row>
    <row r="25" spans="1:32" x14ac:dyDescent="0.25">
      <c r="A25" s="2" t="s">
        <v>10</v>
      </c>
      <c r="B25" s="94" t="s">
        <v>149</v>
      </c>
      <c r="C25" s="2">
        <v>48</v>
      </c>
      <c r="D25" s="85">
        <f>+'EXP ALLOCATION'!H24</f>
        <v>22937433.645</v>
      </c>
      <c r="E25" s="85">
        <f>+'EXP ALLOCATION'!I24</f>
        <v>14987433.645</v>
      </c>
      <c r="F25" s="165">
        <f>+'EXP ALLOCATION'!J24</f>
        <v>21437091.862836994</v>
      </c>
      <c r="G25" s="85" t="e">
        <f>+'EXP ALLOCATION'!L24</f>
        <v>#REF!</v>
      </c>
      <c r="H25" s="85" t="e">
        <f>+'EXP ALLOCATION'!M24</f>
        <v>#REF!</v>
      </c>
      <c r="I25" s="85">
        <f>+WATER!E261</f>
        <v>61912739.351999998</v>
      </c>
      <c r="J25" s="85">
        <f>+WATER!F261</f>
        <v>61535181</v>
      </c>
      <c r="K25" s="165">
        <f>+WATER!K261</f>
        <v>80080679.36366418</v>
      </c>
      <c r="L25" s="85" t="e">
        <f>+WATER!#REF!</f>
        <v>#REF!</v>
      </c>
      <c r="M25" s="85" t="e">
        <f>+WATER!#REF!</f>
        <v>#REF!</v>
      </c>
      <c r="O25" s="8"/>
      <c r="P25" s="8"/>
      <c r="Q25" s="53"/>
      <c r="R25" s="53"/>
      <c r="S25" s="53"/>
      <c r="T25" s="53"/>
      <c r="U25" s="53"/>
      <c r="V25" s="53"/>
      <c r="W25" s="53"/>
      <c r="X25" s="53"/>
      <c r="Y25" s="53"/>
      <c r="Z25" s="76"/>
      <c r="AA25" s="53"/>
      <c r="AB25" s="53"/>
      <c r="AC25" s="11"/>
      <c r="AD25" s="11"/>
      <c r="AE25" s="11"/>
      <c r="AF25" s="11"/>
    </row>
    <row r="26" spans="1:32" x14ac:dyDescent="0.25">
      <c r="A26" s="2" t="s">
        <v>11</v>
      </c>
      <c r="B26" s="94" t="str">
        <f>A26</f>
        <v>ELECTRICTY</v>
      </c>
      <c r="C26" s="2">
        <v>50</v>
      </c>
      <c r="D26" s="85">
        <f>+'EXP ALLOCATION'!H25</f>
        <v>34611134.460000001</v>
      </c>
      <c r="E26" s="85">
        <f>+'EXP ALLOCATION'!I25</f>
        <v>38748002.460000001</v>
      </c>
      <c r="F26" s="165">
        <f>+'EXP ALLOCATION'!J25</f>
        <v>42462718.850000001</v>
      </c>
      <c r="G26" s="85" t="e">
        <f>+'EXP ALLOCATION'!L25</f>
        <v>#REF!</v>
      </c>
      <c r="H26" s="85" t="e">
        <f>+'EXP ALLOCATION'!M25</f>
        <v>#REF!</v>
      </c>
      <c r="I26" s="85">
        <f>+ELECTRIC!E261</f>
        <v>43813259.487612009</v>
      </c>
      <c r="J26" s="85">
        <f>+ELECTRIC!F261</f>
        <v>39813259.487612009</v>
      </c>
      <c r="K26" s="165">
        <f>+ELECTRIC!K261</f>
        <v>47172043.899223298</v>
      </c>
      <c r="L26" s="85" t="e">
        <f>+ELECTRIC!#REF!</f>
        <v>#REF!</v>
      </c>
      <c r="M26" s="85" t="e">
        <f>+ELECTRIC!#REF!</f>
        <v>#REF!</v>
      </c>
      <c r="O26" s="8"/>
      <c r="P26" s="8"/>
      <c r="Q26" s="53"/>
      <c r="R26" s="53"/>
      <c r="S26" s="53"/>
      <c r="T26" s="53"/>
      <c r="U26" s="53"/>
      <c r="V26" s="53"/>
      <c r="W26" s="53"/>
      <c r="X26" s="53"/>
      <c r="Y26" s="53"/>
      <c r="Z26" s="76"/>
      <c r="AA26" s="53"/>
      <c r="AB26" s="53"/>
      <c r="AC26" s="11"/>
      <c r="AD26" s="11"/>
      <c r="AE26" s="11"/>
      <c r="AF26" s="11"/>
    </row>
    <row r="27" spans="1:32" x14ac:dyDescent="0.25">
      <c r="A27" s="17">
        <f>SUM(A7:A24)</f>
        <v>0</v>
      </c>
      <c r="B27" s="17"/>
      <c r="C27" s="17"/>
      <c r="D27" s="3">
        <f t="shared" ref="D27:M27" si="0">SUM(D7:D26)</f>
        <v>183121958.843492</v>
      </c>
      <c r="E27" s="89">
        <f t="shared" si="0"/>
        <v>175178001.438492</v>
      </c>
      <c r="F27" s="172">
        <f t="shared" si="0"/>
        <v>266123878.98514175</v>
      </c>
      <c r="G27" s="89" t="e">
        <f t="shared" si="0"/>
        <v>#REF!</v>
      </c>
      <c r="H27" s="89" t="e">
        <f t="shared" si="0"/>
        <v>#REF!</v>
      </c>
      <c r="I27" s="89">
        <f t="shared" si="0"/>
        <v>234778779.68457201</v>
      </c>
      <c r="J27" s="89">
        <f t="shared" si="0"/>
        <v>232998085.33257201</v>
      </c>
      <c r="K27" s="92">
        <f t="shared" si="0"/>
        <v>277124269.96739447</v>
      </c>
      <c r="L27" s="89" t="e">
        <f t="shared" si="0"/>
        <v>#REF!</v>
      </c>
      <c r="M27" s="89" t="e">
        <f t="shared" si="0"/>
        <v>#REF!</v>
      </c>
      <c r="N27" s="16"/>
      <c r="O27" s="53"/>
      <c r="P27" s="53"/>
      <c r="Q27" s="53"/>
      <c r="R27" s="53"/>
      <c r="S27" s="53"/>
      <c r="T27" s="53"/>
      <c r="U27" s="53"/>
      <c r="V27" s="53"/>
      <c r="W27" s="53"/>
      <c r="X27" s="53"/>
      <c r="Y27" s="53"/>
      <c r="Z27" s="76"/>
      <c r="AA27" s="53"/>
      <c r="AB27" s="53"/>
      <c r="AC27" s="11"/>
      <c r="AD27" s="11"/>
      <c r="AE27" s="11"/>
      <c r="AF27" s="11"/>
    </row>
    <row r="28" spans="1:32" x14ac:dyDescent="0.25">
      <c r="O28" s="11"/>
      <c r="P28" s="11"/>
      <c r="Q28" s="53"/>
      <c r="R28" s="53"/>
      <c r="S28" s="53"/>
      <c r="T28" s="53"/>
      <c r="U28" s="53"/>
      <c r="V28" s="53"/>
      <c r="W28" s="53"/>
      <c r="X28" s="53"/>
      <c r="Y28" s="53"/>
      <c r="Z28" s="53"/>
      <c r="AA28" s="53"/>
      <c r="AB28" s="53"/>
      <c r="AC28" s="11"/>
      <c r="AD28" s="11"/>
      <c r="AE28" s="11"/>
      <c r="AF28" s="11"/>
    </row>
    <row r="29" spans="1:32" x14ac:dyDescent="0.25">
      <c r="C29" s="11"/>
      <c r="D29" s="133"/>
      <c r="E29" s="134"/>
      <c r="F29" s="53"/>
      <c r="G29" s="82"/>
      <c r="H29" s="82"/>
      <c r="I29" s="82"/>
      <c r="J29" s="82"/>
      <c r="K29" s="53"/>
      <c r="L29" s="11"/>
      <c r="O29" s="11"/>
      <c r="P29" s="11"/>
      <c r="Q29" s="53"/>
      <c r="R29" s="53"/>
      <c r="S29" s="53"/>
      <c r="T29" s="53"/>
      <c r="U29" s="53"/>
      <c r="V29" s="53"/>
      <c r="W29" s="53"/>
      <c r="X29" s="53"/>
      <c r="Y29" s="53"/>
      <c r="Z29" s="53"/>
      <c r="AA29" s="53"/>
      <c r="AB29" s="53"/>
      <c r="AC29" s="11"/>
      <c r="AD29" s="11"/>
      <c r="AE29" s="11"/>
      <c r="AF29" s="11"/>
    </row>
    <row r="30" spans="1:32" x14ac:dyDescent="0.25">
      <c r="C30" s="11"/>
      <c r="D30" s="81"/>
      <c r="E30" s="81"/>
      <c r="F30" s="81"/>
      <c r="G30" s="144"/>
      <c r="H30" s="81"/>
      <c r="I30" s="81"/>
      <c r="J30" s="81"/>
      <c r="K30" s="81"/>
      <c r="L30" s="80"/>
      <c r="O30" s="11"/>
      <c r="P30" s="11"/>
      <c r="Q30" s="53"/>
      <c r="R30" s="53"/>
      <c r="S30" s="53"/>
      <c r="T30" s="53"/>
      <c r="U30" s="53"/>
      <c r="V30" s="53"/>
      <c r="W30" s="53"/>
      <c r="X30" s="53"/>
      <c r="Y30" s="53"/>
      <c r="Z30" s="53"/>
      <c r="AA30" s="53"/>
      <c r="AB30" s="53"/>
      <c r="AC30" s="11"/>
      <c r="AD30" s="11"/>
      <c r="AE30" s="11"/>
      <c r="AF30" s="11"/>
    </row>
    <row r="31" spans="1:32" x14ac:dyDescent="0.25">
      <c r="A31" s="16" t="s">
        <v>146</v>
      </c>
      <c r="C31" s="11"/>
      <c r="D31" s="8"/>
      <c r="E31" s="81"/>
      <c r="F31" s="133"/>
      <c r="G31" s="11"/>
      <c r="H31" s="11"/>
      <c r="I31" s="11"/>
      <c r="J31" s="53"/>
      <c r="K31" s="11"/>
      <c r="L31" s="11"/>
      <c r="O31" s="11"/>
      <c r="P31" s="11"/>
      <c r="Q31" s="53"/>
      <c r="R31" s="53"/>
      <c r="S31" s="53"/>
      <c r="T31" s="53"/>
      <c r="U31" s="53"/>
      <c r="V31" s="53"/>
      <c r="W31" s="53"/>
      <c r="X31" s="53"/>
      <c r="Y31" s="53"/>
      <c r="Z31" s="53"/>
      <c r="AA31" s="53"/>
      <c r="AB31" s="53"/>
      <c r="AC31" s="11"/>
      <c r="AD31" s="11"/>
      <c r="AE31" s="11"/>
      <c r="AF31" s="11"/>
    </row>
    <row r="32" spans="1:32" x14ac:dyDescent="0.25">
      <c r="A32" s="16"/>
      <c r="C32" s="11"/>
      <c r="D32" s="11"/>
      <c r="E32" s="11"/>
      <c r="F32" s="133"/>
      <c r="G32" s="11"/>
      <c r="H32" s="11"/>
      <c r="I32" s="11"/>
      <c r="J32" s="11"/>
      <c r="K32" s="11"/>
      <c r="L32" s="11"/>
      <c r="O32" s="11"/>
      <c r="P32" s="11"/>
      <c r="Q32" s="53"/>
      <c r="R32" s="53"/>
      <c r="S32" s="53"/>
      <c r="T32" s="53"/>
      <c r="U32" s="53"/>
      <c r="V32" s="53"/>
      <c r="W32" s="53"/>
      <c r="X32" s="53"/>
      <c r="Y32" s="53"/>
      <c r="Z32" s="53"/>
      <c r="AA32" s="53"/>
      <c r="AB32" s="53"/>
      <c r="AC32" s="11"/>
      <c r="AD32" s="11"/>
      <c r="AE32" s="11"/>
      <c r="AF32" s="11"/>
    </row>
    <row r="33" spans="1:32" x14ac:dyDescent="0.25">
      <c r="A33" s="16"/>
      <c r="C33" s="11"/>
      <c r="D33" s="11"/>
      <c r="E33" s="11"/>
      <c r="F33" s="11"/>
      <c r="G33" s="11"/>
      <c r="H33" s="11"/>
      <c r="I33" s="11"/>
      <c r="J33" s="8"/>
      <c r="K33" s="53"/>
      <c r="L33" s="11"/>
      <c r="O33" s="11"/>
      <c r="P33" s="11"/>
      <c r="Q33" s="53"/>
      <c r="R33" s="53"/>
      <c r="S33" s="53"/>
      <c r="T33" s="53"/>
      <c r="U33" s="53"/>
      <c r="V33" s="53"/>
      <c r="W33" s="53"/>
      <c r="X33" s="53"/>
      <c r="Y33" s="53"/>
      <c r="Z33" s="53"/>
      <c r="AA33" s="53"/>
      <c r="AB33" s="53"/>
      <c r="AC33" s="11"/>
      <c r="AD33" s="11"/>
      <c r="AE33" s="11"/>
      <c r="AF33" s="11"/>
    </row>
    <row r="34" spans="1:32" x14ac:dyDescent="0.25">
      <c r="A34" s="16"/>
      <c r="C34" s="11"/>
      <c r="D34" s="11"/>
      <c r="E34" s="11"/>
      <c r="F34" s="11"/>
      <c r="G34" s="11"/>
      <c r="H34" s="11"/>
      <c r="I34" s="11"/>
      <c r="J34" s="8"/>
      <c r="K34" s="53"/>
      <c r="L34" s="11"/>
      <c r="O34" s="11"/>
      <c r="P34" s="11"/>
      <c r="Q34" s="53"/>
      <c r="R34" s="53"/>
      <c r="S34" s="53"/>
      <c r="T34" s="53"/>
      <c r="U34" s="53"/>
      <c r="V34" s="53"/>
      <c r="W34" s="53"/>
      <c r="X34" s="53"/>
      <c r="Y34" s="53"/>
      <c r="Z34" s="53"/>
      <c r="AA34" s="53"/>
      <c r="AB34" s="53"/>
      <c r="AC34" s="11"/>
      <c r="AD34" s="11"/>
      <c r="AE34" s="11"/>
      <c r="AF34" s="11"/>
    </row>
    <row r="35" spans="1:32" x14ac:dyDescent="0.25">
      <c r="A35" s="16"/>
      <c r="C35" s="11"/>
      <c r="D35" s="11"/>
      <c r="E35" s="11"/>
      <c r="F35" s="11"/>
      <c r="G35" s="11"/>
      <c r="H35" s="11"/>
      <c r="I35" s="11"/>
      <c r="J35" s="8"/>
      <c r="K35" s="53"/>
      <c r="L35" s="11"/>
      <c r="O35" s="11"/>
      <c r="P35" s="11"/>
      <c r="Q35" s="53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53"/>
      <c r="AC35" s="11"/>
      <c r="AD35" s="11"/>
      <c r="AE35" s="11"/>
      <c r="AF35" s="11"/>
    </row>
    <row r="36" spans="1:32" x14ac:dyDescent="0.25">
      <c r="A36" s="16"/>
      <c r="C36" s="11"/>
      <c r="D36" s="11"/>
      <c r="E36" s="11"/>
      <c r="F36" s="11"/>
      <c r="G36" s="11"/>
      <c r="H36" s="11"/>
      <c r="I36" s="11"/>
      <c r="J36" s="8"/>
      <c r="K36" s="81"/>
      <c r="L36" s="11"/>
      <c r="O36" s="11"/>
      <c r="P36" s="11"/>
      <c r="Q36" s="53"/>
      <c r="R36" s="53"/>
      <c r="S36" s="53"/>
      <c r="T36" s="53"/>
      <c r="U36" s="53"/>
      <c r="V36" s="53"/>
      <c r="W36" s="53"/>
      <c r="X36" s="53"/>
      <c r="Y36" s="53"/>
      <c r="Z36" s="53"/>
      <c r="AA36" s="53"/>
      <c r="AB36" s="53"/>
      <c r="AC36" s="11"/>
      <c r="AD36" s="11"/>
      <c r="AE36" s="11"/>
      <c r="AF36" s="11"/>
    </row>
    <row r="37" spans="1:32" x14ac:dyDescent="0.25">
      <c r="A37" s="16"/>
      <c r="C37" s="11"/>
      <c r="D37" s="11"/>
      <c r="E37" s="11"/>
      <c r="F37" s="11"/>
      <c r="G37" s="11"/>
      <c r="H37" s="11"/>
      <c r="I37" s="11"/>
      <c r="J37" s="11"/>
      <c r="K37" s="11"/>
      <c r="L37" s="11"/>
      <c r="O37" s="11"/>
      <c r="P37" s="11"/>
      <c r="Q37" s="53"/>
      <c r="R37" s="53"/>
      <c r="S37" s="53"/>
      <c r="T37" s="53"/>
      <c r="U37" s="53"/>
      <c r="V37" s="53"/>
      <c r="W37" s="53"/>
      <c r="X37" s="53"/>
      <c r="Y37" s="53"/>
      <c r="Z37" s="53"/>
      <c r="AA37" s="53"/>
      <c r="AB37" s="53"/>
      <c r="AC37" s="11"/>
      <c r="AD37" s="11"/>
      <c r="AE37" s="11"/>
      <c r="AF37" s="11"/>
    </row>
    <row r="38" spans="1:32" x14ac:dyDescent="0.25">
      <c r="A38" s="16" t="s">
        <v>147</v>
      </c>
      <c r="C38" s="11"/>
      <c r="D38" s="11"/>
      <c r="E38" s="11"/>
      <c r="F38" s="11"/>
      <c r="G38" s="11"/>
      <c r="H38" s="11"/>
      <c r="I38" s="11"/>
      <c r="J38" s="11"/>
      <c r="K38" s="11"/>
      <c r="L38" s="11"/>
      <c r="O38" s="11"/>
      <c r="P38" s="11"/>
      <c r="Q38" s="53"/>
      <c r="R38" s="53"/>
      <c r="S38" s="53"/>
      <c r="T38" s="53"/>
      <c r="U38" s="53"/>
      <c r="V38" s="53"/>
      <c r="W38" s="53"/>
      <c r="X38" s="53"/>
      <c r="Y38" s="53"/>
      <c r="Z38" s="53"/>
      <c r="AA38" s="53"/>
      <c r="AB38" s="53"/>
      <c r="AC38" s="11"/>
      <c r="AD38" s="11"/>
      <c r="AE38" s="11"/>
      <c r="AF38" s="11"/>
    </row>
    <row r="39" spans="1:32" x14ac:dyDescent="0.25">
      <c r="C39" s="11"/>
      <c r="D39" s="11"/>
      <c r="E39" s="11"/>
      <c r="F39" s="11"/>
      <c r="G39" s="11"/>
      <c r="H39" s="11"/>
      <c r="I39" s="11"/>
      <c r="J39" s="11"/>
      <c r="K39" s="11"/>
      <c r="L39" s="11"/>
      <c r="O39" s="11"/>
      <c r="P39" s="11"/>
      <c r="Q39" s="53"/>
      <c r="R39" s="53"/>
      <c r="S39" s="53"/>
      <c r="T39" s="53"/>
      <c r="U39" s="53"/>
      <c r="V39" s="53"/>
      <c r="W39" s="53"/>
      <c r="X39" s="53"/>
      <c r="Y39" s="53"/>
      <c r="Z39" s="53"/>
      <c r="AA39" s="53"/>
      <c r="AB39" s="53"/>
      <c r="AC39" s="11"/>
      <c r="AD39" s="11"/>
      <c r="AE39" s="11"/>
      <c r="AF39" s="11"/>
    </row>
    <row r="40" spans="1:32" x14ac:dyDescent="0.25"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53"/>
      <c r="R40" s="53"/>
      <c r="S40" s="53"/>
      <c r="T40" s="53"/>
      <c r="U40" s="53"/>
      <c r="V40" s="53"/>
      <c r="W40" s="53"/>
      <c r="X40" s="53"/>
      <c r="Y40" s="53"/>
      <c r="Z40" s="53"/>
      <c r="AA40" s="53"/>
      <c r="AB40" s="53"/>
      <c r="AC40" s="11"/>
      <c r="AD40" s="11"/>
      <c r="AE40" s="11"/>
      <c r="AF40" s="11"/>
    </row>
    <row r="41" spans="1:32" x14ac:dyDescent="0.25">
      <c r="B41" s="8"/>
      <c r="C41" s="8"/>
      <c r="D41" s="77"/>
      <c r="E41" s="78"/>
      <c r="F41" s="77"/>
      <c r="G41" s="11"/>
      <c r="H41" s="11"/>
      <c r="I41" s="79"/>
      <c r="J41" s="79"/>
      <c r="K41" s="79"/>
      <c r="L41" s="11"/>
      <c r="M41" s="11"/>
      <c r="N41" s="11"/>
      <c r="O41" s="11"/>
      <c r="P41" s="11"/>
      <c r="Q41" s="53"/>
      <c r="R41" s="53"/>
      <c r="S41" s="53"/>
      <c r="T41" s="53"/>
      <c r="U41" s="53"/>
      <c r="V41" s="53"/>
      <c r="W41" s="53"/>
      <c r="X41" s="53"/>
      <c r="Y41" s="53"/>
      <c r="Z41" s="53"/>
      <c r="AA41" s="53"/>
      <c r="AB41" s="53"/>
      <c r="AC41" s="11"/>
      <c r="AD41" s="11"/>
      <c r="AE41" s="11"/>
      <c r="AF41" s="11"/>
    </row>
    <row r="42" spans="1:32" x14ac:dyDescent="0.25">
      <c r="B42" s="8"/>
      <c r="C42" s="8"/>
      <c r="D42" s="77"/>
      <c r="E42" s="78"/>
      <c r="F42" s="77"/>
      <c r="G42" s="11"/>
      <c r="H42" s="11"/>
      <c r="I42" s="79"/>
      <c r="J42" s="79"/>
      <c r="K42" s="79"/>
      <c r="L42" s="11"/>
      <c r="M42" s="11"/>
      <c r="N42" s="11"/>
      <c r="O42" s="11"/>
      <c r="P42" s="11"/>
      <c r="Q42" s="53"/>
      <c r="R42" s="53"/>
      <c r="S42" s="53"/>
    </row>
    <row r="43" spans="1:32" x14ac:dyDescent="0.25">
      <c r="B43" s="8"/>
      <c r="C43" s="8"/>
      <c r="D43" s="77"/>
      <c r="E43" s="78"/>
      <c r="F43" s="77"/>
      <c r="G43" s="11"/>
      <c r="H43" s="11"/>
      <c r="I43" s="79"/>
      <c r="J43" s="79"/>
      <c r="K43" s="79"/>
      <c r="L43" s="11"/>
      <c r="M43" s="11"/>
      <c r="N43" s="11"/>
      <c r="O43" s="11"/>
      <c r="P43" s="11"/>
      <c r="Q43" s="53"/>
      <c r="R43" s="53"/>
      <c r="S43" s="53"/>
    </row>
    <row r="44" spans="1:32" x14ac:dyDescent="0.25">
      <c r="B44" s="8"/>
      <c r="C44" s="8"/>
      <c r="D44" s="77"/>
      <c r="E44" s="78"/>
      <c r="F44" s="77"/>
      <c r="G44" s="11"/>
      <c r="H44" s="11"/>
      <c r="I44" s="79"/>
      <c r="J44" s="79"/>
      <c r="K44" s="79"/>
      <c r="L44" s="11"/>
      <c r="M44" s="11"/>
      <c r="N44" s="11"/>
      <c r="O44" s="11"/>
      <c r="P44" s="11"/>
      <c r="Q44" s="53"/>
      <c r="R44" s="53"/>
      <c r="S44" s="53"/>
    </row>
    <row r="45" spans="1:32" x14ac:dyDescent="0.25">
      <c r="B45" s="8"/>
      <c r="C45" s="8"/>
      <c r="D45" s="77"/>
      <c r="E45" s="78"/>
      <c r="F45" s="77"/>
      <c r="G45" s="11"/>
      <c r="H45" s="11"/>
      <c r="I45" s="79"/>
      <c r="J45" s="79"/>
      <c r="K45" s="79"/>
      <c r="L45" s="11"/>
      <c r="M45" s="11"/>
      <c r="N45" s="11"/>
      <c r="O45" s="11"/>
      <c r="P45" s="11"/>
      <c r="Q45" s="53"/>
      <c r="R45" s="53"/>
      <c r="S45" s="53"/>
    </row>
    <row r="46" spans="1:32" x14ac:dyDescent="0.25">
      <c r="B46" s="8"/>
      <c r="C46" s="8"/>
      <c r="D46" s="77"/>
      <c r="E46" s="78"/>
      <c r="F46" s="77"/>
      <c r="G46" s="11"/>
      <c r="H46" s="11"/>
      <c r="I46" s="79"/>
      <c r="J46" s="79"/>
      <c r="K46" s="79"/>
      <c r="L46" s="11"/>
      <c r="M46" s="11"/>
      <c r="N46" s="11"/>
      <c r="O46" s="11"/>
      <c r="P46" s="11"/>
      <c r="Q46" s="53"/>
      <c r="R46" s="53"/>
      <c r="S46" s="53"/>
    </row>
    <row r="47" spans="1:32" x14ac:dyDescent="0.25">
      <c r="B47" s="8"/>
      <c r="C47" s="8"/>
      <c r="D47" s="77"/>
      <c r="E47" s="78"/>
      <c r="F47" s="77"/>
      <c r="G47" s="11"/>
      <c r="H47" s="11"/>
      <c r="I47" s="79"/>
      <c r="J47" s="79"/>
      <c r="K47" s="79"/>
      <c r="L47" s="11"/>
      <c r="M47" s="11"/>
      <c r="N47" s="11"/>
      <c r="O47" s="11"/>
      <c r="P47" s="11"/>
      <c r="Q47" s="53"/>
      <c r="R47" s="53"/>
      <c r="S47" s="53"/>
    </row>
    <row r="48" spans="1:32" x14ac:dyDescent="0.25">
      <c r="B48" s="8"/>
      <c r="C48" s="8"/>
      <c r="D48" s="77"/>
      <c r="E48" s="78"/>
      <c r="F48" s="77"/>
      <c r="G48" s="11"/>
      <c r="H48" s="11"/>
      <c r="I48" s="79"/>
      <c r="J48" s="79"/>
      <c r="K48" s="79"/>
      <c r="L48" s="11"/>
      <c r="M48" s="11"/>
      <c r="N48" s="11"/>
      <c r="O48" s="11"/>
      <c r="P48" s="11"/>
      <c r="Q48" s="53"/>
      <c r="R48" s="53"/>
      <c r="S48" s="53"/>
    </row>
    <row r="49" spans="2:19" x14ac:dyDescent="0.25">
      <c r="B49" s="8"/>
      <c r="C49" s="8"/>
      <c r="D49" s="77"/>
      <c r="E49" s="78"/>
      <c r="F49" s="77"/>
      <c r="G49" s="11"/>
      <c r="H49" s="11"/>
      <c r="I49" s="79"/>
      <c r="J49" s="79"/>
      <c r="K49" s="79"/>
      <c r="L49" s="11"/>
      <c r="M49" s="11"/>
      <c r="N49" s="11"/>
      <c r="O49" s="11"/>
      <c r="P49" s="11"/>
      <c r="Q49" s="53"/>
      <c r="R49" s="53"/>
      <c r="S49" s="53"/>
    </row>
    <row r="50" spans="2:19" x14ac:dyDescent="0.25">
      <c r="B50" s="8"/>
      <c r="C50" s="8"/>
      <c r="D50" s="77"/>
      <c r="E50" s="78"/>
      <c r="F50" s="77"/>
      <c r="G50" s="11"/>
      <c r="H50" s="11"/>
      <c r="I50" s="79"/>
      <c r="J50" s="79"/>
      <c r="K50" s="79"/>
      <c r="L50" s="11"/>
      <c r="M50" s="11"/>
      <c r="N50" s="11"/>
      <c r="O50" s="11"/>
      <c r="P50" s="11"/>
      <c r="Q50" s="53"/>
      <c r="R50" s="53"/>
      <c r="S50" s="53"/>
    </row>
    <row r="51" spans="2:19" x14ac:dyDescent="0.25">
      <c r="B51" s="8"/>
      <c r="C51" s="8"/>
      <c r="D51" s="77"/>
      <c r="E51" s="78"/>
      <c r="F51" s="77"/>
      <c r="G51" s="11"/>
      <c r="H51" s="11"/>
      <c r="I51" s="79"/>
      <c r="J51" s="79"/>
      <c r="K51" s="79"/>
      <c r="L51" s="11"/>
      <c r="M51" s="11"/>
      <c r="N51" s="11"/>
      <c r="O51" s="11"/>
      <c r="P51" s="11"/>
      <c r="Q51" s="53"/>
      <c r="R51" s="53"/>
      <c r="S51" s="53"/>
    </row>
    <row r="52" spans="2:19" x14ac:dyDescent="0.25">
      <c r="B52" s="8"/>
      <c r="C52" s="8"/>
      <c r="D52" s="77"/>
      <c r="E52" s="78"/>
      <c r="F52" s="77"/>
      <c r="G52" s="11"/>
      <c r="H52" s="11"/>
      <c r="I52" s="79"/>
      <c r="J52" s="79"/>
      <c r="K52" s="79"/>
      <c r="L52" s="11"/>
      <c r="M52" s="11"/>
      <c r="N52" s="11"/>
      <c r="O52" s="11"/>
      <c r="P52" s="11"/>
      <c r="Q52" s="53"/>
      <c r="R52" s="53"/>
      <c r="S52" s="53"/>
    </row>
    <row r="53" spans="2:19" x14ac:dyDescent="0.25">
      <c r="B53" s="8"/>
      <c r="C53" s="8"/>
      <c r="D53" s="77"/>
      <c r="E53" s="78"/>
      <c r="F53" s="77"/>
      <c r="G53" s="11"/>
      <c r="H53" s="11"/>
      <c r="I53" s="79"/>
      <c r="J53" s="79"/>
      <c r="K53" s="79"/>
      <c r="L53" s="11"/>
      <c r="M53" s="11"/>
      <c r="N53" s="11"/>
      <c r="O53" s="11"/>
      <c r="P53" s="11"/>
      <c r="Q53" s="53"/>
      <c r="R53" s="53"/>
      <c r="S53" s="53"/>
    </row>
    <row r="54" spans="2:19" x14ac:dyDescent="0.25">
      <c r="B54" s="8"/>
      <c r="C54" s="8"/>
      <c r="D54" s="77"/>
      <c r="E54" s="78"/>
      <c r="F54" s="77"/>
      <c r="G54" s="11"/>
      <c r="H54" s="11"/>
      <c r="I54" s="79"/>
      <c r="J54" s="79"/>
      <c r="K54" s="79"/>
      <c r="L54" s="11"/>
      <c r="M54" s="11"/>
      <c r="N54" s="11"/>
      <c r="O54" s="11"/>
      <c r="P54" s="11"/>
      <c r="Q54" s="53"/>
      <c r="R54" s="53"/>
      <c r="S54" s="53"/>
    </row>
    <row r="55" spans="2:19" x14ac:dyDescent="0.25">
      <c r="B55" s="8"/>
      <c r="C55" s="8"/>
      <c r="D55" s="77"/>
      <c r="E55" s="78"/>
      <c r="F55" s="77"/>
      <c r="G55" s="11"/>
      <c r="H55" s="11"/>
      <c r="I55" s="79"/>
      <c r="J55" s="79"/>
      <c r="K55" s="79"/>
      <c r="L55" s="11"/>
      <c r="M55" s="11"/>
      <c r="N55" s="11"/>
      <c r="O55" s="11"/>
      <c r="P55" s="11"/>
      <c r="Q55" s="53"/>
      <c r="R55" s="53"/>
      <c r="S55" s="53"/>
    </row>
    <row r="56" spans="2:19" x14ac:dyDescent="0.25">
      <c r="B56" s="8"/>
      <c r="C56" s="8"/>
      <c r="D56" s="77"/>
      <c r="E56" s="78"/>
      <c r="F56" s="77"/>
      <c r="G56" s="11"/>
      <c r="H56" s="11"/>
      <c r="I56" s="79"/>
      <c r="J56" s="79"/>
      <c r="K56" s="79"/>
      <c r="L56" s="11"/>
      <c r="M56" s="11"/>
      <c r="N56" s="11"/>
      <c r="O56" s="11"/>
      <c r="P56" s="11"/>
      <c r="Q56" s="53"/>
      <c r="R56" s="53"/>
      <c r="S56" s="53"/>
    </row>
    <row r="57" spans="2:19" x14ac:dyDescent="0.25">
      <c r="B57" s="8"/>
      <c r="C57" s="8"/>
      <c r="D57" s="77"/>
      <c r="E57" s="78"/>
      <c r="F57" s="77"/>
      <c r="G57" s="11"/>
      <c r="H57" s="11"/>
      <c r="I57" s="79"/>
      <c r="J57" s="79"/>
      <c r="K57" s="79"/>
      <c r="L57" s="11"/>
      <c r="M57" s="11"/>
      <c r="N57" s="11"/>
      <c r="O57" s="11"/>
      <c r="P57" s="11"/>
      <c r="Q57" s="53"/>
      <c r="R57" s="53"/>
      <c r="S57" s="53"/>
    </row>
    <row r="58" spans="2:19" x14ac:dyDescent="0.25">
      <c r="B58" s="8"/>
      <c r="C58" s="8"/>
      <c r="D58" s="77"/>
      <c r="E58" s="78"/>
      <c r="F58" s="77"/>
      <c r="G58" s="11"/>
      <c r="H58" s="11"/>
      <c r="I58" s="79"/>
      <c r="J58" s="79"/>
      <c r="K58" s="79"/>
      <c r="L58" s="11"/>
      <c r="M58" s="11"/>
      <c r="N58" s="11"/>
      <c r="O58" s="11"/>
      <c r="P58" s="11"/>
      <c r="Q58" s="53"/>
      <c r="R58" s="53"/>
      <c r="S58" s="53"/>
    </row>
    <row r="59" spans="2:19" x14ac:dyDescent="0.25">
      <c r="B59" s="8"/>
      <c r="C59" s="8"/>
      <c r="D59" s="77"/>
      <c r="E59" s="78"/>
      <c r="F59" s="77"/>
      <c r="G59" s="11"/>
      <c r="H59" s="11"/>
      <c r="I59" s="79"/>
      <c r="J59" s="79"/>
      <c r="K59" s="79"/>
      <c r="L59" s="11"/>
      <c r="M59" s="11"/>
      <c r="N59" s="11"/>
      <c r="O59" s="11"/>
      <c r="P59" s="11"/>
      <c r="Q59" s="53"/>
      <c r="R59" s="53"/>
      <c r="S59" s="53"/>
    </row>
    <row r="60" spans="2:19" x14ac:dyDescent="0.25">
      <c r="B60" s="8"/>
      <c r="C60" s="8"/>
      <c r="D60" s="77"/>
      <c r="E60" s="78"/>
      <c r="F60" s="77"/>
      <c r="G60" s="11"/>
      <c r="H60" s="11"/>
      <c r="I60" s="79"/>
      <c r="J60" s="79"/>
      <c r="K60" s="79"/>
      <c r="L60" s="11"/>
      <c r="M60" s="11"/>
      <c r="N60" s="11"/>
      <c r="O60" s="11"/>
      <c r="P60" s="11"/>
      <c r="Q60" s="53"/>
      <c r="R60" s="53"/>
      <c r="S60" s="53"/>
    </row>
    <row r="61" spans="2:19" x14ac:dyDescent="0.25">
      <c r="B61" s="8"/>
      <c r="C61" s="8"/>
      <c r="D61" s="77"/>
      <c r="E61" s="78"/>
      <c r="F61" s="77"/>
      <c r="G61" s="11"/>
      <c r="H61" s="11"/>
      <c r="I61" s="79"/>
      <c r="J61" s="79"/>
      <c r="K61" s="79"/>
      <c r="L61" s="11"/>
      <c r="M61" s="11"/>
      <c r="N61" s="11"/>
      <c r="O61" s="11"/>
      <c r="P61" s="11"/>
      <c r="Q61" s="53"/>
      <c r="R61" s="53"/>
      <c r="S61" s="53"/>
    </row>
    <row r="62" spans="2:19" x14ac:dyDescent="0.25">
      <c r="B62" s="8"/>
      <c r="C62" s="8"/>
      <c r="D62" s="77"/>
      <c r="E62" s="78"/>
      <c r="F62" s="77"/>
      <c r="G62" s="11"/>
      <c r="H62" s="11"/>
      <c r="I62" s="79"/>
      <c r="J62" s="79"/>
      <c r="K62" s="79"/>
      <c r="L62" s="11"/>
      <c r="M62" s="11"/>
      <c r="N62" s="11"/>
      <c r="O62" s="11"/>
      <c r="P62" s="11"/>
      <c r="Q62" s="53"/>
      <c r="R62" s="53"/>
      <c r="S62" s="53"/>
    </row>
    <row r="63" spans="2:19" x14ac:dyDescent="0.25">
      <c r="B63" s="8"/>
      <c r="C63" s="8"/>
      <c r="D63" s="77"/>
      <c r="E63" s="78"/>
      <c r="F63" s="77"/>
      <c r="G63" s="11"/>
      <c r="H63" s="11"/>
      <c r="I63" s="79"/>
      <c r="J63" s="79"/>
      <c r="K63" s="79"/>
      <c r="L63" s="11"/>
      <c r="M63" s="11"/>
      <c r="N63" s="11"/>
      <c r="O63" s="11"/>
      <c r="P63" s="11"/>
      <c r="Q63" s="53"/>
      <c r="R63" s="53"/>
      <c r="S63" s="53"/>
    </row>
    <row r="64" spans="2:19" x14ac:dyDescent="0.25">
      <c r="B64" s="11"/>
      <c r="C64" s="11"/>
      <c r="D64" s="77"/>
      <c r="E64" s="77"/>
      <c r="F64" s="77"/>
      <c r="G64" s="11"/>
      <c r="H64" s="11"/>
      <c r="I64" s="79"/>
      <c r="J64" s="79"/>
      <c r="K64" s="79"/>
      <c r="L64" s="11"/>
      <c r="M64" s="11"/>
      <c r="N64" s="11"/>
      <c r="O64" s="11"/>
      <c r="P64" s="11"/>
      <c r="Q64" s="53"/>
      <c r="R64" s="53"/>
      <c r="S64" s="53"/>
    </row>
    <row r="65" spans="2:19" x14ac:dyDescent="0.25"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53"/>
      <c r="R65" s="53"/>
      <c r="S65" s="53"/>
    </row>
    <row r="66" spans="2:19" x14ac:dyDescent="0.25"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53"/>
      <c r="R66" s="53"/>
      <c r="S66" s="53"/>
    </row>
    <row r="67" spans="2:19" x14ac:dyDescent="0.25"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53"/>
      <c r="R67" s="53"/>
      <c r="S67" s="53"/>
    </row>
    <row r="68" spans="2:19" x14ac:dyDescent="0.25">
      <c r="B68" s="8"/>
      <c r="C68" s="8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53"/>
      <c r="R68" s="53"/>
      <c r="S68" s="53"/>
    </row>
    <row r="69" spans="2:19" x14ac:dyDescent="0.25">
      <c r="B69" s="8"/>
      <c r="C69" s="8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53"/>
      <c r="R69" s="53"/>
      <c r="S69" s="53"/>
    </row>
    <row r="70" spans="2:19" x14ac:dyDescent="0.25">
      <c r="B70" s="8"/>
      <c r="C70" s="8"/>
      <c r="D70" s="53"/>
      <c r="E70" s="80"/>
      <c r="F70" s="80"/>
      <c r="G70" s="80"/>
      <c r="H70" s="80"/>
      <c r="I70" s="11"/>
      <c r="J70" s="11"/>
      <c r="K70" s="11"/>
      <c r="L70" s="11"/>
      <c r="M70" s="11"/>
      <c r="N70" s="11"/>
      <c r="O70" s="11"/>
      <c r="P70" s="11"/>
      <c r="Q70" s="53"/>
      <c r="R70" s="53"/>
      <c r="S70" s="53"/>
    </row>
    <row r="71" spans="2:19" x14ac:dyDescent="0.25">
      <c r="B71" s="8"/>
      <c r="C71" s="8"/>
      <c r="D71" s="11"/>
      <c r="E71" s="80"/>
      <c r="F71" s="80"/>
      <c r="G71" s="80"/>
      <c r="H71" s="80"/>
      <c r="I71" s="11"/>
      <c r="J71" s="11"/>
      <c r="K71" s="11"/>
      <c r="L71" s="11"/>
      <c r="M71" s="11"/>
      <c r="N71" s="11"/>
      <c r="O71" s="11"/>
      <c r="P71" s="11"/>
      <c r="Q71" s="53"/>
      <c r="R71" s="53"/>
      <c r="S71" s="53"/>
    </row>
    <row r="72" spans="2:19" x14ac:dyDescent="0.25">
      <c r="B72" s="8"/>
      <c r="C72" s="53"/>
      <c r="D72" s="11"/>
      <c r="E72" s="11"/>
      <c r="F72" s="80"/>
      <c r="G72" s="80"/>
      <c r="H72" s="80"/>
      <c r="I72" s="11"/>
      <c r="J72" s="11"/>
      <c r="K72" s="11"/>
      <c r="L72" s="11"/>
      <c r="M72" s="11"/>
      <c r="N72" s="11"/>
      <c r="O72" s="11"/>
      <c r="P72" s="11"/>
      <c r="Q72" s="53"/>
      <c r="R72" s="53"/>
      <c r="S72" s="53"/>
    </row>
    <row r="73" spans="2:19" x14ac:dyDescent="0.25">
      <c r="B73" s="8"/>
      <c r="C73" s="53"/>
      <c r="D73" s="80"/>
      <c r="E73" s="11"/>
      <c r="F73" s="80"/>
      <c r="G73" s="80"/>
      <c r="H73" s="80"/>
      <c r="I73" s="11"/>
      <c r="J73" s="11"/>
      <c r="K73" s="11"/>
      <c r="L73" s="11"/>
      <c r="M73" s="11"/>
      <c r="N73" s="11"/>
      <c r="O73" s="11"/>
      <c r="P73" s="11"/>
      <c r="Q73" s="53"/>
      <c r="R73" s="53"/>
      <c r="S73" s="53"/>
    </row>
    <row r="74" spans="2:19" x14ac:dyDescent="0.25">
      <c r="B74" s="8"/>
      <c r="C74" s="53"/>
      <c r="D74" s="80"/>
      <c r="E74" s="80"/>
      <c r="F74" s="80"/>
      <c r="G74" s="80"/>
      <c r="H74" s="80"/>
      <c r="I74" s="11"/>
      <c r="J74" s="11"/>
      <c r="K74" s="11"/>
      <c r="L74" s="11"/>
      <c r="M74" s="11"/>
      <c r="N74" s="11"/>
      <c r="O74" s="11"/>
      <c r="P74" s="11"/>
      <c r="Q74" s="53"/>
      <c r="R74" s="53"/>
      <c r="S74" s="53"/>
    </row>
    <row r="75" spans="2:19" x14ac:dyDescent="0.25">
      <c r="B75" s="8"/>
      <c r="C75" s="8"/>
      <c r="D75" s="8"/>
      <c r="E75" s="80"/>
      <c r="F75" s="80"/>
      <c r="G75" s="80"/>
      <c r="H75" s="80"/>
      <c r="I75" s="11"/>
      <c r="J75" s="11"/>
      <c r="K75" s="11"/>
      <c r="L75" s="11"/>
      <c r="M75" s="11"/>
      <c r="N75" s="11"/>
      <c r="O75" s="11"/>
      <c r="P75" s="11"/>
      <c r="Q75" s="53"/>
      <c r="R75" s="53"/>
      <c r="S75" s="53"/>
    </row>
    <row r="76" spans="2:19" x14ac:dyDescent="0.25">
      <c r="B76" s="8"/>
      <c r="C76" s="8"/>
      <c r="D76" s="8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53"/>
      <c r="R76" s="53"/>
      <c r="S76" s="53"/>
    </row>
    <row r="77" spans="2:19" x14ac:dyDescent="0.25">
      <c r="B77" s="8"/>
      <c r="C77" s="8"/>
      <c r="D77" s="8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53"/>
      <c r="R77" s="53"/>
      <c r="S77" s="53"/>
    </row>
    <row r="78" spans="2:19" x14ac:dyDescent="0.25">
      <c r="B78" s="8"/>
      <c r="C78" s="8"/>
      <c r="D78" s="8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53"/>
      <c r="R78" s="53"/>
      <c r="S78" s="53"/>
    </row>
    <row r="79" spans="2:19" x14ac:dyDescent="0.25">
      <c r="B79" s="8"/>
      <c r="C79" s="8"/>
      <c r="D79" s="8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53"/>
      <c r="R79" s="53"/>
      <c r="S79" s="53"/>
    </row>
    <row r="80" spans="2:19" x14ac:dyDescent="0.25">
      <c r="B80" s="8"/>
      <c r="C80" s="8"/>
      <c r="D80" s="8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53"/>
      <c r="R80" s="53"/>
      <c r="S80" s="53"/>
    </row>
    <row r="81" spans="2:19" x14ac:dyDescent="0.25">
      <c r="B81" s="8"/>
      <c r="C81" s="8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53"/>
      <c r="R81" s="53"/>
      <c r="S81" s="53"/>
    </row>
    <row r="82" spans="2:19" x14ac:dyDescent="0.25">
      <c r="B82" s="8"/>
      <c r="C82" s="8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53"/>
      <c r="R82" s="53"/>
      <c r="S82" s="53"/>
    </row>
    <row r="83" spans="2:19" x14ac:dyDescent="0.25">
      <c r="B83" s="8"/>
      <c r="C83" s="8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53"/>
      <c r="R83" s="53"/>
      <c r="S83" s="53"/>
    </row>
    <row r="84" spans="2:19" x14ac:dyDescent="0.25">
      <c r="B84" s="8"/>
      <c r="C84" s="8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53"/>
      <c r="R84" s="53"/>
      <c r="S84" s="53"/>
    </row>
    <row r="85" spans="2:19" x14ac:dyDescent="0.25">
      <c r="B85" s="8"/>
      <c r="C85" s="8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53"/>
      <c r="R85" s="53"/>
      <c r="S85" s="53"/>
    </row>
    <row r="86" spans="2:19" x14ac:dyDescent="0.25">
      <c r="B86" s="8"/>
      <c r="C86" s="8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53"/>
      <c r="R86" s="53"/>
      <c r="S86" s="53"/>
    </row>
    <row r="87" spans="2:19" x14ac:dyDescent="0.25">
      <c r="B87" s="8"/>
      <c r="C87" s="8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53"/>
      <c r="R87" s="53"/>
      <c r="S87" s="53"/>
    </row>
    <row r="88" spans="2:19" x14ac:dyDescent="0.25">
      <c r="B88" s="8"/>
      <c r="C88" s="8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53"/>
      <c r="R88" s="53"/>
      <c r="S88" s="53"/>
    </row>
    <row r="89" spans="2:19" x14ac:dyDescent="0.25">
      <c r="B89" s="8"/>
      <c r="C89" s="8"/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53"/>
      <c r="R89" s="53"/>
      <c r="S89" s="53"/>
    </row>
    <row r="90" spans="2:19" x14ac:dyDescent="0.25">
      <c r="B90" s="8"/>
      <c r="C90" s="8"/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53"/>
      <c r="R90" s="53"/>
      <c r="S90" s="53"/>
    </row>
    <row r="91" spans="2:19" x14ac:dyDescent="0.25">
      <c r="B91" s="11"/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53"/>
      <c r="R91" s="53"/>
      <c r="S91" s="53"/>
    </row>
    <row r="92" spans="2:19" x14ac:dyDescent="0.25">
      <c r="B92" s="11"/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53"/>
      <c r="R92" s="53"/>
      <c r="S92" s="53"/>
    </row>
    <row r="93" spans="2:19" x14ac:dyDescent="0.25">
      <c r="B93" s="11"/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53"/>
      <c r="R93" s="53"/>
      <c r="S93" s="53"/>
    </row>
    <row r="94" spans="2:19" x14ac:dyDescent="0.25">
      <c r="B94" s="11"/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53"/>
      <c r="R94" s="53"/>
      <c r="S94" s="53"/>
    </row>
    <row r="95" spans="2:19" x14ac:dyDescent="0.25">
      <c r="B95" s="11"/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53"/>
      <c r="R95" s="53"/>
      <c r="S95" s="53"/>
    </row>
    <row r="96" spans="2:19" x14ac:dyDescent="0.25">
      <c r="B96" s="11"/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53"/>
      <c r="R96" s="53"/>
      <c r="S96" s="53"/>
    </row>
    <row r="97" spans="2:19" x14ac:dyDescent="0.25">
      <c r="B97" s="11"/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53"/>
      <c r="R97" s="53"/>
      <c r="S97" s="53"/>
    </row>
    <row r="98" spans="2:19" x14ac:dyDescent="0.25">
      <c r="B98" s="11"/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53"/>
      <c r="R98" s="53"/>
      <c r="S98" s="53"/>
    </row>
    <row r="99" spans="2:19" x14ac:dyDescent="0.25">
      <c r="B99" s="11"/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53"/>
      <c r="R99" s="53"/>
      <c r="S99" s="53"/>
    </row>
    <row r="100" spans="2:19" x14ac:dyDescent="0.25">
      <c r="B100" s="11"/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53"/>
      <c r="R100" s="53"/>
      <c r="S100" s="53"/>
    </row>
    <row r="101" spans="2:19" x14ac:dyDescent="0.25">
      <c r="B101" s="11"/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53"/>
      <c r="R101" s="53"/>
      <c r="S101" s="53"/>
    </row>
    <row r="102" spans="2:19" x14ac:dyDescent="0.25">
      <c r="B102" s="11"/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53"/>
      <c r="R102" s="53"/>
      <c r="S102" s="53"/>
    </row>
    <row r="103" spans="2:19" x14ac:dyDescent="0.25">
      <c r="B103" s="11"/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53"/>
      <c r="R103" s="53"/>
      <c r="S103" s="53"/>
    </row>
    <row r="104" spans="2:19" x14ac:dyDescent="0.25">
      <c r="B104" s="11"/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53"/>
      <c r="R104" s="53"/>
      <c r="S104" s="53"/>
    </row>
    <row r="105" spans="2:19" x14ac:dyDescent="0.25">
      <c r="B105" s="11"/>
      <c r="C105" s="11"/>
      <c r="D105" s="11"/>
      <c r="E105" s="11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53"/>
      <c r="R105" s="53"/>
      <c r="S105" s="53"/>
    </row>
    <row r="106" spans="2:19" x14ac:dyDescent="0.25">
      <c r="B106" s="11"/>
      <c r="C106" s="11"/>
      <c r="D106" s="11"/>
      <c r="E106" s="11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53"/>
      <c r="R106" s="53"/>
      <c r="S106" s="53"/>
    </row>
    <row r="107" spans="2:19" x14ac:dyDescent="0.25">
      <c r="B107" s="11"/>
      <c r="C107" s="11"/>
      <c r="D107" s="11"/>
      <c r="E107" s="11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53"/>
      <c r="R107" s="53"/>
      <c r="S107" s="53"/>
    </row>
    <row r="108" spans="2:19" x14ac:dyDescent="0.25">
      <c r="B108" s="11"/>
      <c r="C108" s="11"/>
      <c r="D108" s="11"/>
      <c r="E108" s="11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53"/>
      <c r="R108" s="53"/>
      <c r="S108" s="53"/>
    </row>
    <row r="109" spans="2:19" x14ac:dyDescent="0.25">
      <c r="B109" s="11"/>
      <c r="C109" s="11"/>
      <c r="D109" s="11"/>
      <c r="E109" s="11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53"/>
      <c r="R109" s="53"/>
      <c r="S109" s="53"/>
    </row>
    <row r="110" spans="2:19" x14ac:dyDescent="0.25">
      <c r="B110" s="11"/>
      <c r="C110" s="11"/>
      <c r="D110" s="11"/>
      <c r="E110" s="11"/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53"/>
      <c r="R110" s="53"/>
      <c r="S110" s="53"/>
    </row>
    <row r="111" spans="2:19" x14ac:dyDescent="0.25">
      <c r="B111" s="11"/>
      <c r="C111" s="11"/>
      <c r="D111" s="11"/>
      <c r="E111" s="11"/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53"/>
      <c r="R111" s="53"/>
      <c r="S111" s="53"/>
    </row>
    <row r="112" spans="2:19" x14ac:dyDescent="0.25">
      <c r="B112" s="11"/>
      <c r="C112" s="11"/>
      <c r="D112" s="11"/>
      <c r="E112" s="11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53"/>
      <c r="R112" s="53"/>
      <c r="S112" s="53"/>
    </row>
    <row r="113" spans="2:19" x14ac:dyDescent="0.25">
      <c r="B113" s="11"/>
      <c r="C113" s="11"/>
      <c r="D113" s="11"/>
      <c r="E113" s="11"/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53"/>
      <c r="R113" s="53"/>
      <c r="S113" s="53"/>
    </row>
    <row r="114" spans="2:19" x14ac:dyDescent="0.25">
      <c r="B114" s="11"/>
      <c r="C114" s="11"/>
      <c r="D114" s="11"/>
      <c r="E114" s="11"/>
      <c r="F114" s="11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53"/>
      <c r="R114" s="53"/>
      <c r="S114" s="53"/>
    </row>
    <row r="115" spans="2:19" x14ac:dyDescent="0.25">
      <c r="B115" s="11"/>
      <c r="C115" s="11"/>
      <c r="D115" s="11"/>
      <c r="E115" s="11"/>
      <c r="F115" s="11"/>
      <c r="G115" s="11"/>
      <c r="H115" s="11"/>
      <c r="I115" s="11"/>
      <c r="J115" s="11"/>
      <c r="K115" s="11"/>
      <c r="L115" s="11"/>
      <c r="M115" s="11"/>
      <c r="N115" s="11"/>
      <c r="O115" s="11"/>
      <c r="P115" s="11"/>
      <c r="Q115" s="53"/>
      <c r="R115" s="53"/>
      <c r="S115" s="53"/>
    </row>
    <row r="116" spans="2:19" x14ac:dyDescent="0.25">
      <c r="B116" s="11"/>
      <c r="C116" s="11"/>
      <c r="D116" s="11"/>
      <c r="E116" s="11"/>
      <c r="F116" s="11"/>
      <c r="G116" s="11"/>
      <c r="H116" s="11"/>
      <c r="I116" s="11"/>
      <c r="J116" s="11"/>
      <c r="K116" s="11"/>
      <c r="L116" s="11"/>
      <c r="M116" s="11"/>
      <c r="N116" s="11"/>
      <c r="O116" s="11"/>
      <c r="P116" s="11"/>
      <c r="Q116" s="53"/>
      <c r="R116" s="53"/>
      <c r="S116" s="53"/>
    </row>
    <row r="117" spans="2:19" x14ac:dyDescent="0.25">
      <c r="B117" s="11"/>
      <c r="C117" s="11"/>
      <c r="D117" s="11"/>
      <c r="E117" s="11"/>
      <c r="F117" s="11"/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53"/>
      <c r="R117" s="53"/>
      <c r="S117" s="53"/>
    </row>
    <row r="118" spans="2:19" x14ac:dyDescent="0.25">
      <c r="B118" s="11"/>
      <c r="C118" s="11"/>
      <c r="D118" s="11"/>
      <c r="E118" s="11"/>
      <c r="F118" s="11"/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53"/>
      <c r="R118" s="53"/>
      <c r="S118" s="53"/>
    </row>
    <row r="119" spans="2:19" x14ac:dyDescent="0.25">
      <c r="B119" s="11"/>
      <c r="C119" s="11"/>
      <c r="D119" s="11"/>
      <c r="E119" s="11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53"/>
      <c r="R119" s="53"/>
      <c r="S119" s="53"/>
    </row>
    <row r="120" spans="2:19" x14ac:dyDescent="0.25">
      <c r="B120" s="11"/>
      <c r="C120" s="11"/>
      <c r="D120" s="11"/>
      <c r="E120" s="11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53"/>
      <c r="R120" s="53"/>
      <c r="S120" s="53"/>
    </row>
    <row r="121" spans="2:19" x14ac:dyDescent="0.25">
      <c r="B121" s="11"/>
      <c r="C121" s="11"/>
      <c r="D121" s="11"/>
      <c r="E121" s="11"/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53"/>
      <c r="R121" s="53"/>
      <c r="S121" s="53"/>
    </row>
    <row r="122" spans="2:19" x14ac:dyDescent="0.25">
      <c r="B122" s="11"/>
      <c r="C122" s="11"/>
      <c r="D122" s="11"/>
      <c r="E122" s="11"/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53"/>
      <c r="R122" s="53"/>
      <c r="S122" s="53"/>
    </row>
    <row r="123" spans="2:19" x14ac:dyDescent="0.25">
      <c r="B123" s="11"/>
      <c r="C123" s="11"/>
      <c r="D123" s="11"/>
      <c r="E123" s="11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53"/>
      <c r="R123" s="53"/>
      <c r="S123" s="53"/>
    </row>
    <row r="124" spans="2:19" x14ac:dyDescent="0.25">
      <c r="B124" s="11"/>
      <c r="C124" s="11"/>
      <c r="D124" s="11"/>
      <c r="E124" s="11"/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53"/>
      <c r="R124" s="53"/>
      <c r="S124" s="53"/>
    </row>
    <row r="125" spans="2:19" x14ac:dyDescent="0.25">
      <c r="B125" s="11"/>
      <c r="C125" s="11"/>
      <c r="D125" s="11"/>
      <c r="E125" s="11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53"/>
      <c r="R125" s="53"/>
      <c r="S125" s="53"/>
    </row>
    <row r="126" spans="2:19" x14ac:dyDescent="0.25">
      <c r="B126" s="11"/>
      <c r="C126" s="11"/>
      <c r="D126" s="11"/>
      <c r="E126" s="11"/>
      <c r="F126" s="11"/>
      <c r="G126" s="11"/>
      <c r="H126" s="11"/>
      <c r="I126" s="11"/>
      <c r="J126" s="11"/>
      <c r="K126" s="11"/>
      <c r="L126" s="11"/>
      <c r="M126" s="11"/>
      <c r="N126" s="11"/>
      <c r="O126" s="11"/>
      <c r="P126" s="11"/>
      <c r="Q126" s="53"/>
      <c r="R126" s="53"/>
      <c r="S126" s="53"/>
    </row>
    <row r="127" spans="2:19" x14ac:dyDescent="0.25">
      <c r="B127" s="11"/>
      <c r="C127" s="11"/>
      <c r="D127" s="11"/>
      <c r="E127" s="11"/>
      <c r="F127" s="11"/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53"/>
      <c r="R127" s="53"/>
      <c r="S127" s="53"/>
    </row>
    <row r="128" spans="2:19" x14ac:dyDescent="0.25">
      <c r="B128" s="11"/>
      <c r="C128" s="11"/>
      <c r="D128" s="11"/>
      <c r="E128" s="11"/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53"/>
      <c r="R128" s="53"/>
      <c r="S128" s="53"/>
    </row>
    <row r="129" spans="2:19" x14ac:dyDescent="0.25">
      <c r="B129" s="11"/>
      <c r="C129" s="11"/>
      <c r="D129" s="11"/>
      <c r="E129" s="11"/>
      <c r="F129" s="11"/>
      <c r="G129" s="11"/>
      <c r="H129" s="11"/>
      <c r="I129" s="11"/>
      <c r="J129" s="11"/>
      <c r="K129" s="11"/>
      <c r="L129" s="11"/>
      <c r="M129" s="11"/>
      <c r="N129" s="11"/>
      <c r="O129" s="11"/>
      <c r="P129" s="11"/>
      <c r="Q129" s="53"/>
      <c r="R129" s="53"/>
      <c r="S129" s="53"/>
    </row>
    <row r="130" spans="2:19" x14ac:dyDescent="0.25">
      <c r="B130" s="11"/>
      <c r="C130" s="11"/>
      <c r="D130" s="11"/>
      <c r="E130" s="11"/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53"/>
      <c r="R130" s="53"/>
      <c r="S130" s="53"/>
    </row>
    <row r="131" spans="2:19" x14ac:dyDescent="0.25">
      <c r="B131" s="11"/>
      <c r="C131" s="11"/>
      <c r="D131" s="11"/>
      <c r="E131" s="11"/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53"/>
      <c r="R131" s="53"/>
      <c r="S131" s="53"/>
    </row>
    <row r="132" spans="2:19" x14ac:dyDescent="0.25">
      <c r="B132" s="11"/>
      <c r="C132" s="11"/>
      <c r="D132" s="11"/>
      <c r="E132" s="11"/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53"/>
      <c r="R132" s="53"/>
      <c r="S132" s="53"/>
    </row>
    <row r="133" spans="2:19" x14ac:dyDescent="0.25">
      <c r="B133" s="11"/>
      <c r="C133" s="11"/>
      <c r="D133" s="11"/>
      <c r="E133" s="11"/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53"/>
      <c r="R133" s="53"/>
      <c r="S133" s="53"/>
    </row>
    <row r="134" spans="2:19" x14ac:dyDescent="0.25">
      <c r="B134" s="11"/>
      <c r="C134" s="11"/>
      <c r="D134" s="11"/>
      <c r="E134" s="11"/>
      <c r="F134" s="11"/>
      <c r="G134" s="11"/>
      <c r="H134" s="11"/>
      <c r="I134" s="11"/>
      <c r="J134" s="11"/>
      <c r="K134" s="11"/>
      <c r="L134" s="11"/>
      <c r="M134" s="11"/>
      <c r="N134" s="11"/>
      <c r="O134" s="11"/>
      <c r="P134" s="11"/>
      <c r="Q134" s="53"/>
      <c r="R134" s="53"/>
      <c r="S134" s="53"/>
    </row>
    <row r="135" spans="2:19" x14ac:dyDescent="0.25">
      <c r="B135" s="11"/>
      <c r="C135" s="11"/>
      <c r="D135" s="11"/>
      <c r="E135" s="11"/>
      <c r="F135" s="11"/>
      <c r="G135" s="11"/>
      <c r="H135" s="11"/>
      <c r="I135" s="11"/>
      <c r="J135" s="11"/>
      <c r="K135" s="11"/>
      <c r="L135" s="11"/>
      <c r="M135" s="11"/>
      <c r="N135" s="11"/>
      <c r="O135" s="11"/>
      <c r="P135" s="11"/>
      <c r="Q135" s="53"/>
      <c r="R135" s="53"/>
      <c r="S135" s="53"/>
    </row>
    <row r="136" spans="2:19" x14ac:dyDescent="0.25">
      <c r="B136" s="11"/>
      <c r="C136" s="11"/>
      <c r="D136" s="11"/>
      <c r="E136" s="11"/>
      <c r="F136" s="11"/>
      <c r="G136" s="11"/>
      <c r="H136" s="11"/>
      <c r="I136" s="11"/>
      <c r="J136" s="11"/>
      <c r="K136" s="11"/>
      <c r="L136" s="11"/>
      <c r="M136" s="11"/>
      <c r="N136" s="11"/>
      <c r="O136" s="11"/>
      <c r="P136" s="11"/>
      <c r="Q136" s="53"/>
      <c r="R136" s="53"/>
      <c r="S136" s="53"/>
    </row>
    <row r="137" spans="2:19" x14ac:dyDescent="0.25">
      <c r="B137" s="11"/>
      <c r="C137" s="11"/>
      <c r="D137" s="11"/>
      <c r="E137" s="11"/>
      <c r="F137" s="11"/>
      <c r="G137" s="11"/>
      <c r="H137" s="11"/>
      <c r="I137" s="11"/>
      <c r="J137" s="11"/>
      <c r="K137" s="11"/>
      <c r="L137" s="11"/>
      <c r="M137" s="11"/>
      <c r="N137" s="11"/>
      <c r="O137" s="11"/>
      <c r="P137" s="11"/>
      <c r="Q137" s="53"/>
      <c r="R137" s="53"/>
      <c r="S137" s="53"/>
    </row>
    <row r="138" spans="2:19" x14ac:dyDescent="0.25">
      <c r="B138" s="11"/>
      <c r="C138" s="11"/>
      <c r="D138" s="11"/>
      <c r="E138" s="11"/>
      <c r="F138" s="11"/>
      <c r="G138" s="11"/>
      <c r="H138" s="11"/>
      <c r="I138" s="11"/>
      <c r="J138" s="11"/>
      <c r="K138" s="11"/>
      <c r="L138" s="11"/>
      <c r="M138" s="11"/>
      <c r="N138" s="11"/>
      <c r="O138" s="11"/>
      <c r="P138" s="11"/>
      <c r="Q138" s="53"/>
      <c r="R138" s="53"/>
      <c r="S138" s="53"/>
    </row>
    <row r="139" spans="2:19" x14ac:dyDescent="0.25">
      <c r="B139" s="11"/>
      <c r="C139" s="11"/>
      <c r="D139" s="11"/>
      <c r="E139" s="11"/>
      <c r="F139" s="11"/>
      <c r="G139" s="11"/>
      <c r="H139" s="11"/>
      <c r="I139" s="11"/>
      <c r="J139" s="11"/>
      <c r="K139" s="11"/>
      <c r="L139" s="11"/>
      <c r="M139" s="11"/>
      <c r="N139" s="11"/>
      <c r="O139" s="11"/>
      <c r="P139" s="11"/>
      <c r="Q139" s="53"/>
      <c r="R139" s="53"/>
      <c r="S139" s="53"/>
    </row>
    <row r="140" spans="2:19" x14ac:dyDescent="0.25">
      <c r="B140" s="11"/>
      <c r="C140" s="11"/>
      <c r="D140" s="11"/>
      <c r="E140" s="11"/>
      <c r="F140" s="11"/>
      <c r="G140" s="11"/>
      <c r="H140" s="11"/>
      <c r="I140" s="11"/>
      <c r="J140" s="11"/>
      <c r="K140" s="11"/>
      <c r="L140" s="11"/>
      <c r="M140" s="11"/>
      <c r="N140" s="11"/>
      <c r="O140" s="11"/>
      <c r="P140" s="11"/>
      <c r="Q140" s="53"/>
      <c r="R140" s="53"/>
      <c r="S140" s="53"/>
    </row>
    <row r="141" spans="2:19" x14ac:dyDescent="0.25">
      <c r="B141" s="11"/>
      <c r="C141" s="11"/>
      <c r="D141" s="11"/>
      <c r="E141" s="11"/>
      <c r="F141" s="11"/>
      <c r="G141" s="11"/>
      <c r="H141" s="11"/>
      <c r="I141" s="11"/>
      <c r="J141" s="11"/>
      <c r="K141" s="11"/>
      <c r="L141" s="11"/>
      <c r="M141" s="11"/>
      <c r="N141" s="11"/>
      <c r="O141" s="11"/>
      <c r="P141" s="11"/>
      <c r="Q141" s="53"/>
      <c r="R141" s="53"/>
      <c r="S141" s="53"/>
    </row>
    <row r="142" spans="2:19" x14ac:dyDescent="0.25">
      <c r="B142" s="11"/>
      <c r="C142" s="11"/>
      <c r="D142" s="11"/>
      <c r="E142" s="11"/>
      <c r="F142" s="11"/>
      <c r="G142" s="11"/>
      <c r="H142" s="11"/>
      <c r="I142" s="11"/>
      <c r="J142" s="11"/>
      <c r="K142" s="11"/>
      <c r="L142" s="11"/>
      <c r="M142" s="11"/>
      <c r="N142" s="11"/>
      <c r="O142" s="11"/>
      <c r="P142" s="11"/>
      <c r="Q142" s="53"/>
      <c r="R142" s="53"/>
      <c r="S142" s="53"/>
    </row>
    <row r="143" spans="2:19" x14ac:dyDescent="0.25">
      <c r="B143" s="11"/>
      <c r="C143" s="11"/>
      <c r="D143" s="11"/>
      <c r="E143" s="11"/>
      <c r="F143" s="11"/>
      <c r="G143" s="11"/>
      <c r="H143" s="11"/>
      <c r="I143" s="11"/>
      <c r="J143" s="11"/>
      <c r="K143" s="11"/>
      <c r="L143" s="11"/>
      <c r="M143" s="11"/>
      <c r="N143" s="11"/>
      <c r="O143" s="11"/>
      <c r="P143" s="11"/>
      <c r="Q143" s="53"/>
      <c r="R143" s="53"/>
      <c r="S143" s="53"/>
    </row>
    <row r="144" spans="2:19" x14ac:dyDescent="0.25">
      <c r="B144" s="11"/>
      <c r="C144" s="11"/>
      <c r="D144" s="11"/>
      <c r="E144" s="11"/>
      <c r="F144" s="11"/>
      <c r="G144" s="11"/>
      <c r="H144" s="11"/>
      <c r="I144" s="11"/>
      <c r="J144" s="11"/>
      <c r="K144" s="11"/>
      <c r="L144" s="11"/>
      <c r="M144" s="11"/>
      <c r="N144" s="11"/>
      <c r="O144" s="11"/>
      <c r="P144" s="11"/>
      <c r="Q144" s="53"/>
      <c r="R144" s="53"/>
      <c r="S144" s="53"/>
    </row>
    <row r="145" spans="2:19" x14ac:dyDescent="0.25">
      <c r="B145" s="11"/>
      <c r="C145" s="11"/>
      <c r="D145" s="11"/>
      <c r="E145" s="11"/>
      <c r="F145" s="11"/>
      <c r="G145" s="11"/>
      <c r="H145" s="11"/>
      <c r="I145" s="11"/>
      <c r="J145" s="11"/>
      <c r="K145" s="11"/>
      <c r="L145" s="11"/>
      <c r="M145" s="11"/>
      <c r="N145" s="11"/>
      <c r="O145" s="11"/>
      <c r="P145" s="11"/>
      <c r="Q145" s="53"/>
      <c r="R145" s="53"/>
      <c r="S145" s="53"/>
    </row>
    <row r="146" spans="2:19" x14ac:dyDescent="0.25">
      <c r="B146" s="11"/>
      <c r="C146" s="11"/>
      <c r="D146" s="11"/>
      <c r="E146" s="11"/>
      <c r="F146" s="11"/>
      <c r="G146" s="11"/>
      <c r="H146" s="11"/>
      <c r="I146" s="11"/>
      <c r="J146" s="11"/>
      <c r="K146" s="11"/>
      <c r="L146" s="11"/>
      <c r="M146" s="11"/>
      <c r="N146" s="11"/>
      <c r="O146" s="11"/>
      <c r="P146" s="11"/>
      <c r="Q146" s="53"/>
      <c r="R146" s="53"/>
      <c r="S146" s="53"/>
    </row>
    <row r="147" spans="2:19" x14ac:dyDescent="0.25">
      <c r="B147" s="11"/>
      <c r="C147" s="11"/>
      <c r="D147" s="11"/>
      <c r="E147" s="11"/>
      <c r="F147" s="11"/>
      <c r="G147" s="11"/>
      <c r="H147" s="11"/>
      <c r="I147" s="11"/>
      <c r="J147" s="11"/>
      <c r="K147" s="11"/>
      <c r="L147" s="11"/>
      <c r="M147" s="11"/>
      <c r="N147" s="11"/>
      <c r="O147" s="11"/>
      <c r="P147" s="11"/>
      <c r="Q147" s="53"/>
      <c r="R147" s="53"/>
      <c r="S147" s="53"/>
    </row>
    <row r="148" spans="2:19" x14ac:dyDescent="0.25">
      <c r="B148" s="11"/>
      <c r="C148" s="11"/>
      <c r="D148" s="11"/>
      <c r="E148" s="11"/>
      <c r="F148" s="11"/>
      <c r="G148" s="11"/>
      <c r="H148" s="11"/>
      <c r="I148" s="11"/>
      <c r="J148" s="11"/>
      <c r="K148" s="11"/>
      <c r="L148" s="11"/>
      <c r="M148" s="11"/>
      <c r="N148" s="11"/>
      <c r="O148" s="11"/>
      <c r="P148" s="11"/>
      <c r="Q148" s="53"/>
      <c r="R148" s="53"/>
      <c r="S148" s="53"/>
    </row>
  </sheetData>
  <mergeCells count="4">
    <mergeCell ref="A1:H1"/>
    <mergeCell ref="A3:E3"/>
    <mergeCell ref="D4:H4"/>
    <mergeCell ref="I4:M4"/>
  </mergeCells>
  <phoneticPr fontId="0" type="noConversion"/>
  <pageMargins left="0.75" right="0.75" top="1" bottom="1" header="0.5" footer="0.5"/>
  <pageSetup scale="79" orientation="landscape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>
    <tabColor rgb="FFFF0000"/>
    <pageSetUpPr fitToPage="1"/>
  </sheetPr>
  <dimension ref="A1:M270"/>
  <sheetViews>
    <sheetView view="pageBreakPreview" topLeftCell="A161" zoomScaleSheetLayoutView="100" workbookViewId="0">
      <selection activeCell="I165" sqref="I165:K165"/>
    </sheetView>
  </sheetViews>
  <sheetFormatPr defaultColWidth="9.109375" defaultRowHeight="13.2" x14ac:dyDescent="0.25"/>
  <cols>
    <col min="1" max="1" width="3.33203125" style="96" customWidth="1"/>
    <col min="2" max="2" width="9" style="131" customWidth="1"/>
    <col min="3" max="3" width="38.109375" style="96" customWidth="1"/>
    <col min="4" max="4" width="11.5546875" style="96" customWidth="1"/>
    <col min="5" max="5" width="11.6640625" style="96" customWidth="1"/>
    <col min="6" max="6" width="11.88671875" style="96" customWidth="1"/>
    <col min="7" max="7" width="11.88671875" style="434" customWidth="1"/>
    <col min="8" max="8" width="11.44140625" style="96" customWidth="1"/>
    <col min="9" max="9" width="11.44140625" style="434" customWidth="1"/>
    <col min="10" max="10" width="11.44140625" style="96" customWidth="1"/>
    <col min="11" max="11" width="14" style="96" customWidth="1"/>
    <col min="12" max="12" width="10.44140625" style="96" bestFit="1" customWidth="1"/>
    <col min="13" max="16384" width="9.109375" style="96"/>
  </cols>
  <sheetData>
    <row r="1" spans="1:11" s="285" customFormat="1" ht="12.75" customHeight="1" x14ac:dyDescent="0.25">
      <c r="A1" s="937" t="s">
        <v>365</v>
      </c>
      <c r="B1" s="938"/>
      <c r="C1" s="938"/>
      <c r="D1" s="938"/>
      <c r="E1" s="938"/>
      <c r="F1" s="938"/>
      <c r="G1" s="938"/>
      <c r="H1" s="938"/>
      <c r="I1" s="938"/>
      <c r="J1" s="938"/>
      <c r="K1" s="938"/>
    </row>
    <row r="2" spans="1:11" s="285" customFormat="1" ht="12.75" customHeight="1" x14ac:dyDescent="0.25">
      <c r="A2" s="552"/>
      <c r="B2" s="553"/>
      <c r="C2" s="553"/>
      <c r="D2" s="553"/>
      <c r="E2" s="553"/>
      <c r="F2" s="553"/>
      <c r="G2" s="553"/>
      <c r="H2" s="553"/>
      <c r="I2" s="553"/>
      <c r="J2" s="553"/>
      <c r="K2" s="553"/>
    </row>
    <row r="3" spans="1:11" s="285" customFormat="1" x14ac:dyDescent="0.25">
      <c r="A3" s="941" t="s">
        <v>415</v>
      </c>
      <c r="B3" s="942"/>
      <c r="C3" s="943"/>
      <c r="D3" s="149"/>
      <c r="E3" s="338"/>
      <c r="F3" s="338"/>
      <c r="G3" s="563"/>
      <c r="H3" s="338"/>
      <c r="I3" s="581"/>
      <c r="J3" s="420"/>
      <c r="K3" s="338"/>
    </row>
    <row r="4" spans="1:11" s="285" customFormat="1" x14ac:dyDescent="0.25">
      <c r="A4" s="944" t="s">
        <v>21</v>
      </c>
      <c r="B4" s="945"/>
      <c r="C4" s="150">
        <v>4</v>
      </c>
      <c r="D4" s="103" t="s">
        <v>23</v>
      </c>
      <c r="E4" s="104" t="s">
        <v>24</v>
      </c>
      <c r="F4" s="103" t="s">
        <v>535</v>
      </c>
      <c r="G4" s="103" t="s">
        <v>413</v>
      </c>
      <c r="H4" s="104" t="s">
        <v>24</v>
      </c>
      <c r="I4" s="583" t="s">
        <v>24</v>
      </c>
      <c r="J4" s="583" t="s">
        <v>24</v>
      </c>
      <c r="K4" s="583" t="s">
        <v>24</v>
      </c>
    </row>
    <row r="5" spans="1:11" s="285" customFormat="1" x14ac:dyDescent="0.25">
      <c r="A5" s="946"/>
      <c r="B5" s="947"/>
      <c r="C5" s="106"/>
      <c r="D5" s="333" t="s">
        <v>257</v>
      </c>
      <c r="E5" s="107" t="s">
        <v>382</v>
      </c>
      <c r="F5" s="107"/>
      <c r="G5" s="107" t="s">
        <v>382</v>
      </c>
      <c r="H5" s="107" t="s">
        <v>407</v>
      </c>
      <c r="I5" s="586" t="s">
        <v>414</v>
      </c>
      <c r="J5" s="586" t="s">
        <v>530</v>
      </c>
      <c r="K5" s="586" t="s">
        <v>886</v>
      </c>
    </row>
    <row r="6" spans="1:11" s="285" customFormat="1" x14ac:dyDescent="0.25">
      <c r="A6" s="344"/>
      <c r="B6" s="151"/>
      <c r="C6" s="93" t="s">
        <v>33</v>
      </c>
      <c r="D6" s="345"/>
      <c r="F6" s="85">
        <v>0</v>
      </c>
      <c r="G6" s="428">
        <v>0</v>
      </c>
      <c r="H6" s="85"/>
      <c r="I6" s="428"/>
      <c r="J6" s="85"/>
      <c r="K6" s="85"/>
    </row>
    <row r="7" spans="1:11" s="285" customFormat="1" x14ac:dyDescent="0.25">
      <c r="A7" s="118">
        <v>50</v>
      </c>
      <c r="B7" s="155">
        <v>5005</v>
      </c>
      <c r="C7" s="94" t="s">
        <v>241</v>
      </c>
      <c r="D7" s="85">
        <v>1450</v>
      </c>
      <c r="E7" s="85"/>
      <c r="F7" s="85">
        <v>0</v>
      </c>
      <c r="G7" s="428">
        <v>0</v>
      </c>
      <c r="H7" s="428">
        <f t="shared" ref="H7:H17" si="0">(F7*0.068)+F7</f>
        <v>0</v>
      </c>
      <c r="I7" s="428">
        <v>0</v>
      </c>
      <c r="J7" s="428"/>
      <c r="K7" s="428"/>
    </row>
    <row r="8" spans="1:11" s="285" customFormat="1" hidden="1" x14ac:dyDescent="0.25">
      <c r="A8" s="118">
        <v>50</v>
      </c>
      <c r="B8" s="151">
        <v>5010</v>
      </c>
      <c r="C8" s="94" t="s">
        <v>34</v>
      </c>
      <c r="D8" s="85">
        <v>0</v>
      </c>
      <c r="E8" s="85"/>
      <c r="F8" s="85">
        <v>0</v>
      </c>
      <c r="G8" s="428">
        <v>0</v>
      </c>
      <c r="H8" s="428">
        <f t="shared" si="0"/>
        <v>0</v>
      </c>
      <c r="I8" s="428">
        <v>0</v>
      </c>
      <c r="J8" s="428"/>
      <c r="K8" s="428"/>
    </row>
    <row r="9" spans="1:11" s="285" customFormat="1" x14ac:dyDescent="0.25">
      <c r="A9" s="118">
        <v>50</v>
      </c>
      <c r="B9" s="151">
        <v>5015</v>
      </c>
      <c r="C9" s="94" t="s">
        <v>35</v>
      </c>
      <c r="D9" s="85">
        <v>2800</v>
      </c>
      <c r="E9" s="85">
        <v>1100</v>
      </c>
      <c r="F9" s="85">
        <v>1100</v>
      </c>
      <c r="G9" s="428">
        <v>1100</v>
      </c>
      <c r="H9" s="428">
        <f t="shared" si="0"/>
        <v>1174.8</v>
      </c>
      <c r="I9" s="428">
        <f>+H9*1.058</f>
        <v>1242.9384</v>
      </c>
      <c r="J9" s="428">
        <f>+I9*1.055</f>
        <v>1311.3000119999999</v>
      </c>
      <c r="K9" s="428">
        <f>+J9*1.053</f>
        <v>1380.7989126359998</v>
      </c>
    </row>
    <row r="10" spans="1:11" s="285" customFormat="1" hidden="1" x14ac:dyDescent="0.25">
      <c r="A10" s="118">
        <v>50</v>
      </c>
      <c r="B10" s="151">
        <v>5020</v>
      </c>
      <c r="C10" s="94" t="s">
        <v>350</v>
      </c>
      <c r="D10" s="85">
        <v>0</v>
      </c>
      <c r="F10" s="85">
        <v>0</v>
      </c>
      <c r="G10" s="428">
        <v>0</v>
      </c>
      <c r="H10" s="428">
        <f t="shared" si="0"/>
        <v>0</v>
      </c>
      <c r="I10" s="428">
        <v>0</v>
      </c>
      <c r="J10" s="428">
        <f t="shared" ref="J10:J17" si="1">+I10*1.055</f>
        <v>0</v>
      </c>
      <c r="K10" s="428">
        <f t="shared" ref="K10:K17" si="2">+J10*1.053</f>
        <v>0</v>
      </c>
    </row>
    <row r="11" spans="1:11" s="285" customFormat="1" hidden="1" x14ac:dyDescent="0.25">
      <c r="A11" s="118">
        <v>50</v>
      </c>
      <c r="B11" s="151">
        <v>5025</v>
      </c>
      <c r="C11" s="94" t="s">
        <v>36</v>
      </c>
      <c r="D11" s="85">
        <v>0</v>
      </c>
      <c r="E11" s="85"/>
      <c r="F11" s="85">
        <v>0</v>
      </c>
      <c r="G11" s="428">
        <v>0</v>
      </c>
      <c r="H11" s="428">
        <f t="shared" si="0"/>
        <v>0</v>
      </c>
      <c r="I11" s="428">
        <v>0</v>
      </c>
      <c r="J11" s="428">
        <f t="shared" si="1"/>
        <v>0</v>
      </c>
      <c r="K11" s="428">
        <f t="shared" si="2"/>
        <v>0</v>
      </c>
    </row>
    <row r="12" spans="1:11" s="285" customFormat="1" x14ac:dyDescent="0.25">
      <c r="A12" s="118">
        <v>50</v>
      </c>
      <c r="B12" s="151">
        <v>5030</v>
      </c>
      <c r="C12" s="94" t="s">
        <v>85</v>
      </c>
      <c r="D12" s="85">
        <v>75000</v>
      </c>
      <c r="E12" s="85">
        <v>62000</v>
      </c>
      <c r="F12" s="85">
        <v>62000</v>
      </c>
      <c r="G12" s="428">
        <v>62000</v>
      </c>
      <c r="H12" s="428">
        <f t="shared" si="0"/>
        <v>66216</v>
      </c>
      <c r="I12" s="428">
        <f>+H12*1.058</f>
        <v>70056.528000000006</v>
      </c>
      <c r="J12" s="428">
        <f t="shared" si="1"/>
        <v>73909.637040000001</v>
      </c>
      <c r="K12" s="428">
        <f t="shared" si="2"/>
        <v>77826.847803119992</v>
      </c>
    </row>
    <row r="13" spans="1:11" s="285" customFormat="1" hidden="1" x14ac:dyDescent="0.25">
      <c r="A13" s="118">
        <v>50</v>
      </c>
      <c r="B13" s="151">
        <v>5035</v>
      </c>
      <c r="C13" s="94" t="s">
        <v>84</v>
      </c>
      <c r="D13" s="85">
        <v>0</v>
      </c>
      <c r="E13" s="85"/>
      <c r="F13" s="85">
        <v>0</v>
      </c>
      <c r="G13" s="428">
        <v>0</v>
      </c>
      <c r="H13" s="428">
        <f t="shared" si="0"/>
        <v>0</v>
      </c>
      <c r="I13" s="428">
        <v>0</v>
      </c>
      <c r="J13" s="428">
        <f t="shared" si="1"/>
        <v>0</v>
      </c>
      <c r="K13" s="428">
        <f t="shared" si="2"/>
        <v>0</v>
      </c>
    </row>
    <row r="14" spans="1:11" s="285" customFormat="1" x14ac:dyDescent="0.25">
      <c r="A14" s="118">
        <v>50</v>
      </c>
      <c r="B14" s="151">
        <v>5040</v>
      </c>
      <c r="C14" s="94" t="s">
        <v>37</v>
      </c>
      <c r="D14" s="85">
        <v>47200</v>
      </c>
      <c r="E14" s="85">
        <v>122000</v>
      </c>
      <c r="F14" s="85">
        <v>122000</v>
      </c>
      <c r="G14" s="428">
        <v>122000</v>
      </c>
      <c r="H14" s="428">
        <f t="shared" si="0"/>
        <v>130296</v>
      </c>
      <c r="I14" s="428">
        <f>+H14*1.058</f>
        <v>137853.16800000001</v>
      </c>
      <c r="J14" s="428">
        <f t="shared" si="1"/>
        <v>145435.09224</v>
      </c>
      <c r="K14" s="428">
        <f t="shared" si="2"/>
        <v>153143.15212871999</v>
      </c>
    </row>
    <row r="15" spans="1:11" s="285" customFormat="1" hidden="1" x14ac:dyDescent="0.25">
      <c r="A15" s="118">
        <v>50</v>
      </c>
      <c r="B15" s="151">
        <v>5045</v>
      </c>
      <c r="C15" s="94" t="s">
        <v>38</v>
      </c>
      <c r="D15" s="85">
        <v>0</v>
      </c>
      <c r="E15" s="85"/>
      <c r="F15" s="85">
        <v>0</v>
      </c>
      <c r="G15" s="428">
        <v>0</v>
      </c>
      <c r="H15" s="428">
        <f t="shared" si="0"/>
        <v>0</v>
      </c>
      <c r="I15" s="428">
        <v>0</v>
      </c>
      <c r="J15" s="428">
        <f t="shared" si="1"/>
        <v>0</v>
      </c>
      <c r="K15" s="428">
        <f t="shared" si="2"/>
        <v>0</v>
      </c>
    </row>
    <row r="16" spans="1:11" s="285" customFormat="1" x14ac:dyDescent="0.25">
      <c r="A16" s="118">
        <v>50</v>
      </c>
      <c r="B16" s="151">
        <v>5050</v>
      </c>
      <c r="C16" s="94" t="s">
        <v>83</v>
      </c>
      <c r="D16" s="85">
        <v>119000</v>
      </c>
      <c r="E16" s="85">
        <v>26000</v>
      </c>
      <c r="F16" s="85">
        <v>26000</v>
      </c>
      <c r="G16" s="428">
        <v>26000</v>
      </c>
      <c r="H16" s="428">
        <f t="shared" si="0"/>
        <v>27768</v>
      </c>
      <c r="I16" s="428">
        <f>+H16*1.053</f>
        <v>29239.703999999998</v>
      </c>
      <c r="J16" s="428">
        <f t="shared" si="1"/>
        <v>30847.887719999995</v>
      </c>
      <c r="K16" s="428">
        <f t="shared" si="2"/>
        <v>32482.825769159994</v>
      </c>
    </row>
    <row r="17" spans="1:12" s="285" customFormat="1" x14ac:dyDescent="0.25">
      <c r="A17" s="118">
        <v>50</v>
      </c>
      <c r="B17" s="151">
        <v>5055</v>
      </c>
      <c r="C17" s="94" t="s">
        <v>39</v>
      </c>
      <c r="D17" s="85">
        <v>590900</v>
      </c>
      <c r="E17" s="85">
        <v>2264000</v>
      </c>
      <c r="F17" s="85">
        <v>2264000</v>
      </c>
      <c r="G17" s="428">
        <v>2264000</v>
      </c>
      <c r="H17" s="428">
        <f t="shared" si="0"/>
        <v>2417952</v>
      </c>
      <c r="I17" s="428">
        <f>+H17*1.058</f>
        <v>2558193.216</v>
      </c>
      <c r="J17" s="428">
        <f t="shared" si="1"/>
        <v>2698893.8428799999</v>
      </c>
      <c r="K17" s="428">
        <f t="shared" si="2"/>
        <v>2841935.2165526398</v>
      </c>
    </row>
    <row r="18" spans="1:12" s="285" customFormat="1" x14ac:dyDescent="0.25">
      <c r="A18" s="344"/>
      <c r="B18" s="151"/>
      <c r="C18" s="94"/>
      <c r="D18" s="429">
        <f t="shared" ref="D18:K18" si="3">SUM(D7:D17)</f>
        <v>836350</v>
      </c>
      <c r="E18" s="89">
        <f t="shared" si="3"/>
        <v>2475100</v>
      </c>
      <c r="F18" s="429">
        <f t="shared" si="3"/>
        <v>2475100</v>
      </c>
      <c r="G18" s="429">
        <f t="shared" si="3"/>
        <v>2475100</v>
      </c>
      <c r="H18" s="429">
        <f t="shared" si="3"/>
        <v>2643406.7999999998</v>
      </c>
      <c r="I18" s="429">
        <f t="shared" si="3"/>
        <v>2796585.5543999998</v>
      </c>
      <c r="J18" s="429">
        <f t="shared" si="3"/>
        <v>2950397.7598919999</v>
      </c>
      <c r="K18" s="429">
        <f t="shared" si="3"/>
        <v>3106768.841166276</v>
      </c>
    </row>
    <row r="19" spans="1:12" s="285" customFormat="1" x14ac:dyDescent="0.25">
      <c r="A19" s="344"/>
      <c r="B19" s="151"/>
      <c r="C19" s="93" t="s">
        <v>40</v>
      </c>
      <c r="D19" s="85"/>
      <c r="E19" s="86"/>
      <c r="F19" s="86"/>
      <c r="G19" s="86"/>
      <c r="H19" s="86"/>
      <c r="I19" s="86"/>
      <c r="J19" s="86"/>
      <c r="K19" s="85"/>
    </row>
    <row r="20" spans="1:12" s="285" customFormat="1" x14ac:dyDescent="0.25">
      <c r="A20" s="118">
        <v>50</v>
      </c>
      <c r="B20" s="151">
        <v>5105</v>
      </c>
      <c r="C20" s="94" t="s">
        <v>41</v>
      </c>
      <c r="D20" s="85">
        <v>60800</v>
      </c>
      <c r="E20" s="85">
        <v>50000</v>
      </c>
      <c r="F20" s="85">
        <v>50000</v>
      </c>
      <c r="G20" s="428">
        <v>50000</v>
      </c>
      <c r="H20" s="428">
        <f>(F20*0.068)+F20</f>
        <v>53400</v>
      </c>
      <c r="I20" s="428">
        <v>157750</v>
      </c>
      <c r="J20" s="428">
        <f>+I20*1.055</f>
        <v>166426.25</v>
      </c>
      <c r="K20" s="428">
        <f>+J20*1.053</f>
        <v>175246.84125</v>
      </c>
    </row>
    <row r="21" spans="1:12" s="285" customFormat="1" x14ac:dyDescent="0.25">
      <c r="A21" s="118">
        <v>50</v>
      </c>
      <c r="B21" s="151">
        <v>5115</v>
      </c>
      <c r="C21" s="94" t="s">
        <v>42</v>
      </c>
      <c r="D21" s="85">
        <v>99200</v>
      </c>
      <c r="E21" s="85">
        <v>138000</v>
      </c>
      <c r="F21" s="85">
        <v>138000</v>
      </c>
      <c r="G21" s="428">
        <v>138000</v>
      </c>
      <c r="H21" s="428">
        <f>(F21*0.068)+F21</f>
        <v>147384</v>
      </c>
      <c r="I21" s="428">
        <v>147384</v>
      </c>
      <c r="J21" s="428">
        <f>+I21*1.055</f>
        <v>155490.12</v>
      </c>
      <c r="K21" s="428">
        <f>+J21*1.053</f>
        <v>163731.09636</v>
      </c>
    </row>
    <row r="22" spans="1:12" s="285" customFormat="1" x14ac:dyDescent="0.25">
      <c r="A22" s="118">
        <v>50</v>
      </c>
      <c r="B22" s="151">
        <v>5120</v>
      </c>
      <c r="C22" s="94" t="s">
        <v>43</v>
      </c>
      <c r="D22" s="85">
        <v>38776.416000000005</v>
      </c>
      <c r="E22" s="85">
        <v>69000</v>
      </c>
      <c r="F22" s="85">
        <v>69000</v>
      </c>
      <c r="G22" s="428">
        <v>69000</v>
      </c>
      <c r="H22" s="428">
        <f>(F22*0.068)+F22</f>
        <v>73692</v>
      </c>
      <c r="I22" s="428">
        <v>378702</v>
      </c>
      <c r="J22" s="428">
        <f>+I22*1.055</f>
        <v>399530.61</v>
      </c>
      <c r="K22" s="428">
        <f>+J22*1.053</f>
        <v>420705.73232999997</v>
      </c>
    </row>
    <row r="23" spans="1:12" s="285" customFormat="1" hidden="1" x14ac:dyDescent="0.25">
      <c r="A23" s="118">
        <v>50</v>
      </c>
      <c r="B23" s="151">
        <v>5125</v>
      </c>
      <c r="C23" s="94" t="s">
        <v>44</v>
      </c>
      <c r="D23" s="85">
        <v>0</v>
      </c>
      <c r="E23" s="85"/>
      <c r="F23" s="85">
        <v>0</v>
      </c>
      <c r="G23" s="428">
        <v>0</v>
      </c>
      <c r="H23" s="428">
        <f>(F23*0.068)+F23</f>
        <v>0</v>
      </c>
      <c r="I23" s="428">
        <v>0</v>
      </c>
      <c r="J23" s="428">
        <f>+I23*1.055</f>
        <v>0</v>
      </c>
      <c r="K23" s="428">
        <f>+J23*1.053</f>
        <v>0</v>
      </c>
    </row>
    <row r="24" spans="1:12" s="285" customFormat="1" x14ac:dyDescent="0.25">
      <c r="A24" s="118">
        <v>50</v>
      </c>
      <c r="B24" s="151">
        <v>5130</v>
      </c>
      <c r="C24" s="94" t="s">
        <v>45</v>
      </c>
      <c r="D24" s="85">
        <v>6180</v>
      </c>
      <c r="E24" s="85">
        <v>14400</v>
      </c>
      <c r="F24" s="85">
        <v>14400</v>
      </c>
      <c r="G24" s="428">
        <v>14400</v>
      </c>
      <c r="H24" s="428">
        <f>(F24*0.068)+F24</f>
        <v>15379.2</v>
      </c>
      <c r="I24" s="428">
        <v>20298</v>
      </c>
      <c r="J24" s="428">
        <f>+I24*1.055</f>
        <v>21414.39</v>
      </c>
      <c r="K24" s="428">
        <f>+J24*1.053</f>
        <v>22549.352669999997</v>
      </c>
    </row>
    <row r="25" spans="1:12" s="285" customFormat="1" x14ac:dyDescent="0.25">
      <c r="A25" s="344"/>
      <c r="B25" s="151"/>
      <c r="C25" s="94"/>
      <c r="D25" s="429">
        <f t="shared" ref="D25:K25" si="4">SUM(D20:D24)</f>
        <v>204956.416</v>
      </c>
      <c r="E25" s="89">
        <f t="shared" si="4"/>
        <v>271400</v>
      </c>
      <c r="F25" s="89">
        <f t="shared" si="4"/>
        <v>271400</v>
      </c>
      <c r="G25" s="429">
        <f t="shared" si="4"/>
        <v>271400</v>
      </c>
      <c r="H25" s="429">
        <f t="shared" si="4"/>
        <v>289855.2</v>
      </c>
      <c r="I25" s="429">
        <f t="shared" si="4"/>
        <v>704134</v>
      </c>
      <c r="J25" s="429">
        <f t="shared" si="4"/>
        <v>742861.37</v>
      </c>
      <c r="K25" s="429">
        <f t="shared" si="4"/>
        <v>782233.02260999999</v>
      </c>
    </row>
    <row r="26" spans="1:12" s="285" customFormat="1" x14ac:dyDescent="0.25">
      <c r="A26" s="344"/>
      <c r="B26" s="151"/>
      <c r="C26" s="93" t="s">
        <v>46</v>
      </c>
      <c r="D26" s="85"/>
      <c r="E26" s="86"/>
      <c r="F26" s="86"/>
      <c r="G26" s="86"/>
      <c r="H26" s="86"/>
      <c r="I26" s="86"/>
      <c r="J26" s="86"/>
      <c r="K26" s="86"/>
    </row>
    <row r="27" spans="1:12" s="285" customFormat="1" hidden="1" x14ac:dyDescent="0.25">
      <c r="A27" s="344"/>
      <c r="B27" s="151"/>
      <c r="C27" s="93" t="s">
        <v>47</v>
      </c>
      <c r="D27" s="85"/>
      <c r="E27" s="86"/>
      <c r="F27" s="86"/>
      <c r="G27" s="86"/>
      <c r="H27" s="86"/>
      <c r="I27" s="86"/>
      <c r="J27" s="86"/>
      <c r="K27" s="86"/>
    </row>
    <row r="28" spans="1:12" s="285" customFormat="1" hidden="1" x14ac:dyDescent="0.25">
      <c r="A28" s="118">
        <v>50</v>
      </c>
      <c r="B28" s="151">
        <v>5150</v>
      </c>
      <c r="C28" s="94" t="s">
        <v>48</v>
      </c>
      <c r="D28" s="85"/>
      <c r="E28" s="85"/>
      <c r="F28" s="85">
        <f>0/8*12</f>
        <v>0</v>
      </c>
      <c r="G28" s="428">
        <v>0</v>
      </c>
      <c r="H28" s="85"/>
      <c r="I28" s="428"/>
      <c r="J28" s="85"/>
      <c r="K28" s="85"/>
    </row>
    <row r="29" spans="1:12" s="285" customFormat="1" hidden="1" x14ac:dyDescent="0.25">
      <c r="A29" s="344"/>
      <c r="B29" s="151"/>
      <c r="C29" s="94"/>
      <c r="D29" s="89"/>
      <c r="E29" s="89">
        <f>E28</f>
        <v>0</v>
      </c>
      <c r="F29" s="89">
        <f>F28</f>
        <v>0</v>
      </c>
      <c r="G29" s="429">
        <v>0</v>
      </c>
      <c r="H29" s="89"/>
      <c r="I29" s="429"/>
      <c r="J29" s="89"/>
      <c r="K29" s="89"/>
    </row>
    <row r="30" spans="1:12" s="285" customFormat="1" x14ac:dyDescent="0.25">
      <c r="A30" s="344"/>
      <c r="B30" s="151"/>
      <c r="C30" s="93" t="s">
        <v>49</v>
      </c>
      <c r="D30" s="85"/>
      <c r="E30" s="86"/>
      <c r="F30" s="86"/>
      <c r="G30" s="86"/>
      <c r="H30" s="86"/>
      <c r="I30" s="86"/>
      <c r="J30" s="86"/>
      <c r="K30" s="86"/>
    </row>
    <row r="31" spans="1:12" s="285" customFormat="1" x14ac:dyDescent="0.25">
      <c r="A31" s="118">
        <v>50</v>
      </c>
      <c r="B31" s="151">
        <v>5170</v>
      </c>
      <c r="C31" s="94" t="s">
        <v>341</v>
      </c>
      <c r="D31" s="85">
        <v>4155000</v>
      </c>
      <c r="E31" s="85">
        <v>4379370</v>
      </c>
      <c r="F31" s="85">
        <v>0</v>
      </c>
      <c r="G31" s="428">
        <v>0</v>
      </c>
      <c r="H31" s="108">
        <v>5000000</v>
      </c>
      <c r="I31" s="425"/>
      <c r="J31" s="108"/>
      <c r="K31" s="85"/>
    </row>
    <row r="32" spans="1:12" s="285" customFormat="1" x14ac:dyDescent="0.25">
      <c r="A32" s="344"/>
      <c r="B32" s="151"/>
      <c r="C32" s="94"/>
      <c r="D32" s="89">
        <v>4155000</v>
      </c>
      <c r="E32" s="89">
        <f>SUM(E31)</f>
        <v>4379370</v>
      </c>
      <c r="F32" s="89">
        <f>SUM(F31)</f>
        <v>0</v>
      </c>
      <c r="G32" s="429">
        <f>SUM(G31)</f>
        <v>0</v>
      </c>
      <c r="H32" s="89">
        <f>SUM(H31)</f>
        <v>5000000</v>
      </c>
      <c r="I32" s="429"/>
      <c r="J32" s="429"/>
      <c r="K32" s="429"/>
      <c r="L32" s="429"/>
    </row>
    <row r="33" spans="1:11" s="285" customFormat="1" hidden="1" x14ac:dyDescent="0.25">
      <c r="A33" s="344"/>
      <c r="B33" s="151"/>
      <c r="C33" s="93" t="s">
        <v>50</v>
      </c>
      <c r="D33" s="85"/>
      <c r="E33" s="86"/>
      <c r="F33" s="86"/>
      <c r="G33" s="86"/>
      <c r="H33" s="86"/>
      <c r="I33" s="86"/>
      <c r="J33" s="86"/>
      <c r="K33" s="86"/>
    </row>
    <row r="34" spans="1:11" s="285" customFormat="1" hidden="1" x14ac:dyDescent="0.25">
      <c r="A34" s="118">
        <v>50</v>
      </c>
      <c r="B34" s="151">
        <v>5180</v>
      </c>
      <c r="C34" s="94" t="s">
        <v>51</v>
      </c>
      <c r="D34" s="85"/>
      <c r="E34" s="108"/>
      <c r="F34" s="85">
        <f>0/8*12</f>
        <v>0</v>
      </c>
      <c r="G34" s="428">
        <v>0</v>
      </c>
      <c r="H34" s="85"/>
      <c r="I34" s="428"/>
      <c r="J34" s="85"/>
      <c r="K34" s="108"/>
    </row>
    <row r="35" spans="1:11" s="285" customFormat="1" hidden="1" x14ac:dyDescent="0.25">
      <c r="A35" s="344"/>
      <c r="B35" s="151"/>
      <c r="C35" s="94"/>
      <c r="D35" s="89"/>
      <c r="E35" s="89">
        <f>SUM(E34)</f>
        <v>0</v>
      </c>
      <c r="F35" s="89">
        <f>SUM(F34)</f>
        <v>0</v>
      </c>
      <c r="G35" s="429">
        <v>0</v>
      </c>
      <c r="H35" s="89"/>
      <c r="I35" s="429"/>
      <c r="J35" s="89"/>
      <c r="K35" s="89"/>
    </row>
    <row r="36" spans="1:11" s="285" customFormat="1" hidden="1" x14ac:dyDescent="0.25">
      <c r="A36" s="344"/>
      <c r="B36" s="151"/>
      <c r="C36" s="93" t="s">
        <v>52</v>
      </c>
      <c r="D36" s="85"/>
      <c r="E36" s="86"/>
      <c r="F36" s="86"/>
      <c r="G36" s="86"/>
      <c r="H36" s="86"/>
      <c r="I36" s="86"/>
      <c r="J36" s="86"/>
      <c r="K36" s="86"/>
    </row>
    <row r="37" spans="1:11" s="285" customFormat="1" hidden="1" x14ac:dyDescent="0.25">
      <c r="A37" s="118">
        <v>50</v>
      </c>
      <c r="B37" s="151">
        <v>5190</v>
      </c>
      <c r="C37" s="94" t="s">
        <v>53</v>
      </c>
      <c r="D37" s="85"/>
      <c r="E37" s="85">
        <v>0</v>
      </c>
      <c r="F37" s="108">
        <v>0</v>
      </c>
      <c r="G37" s="425">
        <v>0</v>
      </c>
      <c r="H37" s="108"/>
      <c r="I37" s="425"/>
      <c r="J37" s="108"/>
      <c r="K37" s="85"/>
    </row>
    <row r="38" spans="1:11" s="285" customFormat="1" hidden="1" x14ac:dyDescent="0.25">
      <c r="A38" s="344"/>
      <c r="B38" s="151"/>
      <c r="C38" s="94"/>
      <c r="D38" s="89"/>
      <c r="E38" s="89">
        <f>E37</f>
        <v>0</v>
      </c>
      <c r="F38" s="89">
        <f>F37</f>
        <v>0</v>
      </c>
      <c r="G38" s="429">
        <v>0</v>
      </c>
      <c r="H38" s="89"/>
      <c r="I38" s="429"/>
      <c r="J38" s="89"/>
      <c r="K38" s="89"/>
    </row>
    <row r="39" spans="1:11" s="285" customFormat="1" x14ac:dyDescent="0.25">
      <c r="A39" s="344"/>
      <c r="B39" s="151"/>
      <c r="C39" s="93" t="s">
        <v>54</v>
      </c>
      <c r="D39" s="85"/>
      <c r="E39" s="86"/>
      <c r="F39" s="86"/>
      <c r="G39" s="86"/>
      <c r="H39" s="86"/>
      <c r="I39" s="86"/>
      <c r="J39" s="86"/>
      <c r="K39" s="86"/>
    </row>
    <row r="40" spans="1:11" s="285" customFormat="1" hidden="1" x14ac:dyDescent="0.25">
      <c r="A40" s="118">
        <v>50</v>
      </c>
      <c r="B40" s="151">
        <v>5200</v>
      </c>
      <c r="C40" s="94" t="s">
        <v>55</v>
      </c>
      <c r="D40" s="85"/>
      <c r="E40" s="108"/>
      <c r="F40" s="85">
        <f>0/8*12</f>
        <v>0</v>
      </c>
      <c r="G40" s="428">
        <v>0</v>
      </c>
      <c r="H40" s="85"/>
      <c r="I40" s="428"/>
      <c r="J40" s="85"/>
      <c r="K40" s="85"/>
    </row>
    <row r="41" spans="1:11" s="285" customFormat="1" x14ac:dyDescent="0.25">
      <c r="A41" s="118">
        <v>50</v>
      </c>
      <c r="B41" s="151">
        <v>5205</v>
      </c>
      <c r="C41" s="94" t="s">
        <v>56</v>
      </c>
      <c r="D41" s="85">
        <v>32081</v>
      </c>
      <c r="E41" s="85">
        <v>35469.1</v>
      </c>
      <c r="F41" s="85">
        <v>85469.1</v>
      </c>
      <c r="G41" s="428">
        <v>85469.1</v>
      </c>
      <c r="H41" s="85">
        <v>100000</v>
      </c>
      <c r="I41" s="428">
        <v>100000</v>
      </c>
      <c r="J41" s="85">
        <f>+I41*1.055</f>
        <v>105500</v>
      </c>
      <c r="K41" s="85">
        <f>+J41*1.053</f>
        <v>111091.5</v>
      </c>
    </row>
    <row r="42" spans="1:11" s="285" customFormat="1" x14ac:dyDescent="0.25">
      <c r="A42" s="118">
        <v>50</v>
      </c>
      <c r="B42" s="151">
        <v>5210</v>
      </c>
      <c r="C42" s="94" t="s">
        <v>57</v>
      </c>
      <c r="D42" s="85"/>
      <c r="E42" s="85">
        <v>0</v>
      </c>
      <c r="F42" s="85">
        <v>0</v>
      </c>
      <c r="G42" s="428">
        <v>0</v>
      </c>
      <c r="H42" s="85"/>
      <c r="I42" s="428"/>
      <c r="J42" s="428">
        <f t="shared" ref="J42:J58" si="5">+I42*1.055</f>
        <v>0</v>
      </c>
      <c r="K42" s="428">
        <f t="shared" ref="K42:K58" si="6">+J42*1.053</f>
        <v>0</v>
      </c>
    </row>
    <row r="43" spans="1:11" s="285" customFormat="1" x14ac:dyDescent="0.25">
      <c r="A43" s="118">
        <v>50</v>
      </c>
      <c r="B43" s="151">
        <v>5215</v>
      </c>
      <c r="C43" s="94" t="s">
        <v>95</v>
      </c>
      <c r="D43" s="85">
        <v>124004</v>
      </c>
      <c r="E43" s="85">
        <v>137103.57999999999</v>
      </c>
      <c r="F43" s="85">
        <v>137103.57999999999</v>
      </c>
      <c r="G43" s="428">
        <v>137103.57999999999</v>
      </c>
      <c r="H43" s="428">
        <v>150000</v>
      </c>
      <c r="I43" s="428">
        <v>150000</v>
      </c>
      <c r="J43" s="428">
        <f t="shared" si="5"/>
        <v>158250</v>
      </c>
      <c r="K43" s="428">
        <f t="shared" si="6"/>
        <v>166637.25</v>
      </c>
    </row>
    <row r="44" spans="1:11" s="285" customFormat="1" x14ac:dyDescent="0.25">
      <c r="A44" s="118">
        <v>50</v>
      </c>
      <c r="B44" s="151">
        <v>5220</v>
      </c>
      <c r="C44" s="94" t="s">
        <v>58</v>
      </c>
      <c r="D44" s="85"/>
      <c r="E44" s="85">
        <v>0</v>
      </c>
      <c r="F44" s="85">
        <v>0</v>
      </c>
      <c r="G44" s="428">
        <v>0</v>
      </c>
      <c r="H44" s="428"/>
      <c r="I44" s="428"/>
      <c r="J44" s="428">
        <f t="shared" si="5"/>
        <v>0</v>
      </c>
      <c r="K44" s="428">
        <f t="shared" si="6"/>
        <v>0</v>
      </c>
    </row>
    <row r="45" spans="1:11" s="285" customFormat="1" x14ac:dyDescent="0.25">
      <c r="A45" s="118">
        <v>50</v>
      </c>
      <c r="B45" s="151">
        <v>5225</v>
      </c>
      <c r="C45" s="94" t="s">
        <v>92</v>
      </c>
      <c r="D45" s="85"/>
      <c r="E45" s="85">
        <v>0</v>
      </c>
      <c r="F45" s="85">
        <v>0</v>
      </c>
      <c r="G45" s="428">
        <v>0</v>
      </c>
      <c r="H45" s="428"/>
      <c r="I45" s="428"/>
      <c r="J45" s="428">
        <f t="shared" si="5"/>
        <v>0</v>
      </c>
      <c r="K45" s="428">
        <f t="shared" si="6"/>
        <v>0</v>
      </c>
    </row>
    <row r="46" spans="1:11" s="285" customFormat="1" x14ac:dyDescent="0.25">
      <c r="A46" s="118">
        <v>50</v>
      </c>
      <c r="B46" s="151">
        <v>5230</v>
      </c>
      <c r="C46" s="94" t="s">
        <v>86</v>
      </c>
      <c r="D46" s="85"/>
      <c r="E46" s="85">
        <v>0</v>
      </c>
      <c r="F46" s="85">
        <v>0</v>
      </c>
      <c r="G46" s="428">
        <v>0</v>
      </c>
      <c r="H46" s="428"/>
      <c r="I46" s="428"/>
      <c r="J46" s="428">
        <f t="shared" si="5"/>
        <v>0</v>
      </c>
      <c r="K46" s="428">
        <f t="shared" si="6"/>
        <v>0</v>
      </c>
    </row>
    <row r="47" spans="1:11" s="285" customFormat="1" x14ac:dyDescent="0.25">
      <c r="A47" s="118">
        <v>50</v>
      </c>
      <c r="B47" s="151">
        <v>5235</v>
      </c>
      <c r="C47" s="94" t="s">
        <v>124</v>
      </c>
      <c r="D47" s="85"/>
      <c r="E47" s="85">
        <v>0</v>
      </c>
      <c r="F47" s="85">
        <v>0</v>
      </c>
      <c r="G47" s="428">
        <v>0</v>
      </c>
      <c r="H47" s="428"/>
      <c r="I47" s="428"/>
      <c r="J47" s="428">
        <f t="shared" si="5"/>
        <v>0</v>
      </c>
      <c r="K47" s="428">
        <f t="shared" si="6"/>
        <v>0</v>
      </c>
    </row>
    <row r="48" spans="1:11" s="285" customFormat="1" x14ac:dyDescent="0.25">
      <c r="A48" s="118">
        <v>50</v>
      </c>
      <c r="B48" s="151">
        <v>5240</v>
      </c>
      <c r="C48" s="94" t="s">
        <v>59</v>
      </c>
      <c r="D48" s="85"/>
      <c r="E48" s="85">
        <v>0</v>
      </c>
      <c r="F48" s="85">
        <v>0</v>
      </c>
      <c r="G48" s="428">
        <v>0</v>
      </c>
      <c r="H48" s="428"/>
      <c r="I48" s="428"/>
      <c r="J48" s="428">
        <f t="shared" si="5"/>
        <v>0</v>
      </c>
      <c r="K48" s="428">
        <f t="shared" si="6"/>
        <v>0</v>
      </c>
    </row>
    <row r="49" spans="1:11" s="285" customFormat="1" x14ac:dyDescent="0.25">
      <c r="A49" s="118">
        <v>50</v>
      </c>
      <c r="B49" s="151">
        <v>5245</v>
      </c>
      <c r="C49" s="94" t="s">
        <v>541</v>
      </c>
      <c r="D49" s="85">
        <v>645024</v>
      </c>
      <c r="E49" s="85">
        <v>791250</v>
      </c>
      <c r="F49" s="85">
        <v>991250</v>
      </c>
      <c r="G49" s="428">
        <v>991250</v>
      </c>
      <c r="H49" s="428">
        <v>1200000</v>
      </c>
      <c r="I49" s="428">
        <v>4300560</v>
      </c>
      <c r="J49" s="428">
        <f t="shared" si="5"/>
        <v>4537090.8</v>
      </c>
      <c r="K49" s="428">
        <f t="shared" si="6"/>
        <v>4777556.6123999991</v>
      </c>
    </row>
    <row r="50" spans="1:11" s="285" customFormat="1" x14ac:dyDescent="0.25">
      <c r="A50" s="118">
        <v>50</v>
      </c>
      <c r="B50" s="151">
        <v>5250</v>
      </c>
      <c r="C50" s="94" t="s">
        <v>88</v>
      </c>
      <c r="D50" s="85">
        <v>18045</v>
      </c>
      <c r="E50" s="85">
        <v>211000</v>
      </c>
      <c r="F50" s="85">
        <v>311000</v>
      </c>
      <c r="G50" s="428">
        <v>311000</v>
      </c>
      <c r="H50" s="428">
        <v>250000</v>
      </c>
      <c r="I50" s="428">
        <v>250000</v>
      </c>
      <c r="J50" s="428">
        <f t="shared" si="5"/>
        <v>263750</v>
      </c>
      <c r="K50" s="428">
        <f t="shared" si="6"/>
        <v>277728.75</v>
      </c>
    </row>
    <row r="51" spans="1:11" s="285" customFormat="1" x14ac:dyDescent="0.25">
      <c r="A51" s="118">
        <v>50</v>
      </c>
      <c r="B51" s="151">
        <v>5255</v>
      </c>
      <c r="C51" s="94" t="s">
        <v>125</v>
      </c>
      <c r="D51" s="85"/>
      <c r="E51" s="85">
        <v>0</v>
      </c>
      <c r="F51" s="85">
        <v>0</v>
      </c>
      <c r="G51" s="428">
        <v>0</v>
      </c>
      <c r="H51" s="428"/>
      <c r="I51" s="428"/>
      <c r="J51" s="428">
        <f t="shared" si="5"/>
        <v>0</v>
      </c>
      <c r="K51" s="428">
        <f t="shared" si="6"/>
        <v>0</v>
      </c>
    </row>
    <row r="52" spans="1:11" s="285" customFormat="1" x14ac:dyDescent="0.25">
      <c r="A52" s="118">
        <v>50</v>
      </c>
      <c r="B52" s="151">
        <v>5260</v>
      </c>
      <c r="C52" s="94" t="s">
        <v>90</v>
      </c>
      <c r="D52" s="85"/>
      <c r="E52" s="85">
        <v>0</v>
      </c>
      <c r="F52" s="85">
        <v>0</v>
      </c>
      <c r="G52" s="428">
        <v>0</v>
      </c>
      <c r="H52" s="428"/>
      <c r="I52" s="428"/>
      <c r="J52" s="428">
        <f t="shared" si="5"/>
        <v>0</v>
      </c>
      <c r="K52" s="428">
        <f t="shared" si="6"/>
        <v>0</v>
      </c>
    </row>
    <row r="53" spans="1:11" s="285" customFormat="1" x14ac:dyDescent="0.25">
      <c r="A53" s="118">
        <v>50</v>
      </c>
      <c r="B53" s="151">
        <v>5265</v>
      </c>
      <c r="C53" s="94" t="s">
        <v>87</v>
      </c>
      <c r="D53" s="85"/>
      <c r="E53" s="85">
        <v>0</v>
      </c>
      <c r="F53" s="85">
        <v>0</v>
      </c>
      <c r="G53" s="428">
        <v>0</v>
      </c>
      <c r="H53" s="428"/>
      <c r="I53" s="428"/>
      <c r="J53" s="428">
        <f t="shared" si="5"/>
        <v>0</v>
      </c>
      <c r="K53" s="428">
        <f t="shared" si="6"/>
        <v>0</v>
      </c>
    </row>
    <row r="54" spans="1:11" s="285" customFormat="1" x14ac:dyDescent="0.25">
      <c r="A54" s="118">
        <v>50</v>
      </c>
      <c r="B54" s="151">
        <v>5270</v>
      </c>
      <c r="C54" s="94" t="s">
        <v>89</v>
      </c>
      <c r="D54" s="85"/>
      <c r="E54" s="85">
        <v>0</v>
      </c>
      <c r="F54" s="85">
        <v>0</v>
      </c>
      <c r="G54" s="428">
        <v>0</v>
      </c>
      <c r="H54" s="428"/>
      <c r="I54" s="428"/>
      <c r="J54" s="428">
        <f t="shared" si="5"/>
        <v>0</v>
      </c>
      <c r="K54" s="428">
        <f t="shared" si="6"/>
        <v>0</v>
      </c>
    </row>
    <row r="55" spans="1:11" s="285" customFormat="1" x14ac:dyDescent="0.25">
      <c r="A55" s="118">
        <v>50</v>
      </c>
      <c r="B55" s="151">
        <v>5275</v>
      </c>
      <c r="C55" s="94" t="s">
        <v>93</v>
      </c>
      <c r="D55" s="85">
        <v>210000</v>
      </c>
      <c r="E55" s="85">
        <v>527500</v>
      </c>
      <c r="F55" s="85">
        <v>627500</v>
      </c>
      <c r="G55" s="428">
        <v>627500</v>
      </c>
      <c r="H55" s="428">
        <v>600000</v>
      </c>
      <c r="I55" s="428">
        <v>660000</v>
      </c>
      <c r="J55" s="428">
        <f t="shared" si="5"/>
        <v>696300</v>
      </c>
      <c r="K55" s="428">
        <f t="shared" si="6"/>
        <v>733203.89999999991</v>
      </c>
    </row>
    <row r="56" spans="1:11" s="285" customFormat="1" x14ac:dyDescent="0.25">
      <c r="A56" s="118">
        <v>50</v>
      </c>
      <c r="B56" s="151">
        <v>5280</v>
      </c>
      <c r="C56" s="94" t="s">
        <v>94</v>
      </c>
      <c r="D56" s="85">
        <v>228158</v>
      </c>
      <c r="E56" s="85">
        <v>316500</v>
      </c>
      <c r="F56" s="85">
        <v>376500</v>
      </c>
      <c r="G56" s="428">
        <v>376500</v>
      </c>
      <c r="H56" s="428">
        <v>400000</v>
      </c>
      <c r="I56" s="428">
        <v>440000</v>
      </c>
      <c r="J56" s="428">
        <f t="shared" si="5"/>
        <v>464200</v>
      </c>
      <c r="K56" s="428">
        <f t="shared" si="6"/>
        <v>488802.6</v>
      </c>
    </row>
    <row r="57" spans="1:11" s="285" customFormat="1" x14ac:dyDescent="0.25">
      <c r="A57" s="118">
        <v>50</v>
      </c>
      <c r="B57" s="151">
        <v>5285</v>
      </c>
      <c r="C57" s="94" t="s">
        <v>60</v>
      </c>
      <c r="D57" s="85">
        <v>8156</v>
      </c>
      <c r="E57" s="85">
        <v>31649.999999999996</v>
      </c>
      <c r="F57" s="85">
        <v>31649.999999999996</v>
      </c>
      <c r="G57" s="428">
        <v>31649.999999999996</v>
      </c>
      <c r="H57" s="85">
        <v>50000</v>
      </c>
      <c r="I57" s="428">
        <v>55000</v>
      </c>
      <c r="J57" s="428">
        <f t="shared" si="5"/>
        <v>58025</v>
      </c>
      <c r="K57" s="428">
        <f t="shared" si="6"/>
        <v>61100.324999999997</v>
      </c>
    </row>
    <row r="58" spans="1:11" s="285" customFormat="1" x14ac:dyDescent="0.25">
      <c r="A58" s="118">
        <v>50</v>
      </c>
      <c r="B58" s="151">
        <v>5290</v>
      </c>
      <c r="C58" s="94" t="s">
        <v>186</v>
      </c>
      <c r="D58" s="85"/>
      <c r="E58" s="108"/>
      <c r="F58" s="85">
        <f>0/8*12</f>
        <v>0</v>
      </c>
      <c r="G58" s="428">
        <v>0</v>
      </c>
      <c r="H58" s="85"/>
      <c r="I58" s="428"/>
      <c r="J58" s="428">
        <f t="shared" si="5"/>
        <v>0</v>
      </c>
      <c r="K58" s="428">
        <f t="shared" si="6"/>
        <v>0</v>
      </c>
    </row>
    <row r="59" spans="1:11" s="285" customFormat="1" x14ac:dyDescent="0.25">
      <c r="A59" s="344"/>
      <c r="B59" s="151"/>
      <c r="C59" s="94"/>
      <c r="D59" s="439">
        <f t="shared" ref="D59:K59" si="7">SUM(D40:D58)</f>
        <v>1265468</v>
      </c>
      <c r="E59" s="110">
        <f t="shared" si="7"/>
        <v>2050472.68</v>
      </c>
      <c r="F59" s="439">
        <f t="shared" si="7"/>
        <v>2560472.6799999997</v>
      </c>
      <c r="G59" s="439">
        <f t="shared" si="7"/>
        <v>2560472.6799999997</v>
      </c>
      <c r="H59" s="439">
        <f t="shared" si="7"/>
        <v>2750000</v>
      </c>
      <c r="I59" s="439">
        <f t="shared" si="7"/>
        <v>5955560</v>
      </c>
      <c r="J59" s="439">
        <f t="shared" si="7"/>
        <v>6283115.7999999998</v>
      </c>
      <c r="K59" s="439">
        <f t="shared" si="7"/>
        <v>6616120.9373999992</v>
      </c>
    </row>
    <row r="60" spans="1:11" s="285" customFormat="1" x14ac:dyDescent="0.25">
      <c r="A60" s="344"/>
      <c r="B60" s="151"/>
      <c r="C60" s="93" t="s">
        <v>198</v>
      </c>
      <c r="D60" s="85"/>
      <c r="E60" s="112"/>
      <c r="F60" s="112"/>
      <c r="G60" s="112"/>
      <c r="H60" s="112"/>
      <c r="I60" s="112"/>
      <c r="J60" s="112"/>
      <c r="K60" s="112"/>
    </row>
    <row r="61" spans="1:11" s="285" customFormat="1" hidden="1" x14ac:dyDescent="0.25">
      <c r="A61" s="118">
        <v>50</v>
      </c>
      <c r="B61" s="151">
        <v>5400</v>
      </c>
      <c r="C61" s="94" t="s">
        <v>334</v>
      </c>
      <c r="D61" s="85"/>
      <c r="E61" s="86"/>
      <c r="F61" s="85">
        <f>0/8*12</f>
        <v>0</v>
      </c>
      <c r="G61" s="86"/>
      <c r="H61" s="86"/>
      <c r="I61" s="86"/>
      <c r="J61" s="86"/>
      <c r="K61" s="86"/>
    </row>
    <row r="62" spans="1:11" s="285" customFormat="1" x14ac:dyDescent="0.25">
      <c r="A62" s="118">
        <v>50</v>
      </c>
      <c r="B62" s="151">
        <v>5405</v>
      </c>
      <c r="C62" s="94" t="s">
        <v>335</v>
      </c>
      <c r="D62" s="85">
        <v>2456</v>
      </c>
      <c r="E62" s="108">
        <v>50904</v>
      </c>
      <c r="F62" s="85">
        <v>50904</v>
      </c>
      <c r="G62" s="428">
        <v>50905</v>
      </c>
      <c r="H62" s="85">
        <f>E62</f>
        <v>50904</v>
      </c>
      <c r="I62" s="428"/>
      <c r="J62" s="85"/>
      <c r="K62" s="85"/>
    </row>
    <row r="63" spans="1:11" s="285" customFormat="1" x14ac:dyDescent="0.25">
      <c r="A63" s="344"/>
      <c r="B63" s="151"/>
      <c r="C63" s="94"/>
      <c r="D63" s="429">
        <f>SUM(D61:D62)</f>
        <v>2456</v>
      </c>
      <c r="E63" s="89">
        <f>SUM(E61:E62)</f>
        <v>50904</v>
      </c>
      <c r="F63" s="429">
        <f>SUM(F61:F62)</f>
        <v>50904</v>
      </c>
      <c r="G63" s="429">
        <f>SUM(G61:G62)</f>
        <v>50905</v>
      </c>
      <c r="H63" s="429">
        <f>SUM(H61:H62)</f>
        <v>50904</v>
      </c>
      <c r="I63" s="429"/>
      <c r="J63" s="429"/>
      <c r="K63" s="429"/>
    </row>
    <row r="64" spans="1:11" s="285" customFormat="1" hidden="1" x14ac:dyDescent="0.25">
      <c r="A64" s="344"/>
      <c r="B64" s="151"/>
      <c r="C64" s="93" t="s">
        <v>61</v>
      </c>
      <c r="D64" s="85"/>
      <c r="E64" s="86"/>
      <c r="F64" s="86"/>
      <c r="G64" s="86"/>
      <c r="H64" s="86"/>
      <c r="I64" s="86"/>
      <c r="J64" s="86"/>
      <c r="K64" s="86"/>
    </row>
    <row r="65" spans="1:11" s="285" customFormat="1" hidden="1" x14ac:dyDescent="0.25">
      <c r="A65" s="118">
        <v>50</v>
      </c>
      <c r="B65" s="151">
        <v>5450</v>
      </c>
      <c r="C65" s="94" t="s">
        <v>351</v>
      </c>
      <c r="D65" s="85"/>
      <c r="E65" s="108"/>
      <c r="F65" s="85">
        <f>0/8*12</f>
        <v>0</v>
      </c>
      <c r="G65" s="428">
        <v>0</v>
      </c>
      <c r="H65" s="85"/>
      <c r="I65" s="428"/>
      <c r="J65" s="85"/>
      <c r="K65" s="108"/>
    </row>
    <row r="66" spans="1:11" s="285" customFormat="1" hidden="1" x14ac:dyDescent="0.25">
      <c r="A66" s="344"/>
      <c r="B66" s="151"/>
      <c r="C66" s="94"/>
      <c r="D66" s="89"/>
      <c r="E66" s="89">
        <f>E65</f>
        <v>0</v>
      </c>
      <c r="F66" s="89">
        <f>F65</f>
        <v>0</v>
      </c>
      <c r="G66" s="429">
        <v>0</v>
      </c>
      <c r="H66" s="89"/>
      <c r="I66" s="429"/>
      <c r="J66" s="89"/>
      <c r="K66" s="89"/>
    </row>
    <row r="67" spans="1:11" s="285" customFormat="1" x14ac:dyDescent="0.25">
      <c r="A67" s="344"/>
      <c r="B67" s="151"/>
      <c r="C67" s="93" t="s">
        <v>96</v>
      </c>
      <c r="D67" s="85"/>
      <c r="E67" s="86"/>
      <c r="F67" s="86"/>
      <c r="G67" s="86"/>
      <c r="H67" s="86"/>
      <c r="I67" s="86"/>
      <c r="J67" s="86"/>
      <c r="K67" s="86"/>
    </row>
    <row r="68" spans="1:11" s="285" customFormat="1" x14ac:dyDescent="0.25">
      <c r="A68" s="118">
        <v>50</v>
      </c>
      <c r="B68" s="151">
        <v>5470</v>
      </c>
      <c r="C68" s="94" t="s">
        <v>97</v>
      </c>
      <c r="D68" s="85">
        <v>20492063</v>
      </c>
      <c r="E68" s="85">
        <v>25272000</v>
      </c>
      <c r="F68" s="85">
        <v>33272000</v>
      </c>
      <c r="G68" s="428">
        <v>33272001</v>
      </c>
      <c r="H68" s="85">
        <v>31599200</v>
      </c>
      <c r="I68" s="428">
        <v>33000000</v>
      </c>
      <c r="J68" s="85">
        <f>+I68*1.055</f>
        <v>34815000</v>
      </c>
      <c r="K68" s="85">
        <f>+J68*1.053</f>
        <v>36660195</v>
      </c>
    </row>
    <row r="69" spans="1:11" s="285" customFormat="1" hidden="1" x14ac:dyDescent="0.25">
      <c r="A69" s="118">
        <v>50</v>
      </c>
      <c r="B69" s="151">
        <v>5475</v>
      </c>
      <c r="C69" s="94" t="s">
        <v>134</v>
      </c>
      <c r="D69" s="85"/>
      <c r="E69" s="86"/>
      <c r="F69" s="85">
        <f>0/8*12</f>
        <v>0</v>
      </c>
      <c r="G69" s="428">
        <v>0</v>
      </c>
      <c r="H69" s="85"/>
      <c r="I69" s="428"/>
      <c r="J69" s="85"/>
      <c r="K69" s="85"/>
    </row>
    <row r="70" spans="1:11" s="285" customFormat="1" x14ac:dyDescent="0.25">
      <c r="A70" s="344"/>
      <c r="B70" s="151"/>
      <c r="C70" s="94"/>
      <c r="D70" s="439">
        <f t="shared" ref="D70:K70" si="8">SUM(D68:D69)</f>
        <v>20492063</v>
      </c>
      <c r="E70" s="110">
        <f t="shared" si="8"/>
        <v>25272000</v>
      </c>
      <c r="F70" s="110">
        <f t="shared" si="8"/>
        <v>33272000</v>
      </c>
      <c r="G70" s="439">
        <f t="shared" si="8"/>
        <v>33272001</v>
      </c>
      <c r="H70" s="439">
        <f t="shared" si="8"/>
        <v>31599200</v>
      </c>
      <c r="I70" s="439">
        <f t="shared" si="8"/>
        <v>33000000</v>
      </c>
      <c r="J70" s="439">
        <f t="shared" si="8"/>
        <v>34815000</v>
      </c>
      <c r="K70" s="439">
        <f t="shared" si="8"/>
        <v>36660195</v>
      </c>
    </row>
    <row r="71" spans="1:11" s="285" customFormat="1" x14ac:dyDescent="0.25">
      <c r="A71" s="344"/>
      <c r="B71" s="151"/>
      <c r="C71" s="93" t="s">
        <v>62</v>
      </c>
      <c r="D71" s="88"/>
      <c r="E71" s="113"/>
      <c r="F71" s="113"/>
      <c r="G71" s="113"/>
      <c r="H71" s="113"/>
      <c r="I71" s="113"/>
      <c r="J71" s="113"/>
      <c r="K71" s="113"/>
    </row>
    <row r="72" spans="1:11" s="285" customFormat="1" x14ac:dyDescent="0.25">
      <c r="A72" s="118">
        <v>50</v>
      </c>
      <c r="B72" s="151">
        <v>5505</v>
      </c>
      <c r="C72" s="94" t="s">
        <v>259</v>
      </c>
      <c r="D72" s="85"/>
      <c r="E72" s="85"/>
      <c r="F72" s="85"/>
      <c r="G72" s="428"/>
      <c r="H72" s="85"/>
      <c r="I72" s="428"/>
      <c r="J72" s="428">
        <f t="shared" ref="J72:J80" si="9">+I72*1.055</f>
        <v>0</v>
      </c>
      <c r="K72" s="428">
        <f t="shared" ref="K72:K80" si="10">+J72*1.053</f>
        <v>0</v>
      </c>
    </row>
    <row r="73" spans="1:11" s="285" customFormat="1" x14ac:dyDescent="0.25">
      <c r="A73" s="118">
        <v>50</v>
      </c>
      <c r="B73" s="151">
        <v>5510</v>
      </c>
      <c r="C73" s="94" t="s">
        <v>63</v>
      </c>
      <c r="D73" s="85">
        <v>54450</v>
      </c>
      <c r="E73" s="85">
        <v>39762</v>
      </c>
      <c r="F73" s="85">
        <v>0</v>
      </c>
      <c r="G73" s="428"/>
      <c r="H73" s="85"/>
      <c r="I73" s="428"/>
      <c r="J73" s="428">
        <f t="shared" si="9"/>
        <v>0</v>
      </c>
      <c r="K73" s="428">
        <f t="shared" si="10"/>
        <v>0</v>
      </c>
    </row>
    <row r="74" spans="1:11" s="285" customFormat="1" hidden="1" x14ac:dyDescent="0.25">
      <c r="A74" s="118">
        <v>50</v>
      </c>
      <c r="B74" s="151">
        <v>5520</v>
      </c>
      <c r="C74" s="94" t="s">
        <v>260</v>
      </c>
      <c r="D74" s="85"/>
      <c r="E74" s="85"/>
      <c r="F74" s="85">
        <f t="shared" ref="F74:F113" si="11">E74-D74</f>
        <v>0</v>
      </c>
      <c r="G74" s="428">
        <v>0</v>
      </c>
      <c r="H74" s="85"/>
      <c r="I74" s="428"/>
      <c r="J74" s="428">
        <f t="shared" si="9"/>
        <v>0</v>
      </c>
      <c r="K74" s="428">
        <f t="shared" si="10"/>
        <v>0</v>
      </c>
    </row>
    <row r="75" spans="1:11" s="285" customFormat="1" hidden="1" x14ac:dyDescent="0.25">
      <c r="A75" s="118">
        <v>50</v>
      </c>
      <c r="B75" s="151">
        <v>5525</v>
      </c>
      <c r="C75" s="94" t="s">
        <v>261</v>
      </c>
      <c r="D75" s="85"/>
      <c r="E75" s="85"/>
      <c r="F75" s="85">
        <f t="shared" si="11"/>
        <v>0</v>
      </c>
      <c r="G75" s="428">
        <v>0</v>
      </c>
      <c r="H75" s="85"/>
      <c r="I75" s="428"/>
      <c r="J75" s="428">
        <f t="shared" si="9"/>
        <v>0</v>
      </c>
      <c r="K75" s="428">
        <f t="shared" si="10"/>
        <v>0</v>
      </c>
    </row>
    <row r="76" spans="1:11" s="285" customFormat="1" hidden="1" x14ac:dyDescent="0.25">
      <c r="A76" s="118">
        <v>50</v>
      </c>
      <c r="B76" s="151">
        <v>5530</v>
      </c>
      <c r="C76" s="94" t="s">
        <v>262</v>
      </c>
      <c r="D76" s="85"/>
      <c r="E76" s="85"/>
      <c r="F76" s="85">
        <f t="shared" si="11"/>
        <v>0</v>
      </c>
      <c r="G76" s="428">
        <v>0</v>
      </c>
      <c r="H76" s="85"/>
      <c r="I76" s="428"/>
      <c r="J76" s="428">
        <f t="shared" si="9"/>
        <v>0</v>
      </c>
      <c r="K76" s="428">
        <f t="shared" si="10"/>
        <v>0</v>
      </c>
    </row>
    <row r="77" spans="1:11" s="285" customFormat="1" hidden="1" x14ac:dyDescent="0.25">
      <c r="A77" s="118">
        <v>50</v>
      </c>
      <c r="B77" s="151">
        <v>5535</v>
      </c>
      <c r="C77" s="94" t="s">
        <v>263</v>
      </c>
      <c r="D77" s="85"/>
      <c r="E77" s="85"/>
      <c r="F77" s="85">
        <f t="shared" si="11"/>
        <v>0</v>
      </c>
      <c r="G77" s="428">
        <v>0</v>
      </c>
      <c r="H77" s="85"/>
      <c r="I77" s="428"/>
      <c r="J77" s="428">
        <f t="shared" si="9"/>
        <v>0</v>
      </c>
      <c r="K77" s="428">
        <f t="shared" si="10"/>
        <v>0</v>
      </c>
    </row>
    <row r="78" spans="1:11" s="285" customFormat="1" hidden="1" x14ac:dyDescent="0.25">
      <c r="A78" s="118">
        <v>50</v>
      </c>
      <c r="B78" s="151">
        <v>5540</v>
      </c>
      <c r="C78" s="94" t="s">
        <v>264</v>
      </c>
      <c r="D78" s="85"/>
      <c r="E78" s="85"/>
      <c r="F78" s="85">
        <f t="shared" si="11"/>
        <v>0</v>
      </c>
      <c r="G78" s="428">
        <v>0</v>
      </c>
      <c r="H78" s="85"/>
      <c r="I78" s="428"/>
      <c r="J78" s="428">
        <f t="shared" si="9"/>
        <v>0</v>
      </c>
      <c r="K78" s="428">
        <f t="shared" si="10"/>
        <v>0</v>
      </c>
    </row>
    <row r="79" spans="1:11" s="285" customFormat="1" ht="13.5" hidden="1" customHeight="1" x14ac:dyDescent="0.25">
      <c r="A79" s="118">
        <v>50</v>
      </c>
      <c r="B79" s="151">
        <v>5545</v>
      </c>
      <c r="C79" s="94" t="s">
        <v>265</v>
      </c>
      <c r="D79" s="85"/>
      <c r="E79" s="85"/>
      <c r="F79" s="85">
        <f t="shared" si="11"/>
        <v>0</v>
      </c>
      <c r="G79" s="428">
        <v>0</v>
      </c>
      <c r="H79" s="85"/>
      <c r="I79" s="428"/>
      <c r="J79" s="428">
        <f t="shared" si="9"/>
        <v>0</v>
      </c>
      <c r="K79" s="428">
        <f t="shared" si="10"/>
        <v>0</v>
      </c>
    </row>
    <row r="80" spans="1:11" s="285" customFormat="1" hidden="1" x14ac:dyDescent="0.25">
      <c r="A80" s="118">
        <v>50</v>
      </c>
      <c r="B80" s="151">
        <v>5550</v>
      </c>
      <c r="C80" s="94" t="s">
        <v>267</v>
      </c>
      <c r="D80" s="85"/>
      <c r="E80" s="85"/>
      <c r="F80" s="85">
        <f t="shared" si="11"/>
        <v>0</v>
      </c>
      <c r="G80" s="428">
        <v>0</v>
      </c>
      <c r="H80" s="85"/>
      <c r="I80" s="428"/>
      <c r="J80" s="428">
        <f t="shared" si="9"/>
        <v>0</v>
      </c>
      <c r="K80" s="428">
        <f t="shared" si="10"/>
        <v>0</v>
      </c>
    </row>
    <row r="81" spans="1:11" s="285" customFormat="1" x14ac:dyDescent="0.25">
      <c r="A81" s="118">
        <v>50</v>
      </c>
      <c r="B81" s="151">
        <v>5555</v>
      </c>
      <c r="C81" s="94" t="s">
        <v>268</v>
      </c>
      <c r="D81" s="85">
        <v>17323</v>
      </c>
      <c r="E81" s="85">
        <v>19341</v>
      </c>
      <c r="F81" s="85">
        <v>69341</v>
      </c>
      <c r="G81" s="428">
        <v>69341</v>
      </c>
      <c r="H81" s="85">
        <f>(F81*10/100)+F81</f>
        <v>76275.100000000006</v>
      </c>
      <c r="I81" s="428">
        <v>76275.100000000006</v>
      </c>
      <c r="J81" s="85">
        <f>+I81*1.055</f>
        <v>80470.230500000005</v>
      </c>
      <c r="K81" s="85">
        <f>+J81*1.053</f>
        <v>84735.152716500001</v>
      </c>
    </row>
    <row r="82" spans="1:11" s="285" customFormat="1" hidden="1" x14ac:dyDescent="0.25">
      <c r="A82" s="118">
        <v>50</v>
      </c>
      <c r="B82" s="151">
        <v>5560</v>
      </c>
      <c r="C82" s="94" t="s">
        <v>269</v>
      </c>
      <c r="D82" s="85"/>
      <c r="E82" s="85"/>
      <c r="F82" s="85">
        <v>0</v>
      </c>
      <c r="G82" s="428">
        <v>0</v>
      </c>
      <c r="H82" s="85"/>
      <c r="I82" s="428"/>
      <c r="J82" s="428">
        <f t="shared" ref="J82:J119" si="12">+I82*1.055</f>
        <v>0</v>
      </c>
      <c r="K82" s="428">
        <f t="shared" ref="K82:K119" si="13">+J82*1.053</f>
        <v>0</v>
      </c>
    </row>
    <row r="83" spans="1:11" s="285" customFormat="1" hidden="1" x14ac:dyDescent="0.25">
      <c r="A83" s="118">
        <v>50</v>
      </c>
      <c r="B83" s="151">
        <v>5565</v>
      </c>
      <c r="C83" s="94" t="s">
        <v>246</v>
      </c>
      <c r="D83" s="85"/>
      <c r="E83" s="85"/>
      <c r="F83" s="85">
        <v>0</v>
      </c>
      <c r="G83" s="428">
        <v>0</v>
      </c>
      <c r="H83" s="85"/>
      <c r="I83" s="428"/>
      <c r="J83" s="428">
        <f t="shared" si="12"/>
        <v>0</v>
      </c>
      <c r="K83" s="428">
        <f t="shared" si="13"/>
        <v>0</v>
      </c>
    </row>
    <row r="84" spans="1:11" s="285" customFormat="1" x14ac:dyDescent="0.25">
      <c r="A84" s="118">
        <v>50</v>
      </c>
      <c r="B84" s="151">
        <v>5570</v>
      </c>
      <c r="C84" s="94" t="s">
        <v>270</v>
      </c>
      <c r="D84" s="85">
        <v>3866</v>
      </c>
      <c r="E84" s="85">
        <v>4532.28</v>
      </c>
      <c r="F84" s="85">
        <v>532.27999999999975</v>
      </c>
      <c r="G84" s="428">
        <v>532.27999999999975</v>
      </c>
      <c r="H84" s="85">
        <v>0</v>
      </c>
      <c r="I84" s="428"/>
      <c r="J84" s="428">
        <f t="shared" si="12"/>
        <v>0</v>
      </c>
      <c r="K84" s="428">
        <f t="shared" si="13"/>
        <v>0</v>
      </c>
    </row>
    <row r="85" spans="1:11" s="285" customFormat="1" hidden="1" x14ac:dyDescent="0.25">
      <c r="A85" s="118">
        <v>50</v>
      </c>
      <c r="B85" s="151">
        <v>5575</v>
      </c>
      <c r="C85" s="94" t="s">
        <v>271</v>
      </c>
      <c r="D85" s="85"/>
      <c r="E85" s="85">
        <v>0</v>
      </c>
      <c r="F85" s="85">
        <f t="shared" si="11"/>
        <v>0</v>
      </c>
      <c r="G85" s="428"/>
      <c r="H85" s="85"/>
      <c r="I85" s="428"/>
      <c r="J85" s="428">
        <f t="shared" si="12"/>
        <v>0</v>
      </c>
      <c r="K85" s="428">
        <f t="shared" si="13"/>
        <v>0</v>
      </c>
    </row>
    <row r="86" spans="1:11" s="285" customFormat="1" hidden="1" x14ac:dyDescent="0.25">
      <c r="A86" s="118">
        <v>50</v>
      </c>
      <c r="B86" s="151">
        <v>5580</v>
      </c>
      <c r="C86" s="94" t="s">
        <v>272</v>
      </c>
      <c r="D86" s="85"/>
      <c r="E86" s="85">
        <v>0</v>
      </c>
      <c r="F86" s="85">
        <f t="shared" si="11"/>
        <v>0</v>
      </c>
      <c r="G86" s="428"/>
      <c r="H86" s="85"/>
      <c r="I86" s="428"/>
      <c r="J86" s="428">
        <f t="shared" si="12"/>
        <v>0</v>
      </c>
      <c r="K86" s="428">
        <f t="shared" si="13"/>
        <v>0</v>
      </c>
    </row>
    <row r="87" spans="1:11" s="285" customFormat="1" hidden="1" x14ac:dyDescent="0.25">
      <c r="A87" s="118">
        <v>50</v>
      </c>
      <c r="B87" s="151">
        <v>5585</v>
      </c>
      <c r="C87" s="94" t="s">
        <v>273</v>
      </c>
      <c r="D87" s="86"/>
      <c r="E87" s="85">
        <v>0</v>
      </c>
      <c r="F87" s="85">
        <f t="shared" si="11"/>
        <v>0</v>
      </c>
      <c r="G87" s="428"/>
      <c r="H87" s="85"/>
      <c r="I87" s="428"/>
      <c r="J87" s="428">
        <f t="shared" si="12"/>
        <v>0</v>
      </c>
      <c r="K87" s="428">
        <f t="shared" si="13"/>
        <v>0</v>
      </c>
    </row>
    <row r="88" spans="1:11" s="285" customFormat="1" hidden="1" x14ac:dyDescent="0.25">
      <c r="A88" s="118">
        <v>50</v>
      </c>
      <c r="B88" s="151">
        <v>5590</v>
      </c>
      <c r="C88" s="94" t="s">
        <v>274</v>
      </c>
      <c r="D88" s="86"/>
      <c r="E88" s="85">
        <v>0</v>
      </c>
      <c r="F88" s="85">
        <f t="shared" si="11"/>
        <v>0</v>
      </c>
      <c r="G88" s="428"/>
      <c r="H88" s="85"/>
      <c r="I88" s="428"/>
      <c r="J88" s="428">
        <f t="shared" si="12"/>
        <v>0</v>
      </c>
      <c r="K88" s="428">
        <f t="shared" si="13"/>
        <v>0</v>
      </c>
    </row>
    <row r="89" spans="1:11" s="285" customFormat="1" hidden="1" x14ac:dyDescent="0.25">
      <c r="A89" s="118">
        <v>50</v>
      </c>
      <c r="B89" s="151">
        <v>5595</v>
      </c>
      <c r="C89" s="94" t="s">
        <v>275</v>
      </c>
      <c r="D89" s="85"/>
      <c r="E89" s="85">
        <v>0</v>
      </c>
      <c r="F89" s="85">
        <f t="shared" si="11"/>
        <v>0</v>
      </c>
      <c r="G89" s="428"/>
      <c r="H89" s="85"/>
      <c r="I89" s="428"/>
      <c r="J89" s="428">
        <f t="shared" si="12"/>
        <v>0</v>
      </c>
      <c r="K89" s="428">
        <f t="shared" si="13"/>
        <v>0</v>
      </c>
    </row>
    <row r="90" spans="1:11" s="285" customFormat="1" hidden="1" x14ac:dyDescent="0.25">
      <c r="A90" s="118">
        <v>50</v>
      </c>
      <c r="B90" s="151">
        <v>5600</v>
      </c>
      <c r="C90" s="159" t="s">
        <v>276</v>
      </c>
      <c r="D90" s="85"/>
      <c r="E90" s="85">
        <v>0</v>
      </c>
      <c r="F90" s="85">
        <f t="shared" si="11"/>
        <v>0</v>
      </c>
      <c r="G90" s="428"/>
      <c r="H90" s="85"/>
      <c r="I90" s="428"/>
      <c r="J90" s="428">
        <f t="shared" si="12"/>
        <v>0</v>
      </c>
      <c r="K90" s="428">
        <f t="shared" si="13"/>
        <v>0</v>
      </c>
    </row>
    <row r="91" spans="1:11" s="285" customFormat="1" hidden="1" x14ac:dyDescent="0.25">
      <c r="A91" s="118">
        <v>50</v>
      </c>
      <c r="B91" s="151">
        <v>5605</v>
      </c>
      <c r="C91" s="159" t="s">
        <v>277</v>
      </c>
      <c r="D91" s="85"/>
      <c r="E91" s="85">
        <v>0</v>
      </c>
      <c r="F91" s="85">
        <f t="shared" si="11"/>
        <v>0</v>
      </c>
      <c r="G91" s="428"/>
      <c r="H91" s="85"/>
      <c r="I91" s="428"/>
      <c r="J91" s="428">
        <f t="shared" si="12"/>
        <v>0</v>
      </c>
      <c r="K91" s="428">
        <f t="shared" si="13"/>
        <v>0</v>
      </c>
    </row>
    <row r="92" spans="1:11" s="285" customFormat="1" hidden="1" x14ac:dyDescent="0.25">
      <c r="A92" s="118">
        <v>50</v>
      </c>
      <c r="B92" s="151">
        <v>5610</v>
      </c>
      <c r="C92" s="159" t="s">
        <v>278</v>
      </c>
      <c r="D92" s="85"/>
      <c r="E92" s="85">
        <v>0</v>
      </c>
      <c r="F92" s="85">
        <f t="shared" si="11"/>
        <v>0</v>
      </c>
      <c r="G92" s="428"/>
      <c r="H92" s="85"/>
      <c r="I92" s="428"/>
      <c r="J92" s="428">
        <f t="shared" si="12"/>
        <v>0</v>
      </c>
      <c r="K92" s="428">
        <f t="shared" si="13"/>
        <v>0</v>
      </c>
    </row>
    <row r="93" spans="1:11" s="285" customFormat="1" hidden="1" x14ac:dyDescent="0.25">
      <c r="A93" s="118">
        <v>50</v>
      </c>
      <c r="B93" s="151">
        <v>5615</v>
      </c>
      <c r="C93" s="159" t="s">
        <v>279</v>
      </c>
      <c r="D93" s="85"/>
      <c r="E93" s="85">
        <v>0</v>
      </c>
      <c r="F93" s="85">
        <f t="shared" si="11"/>
        <v>0</v>
      </c>
      <c r="G93" s="428"/>
      <c r="H93" s="85"/>
      <c r="I93" s="428"/>
      <c r="J93" s="428">
        <f t="shared" si="12"/>
        <v>0</v>
      </c>
      <c r="K93" s="428">
        <f t="shared" si="13"/>
        <v>0</v>
      </c>
    </row>
    <row r="94" spans="1:11" s="285" customFormat="1" hidden="1" x14ac:dyDescent="0.25">
      <c r="A94" s="118">
        <v>50</v>
      </c>
      <c r="B94" s="151">
        <v>5620</v>
      </c>
      <c r="C94" s="159" t="s">
        <v>280</v>
      </c>
      <c r="D94" s="85"/>
      <c r="E94" s="85">
        <v>0</v>
      </c>
      <c r="F94" s="85">
        <f t="shared" si="11"/>
        <v>0</v>
      </c>
      <c r="G94" s="428"/>
      <c r="H94" s="85"/>
      <c r="I94" s="428"/>
      <c r="J94" s="428">
        <f t="shared" si="12"/>
        <v>0</v>
      </c>
      <c r="K94" s="428">
        <f t="shared" si="13"/>
        <v>0</v>
      </c>
    </row>
    <row r="95" spans="1:11" s="285" customFormat="1" hidden="1" x14ac:dyDescent="0.25">
      <c r="A95" s="118">
        <v>50</v>
      </c>
      <c r="B95" s="151">
        <v>5625</v>
      </c>
      <c r="C95" s="159" t="s">
        <v>281</v>
      </c>
      <c r="D95" s="85"/>
      <c r="E95" s="85">
        <v>0</v>
      </c>
      <c r="F95" s="85">
        <f t="shared" si="11"/>
        <v>0</v>
      </c>
      <c r="G95" s="428"/>
      <c r="H95" s="85"/>
      <c r="I95" s="428"/>
      <c r="J95" s="428">
        <f t="shared" si="12"/>
        <v>0</v>
      </c>
      <c r="K95" s="428">
        <f t="shared" si="13"/>
        <v>0</v>
      </c>
    </row>
    <row r="96" spans="1:11" s="285" customFormat="1" hidden="1" x14ac:dyDescent="0.25">
      <c r="A96" s="118">
        <v>50</v>
      </c>
      <c r="B96" s="151">
        <v>5630</v>
      </c>
      <c r="C96" s="159" t="s">
        <v>282</v>
      </c>
      <c r="D96" s="85"/>
      <c r="E96" s="85">
        <v>0</v>
      </c>
      <c r="F96" s="85">
        <f t="shared" si="11"/>
        <v>0</v>
      </c>
      <c r="G96" s="428"/>
      <c r="H96" s="85"/>
      <c r="I96" s="428"/>
      <c r="J96" s="428">
        <f t="shared" si="12"/>
        <v>0</v>
      </c>
      <c r="K96" s="428">
        <f t="shared" si="13"/>
        <v>0</v>
      </c>
    </row>
    <row r="97" spans="1:11" s="285" customFormat="1" hidden="1" x14ac:dyDescent="0.25">
      <c r="A97" s="118">
        <v>50</v>
      </c>
      <c r="B97" s="151">
        <v>5635</v>
      </c>
      <c r="C97" s="159" t="s">
        <v>283</v>
      </c>
      <c r="D97" s="85"/>
      <c r="E97" s="85">
        <v>0</v>
      </c>
      <c r="F97" s="85">
        <f t="shared" si="11"/>
        <v>0</v>
      </c>
      <c r="G97" s="428"/>
      <c r="H97" s="85"/>
      <c r="I97" s="428"/>
      <c r="J97" s="428">
        <f t="shared" si="12"/>
        <v>0</v>
      </c>
      <c r="K97" s="428">
        <f t="shared" si="13"/>
        <v>0</v>
      </c>
    </row>
    <row r="98" spans="1:11" s="285" customFormat="1" hidden="1" x14ac:dyDescent="0.25">
      <c r="A98" s="118">
        <v>50</v>
      </c>
      <c r="B98" s="151">
        <v>5640</v>
      </c>
      <c r="C98" s="159" t="s">
        <v>284</v>
      </c>
      <c r="D98" s="85"/>
      <c r="E98" s="85">
        <v>0</v>
      </c>
      <c r="F98" s="85">
        <f t="shared" si="11"/>
        <v>0</v>
      </c>
      <c r="G98" s="428"/>
      <c r="H98" s="85"/>
      <c r="I98" s="428"/>
      <c r="J98" s="428">
        <f t="shared" si="12"/>
        <v>0</v>
      </c>
      <c r="K98" s="428">
        <f t="shared" si="13"/>
        <v>0</v>
      </c>
    </row>
    <row r="99" spans="1:11" s="285" customFormat="1" hidden="1" x14ac:dyDescent="0.25">
      <c r="A99" s="118">
        <v>50</v>
      </c>
      <c r="B99" s="151">
        <v>5645</v>
      </c>
      <c r="C99" s="159" t="s">
        <v>285</v>
      </c>
      <c r="D99" s="85"/>
      <c r="E99" s="85">
        <v>0</v>
      </c>
      <c r="F99" s="85">
        <f t="shared" si="11"/>
        <v>0</v>
      </c>
      <c r="G99" s="428"/>
      <c r="H99" s="85"/>
      <c r="I99" s="428"/>
      <c r="J99" s="428">
        <f t="shared" si="12"/>
        <v>0</v>
      </c>
      <c r="K99" s="428">
        <f t="shared" si="13"/>
        <v>0</v>
      </c>
    </row>
    <row r="100" spans="1:11" s="285" customFormat="1" hidden="1" x14ac:dyDescent="0.25">
      <c r="A100" s="118">
        <v>50</v>
      </c>
      <c r="B100" s="151">
        <v>5650</v>
      </c>
      <c r="C100" s="159" t="s">
        <v>286</v>
      </c>
      <c r="D100" s="85"/>
      <c r="E100" s="85">
        <v>0</v>
      </c>
      <c r="F100" s="85">
        <f t="shared" si="11"/>
        <v>0</v>
      </c>
      <c r="G100" s="428"/>
      <c r="H100" s="85"/>
      <c r="I100" s="428"/>
      <c r="J100" s="428">
        <f t="shared" si="12"/>
        <v>0</v>
      </c>
      <c r="K100" s="428">
        <f t="shared" si="13"/>
        <v>0</v>
      </c>
    </row>
    <row r="101" spans="1:11" s="285" customFormat="1" hidden="1" x14ac:dyDescent="0.25">
      <c r="A101" s="118">
        <v>50</v>
      </c>
      <c r="B101" s="151">
        <v>5655</v>
      </c>
      <c r="C101" s="159" t="s">
        <v>287</v>
      </c>
      <c r="D101" s="85"/>
      <c r="E101" s="85">
        <v>0</v>
      </c>
      <c r="F101" s="85">
        <f t="shared" si="11"/>
        <v>0</v>
      </c>
      <c r="G101" s="428"/>
      <c r="H101" s="85"/>
      <c r="I101" s="428"/>
      <c r="J101" s="428">
        <f t="shared" si="12"/>
        <v>0</v>
      </c>
      <c r="K101" s="428">
        <f t="shared" si="13"/>
        <v>0</v>
      </c>
    </row>
    <row r="102" spans="1:11" s="285" customFormat="1" hidden="1" x14ac:dyDescent="0.25">
      <c r="A102" s="118">
        <v>50</v>
      </c>
      <c r="B102" s="151">
        <v>5660</v>
      </c>
      <c r="C102" s="159" t="s">
        <v>288</v>
      </c>
      <c r="D102" s="85"/>
      <c r="E102" s="85">
        <v>0</v>
      </c>
      <c r="F102" s="85">
        <f t="shared" si="11"/>
        <v>0</v>
      </c>
      <c r="G102" s="428"/>
      <c r="H102" s="85"/>
      <c r="I102" s="428"/>
      <c r="J102" s="428">
        <f t="shared" si="12"/>
        <v>0</v>
      </c>
      <c r="K102" s="428">
        <f t="shared" si="13"/>
        <v>0</v>
      </c>
    </row>
    <row r="103" spans="1:11" s="285" customFormat="1" hidden="1" x14ac:dyDescent="0.25">
      <c r="A103" s="118">
        <v>50</v>
      </c>
      <c r="B103" s="151">
        <v>5665</v>
      </c>
      <c r="C103" s="94" t="s">
        <v>289</v>
      </c>
      <c r="D103" s="85"/>
      <c r="E103" s="85">
        <v>0</v>
      </c>
      <c r="F103" s="85">
        <f t="shared" si="11"/>
        <v>0</v>
      </c>
      <c r="G103" s="428"/>
      <c r="H103" s="85"/>
      <c r="I103" s="428"/>
      <c r="J103" s="428">
        <f t="shared" si="12"/>
        <v>0</v>
      </c>
      <c r="K103" s="428">
        <f t="shared" si="13"/>
        <v>0</v>
      </c>
    </row>
    <row r="104" spans="1:11" s="285" customFormat="1" hidden="1" x14ac:dyDescent="0.25">
      <c r="A104" s="118">
        <v>50</v>
      </c>
      <c r="B104" s="151">
        <v>5670</v>
      </c>
      <c r="C104" s="94" t="s">
        <v>290</v>
      </c>
      <c r="D104" s="85"/>
      <c r="E104" s="85">
        <v>0</v>
      </c>
      <c r="F104" s="85">
        <f t="shared" si="11"/>
        <v>0</v>
      </c>
      <c r="G104" s="428"/>
      <c r="H104" s="85"/>
      <c r="I104" s="428"/>
      <c r="J104" s="428">
        <f t="shared" si="12"/>
        <v>0</v>
      </c>
      <c r="K104" s="428">
        <f t="shared" si="13"/>
        <v>0</v>
      </c>
    </row>
    <row r="105" spans="1:11" s="285" customFormat="1" hidden="1" x14ac:dyDescent="0.25">
      <c r="A105" s="118">
        <v>50</v>
      </c>
      <c r="B105" s="151">
        <v>5675</v>
      </c>
      <c r="C105" s="94" t="s">
        <v>291</v>
      </c>
      <c r="D105" s="85"/>
      <c r="E105" s="85">
        <v>0</v>
      </c>
      <c r="F105" s="85">
        <f t="shared" si="11"/>
        <v>0</v>
      </c>
      <c r="G105" s="428"/>
      <c r="H105" s="85"/>
      <c r="I105" s="428"/>
      <c r="J105" s="428">
        <f t="shared" si="12"/>
        <v>0</v>
      </c>
      <c r="K105" s="428">
        <f t="shared" si="13"/>
        <v>0</v>
      </c>
    </row>
    <row r="106" spans="1:11" s="285" customFormat="1" hidden="1" x14ac:dyDescent="0.25">
      <c r="A106" s="118">
        <v>50</v>
      </c>
      <c r="B106" s="151">
        <v>5680</v>
      </c>
      <c r="C106" s="94" t="s">
        <v>292</v>
      </c>
      <c r="D106" s="85"/>
      <c r="E106" s="85">
        <v>0</v>
      </c>
      <c r="F106" s="85">
        <f t="shared" si="11"/>
        <v>0</v>
      </c>
      <c r="G106" s="428"/>
      <c r="H106" s="85"/>
      <c r="I106" s="428"/>
      <c r="J106" s="428">
        <f t="shared" si="12"/>
        <v>0</v>
      </c>
      <c r="K106" s="428">
        <f t="shared" si="13"/>
        <v>0</v>
      </c>
    </row>
    <row r="107" spans="1:11" s="285" customFormat="1" hidden="1" x14ac:dyDescent="0.25">
      <c r="A107" s="118">
        <v>50</v>
      </c>
      <c r="B107" s="151">
        <v>5685</v>
      </c>
      <c r="C107" s="94" t="s">
        <v>293</v>
      </c>
      <c r="D107" s="85"/>
      <c r="E107" s="85">
        <v>0</v>
      </c>
      <c r="F107" s="85">
        <f t="shared" si="11"/>
        <v>0</v>
      </c>
      <c r="G107" s="428"/>
      <c r="H107" s="85"/>
      <c r="I107" s="428"/>
      <c r="J107" s="428">
        <f t="shared" si="12"/>
        <v>0</v>
      </c>
      <c r="K107" s="428">
        <f t="shared" si="13"/>
        <v>0</v>
      </c>
    </row>
    <row r="108" spans="1:11" s="285" customFormat="1" hidden="1" x14ac:dyDescent="0.25">
      <c r="A108" s="118">
        <v>50</v>
      </c>
      <c r="B108" s="151">
        <v>5690</v>
      </c>
      <c r="C108" s="94" t="s">
        <v>247</v>
      </c>
      <c r="D108" s="85"/>
      <c r="E108" s="85">
        <v>0</v>
      </c>
      <c r="F108" s="85">
        <f t="shared" si="11"/>
        <v>0</v>
      </c>
      <c r="G108" s="428"/>
      <c r="H108" s="85"/>
      <c r="I108" s="428"/>
      <c r="J108" s="428">
        <f t="shared" si="12"/>
        <v>0</v>
      </c>
      <c r="K108" s="428">
        <f t="shared" si="13"/>
        <v>0</v>
      </c>
    </row>
    <row r="109" spans="1:11" s="285" customFormat="1" hidden="1" x14ac:dyDescent="0.25">
      <c r="A109" s="118">
        <v>50</v>
      </c>
      <c r="B109" s="151">
        <v>5695</v>
      </c>
      <c r="C109" s="94" t="s">
        <v>294</v>
      </c>
      <c r="D109" s="85"/>
      <c r="E109" s="85">
        <v>0</v>
      </c>
      <c r="F109" s="85">
        <f t="shared" si="11"/>
        <v>0</v>
      </c>
      <c r="G109" s="428"/>
      <c r="H109" s="85"/>
      <c r="I109" s="428"/>
      <c r="J109" s="428">
        <f t="shared" si="12"/>
        <v>0</v>
      </c>
      <c r="K109" s="428">
        <f t="shared" si="13"/>
        <v>0</v>
      </c>
    </row>
    <row r="110" spans="1:11" s="285" customFormat="1" hidden="1" x14ac:dyDescent="0.25">
      <c r="A110" s="118">
        <v>50</v>
      </c>
      <c r="B110" s="151">
        <v>5700</v>
      </c>
      <c r="C110" s="94" t="s">
        <v>295</v>
      </c>
      <c r="D110" s="85"/>
      <c r="E110" s="85">
        <v>0</v>
      </c>
      <c r="F110" s="85">
        <f t="shared" si="11"/>
        <v>0</v>
      </c>
      <c r="G110" s="428"/>
      <c r="H110" s="85"/>
      <c r="I110" s="428"/>
      <c r="J110" s="428">
        <f t="shared" si="12"/>
        <v>0</v>
      </c>
      <c r="K110" s="428">
        <f t="shared" si="13"/>
        <v>0</v>
      </c>
    </row>
    <row r="111" spans="1:11" s="285" customFormat="1" hidden="1" x14ac:dyDescent="0.25">
      <c r="A111" s="118">
        <v>50</v>
      </c>
      <c r="B111" s="151">
        <v>5710</v>
      </c>
      <c r="C111" s="94" t="s">
        <v>297</v>
      </c>
      <c r="D111" s="85"/>
      <c r="E111" s="85">
        <v>0</v>
      </c>
      <c r="F111" s="85">
        <f t="shared" si="11"/>
        <v>0</v>
      </c>
      <c r="G111" s="428"/>
      <c r="H111" s="85"/>
      <c r="I111" s="428"/>
      <c r="J111" s="428">
        <f t="shared" si="12"/>
        <v>0</v>
      </c>
      <c r="K111" s="428">
        <f t="shared" si="13"/>
        <v>0</v>
      </c>
    </row>
    <row r="112" spans="1:11" s="285" customFormat="1" hidden="1" x14ac:dyDescent="0.25">
      <c r="A112" s="118">
        <v>50</v>
      </c>
      <c r="B112" s="151">
        <v>5715</v>
      </c>
      <c r="C112" s="94" t="s">
        <v>298</v>
      </c>
      <c r="D112" s="85"/>
      <c r="E112" s="85">
        <v>0</v>
      </c>
      <c r="F112" s="85">
        <f t="shared" si="11"/>
        <v>0</v>
      </c>
      <c r="G112" s="428"/>
      <c r="H112" s="85"/>
      <c r="I112" s="428"/>
      <c r="J112" s="428">
        <f t="shared" si="12"/>
        <v>0</v>
      </c>
      <c r="K112" s="428">
        <f t="shared" si="13"/>
        <v>0</v>
      </c>
    </row>
    <row r="113" spans="1:11" s="285" customFormat="1" hidden="1" x14ac:dyDescent="0.25">
      <c r="A113" s="118">
        <v>50</v>
      </c>
      <c r="B113" s="151">
        <v>5720</v>
      </c>
      <c r="C113" s="94" t="s">
        <v>299</v>
      </c>
      <c r="D113" s="85"/>
      <c r="E113" s="85">
        <v>0</v>
      </c>
      <c r="F113" s="85">
        <f t="shared" si="11"/>
        <v>0</v>
      </c>
      <c r="G113" s="428"/>
      <c r="H113" s="85"/>
      <c r="I113" s="428"/>
      <c r="J113" s="428">
        <f t="shared" si="12"/>
        <v>0</v>
      </c>
      <c r="K113" s="428">
        <f t="shared" si="13"/>
        <v>0</v>
      </c>
    </row>
    <row r="114" spans="1:11" s="285" customFormat="1" x14ac:dyDescent="0.25">
      <c r="A114" s="118">
        <v>50</v>
      </c>
      <c r="B114" s="151">
        <v>5730</v>
      </c>
      <c r="C114" s="94" t="s">
        <v>300</v>
      </c>
      <c r="D114" s="85">
        <v>31040</v>
      </c>
      <c r="E114" s="85">
        <v>33232.5</v>
      </c>
      <c r="F114" s="85">
        <v>33232.5</v>
      </c>
      <c r="G114" s="428">
        <v>33232.5</v>
      </c>
      <c r="H114" s="85">
        <f>(F114*10/100)+F114</f>
        <v>36555.75</v>
      </c>
      <c r="I114" s="428">
        <v>36555.75</v>
      </c>
      <c r="J114" s="428">
        <f t="shared" si="12"/>
        <v>38566.316249999996</v>
      </c>
      <c r="K114" s="428">
        <f t="shared" si="13"/>
        <v>40610.331011249997</v>
      </c>
    </row>
    <row r="115" spans="1:11" s="285" customFormat="1" hidden="1" x14ac:dyDescent="0.25">
      <c r="A115" s="118">
        <v>50</v>
      </c>
      <c r="B115" s="151">
        <v>5735</v>
      </c>
      <c r="C115" s="94" t="s">
        <v>301</v>
      </c>
      <c r="D115" s="85"/>
      <c r="E115" s="85">
        <v>0</v>
      </c>
      <c r="F115" s="85">
        <v>0</v>
      </c>
      <c r="G115" s="428">
        <v>0</v>
      </c>
      <c r="H115" s="85"/>
      <c r="I115" s="428"/>
      <c r="J115" s="428">
        <f t="shared" si="12"/>
        <v>0</v>
      </c>
      <c r="K115" s="428">
        <f t="shared" si="13"/>
        <v>0</v>
      </c>
    </row>
    <row r="116" spans="1:11" s="285" customFormat="1" hidden="1" x14ac:dyDescent="0.25">
      <c r="A116" s="118">
        <v>50</v>
      </c>
      <c r="B116" s="151">
        <v>5740</v>
      </c>
      <c r="C116" s="94" t="s">
        <v>302</v>
      </c>
      <c r="D116" s="85"/>
      <c r="E116" s="85">
        <v>0</v>
      </c>
      <c r="F116" s="85">
        <v>0</v>
      </c>
      <c r="G116" s="428">
        <v>0</v>
      </c>
      <c r="H116" s="85"/>
      <c r="I116" s="428"/>
      <c r="J116" s="428">
        <f t="shared" si="12"/>
        <v>0</v>
      </c>
      <c r="K116" s="428">
        <f t="shared" si="13"/>
        <v>0</v>
      </c>
    </row>
    <row r="117" spans="1:11" s="285" customFormat="1" hidden="1" x14ac:dyDescent="0.25">
      <c r="A117" s="118">
        <v>50</v>
      </c>
      <c r="B117" s="151">
        <v>5745</v>
      </c>
      <c r="C117" s="94" t="s">
        <v>303</v>
      </c>
      <c r="D117" s="85"/>
      <c r="E117" s="85">
        <v>0</v>
      </c>
      <c r="F117" s="85">
        <v>0</v>
      </c>
      <c r="G117" s="428">
        <v>0</v>
      </c>
      <c r="H117" s="85"/>
      <c r="I117" s="428"/>
      <c r="J117" s="428">
        <f t="shared" si="12"/>
        <v>0</v>
      </c>
      <c r="K117" s="428">
        <f t="shared" si="13"/>
        <v>0</v>
      </c>
    </row>
    <row r="118" spans="1:11" s="285" customFormat="1" x14ac:dyDescent="0.25">
      <c r="A118" s="118">
        <v>50</v>
      </c>
      <c r="B118" s="151">
        <v>5750</v>
      </c>
      <c r="C118" s="94" t="s">
        <v>304</v>
      </c>
      <c r="D118" s="85">
        <v>566</v>
      </c>
      <c r="E118" s="85">
        <v>1220</v>
      </c>
      <c r="F118" s="85">
        <v>1220</v>
      </c>
      <c r="G118" s="428">
        <v>1220</v>
      </c>
      <c r="H118" s="85">
        <f>(F118*10/100)+F118</f>
        <v>1342</v>
      </c>
      <c r="I118" s="428">
        <v>1342</v>
      </c>
      <c r="J118" s="428">
        <f t="shared" si="12"/>
        <v>1415.81</v>
      </c>
      <c r="K118" s="428">
        <f t="shared" si="13"/>
        <v>1490.8479299999999</v>
      </c>
    </row>
    <row r="119" spans="1:11" s="285" customFormat="1" x14ac:dyDescent="0.25">
      <c r="A119" s="118">
        <v>50</v>
      </c>
      <c r="B119" s="151">
        <v>5755</v>
      </c>
      <c r="C119" s="94" t="s">
        <v>305</v>
      </c>
      <c r="D119" s="85">
        <v>6317</v>
      </c>
      <c r="E119" s="85">
        <v>13800</v>
      </c>
      <c r="F119" s="85">
        <v>13800</v>
      </c>
      <c r="G119" s="428">
        <v>13800</v>
      </c>
      <c r="H119" s="85">
        <f>(F119*10/100)+F119</f>
        <v>15180</v>
      </c>
      <c r="I119" s="428">
        <v>15180</v>
      </c>
      <c r="J119" s="428">
        <f t="shared" si="12"/>
        <v>16014.9</v>
      </c>
      <c r="K119" s="428">
        <f t="shared" si="13"/>
        <v>16863.689699999999</v>
      </c>
    </row>
    <row r="120" spans="1:11" s="285" customFormat="1" ht="12" customHeight="1" x14ac:dyDescent="0.25">
      <c r="A120" s="118">
        <v>50</v>
      </c>
      <c r="B120" s="151">
        <v>5760</v>
      </c>
      <c r="C120" s="94" t="s">
        <v>306</v>
      </c>
      <c r="D120" s="85"/>
      <c r="E120" s="85"/>
      <c r="F120" s="85">
        <f t="shared" ref="F120:F147" si="14">0/8*12</f>
        <v>0</v>
      </c>
      <c r="G120" s="428"/>
      <c r="H120" s="85"/>
      <c r="I120" s="428"/>
      <c r="J120" s="85"/>
      <c r="K120" s="85"/>
    </row>
    <row r="121" spans="1:11" s="285" customFormat="1" x14ac:dyDescent="0.25">
      <c r="A121" s="118">
        <v>50</v>
      </c>
      <c r="B121" s="151">
        <v>5765</v>
      </c>
      <c r="C121" s="94" t="s">
        <v>307</v>
      </c>
      <c r="D121" s="85"/>
      <c r="E121" s="85"/>
      <c r="F121" s="85">
        <f t="shared" si="14"/>
        <v>0</v>
      </c>
      <c r="G121" s="428"/>
      <c r="H121" s="85"/>
      <c r="I121" s="428"/>
      <c r="J121" s="85"/>
      <c r="K121" s="85"/>
    </row>
    <row r="122" spans="1:11" s="285" customFormat="1" x14ac:dyDescent="0.25">
      <c r="A122" s="118">
        <v>50</v>
      </c>
      <c r="B122" s="151">
        <v>5770</v>
      </c>
      <c r="C122" s="94" t="s">
        <v>308</v>
      </c>
      <c r="D122" s="85"/>
      <c r="E122" s="85"/>
      <c r="F122" s="85">
        <f t="shared" si="14"/>
        <v>0</v>
      </c>
      <c r="G122" s="428"/>
      <c r="H122" s="85"/>
      <c r="I122" s="428"/>
      <c r="J122" s="85"/>
      <c r="K122" s="85"/>
    </row>
    <row r="123" spans="1:11" s="285" customFormat="1" x14ac:dyDescent="0.25">
      <c r="A123" s="118">
        <v>50</v>
      </c>
      <c r="B123" s="151">
        <v>5775</v>
      </c>
      <c r="C123" s="94" t="s">
        <v>309</v>
      </c>
      <c r="D123" s="85"/>
      <c r="E123" s="85"/>
      <c r="F123" s="85">
        <f t="shared" si="14"/>
        <v>0</v>
      </c>
      <c r="G123" s="428"/>
      <c r="H123" s="85"/>
      <c r="I123" s="428"/>
      <c r="J123" s="85"/>
      <c r="K123" s="85"/>
    </row>
    <row r="124" spans="1:11" s="285" customFormat="1" x14ac:dyDescent="0.25">
      <c r="A124" s="118">
        <v>50</v>
      </c>
      <c r="B124" s="151">
        <v>5780</v>
      </c>
      <c r="C124" s="94" t="s">
        <v>310</v>
      </c>
      <c r="D124" s="85"/>
      <c r="E124" s="85"/>
      <c r="F124" s="85">
        <f t="shared" si="14"/>
        <v>0</v>
      </c>
      <c r="G124" s="428"/>
      <c r="H124" s="85"/>
      <c r="I124" s="428"/>
      <c r="J124" s="85"/>
      <c r="K124" s="85"/>
    </row>
    <row r="125" spans="1:11" s="285" customFormat="1" x14ac:dyDescent="0.25">
      <c r="A125" s="118">
        <v>50</v>
      </c>
      <c r="B125" s="151">
        <v>5785</v>
      </c>
      <c r="C125" s="94" t="s">
        <v>311</v>
      </c>
      <c r="D125" s="85"/>
      <c r="E125" s="85"/>
      <c r="F125" s="85">
        <f t="shared" si="14"/>
        <v>0</v>
      </c>
      <c r="G125" s="428"/>
      <c r="H125" s="85"/>
      <c r="I125" s="428"/>
      <c r="J125" s="85"/>
      <c r="K125" s="85"/>
    </row>
    <row r="126" spans="1:11" s="285" customFormat="1" x14ac:dyDescent="0.25">
      <c r="A126" s="118">
        <v>50</v>
      </c>
      <c r="B126" s="151">
        <v>5790</v>
      </c>
      <c r="C126" s="94" t="s">
        <v>312</v>
      </c>
      <c r="D126" s="85"/>
      <c r="E126" s="85"/>
      <c r="F126" s="85">
        <f t="shared" si="14"/>
        <v>0</v>
      </c>
      <c r="G126" s="428"/>
      <c r="H126" s="85"/>
      <c r="I126" s="428"/>
      <c r="J126" s="85"/>
      <c r="K126" s="85"/>
    </row>
    <row r="127" spans="1:11" s="285" customFormat="1" x14ac:dyDescent="0.25">
      <c r="A127" s="118">
        <v>50</v>
      </c>
      <c r="B127" s="151">
        <v>5795</v>
      </c>
      <c r="C127" s="94" t="s">
        <v>313</v>
      </c>
      <c r="D127" s="85"/>
      <c r="E127" s="85"/>
      <c r="F127" s="85">
        <f t="shared" si="14"/>
        <v>0</v>
      </c>
      <c r="G127" s="428"/>
      <c r="H127" s="85"/>
      <c r="I127" s="428"/>
      <c r="J127" s="85"/>
      <c r="K127" s="85"/>
    </row>
    <row r="128" spans="1:11" s="285" customFormat="1" x14ac:dyDescent="0.25">
      <c r="A128" s="118">
        <v>50</v>
      </c>
      <c r="B128" s="151">
        <v>5800</v>
      </c>
      <c r="C128" s="94" t="s">
        <v>314</v>
      </c>
      <c r="D128" s="85"/>
      <c r="E128" s="85"/>
      <c r="F128" s="85">
        <f t="shared" si="14"/>
        <v>0</v>
      </c>
      <c r="G128" s="428"/>
      <c r="H128" s="85"/>
      <c r="I128" s="428"/>
      <c r="J128" s="85"/>
      <c r="K128" s="85"/>
    </row>
    <row r="129" spans="1:11" s="285" customFormat="1" x14ac:dyDescent="0.25">
      <c r="A129" s="118">
        <v>50</v>
      </c>
      <c r="B129" s="151">
        <v>5805</v>
      </c>
      <c r="C129" s="94" t="s">
        <v>315</v>
      </c>
      <c r="D129" s="85"/>
      <c r="E129" s="85"/>
      <c r="F129" s="85">
        <f t="shared" si="14"/>
        <v>0</v>
      </c>
      <c r="G129" s="428"/>
      <c r="H129" s="85"/>
      <c r="I129" s="428"/>
      <c r="J129" s="85"/>
      <c r="K129" s="85"/>
    </row>
    <row r="130" spans="1:11" s="285" customFormat="1" x14ac:dyDescent="0.25">
      <c r="A130" s="118">
        <v>50</v>
      </c>
      <c r="B130" s="151">
        <v>5810</v>
      </c>
      <c r="C130" s="94" t="s">
        <v>316</v>
      </c>
      <c r="D130" s="85"/>
      <c r="E130" s="85"/>
      <c r="F130" s="85">
        <f t="shared" si="14"/>
        <v>0</v>
      </c>
      <c r="G130" s="428"/>
      <c r="H130" s="85"/>
      <c r="I130" s="428"/>
      <c r="J130" s="85"/>
      <c r="K130" s="85"/>
    </row>
    <row r="131" spans="1:11" s="285" customFormat="1" x14ac:dyDescent="0.25">
      <c r="A131" s="118">
        <v>50</v>
      </c>
      <c r="B131" s="151">
        <v>5815</v>
      </c>
      <c r="C131" s="94" t="s">
        <v>99</v>
      </c>
      <c r="D131" s="85"/>
      <c r="E131" s="85"/>
      <c r="F131" s="85">
        <f t="shared" si="14"/>
        <v>0</v>
      </c>
      <c r="G131" s="428"/>
      <c r="H131" s="85"/>
      <c r="I131" s="428"/>
      <c r="J131" s="85"/>
      <c r="K131" s="85"/>
    </row>
    <row r="132" spans="1:11" s="285" customFormat="1" x14ac:dyDescent="0.25">
      <c r="A132" s="118">
        <v>50</v>
      </c>
      <c r="B132" s="151">
        <v>5820</v>
      </c>
      <c r="C132" s="94" t="s">
        <v>114</v>
      </c>
      <c r="D132" s="86"/>
      <c r="E132" s="85"/>
      <c r="F132" s="85">
        <f t="shared" si="14"/>
        <v>0</v>
      </c>
      <c r="G132" s="428"/>
      <c r="H132" s="85"/>
      <c r="I132" s="428"/>
      <c r="J132" s="85"/>
      <c r="K132" s="85"/>
    </row>
    <row r="133" spans="1:11" s="285" customFormat="1" x14ac:dyDescent="0.25">
      <c r="A133" s="118">
        <v>50</v>
      </c>
      <c r="B133" s="151">
        <v>5825</v>
      </c>
      <c r="C133" s="94" t="s">
        <v>317</v>
      </c>
      <c r="D133" s="86"/>
      <c r="E133" s="85"/>
      <c r="F133" s="85">
        <f t="shared" si="14"/>
        <v>0</v>
      </c>
      <c r="G133" s="428"/>
      <c r="H133" s="85"/>
      <c r="I133" s="428"/>
      <c r="J133" s="85"/>
      <c r="K133" s="85"/>
    </row>
    <row r="134" spans="1:11" s="285" customFormat="1" x14ac:dyDescent="0.25">
      <c r="A134" s="118">
        <v>50</v>
      </c>
      <c r="B134" s="151">
        <v>5830</v>
      </c>
      <c r="C134" s="94" t="s">
        <v>318</v>
      </c>
      <c r="D134" s="86"/>
      <c r="E134" s="85"/>
      <c r="F134" s="85">
        <f t="shared" si="14"/>
        <v>0</v>
      </c>
      <c r="G134" s="428"/>
      <c r="H134" s="85"/>
      <c r="I134" s="428"/>
      <c r="J134" s="85"/>
      <c r="K134" s="85"/>
    </row>
    <row r="135" spans="1:11" s="285" customFormat="1" x14ac:dyDescent="0.25">
      <c r="A135" s="118">
        <v>50</v>
      </c>
      <c r="B135" s="151">
        <v>5835</v>
      </c>
      <c r="C135" s="94" t="s">
        <v>319</v>
      </c>
      <c r="D135" s="86"/>
      <c r="E135" s="85"/>
      <c r="F135" s="85">
        <f t="shared" si="14"/>
        <v>0</v>
      </c>
      <c r="G135" s="428"/>
      <c r="H135" s="85"/>
      <c r="I135" s="428"/>
      <c r="J135" s="85"/>
      <c r="K135" s="85"/>
    </row>
    <row r="136" spans="1:11" s="285" customFormat="1" x14ac:dyDescent="0.25">
      <c r="A136" s="118">
        <v>50</v>
      </c>
      <c r="B136" s="151">
        <v>5840</v>
      </c>
      <c r="C136" s="94" t="s">
        <v>332</v>
      </c>
      <c r="D136" s="115"/>
      <c r="E136" s="85"/>
      <c r="F136" s="85">
        <f t="shared" si="14"/>
        <v>0</v>
      </c>
      <c r="G136" s="428"/>
      <c r="H136" s="85"/>
      <c r="I136" s="428"/>
      <c r="J136" s="85"/>
      <c r="K136" s="85"/>
    </row>
    <row r="137" spans="1:11" s="285" customFormat="1" x14ac:dyDescent="0.25">
      <c r="A137" s="118">
        <v>50</v>
      </c>
      <c r="B137" s="151">
        <v>5845</v>
      </c>
      <c r="C137" s="94" t="s">
        <v>320</v>
      </c>
      <c r="D137" s="86"/>
      <c r="E137" s="85"/>
      <c r="F137" s="85">
        <f t="shared" si="14"/>
        <v>0</v>
      </c>
      <c r="G137" s="428"/>
      <c r="H137" s="85"/>
      <c r="I137" s="428"/>
      <c r="J137" s="85"/>
      <c r="K137" s="85"/>
    </row>
    <row r="138" spans="1:11" s="285" customFormat="1" x14ac:dyDescent="0.25">
      <c r="A138" s="118">
        <v>50</v>
      </c>
      <c r="B138" s="151">
        <v>5855</v>
      </c>
      <c r="C138" s="94" t="s">
        <v>321</v>
      </c>
      <c r="D138" s="85"/>
      <c r="E138" s="85"/>
      <c r="F138" s="85">
        <f t="shared" si="14"/>
        <v>0</v>
      </c>
      <c r="G138" s="428"/>
      <c r="H138" s="85"/>
      <c r="I138" s="428"/>
      <c r="J138" s="85"/>
      <c r="K138" s="85"/>
    </row>
    <row r="139" spans="1:11" s="285" customFormat="1" x14ac:dyDescent="0.25">
      <c r="A139" s="118">
        <v>50</v>
      </c>
      <c r="B139" s="151">
        <v>5860</v>
      </c>
      <c r="C139" s="94" t="s">
        <v>322</v>
      </c>
      <c r="D139" s="85"/>
      <c r="E139" s="85"/>
      <c r="F139" s="85">
        <f t="shared" si="14"/>
        <v>0</v>
      </c>
      <c r="G139" s="428"/>
      <c r="H139" s="85"/>
      <c r="I139" s="428"/>
      <c r="J139" s="85"/>
      <c r="K139" s="85"/>
    </row>
    <row r="140" spans="1:11" s="285" customFormat="1" x14ac:dyDescent="0.25">
      <c r="A140" s="118">
        <v>50</v>
      </c>
      <c r="B140" s="151">
        <v>5865</v>
      </c>
      <c r="C140" s="94" t="s">
        <v>323</v>
      </c>
      <c r="D140" s="85"/>
      <c r="E140" s="85"/>
      <c r="F140" s="85">
        <f t="shared" si="14"/>
        <v>0</v>
      </c>
      <c r="G140" s="428"/>
      <c r="H140" s="85"/>
      <c r="I140" s="428"/>
      <c r="J140" s="85"/>
      <c r="K140" s="85"/>
    </row>
    <row r="141" spans="1:11" s="285" customFormat="1" x14ac:dyDescent="0.25">
      <c r="A141" s="118">
        <v>50</v>
      </c>
      <c r="B141" s="151">
        <v>5870</v>
      </c>
      <c r="C141" s="94" t="s">
        <v>324</v>
      </c>
      <c r="D141" s="85"/>
      <c r="E141" s="85"/>
      <c r="F141" s="85">
        <f t="shared" si="14"/>
        <v>0</v>
      </c>
      <c r="G141" s="428"/>
      <c r="H141" s="85"/>
      <c r="I141" s="428"/>
      <c r="J141" s="85"/>
      <c r="K141" s="85"/>
    </row>
    <row r="142" spans="1:11" s="285" customFormat="1" x14ac:dyDescent="0.25">
      <c r="A142" s="118">
        <v>50</v>
      </c>
      <c r="B142" s="151">
        <v>5875</v>
      </c>
      <c r="C142" s="94" t="s">
        <v>325</v>
      </c>
      <c r="D142" s="85"/>
      <c r="E142" s="85"/>
      <c r="F142" s="85">
        <f t="shared" si="14"/>
        <v>0</v>
      </c>
      <c r="G142" s="428"/>
      <c r="H142" s="85"/>
      <c r="I142" s="428"/>
      <c r="J142" s="85"/>
      <c r="K142" s="85"/>
    </row>
    <row r="143" spans="1:11" s="285" customFormat="1" x14ac:dyDescent="0.25">
      <c r="A143" s="118">
        <v>50</v>
      </c>
      <c r="B143" s="151">
        <v>5880</v>
      </c>
      <c r="C143" s="94" t="s">
        <v>326</v>
      </c>
      <c r="D143" s="85"/>
      <c r="E143" s="85"/>
      <c r="F143" s="85">
        <f t="shared" si="14"/>
        <v>0</v>
      </c>
      <c r="G143" s="428"/>
      <c r="H143" s="85"/>
      <c r="I143" s="428"/>
      <c r="J143" s="85"/>
      <c r="K143" s="85"/>
    </row>
    <row r="144" spans="1:11" s="285" customFormat="1" x14ac:dyDescent="0.25">
      <c r="A144" s="118">
        <v>50</v>
      </c>
      <c r="B144" s="151">
        <v>5885</v>
      </c>
      <c r="C144" s="94" t="s">
        <v>331</v>
      </c>
      <c r="D144" s="85"/>
      <c r="E144" s="85"/>
      <c r="F144" s="85">
        <f t="shared" si="14"/>
        <v>0</v>
      </c>
      <c r="G144" s="428"/>
      <c r="H144" s="85"/>
      <c r="I144" s="428"/>
      <c r="J144" s="85"/>
      <c r="K144" s="85"/>
    </row>
    <row r="145" spans="1:11" s="285" customFormat="1" x14ac:dyDescent="0.25">
      <c r="A145" s="118">
        <v>50</v>
      </c>
      <c r="B145" s="151">
        <v>5890</v>
      </c>
      <c r="C145" s="94" t="s">
        <v>327</v>
      </c>
      <c r="D145" s="85"/>
      <c r="E145" s="85"/>
      <c r="F145" s="85">
        <f t="shared" si="14"/>
        <v>0</v>
      </c>
      <c r="G145" s="428"/>
      <c r="H145" s="85"/>
      <c r="I145" s="428"/>
      <c r="J145" s="85"/>
      <c r="K145" s="85"/>
    </row>
    <row r="146" spans="1:11" s="285" customFormat="1" x14ac:dyDescent="0.25">
      <c r="A146" s="118">
        <v>50</v>
      </c>
      <c r="B146" s="151">
        <v>5895</v>
      </c>
      <c r="C146" s="94" t="s">
        <v>328</v>
      </c>
      <c r="D146" s="85"/>
      <c r="E146" s="85"/>
      <c r="F146" s="85">
        <f t="shared" si="14"/>
        <v>0</v>
      </c>
      <c r="G146" s="428"/>
      <c r="H146" s="85"/>
      <c r="I146" s="428"/>
      <c r="J146" s="85"/>
      <c r="K146" s="85"/>
    </row>
    <row r="147" spans="1:11" s="285" customFormat="1" x14ac:dyDescent="0.25">
      <c r="A147" s="118">
        <v>50</v>
      </c>
      <c r="B147" s="151">
        <v>5910</v>
      </c>
      <c r="C147" s="94" t="s">
        <v>330</v>
      </c>
      <c r="D147" s="85"/>
      <c r="E147" s="85"/>
      <c r="F147" s="85">
        <f t="shared" si="14"/>
        <v>0</v>
      </c>
      <c r="G147" s="428"/>
      <c r="H147" s="85"/>
      <c r="I147" s="428">
        <v>26033563</v>
      </c>
      <c r="J147" s="85"/>
      <c r="K147" s="85"/>
    </row>
    <row r="148" spans="1:11" s="285" customFormat="1" x14ac:dyDescent="0.25">
      <c r="A148" s="344"/>
      <c r="B148" s="151"/>
      <c r="C148" s="94"/>
      <c r="D148" s="429">
        <f t="shared" ref="D148:K148" si="15">SUM(D72:D147)</f>
        <v>113562</v>
      </c>
      <c r="E148" s="89">
        <f t="shared" si="15"/>
        <v>111887.78</v>
      </c>
      <c r="F148" s="89">
        <f t="shared" si="15"/>
        <v>118125.78</v>
      </c>
      <c r="G148" s="429">
        <f t="shared" si="15"/>
        <v>118125.78</v>
      </c>
      <c r="H148" s="429">
        <f t="shared" si="15"/>
        <v>129352.85</v>
      </c>
      <c r="I148" s="429">
        <f t="shared" si="15"/>
        <v>26162915.850000001</v>
      </c>
      <c r="J148" s="429">
        <f t="shared" si="15"/>
        <v>136467.25675</v>
      </c>
      <c r="K148" s="429">
        <f t="shared" si="15"/>
        <v>143700.02135775</v>
      </c>
    </row>
    <row r="149" spans="1:11" s="285" customFormat="1" hidden="1" x14ac:dyDescent="0.25">
      <c r="A149" s="344"/>
      <c r="B149" s="151"/>
      <c r="C149" s="93" t="s">
        <v>187</v>
      </c>
      <c r="D149" s="85"/>
      <c r="E149" s="108"/>
      <c r="F149" s="108"/>
      <c r="G149" s="425"/>
      <c r="H149" s="108"/>
      <c r="I149" s="425"/>
      <c r="J149" s="425"/>
      <c r="K149" s="425"/>
    </row>
    <row r="150" spans="1:11" s="285" customFormat="1" hidden="1" x14ac:dyDescent="0.25">
      <c r="A150" s="118">
        <v>50</v>
      </c>
      <c r="B150" s="151">
        <v>6005</v>
      </c>
      <c r="C150" s="94" t="s">
        <v>188</v>
      </c>
      <c r="D150" s="85"/>
      <c r="E150" s="108"/>
      <c r="F150" s="85">
        <f>0/8*12</f>
        <v>0</v>
      </c>
      <c r="G150" s="428"/>
      <c r="H150" s="85"/>
      <c r="I150" s="428"/>
      <c r="J150" s="428"/>
      <c r="K150" s="428"/>
    </row>
    <row r="151" spans="1:11" s="285" customFormat="1" hidden="1" x14ac:dyDescent="0.25">
      <c r="A151" s="344"/>
      <c r="B151" s="151"/>
      <c r="C151" s="94"/>
      <c r="D151" s="89"/>
      <c r="E151" s="89">
        <f>SUM(E150)</f>
        <v>0</v>
      </c>
      <c r="F151" s="89">
        <f>SUM(F150)</f>
        <v>0</v>
      </c>
      <c r="G151" s="429">
        <v>0</v>
      </c>
      <c r="H151" s="89"/>
      <c r="I151" s="429"/>
      <c r="J151" s="429"/>
      <c r="K151" s="429"/>
    </row>
    <row r="152" spans="1:11" s="285" customFormat="1" hidden="1" x14ac:dyDescent="0.25">
      <c r="A152" s="344"/>
      <c r="B152" s="151"/>
      <c r="C152" s="93" t="s">
        <v>64</v>
      </c>
      <c r="D152" s="88"/>
      <c r="E152" s="113"/>
      <c r="F152" s="113"/>
      <c r="G152" s="113"/>
      <c r="H152" s="113"/>
      <c r="I152" s="113"/>
      <c r="J152" s="113"/>
      <c r="K152" s="113"/>
    </row>
    <row r="153" spans="1:11" s="285" customFormat="1" hidden="1" x14ac:dyDescent="0.25">
      <c r="A153" s="118">
        <v>50</v>
      </c>
      <c r="B153" s="151">
        <v>6105</v>
      </c>
      <c r="C153" s="94" t="s">
        <v>336</v>
      </c>
      <c r="D153" s="85"/>
      <c r="E153" s="108"/>
      <c r="F153" s="85">
        <f>0/8*12</f>
        <v>0</v>
      </c>
      <c r="G153" s="428"/>
      <c r="H153" s="422"/>
      <c r="I153" s="422"/>
      <c r="J153" s="422"/>
      <c r="K153" s="422"/>
    </row>
    <row r="154" spans="1:11" s="285" customFormat="1" hidden="1" x14ac:dyDescent="0.25">
      <c r="A154" s="118">
        <v>50</v>
      </c>
      <c r="B154" s="151">
        <v>6110</v>
      </c>
      <c r="C154" s="94" t="s">
        <v>337</v>
      </c>
      <c r="D154" s="85"/>
      <c r="E154" s="108"/>
      <c r="F154" s="85">
        <f>0/8*12</f>
        <v>0</v>
      </c>
      <c r="G154" s="428"/>
      <c r="H154" s="85"/>
      <c r="I154" s="428"/>
      <c r="J154" s="428"/>
      <c r="K154" s="428"/>
    </row>
    <row r="155" spans="1:11" s="285" customFormat="1" hidden="1" x14ac:dyDescent="0.25">
      <c r="A155" s="118">
        <v>50</v>
      </c>
      <c r="B155" s="151">
        <v>6115</v>
      </c>
      <c r="C155" s="94" t="s">
        <v>60</v>
      </c>
      <c r="D155" s="85"/>
      <c r="E155" s="108"/>
      <c r="F155" s="85">
        <f>0/8*12</f>
        <v>0</v>
      </c>
      <c r="G155" s="428"/>
      <c r="H155" s="422"/>
      <c r="I155" s="422"/>
      <c r="J155" s="422"/>
      <c r="K155" s="422"/>
    </row>
    <row r="156" spans="1:11" s="285" customFormat="1" hidden="1" x14ac:dyDescent="0.25">
      <c r="A156" s="344"/>
      <c r="B156" s="151"/>
      <c r="C156" s="94"/>
      <c r="D156" s="89"/>
      <c r="E156" s="89">
        <f>SUM(E153:E155)</f>
        <v>0</v>
      </c>
      <c r="F156" s="89">
        <f>SUM(F153:F155)</f>
        <v>0</v>
      </c>
      <c r="G156" s="429">
        <v>0</v>
      </c>
      <c r="H156" s="89"/>
      <c r="I156" s="429"/>
      <c r="J156" s="429"/>
      <c r="K156" s="429"/>
    </row>
    <row r="157" spans="1:11" s="285" customFormat="1" hidden="1" x14ac:dyDescent="0.25">
      <c r="A157" s="344"/>
      <c r="B157" s="151"/>
      <c r="C157" s="184" t="s">
        <v>65</v>
      </c>
      <c r="D157" s="88"/>
      <c r="E157" s="113"/>
      <c r="F157" s="113"/>
      <c r="G157" s="113"/>
      <c r="H157" s="113"/>
      <c r="I157" s="113"/>
      <c r="J157" s="113"/>
      <c r="K157" s="113"/>
    </row>
    <row r="158" spans="1:11" s="285" customFormat="1" hidden="1" x14ac:dyDescent="0.25">
      <c r="A158" s="118">
        <v>50</v>
      </c>
      <c r="B158" s="151">
        <v>6205</v>
      </c>
      <c r="C158" s="94" t="s">
        <v>338</v>
      </c>
      <c r="D158" s="85"/>
      <c r="E158" s="108"/>
      <c r="F158" s="85">
        <f>0/8*12</f>
        <v>0</v>
      </c>
      <c r="G158" s="428"/>
      <c r="H158" s="85"/>
      <c r="I158" s="428"/>
      <c r="J158" s="428"/>
      <c r="K158" s="428"/>
    </row>
    <row r="159" spans="1:11" s="285" customFormat="1" hidden="1" x14ac:dyDescent="0.25">
      <c r="A159" s="118">
        <v>50</v>
      </c>
      <c r="B159" s="151">
        <v>6210</v>
      </c>
      <c r="C159" s="94" t="s">
        <v>339</v>
      </c>
      <c r="D159" s="85"/>
      <c r="E159" s="85"/>
      <c r="F159" s="85">
        <f>0/8*12</f>
        <v>0</v>
      </c>
      <c r="G159" s="428"/>
      <c r="H159" s="85"/>
      <c r="I159" s="428"/>
      <c r="J159" s="428"/>
      <c r="K159" s="428"/>
    </row>
    <row r="160" spans="1:11" s="285" customFormat="1" hidden="1" x14ac:dyDescent="0.25">
      <c r="A160" s="344"/>
      <c r="B160" s="346"/>
      <c r="C160" s="347"/>
      <c r="D160" s="116"/>
      <c r="E160" s="116">
        <f>SUM(E158:E159)</f>
        <v>0</v>
      </c>
      <c r="F160" s="116">
        <f>SUM(F158:F159)</f>
        <v>0</v>
      </c>
      <c r="G160" s="441"/>
      <c r="H160" s="116"/>
      <c r="I160" s="441"/>
      <c r="J160" s="441"/>
      <c r="K160" s="441"/>
    </row>
    <row r="161" spans="1:11" s="285" customFormat="1" x14ac:dyDescent="0.25">
      <c r="A161" s="344"/>
      <c r="B161" s="346"/>
      <c r="C161" s="93" t="s">
        <v>189</v>
      </c>
      <c r="D161" s="441">
        <f t="shared" ref="D161:K161" si="16">D160+D156+D151+D148+D70+D66+D63+D59+D38+D35+D32+D29+D25+D18</f>
        <v>27069855.416000001</v>
      </c>
      <c r="E161" s="116">
        <f t="shared" si="16"/>
        <v>34611134.460000001</v>
      </c>
      <c r="F161" s="116">
        <f t="shared" si="16"/>
        <v>38748002.460000001</v>
      </c>
      <c r="G161" s="441">
        <f t="shared" si="16"/>
        <v>38748004.460000001</v>
      </c>
      <c r="H161" s="441">
        <f t="shared" si="16"/>
        <v>42462718.850000001</v>
      </c>
      <c r="I161" s="441">
        <f t="shared" si="16"/>
        <v>68619195.404400006</v>
      </c>
      <c r="J161" s="441">
        <f t="shared" si="16"/>
        <v>44927842.186641999</v>
      </c>
      <c r="K161" s="441">
        <f t="shared" si="16"/>
        <v>47309017.822534025</v>
      </c>
    </row>
    <row r="162" spans="1:11" s="285" customFormat="1" hidden="1" x14ac:dyDescent="0.25">
      <c r="A162" s="344"/>
      <c r="B162" s="151"/>
      <c r="C162" s="93" t="s">
        <v>258</v>
      </c>
      <c r="D162" s="117"/>
      <c r="E162" s="117"/>
      <c r="F162" s="117"/>
      <c r="G162" s="442"/>
      <c r="H162" s="117"/>
      <c r="I162" s="442"/>
      <c r="J162" s="442"/>
      <c r="K162" s="442"/>
    </row>
    <row r="163" spans="1:11" s="285" customFormat="1" hidden="1" x14ac:dyDescent="0.25">
      <c r="A163" s="118">
        <v>50</v>
      </c>
      <c r="B163" s="151">
        <v>6305</v>
      </c>
      <c r="C163" s="94" t="s">
        <v>190</v>
      </c>
      <c r="D163" s="85">
        <v>0</v>
      </c>
      <c r="E163" s="85"/>
      <c r="F163" s="85">
        <f>0/8*12</f>
        <v>0</v>
      </c>
      <c r="G163" s="428">
        <v>0</v>
      </c>
      <c r="H163" s="85">
        <f>0/8*12</f>
        <v>0</v>
      </c>
      <c r="I163" s="428">
        <f>0/8*12</f>
        <v>0</v>
      </c>
      <c r="J163" s="428">
        <f>0/8*12</f>
        <v>0</v>
      </c>
      <c r="K163" s="428">
        <f>0/8*12</f>
        <v>0</v>
      </c>
    </row>
    <row r="164" spans="1:11" s="285" customFormat="1" hidden="1" x14ac:dyDescent="0.25">
      <c r="A164" s="344"/>
      <c r="B164" s="151"/>
      <c r="C164" s="94"/>
      <c r="D164" s="116">
        <v>0</v>
      </c>
      <c r="E164" s="116">
        <f>E163</f>
        <v>0</v>
      </c>
      <c r="F164" s="116">
        <f>F163</f>
        <v>0</v>
      </c>
      <c r="G164" s="441">
        <v>0</v>
      </c>
      <c r="H164" s="116">
        <f>H163</f>
        <v>0</v>
      </c>
      <c r="I164" s="441">
        <f>I163</f>
        <v>0</v>
      </c>
      <c r="J164" s="441">
        <f>J163</f>
        <v>0</v>
      </c>
      <c r="K164" s="441">
        <f>K163</f>
        <v>0</v>
      </c>
    </row>
    <row r="165" spans="1:11" s="285" customFormat="1" x14ac:dyDescent="0.25">
      <c r="A165" s="348"/>
      <c r="B165" s="152"/>
      <c r="C165" s="119" t="s">
        <v>191</v>
      </c>
      <c r="D165" s="448">
        <f t="shared" ref="D165:K165" si="17">SUM(D161+D164)</f>
        <v>27069855.416000001</v>
      </c>
      <c r="E165" s="160">
        <f t="shared" si="17"/>
        <v>34611134.460000001</v>
      </c>
      <c r="F165" s="160">
        <f t="shared" si="17"/>
        <v>38748002.460000001</v>
      </c>
      <c r="G165" s="448">
        <f t="shared" si="17"/>
        <v>38748004.460000001</v>
      </c>
      <c r="H165" s="160">
        <f t="shared" si="17"/>
        <v>42462718.850000001</v>
      </c>
      <c r="I165" s="448">
        <f t="shared" si="17"/>
        <v>68619195.404400006</v>
      </c>
      <c r="J165" s="448">
        <f t="shared" si="17"/>
        <v>44927842.186641999</v>
      </c>
      <c r="K165" s="448">
        <f t="shared" si="17"/>
        <v>47309017.822534025</v>
      </c>
    </row>
    <row r="166" spans="1:11" s="285" customFormat="1" x14ac:dyDescent="0.25">
      <c r="A166" s="344"/>
      <c r="B166" s="130"/>
      <c r="C166" s="115"/>
      <c r="D166" s="111"/>
      <c r="E166" s="120"/>
      <c r="F166" s="120"/>
      <c r="G166" s="120"/>
      <c r="H166" s="120"/>
      <c r="I166" s="120"/>
      <c r="J166" s="120"/>
      <c r="K166" s="120"/>
    </row>
    <row r="167" spans="1:11" s="285" customFormat="1" x14ac:dyDescent="0.25">
      <c r="A167" s="344"/>
      <c r="B167" s="130"/>
      <c r="C167" s="115"/>
      <c r="D167" s="111"/>
      <c r="E167" s="111"/>
      <c r="F167" s="111"/>
      <c r="G167" s="111"/>
      <c r="H167" s="111"/>
      <c r="I167" s="111"/>
      <c r="J167" s="111"/>
      <c r="K167" s="111"/>
    </row>
    <row r="168" spans="1:11" s="285" customFormat="1" x14ac:dyDescent="0.25">
      <c r="A168" s="349"/>
      <c r="B168" s="546" t="s">
        <v>416</v>
      </c>
      <c r="C168" s="546"/>
      <c r="D168" s="547"/>
      <c r="E168" s="338"/>
      <c r="F168" s="338"/>
      <c r="G168" s="563"/>
      <c r="H168" s="338"/>
      <c r="I168" s="581"/>
      <c r="J168" s="420"/>
      <c r="K168" s="338"/>
    </row>
    <row r="169" spans="1:11" s="285" customFormat="1" x14ac:dyDescent="0.25">
      <c r="A169" s="944" t="s">
        <v>21</v>
      </c>
      <c r="B169" s="945"/>
      <c r="C169" s="150" t="s">
        <v>22</v>
      </c>
      <c r="D169" s="103" t="s">
        <v>878</v>
      </c>
      <c r="E169" s="104" t="s">
        <v>24</v>
      </c>
      <c r="F169" s="103" t="s">
        <v>535</v>
      </c>
      <c r="G169" s="103" t="s">
        <v>413</v>
      </c>
      <c r="H169" s="104" t="s">
        <v>24</v>
      </c>
      <c r="I169" s="583" t="s">
        <v>24</v>
      </c>
      <c r="J169" s="583" t="s">
        <v>24</v>
      </c>
      <c r="K169" s="583" t="s">
        <v>24</v>
      </c>
    </row>
    <row r="170" spans="1:11" s="285" customFormat="1" x14ac:dyDescent="0.25">
      <c r="A170" s="946"/>
      <c r="B170" s="947"/>
      <c r="C170" s="106"/>
      <c r="D170" s="333" t="s">
        <v>257</v>
      </c>
      <c r="E170" s="107" t="s">
        <v>382</v>
      </c>
      <c r="F170" s="107" t="s">
        <v>382</v>
      </c>
      <c r="G170" s="107" t="s">
        <v>382</v>
      </c>
      <c r="H170" s="107" t="s">
        <v>407</v>
      </c>
      <c r="I170" s="586" t="s">
        <v>414</v>
      </c>
      <c r="J170" s="586" t="s">
        <v>530</v>
      </c>
      <c r="K170" s="586" t="s">
        <v>886</v>
      </c>
    </row>
    <row r="171" spans="1:11" s="285" customFormat="1" x14ac:dyDescent="0.25">
      <c r="A171" s="350"/>
      <c r="B171" s="153"/>
      <c r="C171" s="93" t="s">
        <v>98</v>
      </c>
      <c r="D171" s="122"/>
      <c r="E171" s="98"/>
      <c r="F171" s="98"/>
      <c r="G171" s="435"/>
      <c r="H171" s="98"/>
      <c r="I171" s="435"/>
      <c r="J171" s="98"/>
      <c r="K171" s="98"/>
    </row>
    <row r="172" spans="1:11" s="285" customFormat="1" hidden="1" x14ac:dyDescent="0.25">
      <c r="A172" s="118">
        <v>50</v>
      </c>
      <c r="B172" s="151">
        <v>1237</v>
      </c>
      <c r="C172" s="94" t="s">
        <v>99</v>
      </c>
      <c r="D172" s="122"/>
      <c r="E172" s="108"/>
      <c r="F172" s="98">
        <f>E172/8*12</f>
        <v>0</v>
      </c>
      <c r="G172" s="435"/>
      <c r="H172" s="98"/>
      <c r="I172" s="435"/>
      <c r="J172" s="98"/>
      <c r="K172" s="98">
        <f>F172/8*12</f>
        <v>0</v>
      </c>
    </row>
    <row r="173" spans="1:11" s="285" customFormat="1" hidden="1" x14ac:dyDescent="0.25">
      <c r="A173" s="118">
        <v>50</v>
      </c>
      <c r="B173" s="151">
        <v>5725</v>
      </c>
      <c r="C173" s="94" t="s">
        <v>400</v>
      </c>
      <c r="D173" s="85"/>
      <c r="E173" s="85">
        <v>0</v>
      </c>
      <c r="F173" s="85">
        <f>(0/8*12)*-1</f>
        <v>0</v>
      </c>
      <c r="G173" s="428"/>
      <c r="H173" s="85"/>
      <c r="I173" s="428"/>
      <c r="J173" s="85"/>
      <c r="K173" s="85">
        <f>F173*(1+[1]INPUT!C$10)</f>
        <v>0</v>
      </c>
    </row>
    <row r="174" spans="1:11" s="285" customFormat="1" hidden="1" x14ac:dyDescent="0.25">
      <c r="A174" s="344"/>
      <c r="B174" s="151"/>
      <c r="C174" s="94"/>
      <c r="D174" s="99"/>
      <c r="E174" s="99">
        <f>SUM(E172)</f>
        <v>0</v>
      </c>
      <c r="F174" s="99">
        <f>SUM(F172)</f>
        <v>0</v>
      </c>
      <c r="G174" s="436"/>
      <c r="H174" s="99"/>
      <c r="I174" s="436"/>
      <c r="J174" s="99"/>
      <c r="K174" s="99">
        <f>SUM(K172)</f>
        <v>0</v>
      </c>
    </row>
    <row r="175" spans="1:11" s="285" customFormat="1" x14ac:dyDescent="0.25">
      <c r="A175" s="344"/>
      <c r="B175" s="151"/>
      <c r="C175" s="93" t="s">
        <v>100</v>
      </c>
      <c r="D175" s="122"/>
      <c r="E175" s="98"/>
      <c r="F175" s="98"/>
      <c r="G175" s="435"/>
      <c r="H175" s="98"/>
      <c r="I175" s="435"/>
      <c r="J175" s="98"/>
      <c r="K175" s="98"/>
    </row>
    <row r="176" spans="1:11" s="285" customFormat="1" hidden="1" x14ac:dyDescent="0.25">
      <c r="A176" s="118">
        <v>50</v>
      </c>
      <c r="B176" s="151">
        <v>1147</v>
      </c>
      <c r="C176" s="94" t="s">
        <v>102</v>
      </c>
      <c r="D176" s="122"/>
      <c r="E176" s="98"/>
      <c r="F176" s="98">
        <f>E176/8*12</f>
        <v>0</v>
      </c>
      <c r="G176" s="435"/>
      <c r="H176" s="98"/>
      <c r="I176" s="435"/>
      <c r="J176" s="98"/>
      <c r="K176" s="98"/>
    </row>
    <row r="177" spans="1:11" s="285" customFormat="1" hidden="1" x14ac:dyDescent="0.25">
      <c r="A177" s="118">
        <v>50</v>
      </c>
      <c r="B177" s="151">
        <v>1202</v>
      </c>
      <c r="C177" s="94" t="s">
        <v>343</v>
      </c>
      <c r="D177" s="122"/>
      <c r="E177" s="98"/>
      <c r="F177" s="98">
        <f>E177/8*12</f>
        <v>0</v>
      </c>
      <c r="G177" s="435"/>
      <c r="H177" s="98"/>
      <c r="I177" s="435"/>
      <c r="J177" s="98"/>
      <c r="K177" s="98"/>
    </row>
    <row r="178" spans="1:11" s="285" customFormat="1" hidden="1" x14ac:dyDescent="0.25">
      <c r="A178" s="118">
        <v>50</v>
      </c>
      <c r="B178" s="151">
        <v>1207</v>
      </c>
      <c r="C178" s="94" t="s">
        <v>104</v>
      </c>
      <c r="D178" s="122"/>
      <c r="E178" s="98"/>
      <c r="F178" s="98">
        <f>E178/8*12</f>
        <v>0</v>
      </c>
      <c r="G178" s="435"/>
      <c r="H178" s="98"/>
      <c r="I178" s="435"/>
      <c r="J178" s="98"/>
      <c r="K178" s="98"/>
    </row>
    <row r="179" spans="1:11" s="285" customFormat="1" hidden="1" x14ac:dyDescent="0.25">
      <c r="A179" s="118">
        <v>50</v>
      </c>
      <c r="B179" s="151">
        <v>1153</v>
      </c>
      <c r="C179" s="94" t="s">
        <v>115</v>
      </c>
      <c r="D179" s="122"/>
      <c r="E179" s="98"/>
      <c r="F179" s="98">
        <f>E179/8*12</f>
        <v>0</v>
      </c>
      <c r="G179" s="435"/>
      <c r="H179" s="98"/>
      <c r="I179" s="435"/>
      <c r="J179" s="98"/>
      <c r="K179" s="98"/>
    </row>
    <row r="180" spans="1:11" s="285" customFormat="1" x14ac:dyDescent="0.25">
      <c r="A180" s="118">
        <v>50</v>
      </c>
      <c r="B180" s="151">
        <v>1143</v>
      </c>
      <c r="C180" s="94" t="s">
        <v>109</v>
      </c>
      <c r="D180" s="122">
        <v>27923781.858900003</v>
      </c>
      <c r="E180" s="98">
        <v>30157684.407612007</v>
      </c>
      <c r="F180" s="85">
        <v>23157684.407612007</v>
      </c>
      <c r="G180" s="428">
        <v>23157684.407612007</v>
      </c>
      <c r="H180" s="85">
        <f>(F180*10/100)+F180</f>
        <v>25473452.848373208</v>
      </c>
      <c r="I180" s="428">
        <f>28020798.1332105+7128721</f>
        <v>35149519.133210495</v>
      </c>
      <c r="J180" s="85">
        <f>+I180*1.055</f>
        <v>37082742.68553707</v>
      </c>
      <c r="K180" s="85">
        <f>+J180*1.053</f>
        <v>39048128.047870532</v>
      </c>
    </row>
    <row r="181" spans="1:11" s="285" customFormat="1" x14ac:dyDescent="0.25">
      <c r="A181" s="118">
        <v>50</v>
      </c>
      <c r="B181" s="151">
        <v>5500</v>
      </c>
      <c r="C181" s="94" t="s">
        <v>266</v>
      </c>
      <c r="D181" s="85">
        <v>-31895</v>
      </c>
      <c r="E181" s="85">
        <v>-33969</v>
      </c>
      <c r="F181" s="85">
        <v>-33969</v>
      </c>
      <c r="G181" s="428">
        <v>-33969</v>
      </c>
      <c r="H181" s="85">
        <f>(F181*10/100)+F181</f>
        <v>-37365.9</v>
      </c>
      <c r="I181" s="428">
        <f>+H181*1.1424</f>
        <v>-42686.804160000007</v>
      </c>
      <c r="J181" s="428">
        <f>+I181*1.055</f>
        <v>-45034.578388800008</v>
      </c>
      <c r="K181" s="428">
        <f t="shared" ref="K181:K200" si="18">+J181*1.053</f>
        <v>-47421.411043406406</v>
      </c>
    </row>
    <row r="182" spans="1:11" s="285" customFormat="1" x14ac:dyDescent="0.25">
      <c r="A182" s="118">
        <v>50</v>
      </c>
      <c r="B182" s="151">
        <v>5705</v>
      </c>
      <c r="C182" s="94" t="s">
        <v>394</v>
      </c>
      <c r="D182" s="85">
        <v>-3240000</v>
      </c>
      <c r="E182" s="85">
        <v>-3499200</v>
      </c>
      <c r="F182" s="85">
        <v>-499200</v>
      </c>
      <c r="G182" s="428">
        <v>-499200</v>
      </c>
      <c r="H182" s="85">
        <f>(F182*10/100)+F182</f>
        <v>-549120</v>
      </c>
      <c r="I182" s="428">
        <v>-4144524</v>
      </c>
      <c r="J182" s="428">
        <f>+I182*1.055</f>
        <v>-4372472.8199999994</v>
      </c>
      <c r="K182" s="428">
        <f t="shared" si="18"/>
        <v>-4604213.8794599995</v>
      </c>
    </row>
    <row r="183" spans="1:11" s="285" customFormat="1" x14ac:dyDescent="0.25">
      <c r="A183" s="118">
        <v>50</v>
      </c>
      <c r="B183" s="151">
        <v>1140</v>
      </c>
      <c r="C183" s="94" t="s">
        <v>113</v>
      </c>
      <c r="D183" s="122">
        <v>190526</v>
      </c>
      <c r="E183" s="98">
        <v>205768.08000000002</v>
      </c>
      <c r="F183" s="85">
        <v>205768.08000000002</v>
      </c>
      <c r="G183" s="428">
        <v>205768.08000000002</v>
      </c>
      <c r="H183" s="85">
        <f>(F183*10/100)+F183</f>
        <v>226344.88800000004</v>
      </c>
      <c r="I183" s="428">
        <v>248979.37680000003</v>
      </c>
      <c r="J183" s="428">
        <f>+I183*1.055</f>
        <v>262673.242524</v>
      </c>
      <c r="K183" s="428">
        <f t="shared" si="18"/>
        <v>276594.92437777197</v>
      </c>
    </row>
    <row r="184" spans="1:11" s="285" customFormat="1" hidden="1" x14ac:dyDescent="0.25">
      <c r="A184" s="118">
        <v>50</v>
      </c>
      <c r="B184" s="151">
        <v>1145</v>
      </c>
      <c r="C184" s="94" t="s">
        <v>132</v>
      </c>
      <c r="D184" s="122">
        <v>0</v>
      </c>
      <c r="E184" s="98"/>
      <c r="F184" s="85">
        <f t="shared" ref="F184:F205" si="19">E184-D184</f>
        <v>0</v>
      </c>
      <c r="G184" s="86">
        <v>0</v>
      </c>
      <c r="H184" s="98"/>
      <c r="I184" s="435"/>
      <c r="J184" s="428">
        <f t="shared" ref="J184:J200" si="20">+I184*1.055</f>
        <v>0</v>
      </c>
      <c r="K184" s="428">
        <f t="shared" si="18"/>
        <v>0</v>
      </c>
    </row>
    <row r="185" spans="1:11" s="285" customFormat="1" hidden="1" x14ac:dyDescent="0.25">
      <c r="A185" s="118">
        <v>50</v>
      </c>
      <c r="B185" s="151">
        <v>1150</v>
      </c>
      <c r="C185" s="94" t="s">
        <v>120</v>
      </c>
      <c r="D185" s="122">
        <v>0</v>
      </c>
      <c r="E185" s="98"/>
      <c r="F185" s="85">
        <f t="shared" si="19"/>
        <v>0</v>
      </c>
      <c r="G185" s="86">
        <v>0</v>
      </c>
      <c r="H185" s="98"/>
      <c r="I185" s="435"/>
      <c r="J185" s="428">
        <f t="shared" si="20"/>
        <v>0</v>
      </c>
      <c r="K185" s="428">
        <f t="shared" si="18"/>
        <v>0</v>
      </c>
    </row>
    <row r="186" spans="1:11" s="285" customFormat="1" hidden="1" x14ac:dyDescent="0.25">
      <c r="A186" s="118">
        <v>50</v>
      </c>
      <c r="B186" s="151">
        <v>1155</v>
      </c>
      <c r="C186" s="94" t="s">
        <v>116</v>
      </c>
      <c r="D186" s="122">
        <v>0</v>
      </c>
      <c r="E186" s="98"/>
      <c r="F186" s="85">
        <f t="shared" si="19"/>
        <v>0</v>
      </c>
      <c r="G186" s="86">
        <v>0</v>
      </c>
      <c r="H186" s="98"/>
      <c r="I186" s="435"/>
      <c r="J186" s="428">
        <f t="shared" si="20"/>
        <v>0</v>
      </c>
      <c r="K186" s="428">
        <f t="shared" si="18"/>
        <v>0</v>
      </c>
    </row>
    <row r="187" spans="1:11" s="285" customFormat="1" hidden="1" x14ac:dyDescent="0.25">
      <c r="A187" s="118">
        <v>50</v>
      </c>
      <c r="B187" s="151">
        <v>1160</v>
      </c>
      <c r="C187" s="94" t="s">
        <v>101</v>
      </c>
      <c r="D187" s="122">
        <v>0</v>
      </c>
      <c r="E187" s="98"/>
      <c r="F187" s="85">
        <f t="shared" si="19"/>
        <v>0</v>
      </c>
      <c r="G187" s="86">
        <v>0</v>
      </c>
      <c r="H187" s="98"/>
      <c r="I187" s="435"/>
      <c r="J187" s="428">
        <f t="shared" si="20"/>
        <v>0</v>
      </c>
      <c r="K187" s="428">
        <f t="shared" si="18"/>
        <v>0</v>
      </c>
    </row>
    <row r="188" spans="1:11" s="285" customFormat="1" hidden="1" x14ac:dyDescent="0.25">
      <c r="A188" s="118">
        <v>50</v>
      </c>
      <c r="B188" s="151">
        <v>1165</v>
      </c>
      <c r="C188" s="94" t="s">
        <v>114</v>
      </c>
      <c r="D188" s="122">
        <v>0</v>
      </c>
      <c r="E188" s="98"/>
      <c r="F188" s="85">
        <f t="shared" si="19"/>
        <v>0</v>
      </c>
      <c r="G188" s="86">
        <v>0</v>
      </c>
      <c r="H188" s="98"/>
      <c r="I188" s="435"/>
      <c r="J188" s="428">
        <f t="shared" si="20"/>
        <v>0</v>
      </c>
      <c r="K188" s="428">
        <f t="shared" si="18"/>
        <v>0</v>
      </c>
    </row>
    <row r="189" spans="1:11" s="285" customFormat="1" hidden="1" x14ac:dyDescent="0.25">
      <c r="A189" s="118"/>
      <c r="B189" s="151"/>
      <c r="C189" s="94" t="s">
        <v>401</v>
      </c>
      <c r="D189" s="122">
        <v>0</v>
      </c>
      <c r="E189" s="98"/>
      <c r="F189" s="85">
        <f t="shared" si="19"/>
        <v>0</v>
      </c>
      <c r="G189" s="86">
        <v>0</v>
      </c>
      <c r="H189" s="98"/>
      <c r="I189" s="435"/>
      <c r="J189" s="428">
        <f t="shared" si="20"/>
        <v>0</v>
      </c>
      <c r="K189" s="428">
        <f t="shared" si="18"/>
        <v>0</v>
      </c>
    </row>
    <row r="190" spans="1:11" s="285" customFormat="1" hidden="1" x14ac:dyDescent="0.25">
      <c r="A190" s="118">
        <v>50</v>
      </c>
      <c r="B190" s="151">
        <v>1180</v>
      </c>
      <c r="C190" s="94" t="s">
        <v>402</v>
      </c>
      <c r="D190" s="122">
        <v>0</v>
      </c>
      <c r="E190" s="98"/>
      <c r="F190" s="85">
        <f t="shared" si="19"/>
        <v>0</v>
      </c>
      <c r="G190" s="86">
        <v>0</v>
      </c>
      <c r="H190" s="98"/>
      <c r="I190" s="435"/>
      <c r="J190" s="428">
        <f t="shared" si="20"/>
        <v>0</v>
      </c>
      <c r="K190" s="428">
        <f t="shared" si="18"/>
        <v>0</v>
      </c>
    </row>
    <row r="191" spans="1:11" s="285" customFormat="1" hidden="1" x14ac:dyDescent="0.25">
      <c r="A191" s="118">
        <v>50</v>
      </c>
      <c r="B191" s="151">
        <v>1185</v>
      </c>
      <c r="C191" s="94" t="s">
        <v>403</v>
      </c>
      <c r="D191" s="122">
        <v>0</v>
      </c>
      <c r="E191" s="98"/>
      <c r="F191" s="85">
        <f t="shared" si="19"/>
        <v>0</v>
      </c>
      <c r="G191" s="86">
        <v>0</v>
      </c>
      <c r="H191" s="98"/>
      <c r="I191" s="435"/>
      <c r="J191" s="428">
        <f t="shared" si="20"/>
        <v>0</v>
      </c>
      <c r="K191" s="428">
        <f t="shared" si="18"/>
        <v>0</v>
      </c>
    </row>
    <row r="192" spans="1:11" s="285" customFormat="1" hidden="1" x14ac:dyDescent="0.25">
      <c r="A192" s="118">
        <v>50</v>
      </c>
      <c r="B192" s="151">
        <v>1190</v>
      </c>
      <c r="C192" s="94" t="s">
        <v>404</v>
      </c>
      <c r="D192" s="122">
        <v>0</v>
      </c>
      <c r="E192" s="98"/>
      <c r="F192" s="85">
        <f t="shared" si="19"/>
        <v>0</v>
      </c>
      <c r="G192" s="86">
        <v>0</v>
      </c>
      <c r="H192" s="98"/>
      <c r="I192" s="435"/>
      <c r="J192" s="428">
        <f t="shared" si="20"/>
        <v>0</v>
      </c>
      <c r="K192" s="428">
        <f t="shared" si="18"/>
        <v>0</v>
      </c>
    </row>
    <row r="193" spans="1:13" s="285" customFormat="1" hidden="1" x14ac:dyDescent="0.25">
      <c r="A193" s="118"/>
      <c r="B193" s="151"/>
      <c r="C193" s="94" t="s">
        <v>405</v>
      </c>
      <c r="D193" s="122">
        <v>0</v>
      </c>
      <c r="E193" s="98"/>
      <c r="F193" s="85">
        <f t="shared" si="19"/>
        <v>0</v>
      </c>
      <c r="G193" s="86">
        <v>0</v>
      </c>
      <c r="H193" s="98"/>
      <c r="I193" s="435"/>
      <c r="J193" s="428">
        <f t="shared" si="20"/>
        <v>0</v>
      </c>
      <c r="K193" s="428">
        <f t="shared" si="18"/>
        <v>0</v>
      </c>
    </row>
    <row r="194" spans="1:13" s="285" customFormat="1" hidden="1" x14ac:dyDescent="0.25">
      <c r="A194" s="118">
        <v>50</v>
      </c>
      <c r="B194" s="151">
        <v>1195</v>
      </c>
      <c r="C194" s="94" t="s">
        <v>199</v>
      </c>
      <c r="D194" s="122">
        <v>0</v>
      </c>
      <c r="E194" s="98"/>
      <c r="F194" s="85">
        <f t="shared" si="19"/>
        <v>0</v>
      </c>
      <c r="G194" s="86">
        <v>0</v>
      </c>
      <c r="H194" s="98"/>
      <c r="I194" s="435"/>
      <c r="J194" s="428">
        <f t="shared" si="20"/>
        <v>0</v>
      </c>
      <c r="K194" s="428">
        <f t="shared" si="18"/>
        <v>0</v>
      </c>
    </row>
    <row r="195" spans="1:13" s="285" customFormat="1" hidden="1" x14ac:dyDescent="0.25">
      <c r="A195" s="118">
        <v>50</v>
      </c>
      <c r="B195" s="151">
        <v>1200</v>
      </c>
      <c r="C195" s="94" t="s">
        <v>117</v>
      </c>
      <c r="D195" s="122">
        <v>0</v>
      </c>
      <c r="E195" s="98"/>
      <c r="F195" s="85">
        <f t="shared" si="19"/>
        <v>0</v>
      </c>
      <c r="G195" s="86">
        <v>0</v>
      </c>
      <c r="H195" s="98"/>
      <c r="I195" s="435"/>
      <c r="J195" s="428">
        <f t="shared" si="20"/>
        <v>0</v>
      </c>
      <c r="K195" s="428">
        <f t="shared" si="18"/>
        <v>0</v>
      </c>
    </row>
    <row r="196" spans="1:13" s="285" customFormat="1" hidden="1" x14ac:dyDescent="0.25">
      <c r="A196" s="118">
        <v>50</v>
      </c>
      <c r="B196" s="151">
        <v>1205</v>
      </c>
      <c r="C196" s="115" t="s">
        <v>105</v>
      </c>
      <c r="D196" s="122">
        <v>0</v>
      </c>
      <c r="E196" s="98"/>
      <c r="F196" s="85">
        <f t="shared" si="19"/>
        <v>0</v>
      </c>
      <c r="G196" s="86">
        <v>0</v>
      </c>
      <c r="H196" s="98"/>
      <c r="I196" s="435"/>
      <c r="J196" s="428">
        <f t="shared" si="20"/>
        <v>0</v>
      </c>
      <c r="K196" s="428">
        <f t="shared" si="18"/>
        <v>0</v>
      </c>
    </row>
    <row r="197" spans="1:13" s="285" customFormat="1" hidden="1" x14ac:dyDescent="0.25">
      <c r="A197" s="118">
        <v>50</v>
      </c>
      <c r="B197" s="151">
        <v>1210</v>
      </c>
      <c r="C197" s="94" t="s">
        <v>118</v>
      </c>
      <c r="D197" s="122">
        <v>0</v>
      </c>
      <c r="E197" s="98"/>
      <c r="F197" s="85">
        <f t="shared" si="19"/>
        <v>0</v>
      </c>
      <c r="G197" s="86">
        <v>0</v>
      </c>
      <c r="H197" s="98"/>
      <c r="I197" s="435"/>
      <c r="J197" s="428">
        <f t="shared" si="20"/>
        <v>0</v>
      </c>
      <c r="K197" s="428">
        <f t="shared" si="18"/>
        <v>0</v>
      </c>
    </row>
    <row r="198" spans="1:13" s="285" customFormat="1" hidden="1" x14ac:dyDescent="0.25">
      <c r="A198" s="118">
        <v>50</v>
      </c>
      <c r="B198" s="151">
        <v>1215</v>
      </c>
      <c r="C198" s="94" t="s">
        <v>133</v>
      </c>
      <c r="D198" s="122">
        <v>0</v>
      </c>
      <c r="E198" s="98"/>
      <c r="F198" s="85">
        <f t="shared" si="19"/>
        <v>0</v>
      </c>
      <c r="G198" s="86">
        <v>0</v>
      </c>
      <c r="H198" s="98"/>
      <c r="I198" s="435"/>
      <c r="J198" s="428">
        <f t="shared" si="20"/>
        <v>0</v>
      </c>
      <c r="K198" s="428">
        <f t="shared" si="18"/>
        <v>0</v>
      </c>
    </row>
    <row r="199" spans="1:13" s="285" customFormat="1" hidden="1" x14ac:dyDescent="0.25">
      <c r="A199" s="118">
        <v>50</v>
      </c>
      <c r="B199" s="151">
        <v>5905</v>
      </c>
      <c r="C199" s="94" t="s">
        <v>329</v>
      </c>
      <c r="D199" s="85">
        <v>0</v>
      </c>
      <c r="E199" s="85"/>
      <c r="F199" s="85">
        <f t="shared" si="19"/>
        <v>0</v>
      </c>
      <c r="G199" s="428">
        <v>0</v>
      </c>
      <c r="H199" s="85"/>
      <c r="I199" s="428"/>
      <c r="J199" s="428">
        <f t="shared" si="20"/>
        <v>0</v>
      </c>
      <c r="K199" s="428">
        <f t="shared" si="18"/>
        <v>0</v>
      </c>
    </row>
    <row r="200" spans="1:13" s="285" customFormat="1" x14ac:dyDescent="0.25">
      <c r="A200" s="118">
        <v>50</v>
      </c>
      <c r="B200" s="151">
        <v>5900</v>
      </c>
      <c r="C200" s="94" t="s">
        <v>333</v>
      </c>
      <c r="D200" s="85">
        <v>-16125</v>
      </c>
      <c r="E200" s="85">
        <v>-17024</v>
      </c>
      <c r="F200" s="85">
        <v>-17024</v>
      </c>
      <c r="G200" s="428">
        <v>-17023</v>
      </c>
      <c r="H200" s="85">
        <f>(F200*10/100)+F200</f>
        <v>-18726.400000000001</v>
      </c>
      <c r="I200" s="428">
        <v>-20599.04</v>
      </c>
      <c r="J200" s="428">
        <f t="shared" si="20"/>
        <v>-21731.9872</v>
      </c>
      <c r="K200" s="428">
        <f t="shared" si="18"/>
        <v>-22883.782521599998</v>
      </c>
    </row>
    <row r="201" spans="1:13" s="285" customFormat="1" hidden="1" x14ac:dyDescent="0.25">
      <c r="A201" s="118">
        <v>50</v>
      </c>
      <c r="B201" s="151">
        <v>1220</v>
      </c>
      <c r="C201" s="94" t="s">
        <v>340</v>
      </c>
      <c r="D201" s="122"/>
      <c r="E201" s="98">
        <v>0</v>
      </c>
      <c r="F201" s="85">
        <f t="shared" si="19"/>
        <v>0</v>
      </c>
      <c r="G201" s="86">
        <v>0</v>
      </c>
      <c r="H201" s="98"/>
      <c r="I201" s="435"/>
      <c r="J201" s="98"/>
      <c r="K201" s="85"/>
    </row>
    <row r="202" spans="1:13" s="285" customFormat="1" hidden="1" x14ac:dyDescent="0.25">
      <c r="A202" s="118">
        <v>50</v>
      </c>
      <c r="B202" s="151">
        <v>1225</v>
      </c>
      <c r="C202" s="94" t="s">
        <v>370</v>
      </c>
      <c r="D202" s="122"/>
      <c r="E202" s="98">
        <v>0</v>
      </c>
      <c r="F202" s="85">
        <f t="shared" si="19"/>
        <v>0</v>
      </c>
      <c r="G202" s="86">
        <v>0</v>
      </c>
      <c r="H202" s="98"/>
      <c r="I202" s="435"/>
      <c r="J202" s="98"/>
      <c r="K202" s="85"/>
    </row>
    <row r="203" spans="1:13" s="285" customFormat="1" hidden="1" x14ac:dyDescent="0.25">
      <c r="A203" s="118">
        <v>50</v>
      </c>
      <c r="B203" s="151">
        <v>1230</v>
      </c>
      <c r="C203" s="94" t="s">
        <v>119</v>
      </c>
      <c r="D203" s="122"/>
      <c r="E203" s="98">
        <v>0</v>
      </c>
      <c r="F203" s="85">
        <f t="shared" si="19"/>
        <v>0</v>
      </c>
      <c r="G203" s="86">
        <v>0</v>
      </c>
      <c r="H203" s="98"/>
      <c r="I203" s="435"/>
      <c r="J203" s="98"/>
      <c r="K203" s="85"/>
    </row>
    <row r="204" spans="1:13" s="285" customFormat="1" hidden="1" x14ac:dyDescent="0.25">
      <c r="A204" s="118">
        <v>50</v>
      </c>
      <c r="B204" s="151">
        <v>1235</v>
      </c>
      <c r="C204" s="94" t="s">
        <v>347</v>
      </c>
      <c r="D204" s="122"/>
      <c r="E204" s="98">
        <v>0</v>
      </c>
      <c r="F204" s="85">
        <f t="shared" si="19"/>
        <v>0</v>
      </c>
      <c r="G204" s="86">
        <v>0</v>
      </c>
      <c r="H204" s="98"/>
      <c r="I204" s="435"/>
      <c r="J204" s="98"/>
      <c r="K204" s="85"/>
    </row>
    <row r="205" spans="1:13" s="285" customFormat="1" hidden="1" x14ac:dyDescent="0.25">
      <c r="A205" s="118"/>
      <c r="B205" s="151"/>
      <c r="C205" s="94" t="s">
        <v>510</v>
      </c>
      <c r="D205" s="225"/>
      <c r="E205" s="85"/>
      <c r="F205" s="85">
        <f t="shared" si="19"/>
        <v>0</v>
      </c>
      <c r="G205" s="428">
        <v>0</v>
      </c>
      <c r="H205" s="85"/>
      <c r="I205" s="428"/>
      <c r="J205" s="85"/>
      <c r="K205" s="85"/>
    </row>
    <row r="206" spans="1:13" s="285" customFormat="1" x14ac:dyDescent="0.25">
      <c r="A206" s="344"/>
      <c r="B206" s="151"/>
      <c r="C206" s="94"/>
      <c r="D206" s="437">
        <f t="shared" ref="D206:K206" si="21">SUM(D176:D204)</f>
        <v>24826287.858900003</v>
      </c>
      <c r="E206" s="100">
        <f t="shared" si="21"/>
        <v>26813259.487612005</v>
      </c>
      <c r="F206" s="437">
        <f t="shared" si="21"/>
        <v>22813259.487612005</v>
      </c>
      <c r="G206" s="437">
        <f t="shared" si="21"/>
        <v>22813260.487612005</v>
      </c>
      <c r="H206" s="437">
        <f t="shared" si="21"/>
        <v>25094585.436373211</v>
      </c>
      <c r="I206" s="437">
        <f t="shared" si="21"/>
        <v>31190688.665850498</v>
      </c>
      <c r="J206" s="437">
        <f t="shared" si="21"/>
        <v>32906176.542472269</v>
      </c>
      <c r="K206" s="437">
        <f t="shared" si="21"/>
        <v>34650203.899223298</v>
      </c>
      <c r="L206" s="98"/>
      <c r="M206" s="284"/>
    </row>
    <row r="207" spans="1:13" s="285" customFormat="1" hidden="1" x14ac:dyDescent="0.25">
      <c r="A207" s="344"/>
      <c r="B207" s="151"/>
      <c r="C207" s="93" t="s">
        <v>66</v>
      </c>
      <c r="D207" s="122"/>
      <c r="E207" s="98"/>
      <c r="F207" s="98"/>
      <c r="G207" s="435"/>
      <c r="H207" s="98"/>
      <c r="I207" s="435"/>
      <c r="J207" s="98"/>
      <c r="K207" s="98"/>
    </row>
    <row r="208" spans="1:13" s="285" customFormat="1" hidden="1" x14ac:dyDescent="0.25">
      <c r="A208" s="118">
        <v>50</v>
      </c>
      <c r="B208" s="151">
        <v>1305</v>
      </c>
      <c r="C208" s="94" t="s">
        <v>342</v>
      </c>
      <c r="D208" s="122"/>
      <c r="E208" s="98"/>
      <c r="F208" s="98">
        <f>E208/8*12</f>
        <v>0</v>
      </c>
      <c r="G208" s="435"/>
      <c r="H208" s="98"/>
      <c r="I208" s="435"/>
      <c r="J208" s="98"/>
      <c r="K208" s="98"/>
    </row>
    <row r="209" spans="1:11" s="285" customFormat="1" hidden="1" x14ac:dyDescent="0.25">
      <c r="A209" s="118">
        <v>50</v>
      </c>
      <c r="B209" s="151">
        <v>1310</v>
      </c>
      <c r="C209" s="94" t="s">
        <v>344</v>
      </c>
      <c r="D209" s="122"/>
      <c r="E209" s="98"/>
      <c r="F209" s="98">
        <f>E209/8*12</f>
        <v>0</v>
      </c>
      <c r="G209" s="435"/>
      <c r="H209" s="98"/>
      <c r="I209" s="435"/>
      <c r="J209" s="98"/>
      <c r="K209" s="98"/>
    </row>
    <row r="210" spans="1:11" s="285" customFormat="1" hidden="1" x14ac:dyDescent="0.25">
      <c r="A210" s="118">
        <v>50</v>
      </c>
      <c r="B210" s="151">
        <v>1320</v>
      </c>
      <c r="C210" s="94" t="s">
        <v>345</v>
      </c>
      <c r="D210" s="122"/>
      <c r="E210" s="98"/>
      <c r="F210" s="98">
        <f>E210/8*12</f>
        <v>0</v>
      </c>
      <c r="G210" s="435"/>
      <c r="H210" s="98"/>
      <c r="I210" s="435"/>
      <c r="J210" s="98"/>
      <c r="K210" s="98"/>
    </row>
    <row r="211" spans="1:11" s="285" customFormat="1" hidden="1" x14ac:dyDescent="0.25">
      <c r="A211" s="118">
        <v>50</v>
      </c>
      <c r="B211" s="151">
        <v>1315</v>
      </c>
      <c r="C211" s="94" t="s">
        <v>346</v>
      </c>
      <c r="D211" s="122"/>
      <c r="E211" s="108"/>
      <c r="F211" s="98">
        <f>E211/8*12</f>
        <v>0</v>
      </c>
      <c r="G211" s="435"/>
      <c r="H211" s="98"/>
      <c r="I211" s="435"/>
      <c r="J211" s="98"/>
      <c r="K211" s="108"/>
    </row>
    <row r="212" spans="1:11" s="285" customFormat="1" hidden="1" x14ac:dyDescent="0.25">
      <c r="A212" s="344"/>
      <c r="B212" s="151"/>
      <c r="C212" s="94"/>
      <c r="D212" s="99"/>
      <c r="E212" s="99">
        <f>SUM(E208:E211)</f>
        <v>0</v>
      </c>
      <c r="F212" s="99">
        <f>SUM(F208:F211)</f>
        <v>0</v>
      </c>
      <c r="G212" s="436"/>
      <c r="H212" s="99"/>
      <c r="I212" s="436"/>
      <c r="J212" s="99"/>
      <c r="K212" s="99"/>
    </row>
    <row r="213" spans="1:11" s="285" customFormat="1" hidden="1" x14ac:dyDescent="0.25">
      <c r="A213" s="344"/>
      <c r="B213" s="151"/>
      <c r="C213" s="93" t="s">
        <v>67</v>
      </c>
      <c r="D213" s="122"/>
      <c r="E213" s="98"/>
      <c r="F213" s="98"/>
      <c r="G213" s="435"/>
      <c r="H213" s="98"/>
      <c r="I213" s="435"/>
      <c r="J213" s="98"/>
      <c r="K213" s="98"/>
    </row>
    <row r="214" spans="1:11" s="285" customFormat="1" hidden="1" x14ac:dyDescent="0.25">
      <c r="A214" s="118">
        <v>50</v>
      </c>
      <c r="B214" s="151">
        <v>1400</v>
      </c>
      <c r="C214" s="94" t="s">
        <v>68</v>
      </c>
      <c r="D214" s="122"/>
      <c r="E214" s="108"/>
      <c r="F214" s="98">
        <f>E214/8*12</f>
        <v>0</v>
      </c>
      <c r="G214" s="435"/>
      <c r="H214" s="98"/>
      <c r="I214" s="435"/>
      <c r="J214" s="98"/>
      <c r="K214" s="108"/>
    </row>
    <row r="215" spans="1:11" s="285" customFormat="1" hidden="1" x14ac:dyDescent="0.25">
      <c r="A215" s="118">
        <v>50</v>
      </c>
      <c r="B215" s="151">
        <v>1405</v>
      </c>
      <c r="C215" s="94" t="s">
        <v>69</v>
      </c>
      <c r="D215" s="122"/>
      <c r="E215" s="108"/>
      <c r="F215" s="98">
        <f>E215/8*12</f>
        <v>0</v>
      </c>
      <c r="G215" s="435"/>
      <c r="H215" s="98"/>
      <c r="I215" s="435"/>
      <c r="J215" s="98"/>
      <c r="K215" s="108"/>
    </row>
    <row r="216" spans="1:11" s="285" customFormat="1" hidden="1" x14ac:dyDescent="0.25">
      <c r="A216" s="344"/>
      <c r="B216" s="151"/>
      <c r="C216" s="94"/>
      <c r="D216" s="99"/>
      <c r="E216" s="99">
        <f>SUM(E214:E215)</f>
        <v>0</v>
      </c>
      <c r="F216" s="99">
        <f>SUM(F214:F215)</f>
        <v>0</v>
      </c>
      <c r="G216" s="436"/>
      <c r="H216" s="99"/>
      <c r="I216" s="436"/>
      <c r="J216" s="99"/>
      <c r="K216" s="99"/>
    </row>
    <row r="217" spans="1:11" s="285" customFormat="1" hidden="1" x14ac:dyDescent="0.25">
      <c r="A217" s="344"/>
      <c r="B217" s="151"/>
      <c r="C217" s="93" t="s">
        <v>70</v>
      </c>
      <c r="D217" s="122"/>
      <c r="E217" s="98"/>
      <c r="F217" s="98"/>
      <c r="G217" s="435"/>
      <c r="H217" s="98"/>
      <c r="I217" s="435"/>
      <c r="J217" s="98"/>
      <c r="K217" s="98"/>
    </row>
    <row r="218" spans="1:11" s="285" customFormat="1" hidden="1" x14ac:dyDescent="0.25">
      <c r="A218" s="118">
        <v>50</v>
      </c>
      <c r="B218" s="151">
        <v>1500</v>
      </c>
      <c r="C218" s="94" t="s">
        <v>106</v>
      </c>
      <c r="D218" s="122"/>
      <c r="E218" s="108"/>
      <c r="F218" s="98">
        <f>E218/8*12</f>
        <v>0</v>
      </c>
      <c r="G218" s="435"/>
      <c r="H218" s="98"/>
      <c r="I218" s="435"/>
      <c r="J218" s="98"/>
      <c r="K218" s="108"/>
    </row>
    <row r="219" spans="1:11" s="285" customFormat="1" hidden="1" x14ac:dyDescent="0.25">
      <c r="A219" s="118">
        <v>50</v>
      </c>
      <c r="B219" s="151">
        <v>1505</v>
      </c>
      <c r="C219" s="94" t="s">
        <v>71</v>
      </c>
      <c r="D219" s="122"/>
      <c r="E219" s="108"/>
      <c r="F219" s="98">
        <f>E219/8*12</f>
        <v>0</v>
      </c>
      <c r="G219" s="435"/>
      <c r="H219" s="98"/>
      <c r="I219" s="435"/>
      <c r="J219" s="98"/>
      <c r="K219" s="108"/>
    </row>
    <row r="220" spans="1:11" s="285" customFormat="1" hidden="1" x14ac:dyDescent="0.25">
      <c r="A220" s="118">
        <v>50</v>
      </c>
      <c r="B220" s="151">
        <v>1510</v>
      </c>
      <c r="C220" s="94" t="s">
        <v>72</v>
      </c>
      <c r="D220" s="122"/>
      <c r="E220" s="108"/>
      <c r="F220" s="98">
        <f>E220/8*12</f>
        <v>0</v>
      </c>
      <c r="G220" s="435"/>
      <c r="H220" s="98"/>
      <c r="I220" s="435"/>
      <c r="J220" s="98"/>
      <c r="K220" s="108"/>
    </row>
    <row r="221" spans="1:11" s="285" customFormat="1" hidden="1" x14ac:dyDescent="0.25">
      <c r="A221" s="344"/>
      <c r="B221" s="151"/>
      <c r="C221" s="94"/>
      <c r="D221" s="99"/>
      <c r="E221" s="99">
        <f>SUM(E218:E220)</f>
        <v>0</v>
      </c>
      <c r="F221" s="99">
        <f>SUM(F218:F220)</f>
        <v>0</v>
      </c>
      <c r="G221" s="436"/>
      <c r="H221" s="99"/>
      <c r="I221" s="436"/>
      <c r="J221" s="99"/>
      <c r="K221" s="99"/>
    </row>
    <row r="222" spans="1:11" s="285" customFormat="1" hidden="1" x14ac:dyDescent="0.25">
      <c r="A222" s="344"/>
      <c r="B222" s="151"/>
      <c r="C222" s="93" t="s">
        <v>73</v>
      </c>
      <c r="D222" s="122"/>
      <c r="E222" s="98"/>
      <c r="F222" s="98"/>
      <c r="G222" s="435"/>
      <c r="H222" s="98"/>
      <c r="I222" s="435"/>
      <c r="J222" s="98"/>
      <c r="K222" s="98"/>
    </row>
    <row r="223" spans="1:11" s="285" customFormat="1" hidden="1" x14ac:dyDescent="0.25">
      <c r="A223" s="118">
        <v>50</v>
      </c>
      <c r="B223" s="151">
        <v>1550</v>
      </c>
      <c r="C223" s="94" t="s">
        <v>349</v>
      </c>
      <c r="D223" s="122"/>
      <c r="E223" s="98"/>
      <c r="F223" s="98">
        <f>E223/8*12</f>
        <v>0</v>
      </c>
      <c r="G223" s="435"/>
      <c r="H223" s="98"/>
      <c r="I223" s="435"/>
      <c r="J223" s="98"/>
      <c r="K223" s="98"/>
    </row>
    <row r="224" spans="1:11" s="285" customFormat="1" hidden="1" x14ac:dyDescent="0.25">
      <c r="A224" s="118">
        <v>50</v>
      </c>
      <c r="B224" s="151">
        <v>1555</v>
      </c>
      <c r="C224" s="94" t="s">
        <v>348</v>
      </c>
      <c r="D224" s="122"/>
      <c r="E224" s="98"/>
      <c r="F224" s="98">
        <f>E224/8*12</f>
        <v>0</v>
      </c>
      <c r="G224" s="435"/>
      <c r="H224" s="98"/>
      <c r="I224" s="435"/>
      <c r="J224" s="98"/>
      <c r="K224" s="108"/>
    </row>
    <row r="225" spans="1:11" s="285" customFormat="1" hidden="1" x14ac:dyDescent="0.25">
      <c r="A225" s="344"/>
      <c r="B225" s="151"/>
      <c r="C225" s="94"/>
      <c r="D225" s="100"/>
      <c r="E225" s="100">
        <f>SUM(E223:E224)</f>
        <v>0</v>
      </c>
      <c r="F225" s="100">
        <f>SUM(F223:F224)</f>
        <v>0</v>
      </c>
      <c r="G225" s="437"/>
      <c r="H225" s="100"/>
      <c r="I225" s="437"/>
      <c r="J225" s="100"/>
      <c r="K225" s="100"/>
    </row>
    <row r="226" spans="1:11" s="285" customFormat="1" ht="13.5" customHeight="1" x14ac:dyDescent="0.25">
      <c r="A226" s="344"/>
      <c r="B226" s="151"/>
      <c r="C226" s="93" t="s">
        <v>74</v>
      </c>
      <c r="D226" s="122"/>
      <c r="E226" s="98"/>
      <c r="F226" s="98"/>
      <c r="G226" s="435"/>
      <c r="H226" s="98"/>
      <c r="I226" s="435"/>
      <c r="J226" s="98"/>
      <c r="K226" s="98"/>
    </row>
    <row r="227" spans="1:11" s="285" customFormat="1" x14ac:dyDescent="0.25">
      <c r="A227" s="118">
        <v>50</v>
      </c>
      <c r="B227" s="151">
        <v>1605</v>
      </c>
      <c r="C227" s="94" t="s">
        <v>75</v>
      </c>
      <c r="D227" s="122">
        <v>13000000</v>
      </c>
      <c r="E227" s="98">
        <v>17000000</v>
      </c>
      <c r="F227" s="85">
        <v>17000000</v>
      </c>
      <c r="G227" s="86">
        <v>17000000</v>
      </c>
      <c r="H227" s="98">
        <v>18667000</v>
      </c>
      <c r="I227" s="435">
        <v>13248150</v>
      </c>
      <c r="J227" s="98">
        <f>7741170+4000000</f>
        <v>11741170</v>
      </c>
      <c r="K227" s="85">
        <f>5000000+7521840</f>
        <v>12521840</v>
      </c>
    </row>
    <row r="228" spans="1:11" s="285" customFormat="1" hidden="1" x14ac:dyDescent="0.25">
      <c r="A228" s="118">
        <v>50</v>
      </c>
      <c r="B228" s="151">
        <v>1610</v>
      </c>
      <c r="C228" s="94" t="s">
        <v>131</v>
      </c>
      <c r="D228" s="122"/>
      <c r="E228" s="108"/>
      <c r="F228" s="98"/>
      <c r="G228" s="435"/>
      <c r="H228" s="98"/>
      <c r="I228" s="435"/>
      <c r="J228" s="98"/>
      <c r="K228" s="98"/>
    </row>
    <row r="229" spans="1:11" s="285" customFormat="1" hidden="1" x14ac:dyDescent="0.25">
      <c r="A229" s="118">
        <v>50</v>
      </c>
      <c r="B229" s="151">
        <v>1615</v>
      </c>
      <c r="C229" s="94" t="s">
        <v>182</v>
      </c>
      <c r="D229" s="122"/>
      <c r="E229" s="108"/>
      <c r="F229" s="98"/>
      <c r="G229" s="435"/>
      <c r="H229" s="98"/>
      <c r="I229" s="435"/>
      <c r="J229" s="98"/>
      <c r="K229" s="98"/>
    </row>
    <row r="230" spans="1:11" s="285" customFormat="1" hidden="1" x14ac:dyDescent="0.25">
      <c r="A230" s="118">
        <v>50</v>
      </c>
      <c r="B230" s="151">
        <v>1620</v>
      </c>
      <c r="C230" s="94" t="s">
        <v>255</v>
      </c>
      <c r="D230" s="122"/>
      <c r="E230" s="108"/>
      <c r="F230" s="98"/>
      <c r="G230" s="435"/>
      <c r="H230" s="98"/>
      <c r="I230" s="435"/>
      <c r="J230" s="98"/>
      <c r="K230" s="98"/>
    </row>
    <row r="231" spans="1:11" s="285" customFormat="1" hidden="1" x14ac:dyDescent="0.25">
      <c r="A231" s="118">
        <v>50</v>
      </c>
      <c r="B231" s="151">
        <v>1625</v>
      </c>
      <c r="C231" s="94" t="s">
        <v>108</v>
      </c>
      <c r="D231" s="122"/>
      <c r="E231" s="108"/>
      <c r="F231" s="98"/>
      <c r="G231" s="435"/>
      <c r="H231" s="98"/>
      <c r="I231" s="435"/>
      <c r="J231" s="98"/>
      <c r="K231" s="98"/>
    </row>
    <row r="232" spans="1:11" s="285" customFormat="1" hidden="1" x14ac:dyDescent="0.25">
      <c r="A232" s="118">
        <v>50</v>
      </c>
      <c r="B232" s="151">
        <v>1630</v>
      </c>
      <c r="C232" s="94" t="s">
        <v>76</v>
      </c>
      <c r="D232" s="122"/>
      <c r="E232" s="108"/>
      <c r="F232" s="98"/>
      <c r="G232" s="435"/>
      <c r="H232" s="98"/>
      <c r="I232" s="435"/>
      <c r="J232" s="98"/>
      <c r="K232" s="98"/>
    </row>
    <row r="233" spans="1:11" s="285" customFormat="1" hidden="1" x14ac:dyDescent="0.25">
      <c r="A233" s="118">
        <v>50</v>
      </c>
      <c r="B233" s="151">
        <v>1635</v>
      </c>
      <c r="C233" s="94" t="s">
        <v>180</v>
      </c>
      <c r="D233" s="122"/>
      <c r="E233" s="108"/>
      <c r="F233" s="98"/>
      <c r="G233" s="435"/>
      <c r="H233" s="98"/>
      <c r="I233" s="435"/>
      <c r="J233" s="98"/>
      <c r="K233" s="98"/>
    </row>
    <row r="234" spans="1:11" s="285" customFormat="1" hidden="1" x14ac:dyDescent="0.25">
      <c r="A234" s="118">
        <v>50</v>
      </c>
      <c r="B234" s="151">
        <v>1640</v>
      </c>
      <c r="C234" s="94" t="s">
        <v>184</v>
      </c>
      <c r="D234" s="122"/>
      <c r="E234" s="108"/>
      <c r="F234" s="98"/>
      <c r="G234" s="435"/>
      <c r="H234" s="98"/>
      <c r="I234" s="435"/>
      <c r="J234" s="98"/>
      <c r="K234" s="98"/>
    </row>
    <row r="235" spans="1:11" s="285" customFormat="1" hidden="1" x14ac:dyDescent="0.25">
      <c r="A235" s="118">
        <v>50</v>
      </c>
      <c r="B235" s="151">
        <v>1645</v>
      </c>
      <c r="C235" s="94" t="s">
        <v>77</v>
      </c>
      <c r="D235" s="122"/>
      <c r="E235" s="108"/>
      <c r="F235" s="98"/>
      <c r="G235" s="435"/>
      <c r="H235" s="98"/>
      <c r="I235" s="435"/>
      <c r="J235" s="98"/>
      <c r="K235" s="98"/>
    </row>
    <row r="236" spans="1:11" s="285" customFormat="1" hidden="1" x14ac:dyDescent="0.25">
      <c r="A236" s="118">
        <v>50</v>
      </c>
      <c r="B236" s="151">
        <v>1650</v>
      </c>
      <c r="C236" s="94" t="s">
        <v>78</v>
      </c>
      <c r="D236" s="122"/>
      <c r="E236" s="108"/>
      <c r="F236" s="98"/>
      <c r="G236" s="435"/>
      <c r="H236" s="98"/>
      <c r="I236" s="435"/>
      <c r="J236" s="98"/>
      <c r="K236" s="98"/>
    </row>
    <row r="237" spans="1:11" s="285" customFormat="1" hidden="1" x14ac:dyDescent="0.25">
      <c r="A237" s="118">
        <v>50</v>
      </c>
      <c r="B237" s="151"/>
      <c r="C237" s="94" t="s">
        <v>200</v>
      </c>
      <c r="D237" s="122"/>
      <c r="E237" s="108"/>
      <c r="F237" s="98"/>
      <c r="G237" s="435"/>
      <c r="H237" s="98"/>
      <c r="I237" s="435"/>
      <c r="J237" s="98"/>
      <c r="K237" s="98"/>
    </row>
    <row r="238" spans="1:11" s="285" customFormat="1" hidden="1" x14ac:dyDescent="0.25">
      <c r="A238" s="118">
        <v>50</v>
      </c>
      <c r="B238" s="151">
        <v>1660</v>
      </c>
      <c r="C238" s="94" t="s">
        <v>185</v>
      </c>
      <c r="D238" s="122"/>
      <c r="E238" s="108"/>
      <c r="F238" s="98"/>
      <c r="G238" s="435"/>
      <c r="H238" s="98"/>
      <c r="I238" s="435"/>
      <c r="J238" s="98"/>
      <c r="K238" s="98"/>
    </row>
    <row r="239" spans="1:11" s="285" customFormat="1" hidden="1" x14ac:dyDescent="0.25">
      <c r="A239" s="118">
        <v>50</v>
      </c>
      <c r="B239" s="151">
        <v>1665</v>
      </c>
      <c r="C239" s="94" t="s">
        <v>181</v>
      </c>
      <c r="D239" s="122"/>
      <c r="E239" s="108"/>
      <c r="F239" s="98"/>
      <c r="G239" s="435"/>
      <c r="H239" s="98"/>
      <c r="I239" s="435"/>
      <c r="J239" s="98"/>
      <c r="K239" s="98"/>
    </row>
    <row r="240" spans="1:11" s="285" customFormat="1" x14ac:dyDescent="0.25">
      <c r="A240" s="344"/>
      <c r="B240" s="151"/>
      <c r="C240" s="94"/>
      <c r="D240" s="436">
        <f t="shared" ref="D240:K240" si="22">SUM(D227:D239)</f>
        <v>13000000</v>
      </c>
      <c r="E240" s="99">
        <f t="shared" si="22"/>
        <v>17000000</v>
      </c>
      <c r="F240" s="436">
        <f t="shared" si="22"/>
        <v>17000000</v>
      </c>
      <c r="G240" s="436">
        <f t="shared" si="22"/>
        <v>17000000</v>
      </c>
      <c r="H240" s="436">
        <f t="shared" si="22"/>
        <v>18667000</v>
      </c>
      <c r="I240" s="436">
        <f t="shared" si="22"/>
        <v>13248150</v>
      </c>
      <c r="J240" s="436">
        <f t="shared" si="22"/>
        <v>11741170</v>
      </c>
      <c r="K240" s="436">
        <f t="shared" si="22"/>
        <v>12521840</v>
      </c>
    </row>
    <row r="241" spans="1:11" s="285" customFormat="1" hidden="1" x14ac:dyDescent="0.25">
      <c r="A241" s="344"/>
      <c r="B241" s="151"/>
      <c r="C241" s="93" t="s">
        <v>79</v>
      </c>
      <c r="D241" s="122"/>
      <c r="E241" s="98"/>
      <c r="F241" s="98"/>
      <c r="G241" s="435"/>
      <c r="H241" s="98"/>
      <c r="I241" s="435"/>
      <c r="J241" s="435"/>
      <c r="K241" s="435"/>
    </row>
    <row r="242" spans="1:11" s="285" customFormat="1" hidden="1" x14ac:dyDescent="0.25">
      <c r="A242" s="118">
        <v>50</v>
      </c>
      <c r="B242" s="151">
        <v>1705</v>
      </c>
      <c r="C242" s="94" t="s">
        <v>123</v>
      </c>
      <c r="D242" s="122">
        <v>0</v>
      </c>
      <c r="E242" s="98"/>
      <c r="F242" s="98"/>
      <c r="G242" s="435"/>
      <c r="H242" s="98"/>
      <c r="I242" s="435"/>
      <c r="J242" s="435"/>
      <c r="K242" s="435"/>
    </row>
    <row r="243" spans="1:11" s="285" customFormat="1" hidden="1" x14ac:dyDescent="0.25">
      <c r="A243" s="118">
        <v>50</v>
      </c>
      <c r="B243" s="151">
        <v>1710</v>
      </c>
      <c r="C243" s="94" t="s">
        <v>242</v>
      </c>
      <c r="D243" s="122">
        <v>0</v>
      </c>
      <c r="E243" s="98"/>
      <c r="F243" s="98"/>
      <c r="G243" s="435"/>
      <c r="H243" s="98"/>
      <c r="I243" s="435"/>
      <c r="J243" s="435"/>
      <c r="K243" s="435"/>
    </row>
    <row r="244" spans="1:11" s="285" customFormat="1" hidden="1" x14ac:dyDescent="0.25">
      <c r="A244" s="118">
        <v>50</v>
      </c>
      <c r="B244" s="151">
        <v>1715</v>
      </c>
      <c r="C244" s="94" t="s">
        <v>183</v>
      </c>
      <c r="D244" s="122">
        <v>0</v>
      </c>
      <c r="E244" s="98"/>
      <c r="F244" s="98"/>
      <c r="G244" s="435"/>
      <c r="H244" s="98"/>
      <c r="I244" s="435"/>
      <c r="J244" s="435"/>
      <c r="K244" s="435"/>
    </row>
    <row r="245" spans="1:11" s="285" customFormat="1" hidden="1" x14ac:dyDescent="0.25">
      <c r="A245" s="118">
        <v>50</v>
      </c>
      <c r="B245" s="151">
        <v>1720</v>
      </c>
      <c r="C245" s="94" t="s">
        <v>103</v>
      </c>
      <c r="D245" s="122">
        <v>0</v>
      </c>
      <c r="E245" s="98"/>
      <c r="F245" s="98"/>
      <c r="G245" s="435"/>
      <c r="H245" s="98"/>
      <c r="I245" s="435"/>
      <c r="J245" s="435"/>
      <c r="K245" s="435"/>
    </row>
    <row r="246" spans="1:11" s="285" customFormat="1" hidden="1" x14ac:dyDescent="0.25">
      <c r="A246" s="118">
        <v>50</v>
      </c>
      <c r="B246" s="151">
        <v>1725</v>
      </c>
      <c r="C246" s="94" t="s">
        <v>107</v>
      </c>
      <c r="D246" s="122">
        <v>0</v>
      </c>
      <c r="E246" s="98"/>
      <c r="F246" s="98"/>
      <c r="G246" s="435"/>
      <c r="H246" s="98"/>
      <c r="I246" s="435"/>
      <c r="J246" s="435"/>
      <c r="K246" s="435"/>
    </row>
    <row r="247" spans="1:11" s="285" customFormat="1" hidden="1" x14ac:dyDescent="0.25">
      <c r="A247" s="118">
        <v>50</v>
      </c>
      <c r="B247" s="151">
        <v>1730</v>
      </c>
      <c r="C247" s="94" t="s">
        <v>256</v>
      </c>
      <c r="D247" s="122">
        <v>0</v>
      </c>
      <c r="E247" s="98"/>
      <c r="F247" s="98"/>
      <c r="G247" s="435"/>
      <c r="H247" s="98"/>
      <c r="I247" s="435"/>
      <c r="J247" s="435"/>
      <c r="K247" s="435"/>
    </row>
    <row r="248" spans="1:11" s="285" customFormat="1" hidden="1" x14ac:dyDescent="0.25">
      <c r="A248" s="344"/>
      <c r="B248" s="151"/>
      <c r="C248" s="94"/>
      <c r="D248" s="99">
        <v>0</v>
      </c>
      <c r="E248" s="99">
        <f>SUM(E242:E247)</f>
        <v>0</v>
      </c>
      <c r="F248" s="99">
        <f>SUM(F242:F247)</f>
        <v>0</v>
      </c>
      <c r="G248" s="436">
        <v>0</v>
      </c>
      <c r="H248" s="99">
        <f>SUM(H242:H247)</f>
        <v>0</v>
      </c>
      <c r="I248" s="436">
        <f>SUM(I242:I247)</f>
        <v>0</v>
      </c>
      <c r="J248" s="436">
        <f>SUM(J242:J247)</f>
        <v>0</v>
      </c>
      <c r="K248" s="436">
        <f>SUM(K242:K247)</f>
        <v>0</v>
      </c>
    </row>
    <row r="249" spans="1:11" s="285" customFormat="1" hidden="1" x14ac:dyDescent="0.25">
      <c r="A249" s="344"/>
      <c r="B249" s="151"/>
      <c r="C249" s="93" t="s">
        <v>80</v>
      </c>
      <c r="D249" s="122"/>
      <c r="E249" s="98"/>
      <c r="F249" s="98"/>
      <c r="G249" s="435"/>
      <c r="H249" s="98"/>
      <c r="I249" s="435"/>
      <c r="J249" s="435"/>
      <c r="K249" s="435"/>
    </row>
    <row r="250" spans="1:11" s="285" customFormat="1" hidden="1" x14ac:dyDescent="0.25">
      <c r="A250" s="118">
        <v>50</v>
      </c>
      <c r="B250" s="151">
        <v>1805</v>
      </c>
      <c r="C250" s="94" t="s">
        <v>81</v>
      </c>
      <c r="D250" s="122">
        <v>0</v>
      </c>
      <c r="E250" s="108"/>
      <c r="F250" s="108"/>
      <c r="G250" s="425"/>
      <c r="H250" s="108"/>
      <c r="I250" s="425"/>
      <c r="J250" s="425"/>
      <c r="K250" s="425"/>
    </row>
    <row r="251" spans="1:11" s="285" customFormat="1" hidden="1" x14ac:dyDescent="0.25">
      <c r="A251" s="344"/>
      <c r="B251" s="151"/>
      <c r="C251" s="94"/>
      <c r="D251" s="99">
        <v>0</v>
      </c>
      <c r="E251" s="99">
        <f>E250</f>
        <v>0</v>
      </c>
      <c r="F251" s="99">
        <f>F250</f>
        <v>0</v>
      </c>
      <c r="G251" s="436"/>
      <c r="H251" s="99">
        <f>H250</f>
        <v>0</v>
      </c>
      <c r="I251" s="436">
        <f>I250</f>
        <v>0</v>
      </c>
      <c r="J251" s="436">
        <f>J250</f>
        <v>0</v>
      </c>
      <c r="K251" s="436">
        <f>K250</f>
        <v>0</v>
      </c>
    </row>
    <row r="252" spans="1:11" s="285" customFormat="1" x14ac:dyDescent="0.25">
      <c r="A252" s="344"/>
      <c r="B252" s="346"/>
      <c r="C252" s="93" t="s">
        <v>192</v>
      </c>
      <c r="D252" s="117">
        <v>37826287.858900003</v>
      </c>
      <c r="E252" s="117">
        <f>SUM(E171:E251)/2</f>
        <v>43813259.487612009</v>
      </c>
      <c r="F252" s="117">
        <f>SUM(F171:F251)/2</f>
        <v>39813259.487612009</v>
      </c>
      <c r="G252" s="442">
        <v>39813260.487612009</v>
      </c>
      <c r="H252" s="117">
        <f>SUM(H171:H251)/2</f>
        <v>43761585.436373211</v>
      </c>
      <c r="I252" s="442">
        <f>SUM(I171:I251)/2</f>
        <v>44438838.665850498</v>
      </c>
      <c r="J252" s="442">
        <f>SUM(J171:J251)/2</f>
        <v>44647346.542472273</v>
      </c>
      <c r="K252" s="442">
        <f>SUM(K171:K251)/2</f>
        <v>47172043.899223298</v>
      </c>
    </row>
    <row r="253" spans="1:11" s="285" customFormat="1" hidden="1" x14ac:dyDescent="0.25">
      <c r="A253" s="344"/>
      <c r="B253" s="151"/>
      <c r="C253" s="94"/>
      <c r="D253" s="117"/>
      <c r="E253" s="117"/>
      <c r="F253" s="117"/>
      <c r="G253" s="442"/>
      <c r="H253" s="117"/>
      <c r="I253" s="442"/>
      <c r="J253" s="442"/>
      <c r="K253" s="442"/>
    </row>
    <row r="254" spans="1:11" s="285" customFormat="1" hidden="1" x14ac:dyDescent="0.25">
      <c r="A254" s="344"/>
      <c r="B254" s="151"/>
      <c r="C254" s="145" t="s">
        <v>193</v>
      </c>
      <c r="D254" s="124"/>
      <c r="E254" s="146"/>
      <c r="F254" s="146"/>
      <c r="G254" s="146"/>
      <c r="H254" s="146"/>
      <c r="I254" s="146"/>
      <c r="J254" s="146"/>
      <c r="K254" s="146"/>
    </row>
    <row r="255" spans="1:11" s="285" customFormat="1" hidden="1" x14ac:dyDescent="0.25">
      <c r="A255" s="118">
        <v>50</v>
      </c>
      <c r="B255" s="151">
        <v>1905</v>
      </c>
      <c r="C255" s="118" t="s">
        <v>194</v>
      </c>
      <c r="D255" s="127">
        <v>0</v>
      </c>
      <c r="E255" s="147"/>
      <c r="F255" s="147"/>
      <c r="G255" s="147"/>
      <c r="H255" s="147"/>
      <c r="I255" s="147"/>
      <c r="J255" s="147"/>
      <c r="K255" s="147"/>
    </row>
    <row r="256" spans="1:11" s="285" customFormat="1" hidden="1" x14ac:dyDescent="0.25">
      <c r="A256" s="344"/>
      <c r="B256" s="151"/>
      <c r="C256" s="94"/>
      <c r="D256" s="117">
        <v>0</v>
      </c>
      <c r="E256" s="117">
        <f>SUM(E255)</f>
        <v>0</v>
      </c>
      <c r="F256" s="117">
        <f>SUM(F255)</f>
        <v>0</v>
      </c>
      <c r="G256" s="442">
        <v>0</v>
      </c>
      <c r="H256" s="117">
        <f>SUM(H255)</f>
        <v>0</v>
      </c>
      <c r="I256" s="442">
        <f>SUM(I255)</f>
        <v>0</v>
      </c>
      <c r="J256" s="442">
        <f>SUM(J255)</f>
        <v>0</v>
      </c>
      <c r="K256" s="442">
        <f>SUM(K255)</f>
        <v>0</v>
      </c>
    </row>
    <row r="257" spans="1:11" s="285" customFormat="1" x14ac:dyDescent="0.25">
      <c r="A257" s="344"/>
      <c r="B257" s="151"/>
      <c r="C257" s="93" t="s">
        <v>189</v>
      </c>
      <c r="D257" s="117">
        <v>37826287.858900003</v>
      </c>
      <c r="E257" s="117">
        <f>E252+E256</f>
        <v>43813259.487612009</v>
      </c>
      <c r="F257" s="117">
        <f>F252+F256</f>
        <v>39813259.487612009</v>
      </c>
      <c r="G257" s="442">
        <v>39813260.487612009</v>
      </c>
      <c r="H257" s="117">
        <f>H252+H256</f>
        <v>43761585.436373211</v>
      </c>
      <c r="I257" s="442">
        <f>I252+I256</f>
        <v>44438838.665850498</v>
      </c>
      <c r="J257" s="442">
        <f>J252+J256</f>
        <v>44647346.542472273</v>
      </c>
      <c r="K257" s="442">
        <f>K252+K256</f>
        <v>47172043.899223298</v>
      </c>
    </row>
    <row r="258" spans="1:11" s="285" customFormat="1" hidden="1" x14ac:dyDescent="0.25">
      <c r="A258" s="344"/>
      <c r="B258" s="151"/>
      <c r="C258" s="145" t="s">
        <v>195</v>
      </c>
      <c r="D258" s="124"/>
      <c r="E258" s="148"/>
      <c r="F258" s="148"/>
      <c r="G258" s="148"/>
      <c r="H258" s="148"/>
      <c r="I258" s="148"/>
      <c r="J258" s="148"/>
      <c r="K258" s="148"/>
    </row>
    <row r="259" spans="1:11" s="285" customFormat="1" hidden="1" x14ac:dyDescent="0.25">
      <c r="A259" s="118">
        <v>50</v>
      </c>
      <c r="B259" s="151">
        <v>1950</v>
      </c>
      <c r="C259" s="118" t="s">
        <v>196</v>
      </c>
      <c r="D259" s="127">
        <v>0</v>
      </c>
      <c r="E259" s="147"/>
      <c r="F259" s="147"/>
      <c r="G259" s="147"/>
      <c r="H259" s="147"/>
      <c r="I259" s="147"/>
      <c r="J259" s="147"/>
      <c r="K259" s="147"/>
    </row>
    <row r="260" spans="1:11" s="285" customFormat="1" hidden="1" x14ac:dyDescent="0.25">
      <c r="A260" s="344"/>
      <c r="B260" s="346"/>
      <c r="C260" s="94"/>
      <c r="D260" s="124">
        <v>0</v>
      </c>
      <c r="E260" s="124">
        <f>E259</f>
        <v>0</v>
      </c>
      <c r="F260" s="124">
        <f>F259</f>
        <v>0</v>
      </c>
      <c r="G260" s="445">
        <v>0</v>
      </c>
      <c r="H260" s="124">
        <f>H259</f>
        <v>0</v>
      </c>
      <c r="I260" s="445">
        <f>I259</f>
        <v>0</v>
      </c>
      <c r="J260" s="445">
        <f>J259</f>
        <v>0</v>
      </c>
      <c r="K260" s="445">
        <f>K259</f>
        <v>0</v>
      </c>
    </row>
    <row r="261" spans="1:11" s="285" customFormat="1" x14ac:dyDescent="0.25">
      <c r="A261" s="348"/>
      <c r="B261" s="351"/>
      <c r="C261" s="93" t="s">
        <v>197</v>
      </c>
      <c r="D261" s="448">
        <f t="shared" ref="D261:K261" si="23">D257+D260</f>
        <v>37826287.858900003</v>
      </c>
      <c r="E261" s="160">
        <f t="shared" si="23"/>
        <v>43813259.487612009</v>
      </c>
      <c r="F261" s="160">
        <f t="shared" si="23"/>
        <v>39813259.487612009</v>
      </c>
      <c r="G261" s="448">
        <f t="shared" si="23"/>
        <v>39813260.487612009</v>
      </c>
      <c r="H261" s="160">
        <f t="shared" si="23"/>
        <v>43761585.436373211</v>
      </c>
      <c r="I261" s="448">
        <f t="shared" si="23"/>
        <v>44438838.665850498</v>
      </c>
      <c r="J261" s="448">
        <f t="shared" si="23"/>
        <v>44647346.542472273</v>
      </c>
      <c r="K261" s="448">
        <f t="shared" si="23"/>
        <v>47172043.899223298</v>
      </c>
    </row>
    <row r="262" spans="1:11" s="285" customFormat="1" x14ac:dyDescent="0.25">
      <c r="A262" s="349"/>
      <c r="B262" s="154"/>
      <c r="C262" s="126" t="s">
        <v>82</v>
      </c>
      <c r="D262" s="449">
        <f t="shared" ref="D262:K262" si="24">D261-D165</f>
        <v>10756432.442900002</v>
      </c>
      <c r="E262" s="161">
        <f t="shared" si="24"/>
        <v>9202125.0276120082</v>
      </c>
      <c r="F262" s="449">
        <f t="shared" si="24"/>
        <v>1065257.0276120082</v>
      </c>
      <c r="G262" s="449">
        <f t="shared" si="24"/>
        <v>1065256.0276120082</v>
      </c>
      <c r="H262" s="449">
        <f t="shared" si="24"/>
        <v>1298866.58637321</v>
      </c>
      <c r="I262" s="449">
        <f t="shared" si="24"/>
        <v>-24180356.738549508</v>
      </c>
      <c r="J262" s="449">
        <f t="shared" si="24"/>
        <v>-280495.64416972548</v>
      </c>
      <c r="K262" s="449">
        <f t="shared" si="24"/>
        <v>-136973.92331072688</v>
      </c>
    </row>
    <row r="263" spans="1:11" s="285" customFormat="1" x14ac:dyDescent="0.25">
      <c r="A263" s="284"/>
      <c r="B263" s="352"/>
      <c r="G263" s="468"/>
      <c r="I263" s="468"/>
    </row>
    <row r="264" spans="1:11" s="285" customFormat="1" x14ac:dyDescent="0.25">
      <c r="A264" s="284"/>
      <c r="B264" s="352"/>
      <c r="G264" s="468"/>
      <c r="I264" s="468"/>
    </row>
    <row r="265" spans="1:11" s="285" customFormat="1" ht="18.75" customHeight="1" x14ac:dyDescent="0.25">
      <c r="B265" s="352"/>
      <c r="F265" s="353"/>
      <c r="G265" s="353"/>
      <c r="H265" s="353"/>
      <c r="I265" s="353"/>
      <c r="J265" s="353"/>
      <c r="K265" s="343"/>
    </row>
    <row r="266" spans="1:11" s="285" customFormat="1" x14ac:dyDescent="0.25">
      <c r="B266" s="352"/>
      <c r="E266" s="128"/>
      <c r="F266" s="353"/>
      <c r="G266" s="353"/>
      <c r="H266" s="353"/>
      <c r="I266" s="353"/>
      <c r="J266" s="353"/>
      <c r="K266" s="343"/>
    </row>
    <row r="267" spans="1:11" s="285" customFormat="1" x14ac:dyDescent="0.25">
      <c r="B267" s="352"/>
      <c r="E267" s="128"/>
      <c r="F267" s="353"/>
      <c r="G267" s="353"/>
      <c r="H267" s="353"/>
      <c r="I267" s="353"/>
      <c r="J267" s="353"/>
      <c r="K267" s="343"/>
    </row>
    <row r="268" spans="1:11" s="285" customFormat="1" x14ac:dyDescent="0.25">
      <c r="B268" s="352"/>
      <c r="E268" s="128"/>
      <c r="F268" s="353"/>
      <c r="G268" s="353"/>
      <c r="H268" s="353"/>
      <c r="I268" s="353"/>
      <c r="J268" s="353"/>
      <c r="K268" s="343"/>
    </row>
    <row r="269" spans="1:11" x14ac:dyDescent="0.25">
      <c r="F269" s="101"/>
      <c r="G269" s="438"/>
      <c r="H269" s="101"/>
      <c r="I269" s="438"/>
      <c r="J269" s="101"/>
      <c r="K269" s="101"/>
    </row>
    <row r="270" spans="1:11" x14ac:dyDescent="0.25">
      <c r="F270" s="317"/>
      <c r="G270" s="317"/>
      <c r="H270" s="317"/>
      <c r="I270" s="317"/>
      <c r="J270" s="317"/>
      <c r="K270" s="101"/>
    </row>
  </sheetData>
  <protectedRanges>
    <protectedRange sqref="F265:J268" name="Range3_1"/>
  </protectedRanges>
  <mergeCells count="4">
    <mergeCell ref="A3:C3"/>
    <mergeCell ref="A4:B5"/>
    <mergeCell ref="A169:B170"/>
    <mergeCell ref="A1:K1"/>
  </mergeCells>
  <phoneticPr fontId="0" type="noConversion"/>
  <conditionalFormatting sqref="F265:J268">
    <cfRule type="cellIs" dxfId="2" priority="1" stopIfTrue="1" operator="equal">
      <formula>"Type here"</formula>
    </cfRule>
    <cfRule type="cellIs" dxfId="1" priority="2" stopIfTrue="1" operator="equal">
      <formula>0</formula>
    </cfRule>
    <cfRule type="cellIs" dxfId="0" priority="3" stopIfTrue="1" operator="notEqual">
      <formula>0</formula>
    </cfRule>
  </conditionalFormatting>
  <pageMargins left="0.74803149606299213" right="0.74803149606299213" top="0.98425196850393704" bottom="0.98425196850393704" header="0.51181102362204722" footer="0.51181102362204722"/>
  <pageSetup paperSize="9" scale="52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/>
  <dimension ref="A1:G105"/>
  <sheetViews>
    <sheetView topLeftCell="A91" workbookViewId="0">
      <selection sqref="A1:F105"/>
    </sheetView>
  </sheetViews>
  <sheetFormatPr defaultRowHeight="13.2" x14ac:dyDescent="0.25"/>
  <cols>
    <col min="1" max="1" width="108" customWidth="1"/>
    <col min="2" max="2" width="15.44140625" style="283" customWidth="1"/>
    <col min="3" max="3" width="16" style="283" customWidth="1"/>
    <col min="4" max="4" width="13.33203125" style="283" customWidth="1"/>
    <col min="5" max="5" width="15.109375" style="282" customWidth="1"/>
    <col min="6" max="6" width="33.109375" customWidth="1"/>
  </cols>
  <sheetData>
    <row r="1" spans="1:7" x14ac:dyDescent="0.25">
      <c r="A1" s="287" t="s">
        <v>496</v>
      </c>
      <c r="B1" s="288" t="s">
        <v>422</v>
      </c>
      <c r="C1" s="288" t="s">
        <v>422</v>
      </c>
      <c r="D1" s="288" t="s">
        <v>422</v>
      </c>
      <c r="E1" s="289" t="s">
        <v>421</v>
      </c>
      <c r="F1" s="288" t="s">
        <v>495</v>
      </c>
    </row>
    <row r="2" spans="1:7" x14ac:dyDescent="0.25">
      <c r="A2" s="290"/>
      <c r="B2" s="291"/>
      <c r="C2" s="291"/>
      <c r="D2" s="291"/>
      <c r="E2" s="292"/>
      <c r="F2" s="290"/>
    </row>
    <row r="3" spans="1:7" x14ac:dyDescent="0.25">
      <c r="A3" s="293" t="s">
        <v>250</v>
      </c>
      <c r="B3" s="291"/>
      <c r="C3" s="291"/>
      <c r="D3" s="291"/>
      <c r="E3" s="292"/>
      <c r="F3" s="290"/>
    </row>
    <row r="4" spans="1:7" ht="12" customHeight="1" x14ac:dyDescent="0.45">
      <c r="A4" s="294" t="s">
        <v>417</v>
      </c>
      <c r="B4" s="295">
        <v>41455</v>
      </c>
      <c r="C4" s="295"/>
      <c r="D4" s="295"/>
      <c r="E4" s="292"/>
      <c r="F4" s="290"/>
      <c r="G4" s="281"/>
    </row>
    <row r="5" spans="1:7" ht="13.8" x14ac:dyDescent="0.3">
      <c r="A5" s="294" t="s">
        <v>423</v>
      </c>
      <c r="B5" s="291"/>
      <c r="C5" s="295">
        <v>41820</v>
      </c>
      <c r="D5" s="295"/>
      <c r="E5" s="292"/>
      <c r="F5" s="290"/>
    </row>
    <row r="6" spans="1:7" ht="13.8" x14ac:dyDescent="0.3">
      <c r="A6" s="294" t="s">
        <v>418</v>
      </c>
      <c r="B6" s="296"/>
      <c r="C6" s="296"/>
      <c r="D6" s="296"/>
      <c r="E6" s="292"/>
      <c r="F6" s="290"/>
    </row>
    <row r="7" spans="1:7" ht="13.8" x14ac:dyDescent="0.25">
      <c r="A7" s="297" t="s">
        <v>420</v>
      </c>
      <c r="B7" s="296"/>
      <c r="C7" s="296"/>
      <c r="D7" s="296"/>
      <c r="E7" s="292"/>
      <c r="F7" s="290"/>
    </row>
    <row r="8" spans="1:7" ht="13.8" x14ac:dyDescent="0.3">
      <c r="A8" s="294" t="s">
        <v>419</v>
      </c>
      <c r="B8" s="296"/>
      <c r="C8" s="296"/>
      <c r="D8" s="296"/>
      <c r="E8" s="292"/>
      <c r="F8" s="290"/>
    </row>
    <row r="9" spans="1:7" ht="13.8" x14ac:dyDescent="0.25">
      <c r="A9" s="297" t="s">
        <v>424</v>
      </c>
      <c r="B9" s="296"/>
      <c r="C9" s="296"/>
      <c r="D9" s="296"/>
      <c r="E9" s="292"/>
      <c r="F9" s="290"/>
    </row>
    <row r="10" spans="1:7" ht="13.8" x14ac:dyDescent="0.25">
      <c r="A10" s="297" t="s">
        <v>425</v>
      </c>
      <c r="B10" s="296"/>
      <c r="C10" s="296"/>
      <c r="D10" s="296"/>
      <c r="E10" s="292"/>
      <c r="F10" s="290"/>
    </row>
    <row r="11" spans="1:7" ht="13.8" x14ac:dyDescent="0.25">
      <c r="A11" s="297" t="s">
        <v>426</v>
      </c>
      <c r="B11" s="296"/>
      <c r="C11" s="296"/>
      <c r="D11" s="296"/>
      <c r="E11" s="292"/>
      <c r="F11" s="290"/>
    </row>
    <row r="12" spans="1:7" ht="13.8" x14ac:dyDescent="0.25">
      <c r="A12" s="297" t="s">
        <v>427</v>
      </c>
      <c r="B12" s="296"/>
      <c r="C12" s="296"/>
      <c r="D12" s="296"/>
      <c r="E12" s="292"/>
      <c r="F12" s="290"/>
    </row>
    <row r="13" spans="1:7" ht="13.8" x14ac:dyDescent="0.25">
      <c r="A13" s="297" t="s">
        <v>428</v>
      </c>
      <c r="B13" s="296"/>
      <c r="C13" s="296"/>
      <c r="D13" s="296"/>
      <c r="E13" s="292"/>
      <c r="F13" s="290"/>
    </row>
    <row r="14" spans="1:7" ht="13.8" x14ac:dyDescent="0.25">
      <c r="A14" s="297" t="s">
        <v>429</v>
      </c>
      <c r="B14" s="296"/>
      <c r="C14" s="296"/>
      <c r="D14" s="296"/>
      <c r="E14" s="292"/>
      <c r="F14" s="290"/>
    </row>
    <row r="15" spans="1:7" ht="13.8" x14ac:dyDescent="0.25">
      <c r="A15" s="297" t="s">
        <v>430</v>
      </c>
      <c r="B15" s="291"/>
      <c r="C15" s="296" t="s">
        <v>382</v>
      </c>
      <c r="D15" s="296"/>
      <c r="E15" s="292"/>
      <c r="F15" s="290"/>
    </row>
    <row r="16" spans="1:7" ht="13.8" x14ac:dyDescent="0.3">
      <c r="A16" s="294" t="s">
        <v>431</v>
      </c>
      <c r="B16" s="291"/>
      <c r="C16" s="291"/>
      <c r="D16" s="291"/>
      <c r="E16" s="292">
        <v>350000</v>
      </c>
      <c r="F16" s="290"/>
    </row>
    <row r="17" spans="1:6" x14ac:dyDescent="0.25">
      <c r="A17" s="287"/>
      <c r="B17" s="291"/>
      <c r="C17" s="291"/>
      <c r="D17" s="291"/>
      <c r="E17" s="292"/>
      <c r="F17" s="290"/>
    </row>
    <row r="18" spans="1:6" ht="15.6" x14ac:dyDescent="0.25">
      <c r="A18" s="298" t="s">
        <v>432</v>
      </c>
      <c r="B18" s="291"/>
      <c r="C18" s="291"/>
      <c r="D18" s="291"/>
      <c r="E18" s="292"/>
      <c r="F18" s="290"/>
    </row>
    <row r="19" spans="1:6" ht="13.8" x14ac:dyDescent="0.3">
      <c r="A19" s="294" t="s">
        <v>433</v>
      </c>
      <c r="B19" s="299">
        <v>41455</v>
      </c>
      <c r="C19" s="299"/>
      <c r="D19" s="299"/>
      <c r="E19" s="292"/>
      <c r="F19" s="290"/>
    </row>
    <row r="20" spans="1:6" ht="13.8" x14ac:dyDescent="0.25">
      <c r="A20" s="297" t="s">
        <v>434</v>
      </c>
      <c r="B20" s="291"/>
      <c r="C20" s="291"/>
      <c r="D20" s="291"/>
      <c r="E20" s="292"/>
      <c r="F20" s="290"/>
    </row>
    <row r="21" spans="1:6" ht="13.8" x14ac:dyDescent="0.25">
      <c r="A21" s="297" t="s">
        <v>437</v>
      </c>
      <c r="B21" s="291"/>
      <c r="C21" s="299">
        <v>41820</v>
      </c>
      <c r="D21" s="299"/>
      <c r="E21" s="292"/>
      <c r="F21" s="290"/>
    </row>
    <row r="22" spans="1:6" ht="13.8" x14ac:dyDescent="0.25">
      <c r="A22" s="297" t="s">
        <v>435</v>
      </c>
      <c r="B22" s="291"/>
      <c r="C22" s="291"/>
      <c r="D22" s="291"/>
      <c r="E22" s="292"/>
      <c r="F22" s="290"/>
    </row>
    <row r="23" spans="1:6" ht="13.8" x14ac:dyDescent="0.25">
      <c r="A23" s="297" t="s">
        <v>436</v>
      </c>
      <c r="B23" s="291"/>
      <c r="C23" s="291"/>
      <c r="D23" s="291"/>
      <c r="E23" s="292"/>
      <c r="F23" s="290" t="s">
        <v>497</v>
      </c>
    </row>
    <row r="24" spans="1:6" ht="13.8" x14ac:dyDescent="0.25">
      <c r="A24" s="297" t="s">
        <v>440</v>
      </c>
      <c r="B24" s="291"/>
      <c r="C24" s="299">
        <v>41820</v>
      </c>
      <c r="D24" s="299"/>
      <c r="E24" s="300">
        <v>1700000</v>
      </c>
      <c r="F24" s="290"/>
    </row>
    <row r="25" spans="1:6" ht="13.8" x14ac:dyDescent="0.25">
      <c r="A25" s="297" t="s">
        <v>441</v>
      </c>
      <c r="B25" s="291"/>
      <c r="C25" s="296" t="s">
        <v>382</v>
      </c>
      <c r="D25" s="296"/>
      <c r="E25" s="292">
        <v>26300000</v>
      </c>
      <c r="F25" s="290"/>
    </row>
    <row r="26" spans="1:6" ht="13.8" x14ac:dyDescent="0.25">
      <c r="A26" s="297" t="s">
        <v>438</v>
      </c>
      <c r="B26" s="291"/>
      <c r="C26" s="296" t="s">
        <v>382</v>
      </c>
      <c r="D26" s="296"/>
      <c r="E26" s="292">
        <v>9200000</v>
      </c>
      <c r="F26" s="290"/>
    </row>
    <row r="27" spans="1:6" ht="13.8" x14ac:dyDescent="0.25">
      <c r="A27" s="297" t="s">
        <v>439</v>
      </c>
      <c r="B27" s="291"/>
      <c r="C27" s="291"/>
      <c r="D27" s="291"/>
      <c r="E27" s="292"/>
      <c r="F27" s="290"/>
    </row>
    <row r="28" spans="1:6" ht="13.8" x14ac:dyDescent="0.25">
      <c r="A28" s="297" t="s">
        <v>442</v>
      </c>
      <c r="B28" s="291"/>
      <c r="C28" s="291"/>
      <c r="D28" s="291"/>
      <c r="E28" s="292"/>
      <c r="F28" s="290"/>
    </row>
    <row r="29" spans="1:6" x14ac:dyDescent="0.25">
      <c r="A29" s="290"/>
      <c r="B29" s="291"/>
      <c r="C29" s="291"/>
      <c r="D29" s="291"/>
      <c r="E29" s="292"/>
      <c r="F29" s="290"/>
    </row>
    <row r="30" spans="1:6" x14ac:dyDescent="0.25">
      <c r="A30" s="293" t="s">
        <v>443</v>
      </c>
      <c r="B30" s="291"/>
      <c r="C30" s="291"/>
      <c r="D30" s="291"/>
      <c r="E30" s="292"/>
      <c r="F30" s="290"/>
    </row>
    <row r="31" spans="1:6" ht="13.8" x14ac:dyDescent="0.25">
      <c r="A31" s="297" t="s">
        <v>444</v>
      </c>
      <c r="B31" s="291"/>
      <c r="C31" s="291"/>
      <c r="D31" s="291"/>
      <c r="E31" s="292"/>
      <c r="F31" s="290"/>
    </row>
    <row r="32" spans="1:6" ht="13.8" x14ac:dyDescent="0.25">
      <c r="A32" s="297" t="s">
        <v>450</v>
      </c>
      <c r="B32" s="291"/>
      <c r="C32" s="296" t="s">
        <v>382</v>
      </c>
      <c r="D32" s="296"/>
      <c r="E32" s="292"/>
      <c r="F32" s="290"/>
    </row>
    <row r="33" spans="1:6" ht="13.8" x14ac:dyDescent="0.25">
      <c r="A33" s="297" t="s">
        <v>445</v>
      </c>
      <c r="B33" s="291"/>
      <c r="C33" s="291"/>
      <c r="D33" s="291"/>
      <c r="E33" s="292"/>
      <c r="F33" s="290"/>
    </row>
    <row r="34" spans="1:6" ht="13.8" x14ac:dyDescent="0.25">
      <c r="A34" s="297" t="s">
        <v>446</v>
      </c>
      <c r="B34" s="291"/>
      <c r="C34" s="291"/>
      <c r="D34" s="291"/>
      <c r="E34" s="292"/>
      <c r="F34" s="290"/>
    </row>
    <row r="35" spans="1:6" ht="13.8" x14ac:dyDescent="0.25">
      <c r="A35" s="297" t="s">
        <v>447</v>
      </c>
      <c r="B35" s="291"/>
      <c r="C35" s="291"/>
      <c r="D35" s="291"/>
      <c r="E35" s="292"/>
      <c r="F35" s="290"/>
    </row>
    <row r="36" spans="1:6" ht="13.8" x14ac:dyDescent="0.25">
      <c r="A36" s="297" t="s">
        <v>448</v>
      </c>
      <c r="B36" s="291"/>
      <c r="C36" s="291"/>
      <c r="D36" s="291"/>
      <c r="E36" s="292"/>
      <c r="F36" s="290"/>
    </row>
    <row r="37" spans="1:6" ht="13.8" x14ac:dyDescent="0.25">
      <c r="A37" s="297" t="s">
        <v>449</v>
      </c>
      <c r="B37" s="291"/>
      <c r="C37" s="291"/>
      <c r="D37" s="291"/>
      <c r="E37" s="292"/>
      <c r="F37" s="290"/>
    </row>
    <row r="38" spans="1:6" ht="13.8" x14ac:dyDescent="0.25">
      <c r="A38" s="297" t="s">
        <v>451</v>
      </c>
      <c r="B38" s="291"/>
      <c r="C38" s="291"/>
      <c r="D38" s="291"/>
      <c r="E38" s="292">
        <v>641000</v>
      </c>
      <c r="F38" s="290"/>
    </row>
    <row r="39" spans="1:6" ht="13.8" x14ac:dyDescent="0.25">
      <c r="A39" s="297" t="s">
        <v>452</v>
      </c>
      <c r="B39" s="291"/>
      <c r="C39" s="291"/>
      <c r="D39" s="291"/>
      <c r="E39" s="292"/>
      <c r="F39" s="290"/>
    </row>
    <row r="40" spans="1:6" ht="13.8" x14ac:dyDescent="0.25">
      <c r="A40" s="297" t="s">
        <v>453</v>
      </c>
      <c r="B40" s="291"/>
      <c r="C40" s="291"/>
      <c r="D40" s="291"/>
      <c r="E40" s="292"/>
      <c r="F40" s="290"/>
    </row>
    <row r="41" spans="1:6" ht="13.8" x14ac:dyDescent="0.25">
      <c r="A41" s="297" t="s">
        <v>454</v>
      </c>
      <c r="B41" s="291"/>
      <c r="C41" s="291"/>
      <c r="D41" s="291"/>
      <c r="E41" s="292"/>
      <c r="F41" s="290"/>
    </row>
    <row r="42" spans="1:6" ht="13.8" x14ac:dyDescent="0.25">
      <c r="A42" s="297" t="s">
        <v>461</v>
      </c>
      <c r="B42" s="291"/>
      <c r="C42" s="299">
        <v>41820</v>
      </c>
      <c r="D42" s="299"/>
      <c r="E42" s="292"/>
      <c r="F42" s="290"/>
    </row>
    <row r="43" spans="1:6" ht="13.8" x14ac:dyDescent="0.25">
      <c r="A43" s="297" t="s">
        <v>460</v>
      </c>
      <c r="B43" s="291"/>
      <c r="C43" s="299">
        <v>41820</v>
      </c>
      <c r="D43" s="299"/>
      <c r="E43" s="292">
        <v>87000000</v>
      </c>
      <c r="F43" s="290"/>
    </row>
    <row r="44" spans="1:6" ht="13.8" x14ac:dyDescent="0.25">
      <c r="A44" s="297" t="s">
        <v>456</v>
      </c>
      <c r="B44" s="291"/>
      <c r="C44" s="291"/>
      <c r="D44" s="291"/>
      <c r="E44" s="292"/>
      <c r="F44" s="290"/>
    </row>
    <row r="45" spans="1:6" ht="13.8" x14ac:dyDescent="0.25">
      <c r="A45" s="297" t="s">
        <v>457</v>
      </c>
      <c r="B45" s="291"/>
      <c r="C45" s="291"/>
      <c r="D45" s="291"/>
      <c r="E45" s="292"/>
      <c r="F45" s="290"/>
    </row>
    <row r="46" spans="1:6" ht="13.8" x14ac:dyDescent="0.25">
      <c r="A46" s="297" t="s">
        <v>458</v>
      </c>
      <c r="B46" s="291"/>
      <c r="C46" s="291"/>
      <c r="D46" s="291"/>
      <c r="E46" s="292"/>
      <c r="F46" s="290"/>
    </row>
    <row r="47" spans="1:6" ht="13.8" x14ac:dyDescent="0.25">
      <c r="A47" s="297" t="s">
        <v>459</v>
      </c>
      <c r="B47" s="291"/>
      <c r="C47" s="296" t="s">
        <v>382</v>
      </c>
      <c r="D47" s="296"/>
      <c r="E47" s="292"/>
      <c r="F47" s="290"/>
    </row>
    <row r="48" spans="1:6" x14ac:dyDescent="0.25">
      <c r="A48" s="290"/>
      <c r="B48" s="291"/>
      <c r="C48" s="291"/>
      <c r="D48" s="291"/>
      <c r="E48" s="292"/>
      <c r="F48" s="290"/>
    </row>
    <row r="49" spans="1:6" ht="13.8" x14ac:dyDescent="0.25">
      <c r="A49" s="297" t="s">
        <v>462</v>
      </c>
      <c r="B49" s="291"/>
      <c r="C49" s="291"/>
      <c r="D49" s="291"/>
      <c r="E49" s="292"/>
      <c r="F49" s="290" t="s">
        <v>78</v>
      </c>
    </row>
    <row r="50" spans="1:6" ht="13.8" x14ac:dyDescent="0.25">
      <c r="A50" s="297" t="s">
        <v>463</v>
      </c>
      <c r="B50" s="291"/>
      <c r="C50" s="291"/>
      <c r="D50" s="291"/>
      <c r="E50" s="292"/>
      <c r="F50" s="290" t="s">
        <v>78</v>
      </c>
    </row>
    <row r="51" spans="1:6" ht="13.8" x14ac:dyDescent="0.25">
      <c r="A51" s="297" t="s">
        <v>464</v>
      </c>
      <c r="B51" s="291"/>
      <c r="C51" s="291"/>
      <c r="D51" s="291"/>
      <c r="E51" s="292"/>
      <c r="F51" s="290" t="s">
        <v>78</v>
      </c>
    </row>
    <row r="52" spans="1:6" ht="13.8" x14ac:dyDescent="0.25">
      <c r="A52" s="297" t="s">
        <v>465</v>
      </c>
      <c r="B52" s="291"/>
      <c r="C52" s="291"/>
      <c r="D52" s="291"/>
      <c r="E52" s="292"/>
      <c r="F52" s="290" t="s">
        <v>78</v>
      </c>
    </row>
    <row r="53" spans="1:6" x14ac:dyDescent="0.25">
      <c r="A53" s="290"/>
      <c r="B53" s="291"/>
      <c r="C53" s="291"/>
      <c r="D53" s="291"/>
      <c r="E53" s="292"/>
      <c r="F53" s="290"/>
    </row>
    <row r="54" spans="1:6" ht="15.6" x14ac:dyDescent="0.25">
      <c r="A54" s="298" t="s">
        <v>466</v>
      </c>
      <c r="B54" s="291"/>
      <c r="C54" s="291"/>
      <c r="D54" s="291"/>
      <c r="E54" s="292"/>
      <c r="F54" s="290"/>
    </row>
    <row r="55" spans="1:6" ht="13.8" x14ac:dyDescent="0.25">
      <c r="A55" s="297" t="s">
        <v>444</v>
      </c>
      <c r="B55" s="291"/>
      <c r="C55" s="291"/>
      <c r="D55" s="291"/>
      <c r="E55" s="292"/>
      <c r="F55" s="290"/>
    </row>
    <row r="56" spans="1:6" ht="13.8" x14ac:dyDescent="0.25">
      <c r="A56" s="297" t="s">
        <v>467</v>
      </c>
      <c r="B56" s="291"/>
      <c r="C56" s="296" t="s">
        <v>382</v>
      </c>
      <c r="D56" s="296"/>
      <c r="E56" s="292"/>
      <c r="F56" s="290"/>
    </row>
    <row r="57" spans="1:6" ht="13.8" x14ac:dyDescent="0.25">
      <c r="A57" s="297" t="s">
        <v>445</v>
      </c>
      <c r="B57" s="291"/>
      <c r="C57" s="291"/>
      <c r="D57" s="291"/>
      <c r="E57" s="292"/>
      <c r="F57" s="290"/>
    </row>
    <row r="58" spans="1:6" ht="13.8" x14ac:dyDescent="0.25">
      <c r="A58" s="297" t="s">
        <v>446</v>
      </c>
      <c r="B58" s="299">
        <v>41455</v>
      </c>
      <c r="C58" s="299"/>
      <c r="D58" s="299"/>
      <c r="E58" s="292"/>
      <c r="F58" s="290"/>
    </row>
    <row r="59" spans="1:6" ht="13.8" x14ac:dyDescent="0.25">
      <c r="A59" s="297" t="s">
        <v>448</v>
      </c>
      <c r="B59" s="291"/>
      <c r="C59" s="291"/>
      <c r="D59" s="291"/>
      <c r="E59" s="292"/>
      <c r="F59" s="290"/>
    </row>
    <row r="60" spans="1:6" ht="13.8" x14ac:dyDescent="0.25">
      <c r="A60" s="297" t="s">
        <v>468</v>
      </c>
      <c r="B60" s="291"/>
      <c r="C60" s="291"/>
      <c r="D60" s="291"/>
      <c r="E60" s="292"/>
      <c r="F60" s="290"/>
    </row>
    <row r="61" spans="1:6" ht="13.8" x14ac:dyDescent="0.25">
      <c r="A61" s="297" t="s">
        <v>469</v>
      </c>
      <c r="B61" s="291"/>
      <c r="C61" s="291"/>
      <c r="D61" s="291"/>
      <c r="E61" s="292">
        <v>18100000</v>
      </c>
      <c r="F61" s="290"/>
    </row>
    <row r="62" spans="1:6" ht="13.8" x14ac:dyDescent="0.25">
      <c r="A62" s="297" t="s">
        <v>470</v>
      </c>
      <c r="B62" s="291"/>
      <c r="C62" s="291"/>
      <c r="D62" s="291"/>
      <c r="E62" s="292">
        <v>1500000</v>
      </c>
      <c r="F62" s="290"/>
    </row>
    <row r="63" spans="1:6" ht="13.8" x14ac:dyDescent="0.25">
      <c r="A63" s="297" t="s">
        <v>452</v>
      </c>
      <c r="B63" s="291"/>
      <c r="C63" s="291"/>
      <c r="D63" s="291"/>
      <c r="E63" s="292"/>
      <c r="F63" s="290"/>
    </row>
    <row r="64" spans="1:6" ht="13.8" x14ac:dyDescent="0.25">
      <c r="A64" s="297" t="s">
        <v>453</v>
      </c>
      <c r="B64" s="291"/>
      <c r="C64" s="291"/>
      <c r="D64" s="291"/>
      <c r="E64" s="292"/>
      <c r="F64" s="290" t="s">
        <v>497</v>
      </c>
    </row>
    <row r="65" spans="1:6" ht="13.8" x14ac:dyDescent="0.25">
      <c r="A65" s="297" t="s">
        <v>471</v>
      </c>
      <c r="B65" s="291"/>
      <c r="C65" s="291"/>
      <c r="D65" s="291"/>
      <c r="E65" s="292"/>
      <c r="F65" s="290"/>
    </row>
    <row r="66" spans="1:6" ht="13.8" x14ac:dyDescent="0.25">
      <c r="A66" s="297" t="s">
        <v>473</v>
      </c>
      <c r="B66" s="291"/>
      <c r="C66" s="296"/>
      <c r="D66" s="296" t="s">
        <v>407</v>
      </c>
      <c r="E66" s="292"/>
      <c r="F66" s="290"/>
    </row>
    <row r="67" spans="1:6" ht="13.8" x14ac:dyDescent="0.25">
      <c r="A67" s="297" t="s">
        <v>460</v>
      </c>
      <c r="B67" s="291"/>
      <c r="C67" s="299">
        <v>41820</v>
      </c>
      <c r="D67" s="299"/>
      <c r="E67" s="292">
        <v>87000000</v>
      </c>
      <c r="F67" s="290"/>
    </row>
    <row r="68" spans="1:6" ht="13.8" x14ac:dyDescent="0.25">
      <c r="A68" s="297" t="s">
        <v>456</v>
      </c>
      <c r="B68" s="291"/>
      <c r="C68" s="291"/>
      <c r="D68" s="291"/>
      <c r="E68" s="292"/>
      <c r="F68" s="290"/>
    </row>
    <row r="69" spans="1:6" ht="13.8" x14ac:dyDescent="0.25">
      <c r="A69" s="297" t="s">
        <v>457</v>
      </c>
      <c r="B69" s="291"/>
      <c r="C69" s="291"/>
      <c r="D69" s="291"/>
      <c r="E69" s="292"/>
      <c r="F69" s="290"/>
    </row>
    <row r="70" spans="1:6" ht="13.8" x14ac:dyDescent="0.25">
      <c r="A70" s="297" t="s">
        <v>458</v>
      </c>
      <c r="B70" s="291"/>
      <c r="C70" s="291"/>
      <c r="D70" s="291"/>
      <c r="E70" s="292"/>
      <c r="F70" s="290"/>
    </row>
    <row r="71" spans="1:6" ht="13.8" x14ac:dyDescent="0.25">
      <c r="A71" s="297" t="s">
        <v>472</v>
      </c>
      <c r="B71" s="291"/>
      <c r="C71" s="291"/>
      <c r="D71" s="291"/>
      <c r="E71" s="292"/>
      <c r="F71" s="290"/>
    </row>
    <row r="72" spans="1:6" x14ac:dyDescent="0.25">
      <c r="A72" s="290"/>
      <c r="B72" s="291"/>
      <c r="C72" s="291"/>
      <c r="D72" s="291"/>
      <c r="E72" s="292"/>
      <c r="F72" s="290"/>
    </row>
    <row r="73" spans="1:6" ht="15" x14ac:dyDescent="0.25">
      <c r="A73" s="297" t="s">
        <v>474</v>
      </c>
      <c r="B73" s="291"/>
      <c r="C73" s="291"/>
      <c r="D73" s="291"/>
      <c r="E73" s="292"/>
      <c r="F73" s="290" t="s">
        <v>78</v>
      </c>
    </row>
    <row r="74" spans="1:6" ht="13.8" x14ac:dyDescent="0.25">
      <c r="A74" s="297" t="s">
        <v>475</v>
      </c>
      <c r="B74" s="291"/>
      <c r="C74" s="291"/>
      <c r="D74" s="291"/>
      <c r="E74" s="292"/>
      <c r="F74" s="290" t="s">
        <v>78</v>
      </c>
    </row>
    <row r="75" spans="1:6" ht="13.8" x14ac:dyDescent="0.25">
      <c r="A75" s="297" t="s">
        <v>476</v>
      </c>
      <c r="B75" s="291"/>
      <c r="C75" s="291"/>
      <c r="D75" s="291"/>
      <c r="E75" s="292"/>
      <c r="F75" s="290" t="s">
        <v>78</v>
      </c>
    </row>
    <row r="76" spans="1:6" ht="13.8" x14ac:dyDescent="0.25">
      <c r="A76" s="297" t="s">
        <v>477</v>
      </c>
      <c r="B76" s="291"/>
      <c r="C76" s="296" t="s">
        <v>382</v>
      </c>
      <c r="D76" s="296"/>
      <c r="E76" s="292"/>
      <c r="F76" s="290" t="s">
        <v>78</v>
      </c>
    </row>
    <row r="77" spans="1:6" ht="13.8" x14ac:dyDescent="0.25">
      <c r="A77" s="297" t="s">
        <v>478</v>
      </c>
      <c r="B77" s="296"/>
      <c r="C77" s="296" t="s">
        <v>382</v>
      </c>
      <c r="D77" s="296" t="s">
        <v>407</v>
      </c>
      <c r="E77" s="292"/>
      <c r="F77" s="290" t="s">
        <v>78</v>
      </c>
    </row>
    <row r="78" spans="1:6" x14ac:dyDescent="0.25">
      <c r="A78" s="290"/>
      <c r="B78" s="291"/>
      <c r="C78" s="291"/>
      <c r="D78" s="291"/>
      <c r="E78" s="292"/>
      <c r="F78" s="290"/>
    </row>
    <row r="79" spans="1:6" ht="15.6" x14ac:dyDescent="0.25">
      <c r="A79" s="298" t="s">
        <v>479</v>
      </c>
      <c r="B79" s="291"/>
      <c r="C79" s="291"/>
      <c r="D79" s="291"/>
      <c r="E79" s="292"/>
      <c r="F79" s="290"/>
    </row>
    <row r="80" spans="1:6" ht="13.8" x14ac:dyDescent="0.25">
      <c r="A80" s="297" t="s">
        <v>480</v>
      </c>
      <c r="B80" s="299">
        <v>41455</v>
      </c>
      <c r="C80" s="299"/>
      <c r="D80" s="299"/>
      <c r="E80" s="292"/>
      <c r="F80" s="290"/>
    </row>
    <row r="81" spans="1:6" ht="13.8" x14ac:dyDescent="0.25">
      <c r="A81" s="297" t="s">
        <v>444</v>
      </c>
      <c r="B81" s="291"/>
      <c r="C81" s="291"/>
      <c r="D81" s="291"/>
      <c r="E81" s="292"/>
      <c r="F81" s="290"/>
    </row>
    <row r="82" spans="1:6" ht="13.8" x14ac:dyDescent="0.25">
      <c r="A82" s="297" t="s">
        <v>467</v>
      </c>
      <c r="B82" s="291"/>
      <c r="C82" s="296" t="s">
        <v>382</v>
      </c>
      <c r="D82" s="296"/>
      <c r="E82" s="292"/>
      <c r="F82" s="290"/>
    </row>
    <row r="83" spans="1:6" ht="13.8" x14ac:dyDescent="0.25">
      <c r="A83" s="297" t="s">
        <v>445</v>
      </c>
      <c r="B83" s="291"/>
      <c r="C83" s="291"/>
      <c r="D83" s="291"/>
      <c r="E83" s="292"/>
      <c r="F83" s="290"/>
    </row>
    <row r="84" spans="1:6" ht="13.8" x14ac:dyDescent="0.25">
      <c r="A84" s="297" t="s">
        <v>446</v>
      </c>
      <c r="B84" s="291"/>
      <c r="C84" s="291"/>
      <c r="D84" s="291"/>
      <c r="E84" s="292"/>
      <c r="F84" s="290"/>
    </row>
    <row r="85" spans="1:6" ht="13.8" x14ac:dyDescent="0.25">
      <c r="A85" s="297" t="s">
        <v>481</v>
      </c>
      <c r="B85" s="291"/>
      <c r="C85" s="291"/>
      <c r="D85" s="291"/>
      <c r="E85" s="292"/>
      <c r="F85" s="290"/>
    </row>
    <row r="86" spans="1:6" ht="13.8" x14ac:dyDescent="0.25">
      <c r="A86" s="297" t="s">
        <v>482</v>
      </c>
      <c r="B86" s="291"/>
      <c r="C86" s="291"/>
      <c r="D86" s="291"/>
      <c r="E86" s="292">
        <v>7400000</v>
      </c>
      <c r="F86" s="290" t="s">
        <v>78</v>
      </c>
    </row>
    <row r="87" spans="1:6" ht="13.8" x14ac:dyDescent="0.25">
      <c r="A87" s="297" t="s">
        <v>483</v>
      </c>
      <c r="B87" s="291"/>
      <c r="C87" s="291"/>
      <c r="D87" s="291"/>
      <c r="E87" s="292">
        <v>1500000</v>
      </c>
      <c r="F87" s="290"/>
    </row>
    <row r="88" spans="1:6" ht="13.8" x14ac:dyDescent="0.25">
      <c r="A88" s="297" t="s">
        <v>484</v>
      </c>
      <c r="B88" s="291"/>
      <c r="C88" s="291"/>
      <c r="D88" s="291"/>
      <c r="E88" s="292">
        <v>641000</v>
      </c>
      <c r="F88" s="290"/>
    </row>
    <row r="89" spans="1:6" ht="13.8" x14ac:dyDescent="0.25">
      <c r="A89" s="297" t="s">
        <v>452</v>
      </c>
      <c r="B89" s="291"/>
      <c r="C89" s="291"/>
      <c r="D89" s="291"/>
      <c r="E89" s="292"/>
      <c r="F89" s="290" t="s">
        <v>498</v>
      </c>
    </row>
    <row r="90" spans="1:6" ht="13.8" x14ac:dyDescent="0.25">
      <c r="A90" s="297" t="s">
        <v>453</v>
      </c>
      <c r="B90" s="291"/>
      <c r="C90" s="291"/>
      <c r="D90" s="291"/>
      <c r="E90" s="292"/>
      <c r="F90" s="290" t="s">
        <v>497</v>
      </c>
    </row>
    <row r="91" spans="1:6" ht="13.8" x14ac:dyDescent="0.25">
      <c r="A91" s="297" t="s">
        <v>471</v>
      </c>
      <c r="B91" s="291"/>
      <c r="C91" s="291"/>
      <c r="D91" s="291"/>
      <c r="E91" s="292"/>
      <c r="F91" s="290"/>
    </row>
    <row r="92" spans="1:6" ht="13.8" x14ac:dyDescent="0.25">
      <c r="A92" s="297" t="s">
        <v>455</v>
      </c>
      <c r="B92" s="291"/>
      <c r="C92" s="299">
        <v>41820</v>
      </c>
      <c r="D92" s="299"/>
      <c r="E92" s="292"/>
      <c r="F92" s="290"/>
    </row>
    <row r="93" spans="1:6" ht="13.8" x14ac:dyDescent="0.25">
      <c r="A93" s="297" t="s">
        <v>456</v>
      </c>
      <c r="B93" s="291"/>
      <c r="C93" s="291"/>
      <c r="D93" s="291"/>
      <c r="E93" s="292"/>
      <c r="F93" s="290"/>
    </row>
    <row r="94" spans="1:6" ht="13.8" x14ac:dyDescent="0.25">
      <c r="A94" s="297" t="s">
        <v>457</v>
      </c>
      <c r="B94" s="291"/>
      <c r="C94" s="291"/>
      <c r="D94" s="291"/>
      <c r="E94" s="292"/>
      <c r="F94" s="290"/>
    </row>
    <row r="95" spans="1:6" ht="13.8" x14ac:dyDescent="0.25">
      <c r="A95" s="297" t="s">
        <v>458</v>
      </c>
      <c r="B95" s="291"/>
      <c r="C95" s="291"/>
      <c r="D95" s="291"/>
      <c r="E95" s="292"/>
      <c r="F95" s="290"/>
    </row>
    <row r="96" spans="1:6" x14ac:dyDescent="0.25">
      <c r="A96" s="290"/>
      <c r="B96" s="291"/>
      <c r="C96" s="291"/>
      <c r="D96" s="291"/>
      <c r="E96" s="292"/>
      <c r="F96" s="290"/>
    </row>
    <row r="97" spans="1:6" ht="13.8" x14ac:dyDescent="0.25">
      <c r="A97" s="297" t="s">
        <v>485</v>
      </c>
      <c r="B97" s="291"/>
      <c r="C97" s="291"/>
      <c r="D97" s="291"/>
      <c r="E97" s="292">
        <v>28500000</v>
      </c>
      <c r="F97" s="290" t="s">
        <v>78</v>
      </c>
    </row>
    <row r="98" spans="1:6" ht="13.8" x14ac:dyDescent="0.25">
      <c r="A98" s="297" t="s">
        <v>486</v>
      </c>
      <c r="B98" s="291"/>
      <c r="C98" s="291"/>
      <c r="D98" s="291"/>
      <c r="E98" s="292">
        <v>14500000</v>
      </c>
      <c r="F98" s="290" t="s">
        <v>78</v>
      </c>
    </row>
    <row r="99" spans="1:6" ht="13.8" x14ac:dyDescent="0.25">
      <c r="A99" s="297" t="s">
        <v>487</v>
      </c>
      <c r="B99" s="291"/>
      <c r="C99" s="291"/>
      <c r="D99" s="291"/>
      <c r="E99" s="292">
        <v>3100000</v>
      </c>
      <c r="F99" s="290" t="s">
        <v>78</v>
      </c>
    </row>
    <row r="100" spans="1:6" ht="13.8" x14ac:dyDescent="0.25">
      <c r="A100" s="297" t="s">
        <v>488</v>
      </c>
      <c r="B100" s="291"/>
      <c r="C100" s="291"/>
      <c r="D100" s="291"/>
      <c r="E100" s="292">
        <v>5900000</v>
      </c>
      <c r="F100" s="290" t="s">
        <v>78</v>
      </c>
    </row>
    <row r="101" spans="1:6" ht="13.8" x14ac:dyDescent="0.25">
      <c r="A101" s="297" t="s">
        <v>489</v>
      </c>
      <c r="B101" s="291"/>
      <c r="C101" s="291"/>
      <c r="D101" s="291"/>
      <c r="E101" s="292">
        <v>7400000</v>
      </c>
      <c r="F101" s="290" t="s">
        <v>78</v>
      </c>
    </row>
    <row r="102" spans="1:6" ht="13.8" x14ac:dyDescent="0.25">
      <c r="A102" s="297" t="s">
        <v>490</v>
      </c>
      <c r="B102" s="291"/>
      <c r="C102" s="291"/>
      <c r="D102" s="291"/>
      <c r="E102" s="292">
        <v>11500000</v>
      </c>
      <c r="F102" s="290" t="s">
        <v>78</v>
      </c>
    </row>
    <row r="103" spans="1:6" ht="13.8" x14ac:dyDescent="0.25">
      <c r="A103" s="297" t="s">
        <v>491</v>
      </c>
      <c r="B103" s="291"/>
      <c r="C103" s="291"/>
      <c r="D103" s="291"/>
      <c r="E103" s="292">
        <v>7400000</v>
      </c>
      <c r="F103" s="290" t="s">
        <v>78</v>
      </c>
    </row>
    <row r="104" spans="1:6" ht="13.8" x14ac:dyDescent="0.25">
      <c r="A104" s="297" t="s">
        <v>492</v>
      </c>
      <c r="B104" s="291"/>
      <c r="C104" s="296"/>
      <c r="D104" s="296" t="s">
        <v>407</v>
      </c>
      <c r="E104" s="292">
        <v>9000000</v>
      </c>
      <c r="F104" s="290" t="s">
        <v>78</v>
      </c>
    </row>
    <row r="105" spans="1:6" ht="13.8" x14ac:dyDescent="0.25">
      <c r="A105" s="297" t="s">
        <v>493</v>
      </c>
      <c r="B105" s="291"/>
      <c r="C105" s="296"/>
      <c r="D105" s="296" t="s">
        <v>407</v>
      </c>
      <c r="E105" s="292">
        <v>24700000</v>
      </c>
      <c r="F105" s="290" t="s">
        <v>78</v>
      </c>
    </row>
  </sheetData>
  <pageMargins left="0.7" right="0.7" top="0.75" bottom="0.75" header="0.3" footer="0.3"/>
  <pageSetup paperSize="9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/>
  <dimension ref="A1:P66"/>
  <sheetViews>
    <sheetView topLeftCell="A16" workbookViewId="0">
      <selection activeCell="R23" sqref="R23"/>
    </sheetView>
  </sheetViews>
  <sheetFormatPr defaultRowHeight="13.2" x14ac:dyDescent="0.25"/>
  <cols>
    <col min="4" max="4" width="19.6640625" customWidth="1"/>
    <col min="5" max="14" width="0" hidden="1" customWidth="1"/>
    <col min="15" max="15" width="17.33203125" customWidth="1"/>
    <col min="16" max="16" width="18.6640625" customWidth="1"/>
  </cols>
  <sheetData>
    <row r="1" spans="1:16" x14ac:dyDescent="0.25">
      <c r="A1" s="961" t="s">
        <v>377</v>
      </c>
      <c r="B1" s="962"/>
      <c r="C1" s="962"/>
      <c r="D1" s="962"/>
      <c r="E1" s="962"/>
      <c r="F1" s="962"/>
      <c r="G1" s="962"/>
      <c r="H1" s="962"/>
      <c r="I1" s="963"/>
      <c r="J1" s="202" t="s">
        <v>378</v>
      </c>
      <c r="K1" s="202" t="s">
        <v>378</v>
      </c>
      <c r="L1" s="257" t="s">
        <v>378</v>
      </c>
      <c r="M1" s="202" t="s">
        <v>378</v>
      </c>
      <c r="N1" s="257" t="s">
        <v>378</v>
      </c>
      <c r="O1" s="257" t="s">
        <v>527</v>
      </c>
      <c r="P1" s="257" t="s">
        <v>527</v>
      </c>
    </row>
    <row r="2" spans="1:16" x14ac:dyDescent="0.25">
      <c r="A2" s="304"/>
      <c r="B2" s="175"/>
      <c r="C2" s="175"/>
      <c r="D2" s="175"/>
      <c r="E2" s="175"/>
      <c r="F2" s="175"/>
      <c r="G2" s="175"/>
      <c r="H2" s="175"/>
      <c r="I2" s="175"/>
      <c r="J2" s="175"/>
      <c r="K2" s="175"/>
      <c r="L2" s="258"/>
      <c r="M2" s="176"/>
      <c r="N2" s="176"/>
      <c r="O2" s="258"/>
      <c r="P2" s="176"/>
    </row>
    <row r="3" spans="1:16" ht="13.8" x14ac:dyDescent="0.3">
      <c r="A3" s="304"/>
      <c r="B3" s="177"/>
      <c r="C3" s="177"/>
      <c r="D3" s="177"/>
      <c r="E3" s="178" t="s">
        <v>28</v>
      </c>
      <c r="F3" s="179"/>
      <c r="G3" s="178" t="s">
        <v>30</v>
      </c>
      <c r="H3" s="179"/>
      <c r="I3" s="178" t="s">
        <v>31</v>
      </c>
      <c r="J3" s="178" t="s">
        <v>32</v>
      </c>
      <c r="K3" s="178" t="s">
        <v>178</v>
      </c>
      <c r="L3" s="259" t="s">
        <v>179</v>
      </c>
      <c r="M3" s="180" t="s">
        <v>240</v>
      </c>
      <c r="N3" s="180" t="s">
        <v>245</v>
      </c>
      <c r="O3" s="259" t="s">
        <v>257</v>
      </c>
      <c r="P3" s="180" t="s">
        <v>382</v>
      </c>
    </row>
    <row r="4" spans="1:16" ht="14.4" thickBot="1" x14ac:dyDescent="0.35">
      <c r="A4" s="305"/>
      <c r="B4" s="181"/>
      <c r="C4" s="181"/>
      <c r="D4" s="181"/>
      <c r="E4" s="182" t="s">
        <v>201</v>
      </c>
      <c r="F4" s="182"/>
      <c r="G4" s="182" t="s">
        <v>201</v>
      </c>
      <c r="H4" s="182"/>
      <c r="I4" s="182" t="s">
        <v>201</v>
      </c>
      <c r="J4" s="182" t="s">
        <v>201</v>
      </c>
      <c r="K4" s="182" t="s">
        <v>201</v>
      </c>
      <c r="L4" s="260" t="s">
        <v>201</v>
      </c>
      <c r="M4" s="183" t="s">
        <v>201</v>
      </c>
      <c r="N4" s="183" t="s">
        <v>201</v>
      </c>
      <c r="O4" s="260" t="s">
        <v>201</v>
      </c>
      <c r="P4" s="183" t="s">
        <v>201</v>
      </c>
    </row>
    <row r="5" spans="1:16" x14ac:dyDescent="0.25">
      <c r="A5" s="201"/>
      <c r="B5" s="303" t="s">
        <v>98</v>
      </c>
      <c r="C5" s="171"/>
      <c r="D5" s="171"/>
      <c r="E5" s="171"/>
      <c r="F5" s="171"/>
      <c r="G5" s="171"/>
      <c r="H5" s="171"/>
      <c r="I5" s="171"/>
      <c r="J5" s="171"/>
      <c r="K5" s="185"/>
      <c r="L5" s="261"/>
      <c r="M5" s="186"/>
      <c r="N5" s="186"/>
      <c r="O5" s="261"/>
      <c r="P5" s="307"/>
    </row>
    <row r="6" spans="1:16" x14ac:dyDescent="0.25">
      <c r="A6" s="301"/>
      <c r="B6" s="171"/>
      <c r="C6" s="171"/>
      <c r="D6" s="171"/>
      <c r="E6" s="171"/>
      <c r="F6" s="171"/>
      <c r="G6" s="171"/>
      <c r="H6" s="171"/>
      <c r="I6" s="171"/>
      <c r="J6" s="171"/>
      <c r="K6" s="171"/>
      <c r="L6" s="262"/>
      <c r="M6" s="141"/>
      <c r="N6" s="141"/>
      <c r="O6" s="262"/>
      <c r="P6" s="141"/>
    </row>
    <row r="7" spans="1:16" x14ac:dyDescent="0.25">
      <c r="A7" s="301"/>
      <c r="B7" s="184" t="s">
        <v>528</v>
      </c>
      <c r="C7" s="171"/>
      <c r="D7" s="171"/>
      <c r="E7" s="171"/>
      <c r="F7" s="171"/>
      <c r="G7" s="171"/>
      <c r="H7" s="171"/>
      <c r="I7" s="171"/>
      <c r="J7" s="188"/>
      <c r="K7" s="188"/>
      <c r="L7" s="262"/>
      <c r="M7" s="141"/>
      <c r="N7" s="141"/>
      <c r="O7" s="309">
        <v>1.2E-2</v>
      </c>
      <c r="P7" s="310">
        <v>1.272E-2</v>
      </c>
    </row>
    <row r="8" spans="1:16" x14ac:dyDescent="0.25">
      <c r="A8" s="301"/>
      <c r="B8" s="171"/>
      <c r="C8" s="171"/>
      <c r="D8" s="171"/>
      <c r="E8" s="169"/>
      <c r="F8" s="170"/>
      <c r="G8" s="169"/>
      <c r="H8" s="170"/>
      <c r="I8" s="169"/>
      <c r="J8" s="143"/>
      <c r="K8" s="143"/>
      <c r="L8" s="263"/>
      <c r="M8" s="139"/>
      <c r="N8" s="139"/>
      <c r="O8" s="263"/>
      <c r="P8" s="139"/>
    </row>
    <row r="9" spans="1:16" x14ac:dyDescent="0.25">
      <c r="A9" s="301"/>
      <c r="B9" s="184" t="s">
        <v>251</v>
      </c>
      <c r="C9" s="115"/>
      <c r="D9" s="171"/>
      <c r="E9" s="169"/>
      <c r="F9" s="170"/>
      <c r="G9" s="169"/>
      <c r="H9" s="170"/>
      <c r="I9" s="169"/>
      <c r="J9" s="143"/>
      <c r="K9" s="143"/>
      <c r="L9" s="263">
        <v>2.4E-2</v>
      </c>
      <c r="M9" s="263">
        <v>2.4E-2</v>
      </c>
      <c r="N9" s="263">
        <v>2.4E-2</v>
      </c>
      <c r="O9" s="309">
        <v>2.4E-2</v>
      </c>
      <c r="P9" s="309">
        <v>2.5440000000000001E-2</v>
      </c>
    </row>
    <row r="10" spans="1:16" x14ac:dyDescent="0.25">
      <c r="A10" s="301"/>
      <c r="B10" s="115"/>
      <c r="C10" s="115"/>
      <c r="D10" s="171"/>
      <c r="E10" s="169"/>
      <c r="F10" s="170"/>
      <c r="G10" s="169"/>
      <c r="H10" s="170"/>
      <c r="I10" s="169"/>
      <c r="J10" s="143"/>
      <c r="K10" s="143"/>
      <c r="L10" s="263"/>
      <c r="M10" s="263"/>
      <c r="N10" s="263"/>
      <c r="O10" s="309"/>
      <c r="P10" s="309"/>
    </row>
    <row r="11" spans="1:16" x14ac:dyDescent="0.25">
      <c r="A11" s="301"/>
      <c r="B11" s="184" t="s">
        <v>248</v>
      </c>
      <c r="C11" s="115"/>
      <c r="D11" s="171"/>
      <c r="E11" s="170"/>
      <c r="F11" s="170"/>
      <c r="G11" s="170"/>
      <c r="H11" s="170"/>
      <c r="I11" s="170"/>
      <c r="J11" s="170"/>
      <c r="K11" s="170"/>
      <c r="L11" s="264">
        <v>2.4E-2</v>
      </c>
      <c r="M11" s="264">
        <v>2.4E-2</v>
      </c>
      <c r="N11" s="264">
        <v>2.4E-2</v>
      </c>
      <c r="O11" s="311">
        <v>2.4E-2</v>
      </c>
      <c r="P11" s="311">
        <v>2.5440000000000001E-2</v>
      </c>
    </row>
    <row r="12" spans="1:16" x14ac:dyDescent="0.25">
      <c r="A12" s="301"/>
      <c r="B12" s="184"/>
      <c r="C12" s="115"/>
      <c r="D12" s="171"/>
      <c r="E12" s="170"/>
      <c r="F12" s="170"/>
      <c r="G12" s="170"/>
      <c r="H12" s="170"/>
      <c r="I12" s="170"/>
      <c r="J12" s="170"/>
      <c r="K12" s="170"/>
      <c r="L12" s="264"/>
      <c r="M12" s="140"/>
      <c r="N12" s="140"/>
      <c r="O12" s="311"/>
      <c r="P12" s="312"/>
    </row>
    <row r="13" spans="1:16" x14ac:dyDescent="0.25">
      <c r="A13" s="301"/>
      <c r="B13" s="184" t="s">
        <v>507</v>
      </c>
      <c r="C13" s="115"/>
      <c r="D13" s="171"/>
      <c r="E13" s="170"/>
      <c r="F13" s="170"/>
      <c r="G13" s="170"/>
      <c r="H13" s="170"/>
      <c r="I13" s="170"/>
      <c r="J13" s="170"/>
      <c r="K13" s="170"/>
      <c r="L13" s="264">
        <f>0.012/4</f>
        <v>3.0000000000000001E-3</v>
      </c>
      <c r="M13" s="140">
        <f>0.013/4</f>
        <v>3.2499999999999999E-3</v>
      </c>
      <c r="N13" s="140">
        <f>0.013/4</f>
        <v>3.2499999999999999E-3</v>
      </c>
      <c r="O13" s="311">
        <f>0.012/4</f>
        <v>3.0000000000000001E-3</v>
      </c>
      <c r="P13" s="312">
        <v>3.1800000000000001E-3</v>
      </c>
    </row>
    <row r="14" spans="1:16" x14ac:dyDescent="0.25">
      <c r="A14" s="301"/>
      <c r="B14" s="187"/>
      <c r="C14" s="171"/>
      <c r="D14" s="171"/>
      <c r="E14" s="170"/>
      <c r="F14" s="170"/>
      <c r="G14" s="170"/>
      <c r="H14" s="170"/>
      <c r="I14" s="170"/>
      <c r="J14" s="170"/>
      <c r="K14" s="170"/>
      <c r="L14" s="264"/>
      <c r="M14" s="140"/>
      <c r="N14" s="140"/>
      <c r="O14" s="311"/>
      <c r="P14" s="312"/>
    </row>
    <row r="15" spans="1:16" x14ac:dyDescent="0.25">
      <c r="A15" s="301"/>
      <c r="B15" s="184" t="s">
        <v>249</v>
      </c>
      <c r="C15" s="171"/>
      <c r="D15" s="171"/>
      <c r="E15" s="170"/>
      <c r="F15" s="170"/>
      <c r="G15" s="170"/>
      <c r="H15" s="170"/>
      <c r="I15" s="170"/>
      <c r="J15" s="170"/>
      <c r="K15" s="170"/>
      <c r="L15" s="264">
        <v>2.4E-2</v>
      </c>
      <c r="M15" s="264">
        <v>2.4E-2</v>
      </c>
      <c r="N15" s="264">
        <v>2.4E-2</v>
      </c>
      <c r="O15" s="311">
        <v>0</v>
      </c>
      <c r="P15" s="311">
        <v>0</v>
      </c>
    </row>
    <row r="16" spans="1:16" ht="13.8" thickBot="1" x14ac:dyDescent="0.3">
      <c r="A16" s="306"/>
      <c r="B16" s="191"/>
      <c r="C16" s="191"/>
      <c r="D16" s="191"/>
      <c r="E16" s="192"/>
      <c r="F16" s="192"/>
      <c r="G16" s="192"/>
      <c r="H16" s="192"/>
      <c r="I16" s="192"/>
      <c r="J16" s="192"/>
      <c r="K16" s="192"/>
      <c r="L16" s="270"/>
      <c r="M16" s="200"/>
      <c r="N16" s="200"/>
      <c r="O16" s="318"/>
      <c r="P16" s="319"/>
    </row>
    <row r="19" spans="1:16" ht="13.8" thickBot="1" x14ac:dyDescent="0.3"/>
    <row r="20" spans="1:16" x14ac:dyDescent="0.25">
      <c r="A20" s="961" t="s">
        <v>377</v>
      </c>
      <c r="B20" s="962"/>
      <c r="C20" s="962"/>
      <c r="D20" s="962"/>
      <c r="E20" s="962"/>
      <c r="F20" s="962"/>
      <c r="G20" s="962"/>
      <c r="H20" s="962"/>
      <c r="I20" s="963"/>
      <c r="J20" s="202" t="s">
        <v>378</v>
      </c>
      <c r="K20" s="202" t="s">
        <v>378</v>
      </c>
      <c r="L20" s="257" t="s">
        <v>378</v>
      </c>
      <c r="M20" s="202" t="s">
        <v>378</v>
      </c>
      <c r="N20" s="257" t="s">
        <v>378</v>
      </c>
      <c r="O20" s="257" t="s">
        <v>527</v>
      </c>
      <c r="P20" s="257" t="s">
        <v>527</v>
      </c>
    </row>
    <row r="21" spans="1:16" x14ac:dyDescent="0.25">
      <c r="A21" s="304"/>
      <c r="B21" s="175"/>
      <c r="C21" s="175"/>
      <c r="D21" s="175"/>
      <c r="E21" s="175"/>
      <c r="F21" s="175"/>
      <c r="G21" s="175"/>
      <c r="H21" s="175"/>
      <c r="I21" s="175"/>
      <c r="J21" s="175"/>
      <c r="K21" s="175"/>
      <c r="L21" s="258"/>
      <c r="M21" s="176"/>
      <c r="N21" s="176"/>
      <c r="O21" s="258"/>
      <c r="P21" s="176"/>
    </row>
    <row r="22" spans="1:16" ht="13.8" x14ac:dyDescent="0.3">
      <c r="A22" s="304"/>
      <c r="B22" s="177"/>
      <c r="C22" s="177"/>
      <c r="D22" s="177"/>
      <c r="E22" s="178" t="s">
        <v>28</v>
      </c>
      <c r="F22" s="179"/>
      <c r="G22" s="178" t="s">
        <v>30</v>
      </c>
      <c r="H22" s="179"/>
      <c r="I22" s="178" t="s">
        <v>31</v>
      </c>
      <c r="J22" s="178" t="s">
        <v>32</v>
      </c>
      <c r="K22" s="178" t="s">
        <v>178</v>
      </c>
      <c r="L22" s="259" t="s">
        <v>179</v>
      </c>
      <c r="M22" s="180" t="s">
        <v>240</v>
      </c>
      <c r="N22" s="180" t="s">
        <v>245</v>
      </c>
      <c r="O22" s="259" t="s">
        <v>257</v>
      </c>
      <c r="P22" s="180" t="s">
        <v>382</v>
      </c>
    </row>
    <row r="23" spans="1:16" ht="14.4" thickBot="1" x14ac:dyDescent="0.35">
      <c r="A23" s="305"/>
      <c r="B23" s="181"/>
      <c r="C23" s="181"/>
      <c r="D23" s="181"/>
      <c r="E23" s="182" t="s">
        <v>201</v>
      </c>
      <c r="F23" s="182"/>
      <c r="G23" s="182" t="s">
        <v>201</v>
      </c>
      <c r="H23" s="182"/>
      <c r="I23" s="182" t="s">
        <v>201</v>
      </c>
      <c r="J23" s="182" t="s">
        <v>201</v>
      </c>
      <c r="K23" s="182" t="s">
        <v>201</v>
      </c>
      <c r="L23" s="260" t="s">
        <v>201</v>
      </c>
      <c r="M23" s="183" t="s">
        <v>201</v>
      </c>
      <c r="N23" s="183" t="s">
        <v>201</v>
      </c>
      <c r="O23" s="260" t="s">
        <v>201</v>
      </c>
      <c r="P23" s="183" t="s">
        <v>201</v>
      </c>
    </row>
    <row r="24" spans="1:16" x14ac:dyDescent="0.25">
      <c r="A24" s="201"/>
      <c r="B24" s="303" t="s">
        <v>122</v>
      </c>
      <c r="C24" s="171"/>
      <c r="D24" s="171"/>
      <c r="E24" s="170"/>
      <c r="F24" s="170"/>
      <c r="G24" s="170"/>
      <c r="H24" s="170"/>
      <c r="I24" s="170"/>
      <c r="J24" s="199"/>
      <c r="K24" s="199"/>
      <c r="L24" s="264"/>
      <c r="M24" s="186"/>
      <c r="N24" s="186"/>
      <c r="O24" s="261"/>
      <c r="P24" s="307"/>
    </row>
    <row r="25" spans="1:16" x14ac:dyDescent="0.25">
      <c r="A25" s="301"/>
      <c r="B25" s="171"/>
      <c r="C25" s="171"/>
      <c r="D25" s="171"/>
      <c r="E25" s="170"/>
      <c r="F25" s="170"/>
      <c r="G25" s="170"/>
      <c r="H25" s="170"/>
      <c r="I25" s="170"/>
      <c r="J25" s="199"/>
      <c r="K25" s="199"/>
      <c r="L25" s="264"/>
      <c r="M25" s="140"/>
      <c r="N25" s="140"/>
      <c r="O25" s="264"/>
      <c r="P25" s="140"/>
    </row>
    <row r="26" spans="1:16" x14ac:dyDescent="0.25">
      <c r="A26" s="301"/>
      <c r="B26" s="184" t="s">
        <v>232</v>
      </c>
      <c r="C26" s="171"/>
      <c r="D26" s="171"/>
      <c r="E26" s="170"/>
      <c r="F26" s="170"/>
      <c r="G26" s="170"/>
      <c r="H26" s="170"/>
      <c r="I26" s="170"/>
      <c r="J26" s="199"/>
      <c r="K26" s="199"/>
      <c r="L26" s="264"/>
      <c r="M26" s="140"/>
      <c r="N26" s="140"/>
      <c r="O26" s="264"/>
      <c r="P26" s="140"/>
    </row>
    <row r="27" spans="1:16" x14ac:dyDescent="0.25">
      <c r="A27" s="301"/>
      <c r="B27" s="115" t="s">
        <v>220</v>
      </c>
      <c r="C27" s="115"/>
      <c r="D27" s="198" t="s">
        <v>252</v>
      </c>
      <c r="E27" s="169" t="s">
        <v>233</v>
      </c>
      <c r="F27" s="170"/>
      <c r="G27" s="169" t="s">
        <v>234</v>
      </c>
      <c r="H27" s="170"/>
      <c r="I27" s="169" t="s">
        <v>235</v>
      </c>
      <c r="J27" s="143">
        <f>+I27*1.056</f>
        <v>23.052479999999999</v>
      </c>
      <c r="K27" s="143">
        <v>31.24</v>
      </c>
      <c r="L27" s="265">
        <f>+K27*1.34</f>
        <v>41.861600000000003</v>
      </c>
      <c r="M27" s="168">
        <f>+L27*1.19</f>
        <v>49.815303999999998</v>
      </c>
      <c r="N27" s="168">
        <f>+M27*1.2038</f>
        <v>59.967662955199998</v>
      </c>
      <c r="O27" s="265">
        <f>+N27*1.1103</f>
        <v>66.582096179158555</v>
      </c>
      <c r="P27" s="168">
        <v>71.25</v>
      </c>
    </row>
    <row r="28" spans="1:16" x14ac:dyDescent="0.25">
      <c r="A28" s="301"/>
      <c r="B28" s="171" t="s">
        <v>253</v>
      </c>
      <c r="C28" s="171"/>
      <c r="D28" s="171"/>
      <c r="E28" s="169"/>
      <c r="F28" s="170"/>
      <c r="G28" s="169"/>
      <c r="H28" s="170"/>
      <c r="I28" s="196" t="s">
        <v>224</v>
      </c>
      <c r="J28" s="196" t="s">
        <v>224</v>
      </c>
      <c r="K28" s="196" t="s">
        <v>224</v>
      </c>
      <c r="L28" s="268" t="s">
        <v>252</v>
      </c>
      <c r="M28" s="197" t="s">
        <v>252</v>
      </c>
      <c r="N28" s="197" t="s">
        <v>252</v>
      </c>
      <c r="O28" s="268" t="s">
        <v>508</v>
      </c>
      <c r="P28" s="197" t="s">
        <v>508</v>
      </c>
    </row>
    <row r="29" spans="1:16" ht="13.8" thickBot="1" x14ac:dyDescent="0.3">
      <c r="A29" s="306"/>
      <c r="B29" s="191" t="s">
        <v>236</v>
      </c>
      <c r="C29" s="191"/>
      <c r="D29" s="191"/>
      <c r="E29" s="142" t="s">
        <v>237</v>
      </c>
      <c r="F29" s="192"/>
      <c r="G29" s="142" t="s">
        <v>238</v>
      </c>
      <c r="H29" s="192"/>
      <c r="I29" s="142" t="s">
        <v>239</v>
      </c>
      <c r="J29" s="320">
        <f>+I29*1.056</f>
        <v>0.41184000000000004</v>
      </c>
      <c r="K29" s="320">
        <v>0.56000000000000005</v>
      </c>
      <c r="L29" s="321">
        <f>+K29*1.34</f>
        <v>0.75040000000000007</v>
      </c>
      <c r="M29" s="322">
        <f>+L29*1.19</f>
        <v>0.89297599999999999</v>
      </c>
      <c r="N29" s="322">
        <f>+M29*1.2038</f>
        <v>1.0749645087999999</v>
      </c>
      <c r="O29" s="321">
        <f>+N29*1.1103</f>
        <v>1.1935330941206399</v>
      </c>
      <c r="P29" s="322">
        <v>1.28</v>
      </c>
    </row>
    <row r="30" spans="1:16" ht="13.8" thickBot="1" x14ac:dyDescent="0.3"/>
    <row r="31" spans="1:16" x14ac:dyDescent="0.25">
      <c r="A31" s="961" t="s">
        <v>377</v>
      </c>
      <c r="B31" s="962"/>
      <c r="C31" s="962"/>
      <c r="D31" s="962"/>
      <c r="E31" s="962"/>
      <c r="F31" s="962"/>
      <c r="G31" s="962"/>
      <c r="H31" s="962"/>
      <c r="I31" s="963"/>
      <c r="J31" s="202" t="s">
        <v>378</v>
      </c>
      <c r="K31" s="202" t="s">
        <v>378</v>
      </c>
      <c r="L31" s="257" t="s">
        <v>378</v>
      </c>
      <c r="M31" s="202" t="s">
        <v>378</v>
      </c>
      <c r="N31" s="257" t="s">
        <v>378</v>
      </c>
      <c r="O31" s="257" t="s">
        <v>527</v>
      </c>
      <c r="P31" s="257" t="s">
        <v>527</v>
      </c>
    </row>
    <row r="32" spans="1:16" x14ac:dyDescent="0.25">
      <c r="A32" s="304"/>
      <c r="B32" s="175"/>
      <c r="C32" s="175"/>
      <c r="D32" s="175"/>
      <c r="E32" s="175"/>
      <c r="F32" s="175"/>
      <c r="G32" s="175"/>
      <c r="H32" s="175"/>
      <c r="I32" s="175"/>
      <c r="J32" s="175"/>
      <c r="K32" s="175"/>
      <c r="L32" s="258"/>
      <c r="M32" s="176"/>
      <c r="N32" s="176"/>
      <c r="O32" s="258"/>
      <c r="P32" s="176"/>
    </row>
    <row r="33" spans="1:16" ht="13.8" x14ac:dyDescent="0.3">
      <c r="A33" s="304"/>
      <c r="B33" s="177"/>
      <c r="C33" s="177"/>
      <c r="D33" s="177"/>
      <c r="E33" s="178" t="s">
        <v>28</v>
      </c>
      <c r="F33" s="179"/>
      <c r="G33" s="178" t="s">
        <v>30</v>
      </c>
      <c r="H33" s="179"/>
      <c r="I33" s="178" t="s">
        <v>31</v>
      </c>
      <c r="J33" s="178" t="s">
        <v>32</v>
      </c>
      <c r="K33" s="178" t="s">
        <v>178</v>
      </c>
      <c r="L33" s="259" t="s">
        <v>179</v>
      </c>
      <c r="M33" s="180" t="s">
        <v>240</v>
      </c>
      <c r="N33" s="180" t="s">
        <v>245</v>
      </c>
      <c r="O33" s="259" t="s">
        <v>257</v>
      </c>
      <c r="P33" s="180" t="s">
        <v>382</v>
      </c>
    </row>
    <row r="34" spans="1:16" ht="14.4" thickBot="1" x14ac:dyDescent="0.35">
      <c r="A34" s="305"/>
      <c r="B34" s="181"/>
      <c r="C34" s="181"/>
      <c r="D34" s="181"/>
      <c r="E34" s="182" t="s">
        <v>201</v>
      </c>
      <c r="F34" s="182"/>
      <c r="G34" s="182" t="s">
        <v>201</v>
      </c>
      <c r="H34" s="182"/>
      <c r="I34" s="182" t="s">
        <v>201</v>
      </c>
      <c r="J34" s="182" t="s">
        <v>201</v>
      </c>
      <c r="K34" s="182" t="s">
        <v>201</v>
      </c>
      <c r="L34" s="260" t="s">
        <v>201</v>
      </c>
      <c r="M34" s="183" t="s">
        <v>201</v>
      </c>
      <c r="N34" s="183" t="s">
        <v>201</v>
      </c>
      <c r="O34" s="260" t="s">
        <v>201</v>
      </c>
      <c r="P34" s="183" t="s">
        <v>201</v>
      </c>
    </row>
    <row r="35" spans="1:16" x14ac:dyDescent="0.25">
      <c r="A35" s="201"/>
      <c r="B35" s="303" t="s">
        <v>211</v>
      </c>
      <c r="C35" s="171"/>
      <c r="D35" s="171"/>
      <c r="E35" s="170"/>
      <c r="F35" s="170"/>
      <c r="G35" s="170"/>
      <c r="H35" s="170"/>
      <c r="I35" s="170"/>
      <c r="J35" s="170"/>
      <c r="K35" s="170"/>
      <c r="L35" s="266"/>
      <c r="M35" s="190"/>
      <c r="N35" s="190"/>
      <c r="O35" s="266"/>
      <c r="P35" s="190"/>
    </row>
    <row r="36" spans="1:16" x14ac:dyDescent="0.25">
      <c r="A36" s="201"/>
      <c r="B36" s="303"/>
      <c r="C36" s="171"/>
      <c r="D36" s="171"/>
      <c r="E36" s="170"/>
      <c r="F36" s="170"/>
      <c r="G36" s="170"/>
      <c r="H36" s="170"/>
      <c r="I36" s="170"/>
      <c r="J36" s="170"/>
      <c r="K36" s="170"/>
      <c r="L36" s="266"/>
      <c r="M36" s="190"/>
      <c r="N36" s="190"/>
      <c r="O36" s="266"/>
      <c r="P36" s="190"/>
    </row>
    <row r="37" spans="1:16" x14ac:dyDescent="0.25">
      <c r="A37" s="301"/>
      <c r="B37" s="171" t="s">
        <v>206</v>
      </c>
      <c r="C37" s="171"/>
      <c r="D37" s="171"/>
      <c r="E37" s="169" t="s">
        <v>212</v>
      </c>
      <c r="F37" s="170"/>
      <c r="G37" s="169" t="s">
        <v>213</v>
      </c>
      <c r="H37" s="170"/>
      <c r="I37" s="169" t="s">
        <v>214</v>
      </c>
      <c r="J37" s="143">
        <f>+I37*1.06</f>
        <v>36.241399999999999</v>
      </c>
      <c r="K37" s="143">
        <f>+J37*1.065</f>
        <v>38.597090999999999</v>
      </c>
      <c r="L37" s="265">
        <f>+K37*1.083</f>
        <v>41.800649553</v>
      </c>
      <c r="M37" s="168">
        <f t="shared" ref="M37:N40" si="0">+L37*1.07</f>
        <v>44.72669502171</v>
      </c>
      <c r="N37" s="168">
        <f t="shared" si="0"/>
        <v>47.857563673229706</v>
      </c>
      <c r="O37" s="265">
        <f>+N37*1.06</f>
        <v>50.729017493623488</v>
      </c>
      <c r="P37" s="168">
        <v>53.7</v>
      </c>
    </row>
    <row r="38" spans="1:16" x14ac:dyDescent="0.25">
      <c r="A38" s="301"/>
      <c r="B38" s="171" t="s">
        <v>215</v>
      </c>
      <c r="C38" s="171"/>
      <c r="D38" s="171"/>
      <c r="E38" s="169" t="s">
        <v>216</v>
      </c>
      <c r="F38" s="170"/>
      <c r="G38" s="169" t="s">
        <v>217</v>
      </c>
      <c r="H38" s="170"/>
      <c r="I38" s="169" t="s">
        <v>218</v>
      </c>
      <c r="J38" s="143">
        <f>+I38*1.06</f>
        <v>44.700200000000002</v>
      </c>
      <c r="K38" s="143">
        <f>+J38*1.065</f>
        <v>47.605713000000002</v>
      </c>
      <c r="L38" s="265">
        <f>+K38*1.083</f>
        <v>51.556987178999997</v>
      </c>
      <c r="M38" s="168">
        <f t="shared" si="0"/>
        <v>55.16597628153</v>
      </c>
      <c r="N38" s="168">
        <f t="shared" si="0"/>
        <v>59.027594621237107</v>
      </c>
      <c r="O38" s="265">
        <f>+N38*1.06</f>
        <v>62.569250298511335</v>
      </c>
      <c r="P38" s="168">
        <v>66.3</v>
      </c>
    </row>
    <row r="39" spans="1:16" x14ac:dyDescent="0.25">
      <c r="A39" s="301"/>
      <c r="B39" s="171" t="s">
        <v>244</v>
      </c>
      <c r="C39" s="171"/>
      <c r="D39" s="171"/>
      <c r="E39" s="170"/>
      <c r="F39" s="170"/>
      <c r="G39" s="170"/>
      <c r="H39" s="170"/>
      <c r="I39" s="170"/>
      <c r="J39" s="170"/>
      <c r="K39" s="170">
        <v>150</v>
      </c>
      <c r="L39" s="266">
        <f>150*1.083</f>
        <v>162.44999999999999</v>
      </c>
      <c r="M39" s="190">
        <f t="shared" si="0"/>
        <v>173.82149999999999</v>
      </c>
      <c r="N39" s="190">
        <f t="shared" si="0"/>
        <v>185.98900499999999</v>
      </c>
      <c r="O39" s="265">
        <f>+N39*1.06</f>
        <v>197.14834529999999</v>
      </c>
      <c r="P39" s="168">
        <v>209</v>
      </c>
    </row>
    <row r="40" spans="1:16" ht="13.8" thickBot="1" x14ac:dyDescent="0.3">
      <c r="A40" s="306"/>
      <c r="B40" s="191" t="s">
        <v>254</v>
      </c>
      <c r="C40" s="191"/>
      <c r="D40" s="191"/>
      <c r="E40" s="192"/>
      <c r="F40" s="192"/>
      <c r="G40" s="192"/>
      <c r="H40" s="192"/>
      <c r="I40" s="192"/>
      <c r="J40" s="192"/>
      <c r="K40" s="192"/>
      <c r="L40" s="323">
        <v>160.5</v>
      </c>
      <c r="M40" s="324">
        <f t="shared" si="0"/>
        <v>171.73500000000001</v>
      </c>
      <c r="N40" s="324">
        <f t="shared" si="0"/>
        <v>183.75645000000003</v>
      </c>
      <c r="O40" s="321">
        <f>+N40*1.06</f>
        <v>194.78183700000005</v>
      </c>
      <c r="P40" s="322">
        <v>206.5</v>
      </c>
    </row>
    <row r="42" spans="1:16" ht="13.8" thickBot="1" x14ac:dyDescent="0.3"/>
    <row r="43" spans="1:16" x14ac:dyDescent="0.25">
      <c r="A43" s="961" t="s">
        <v>377</v>
      </c>
      <c r="B43" s="962"/>
      <c r="C43" s="962"/>
      <c r="D43" s="962"/>
      <c r="E43" s="962"/>
      <c r="F43" s="962"/>
      <c r="G43" s="962"/>
      <c r="H43" s="962"/>
      <c r="I43" s="963"/>
      <c r="J43" s="202" t="s">
        <v>378</v>
      </c>
      <c r="K43" s="202" t="s">
        <v>378</v>
      </c>
      <c r="L43" s="257" t="s">
        <v>378</v>
      </c>
      <c r="M43" s="202" t="s">
        <v>378</v>
      </c>
      <c r="N43" s="257" t="s">
        <v>378</v>
      </c>
      <c r="O43" s="257" t="s">
        <v>527</v>
      </c>
      <c r="P43" s="257" t="s">
        <v>527</v>
      </c>
    </row>
    <row r="44" spans="1:16" x14ac:dyDescent="0.25">
      <c r="A44" s="304"/>
      <c r="B44" s="175"/>
      <c r="C44" s="175"/>
      <c r="D44" s="175"/>
      <c r="E44" s="175"/>
      <c r="F44" s="175"/>
      <c r="G44" s="175"/>
      <c r="H44" s="175"/>
      <c r="I44" s="175"/>
      <c r="J44" s="175"/>
      <c r="K44" s="175"/>
      <c r="L44" s="258"/>
      <c r="M44" s="176"/>
      <c r="N44" s="176"/>
      <c r="O44" s="258"/>
      <c r="P44" s="176"/>
    </row>
    <row r="45" spans="1:16" ht="13.8" x14ac:dyDescent="0.3">
      <c r="A45" s="304"/>
      <c r="B45" s="177"/>
      <c r="C45" s="177"/>
      <c r="D45" s="177"/>
      <c r="E45" s="178" t="s">
        <v>28</v>
      </c>
      <c r="F45" s="179"/>
      <c r="G45" s="178" t="s">
        <v>30</v>
      </c>
      <c r="H45" s="179"/>
      <c r="I45" s="178" t="s">
        <v>31</v>
      </c>
      <c r="J45" s="178" t="s">
        <v>32</v>
      </c>
      <c r="K45" s="178" t="s">
        <v>178</v>
      </c>
      <c r="L45" s="259" t="s">
        <v>179</v>
      </c>
      <c r="M45" s="180" t="s">
        <v>240</v>
      </c>
      <c r="N45" s="180" t="s">
        <v>245</v>
      </c>
      <c r="O45" s="259" t="s">
        <v>257</v>
      </c>
      <c r="P45" s="180" t="s">
        <v>382</v>
      </c>
    </row>
    <row r="46" spans="1:16" ht="14.4" thickBot="1" x14ac:dyDescent="0.35">
      <c r="A46" s="305"/>
      <c r="B46" s="181"/>
      <c r="C46" s="181"/>
      <c r="D46" s="181"/>
      <c r="E46" s="182" t="s">
        <v>201</v>
      </c>
      <c r="F46" s="182"/>
      <c r="G46" s="182" t="s">
        <v>201</v>
      </c>
      <c r="H46" s="182"/>
      <c r="I46" s="182" t="s">
        <v>201</v>
      </c>
      <c r="J46" s="182" t="s">
        <v>201</v>
      </c>
      <c r="K46" s="182" t="s">
        <v>201</v>
      </c>
      <c r="L46" s="260" t="s">
        <v>201</v>
      </c>
      <c r="M46" s="183" t="s">
        <v>201</v>
      </c>
      <c r="N46" s="183" t="s">
        <v>201</v>
      </c>
      <c r="O46" s="260" t="s">
        <v>201</v>
      </c>
      <c r="P46" s="183" t="s">
        <v>201</v>
      </c>
    </row>
    <row r="47" spans="1:16" x14ac:dyDescent="0.25">
      <c r="A47" s="201"/>
      <c r="B47" s="303" t="s">
        <v>219</v>
      </c>
      <c r="C47" s="171"/>
      <c r="D47" s="171"/>
      <c r="E47" s="170"/>
      <c r="F47" s="170"/>
      <c r="G47" s="170"/>
      <c r="H47" s="170"/>
      <c r="I47" s="170"/>
      <c r="J47" s="170"/>
      <c r="K47" s="193"/>
      <c r="L47" s="267"/>
      <c r="M47" s="194"/>
      <c r="N47" s="194"/>
      <c r="O47" s="267"/>
      <c r="P47" s="194"/>
    </row>
    <row r="48" spans="1:16" x14ac:dyDescent="0.25">
      <c r="A48" s="201"/>
      <c r="B48" s="187"/>
      <c r="C48" s="171"/>
      <c r="D48" s="171"/>
      <c r="E48" s="170"/>
      <c r="F48" s="170"/>
      <c r="G48" s="170"/>
      <c r="H48" s="170"/>
      <c r="I48" s="170"/>
      <c r="J48" s="170"/>
      <c r="K48" s="193"/>
      <c r="L48" s="267"/>
      <c r="M48" s="194"/>
      <c r="N48" s="194"/>
      <c r="O48" s="267"/>
      <c r="P48" s="194"/>
    </row>
    <row r="49" spans="1:16" x14ac:dyDescent="0.25">
      <c r="A49" s="301"/>
      <c r="B49" s="115" t="s">
        <v>220</v>
      </c>
      <c r="C49" s="285"/>
      <c r="D49" s="198" t="s">
        <v>252</v>
      </c>
      <c r="E49" s="169" t="s">
        <v>221</v>
      </c>
      <c r="F49" s="170"/>
      <c r="G49" s="169" t="s">
        <v>222</v>
      </c>
      <c r="H49" s="170"/>
      <c r="I49" s="169" t="s">
        <v>223</v>
      </c>
      <c r="J49" s="169">
        <f>+I49*1.06</f>
        <v>25.970000000000002</v>
      </c>
      <c r="K49" s="143">
        <f>+(J49*1.24)+0.07</f>
        <v>32.272800000000004</v>
      </c>
      <c r="L49" s="265">
        <f>+(K49*1.25)</f>
        <v>40.341000000000008</v>
      </c>
      <c r="M49" s="168">
        <f>+(L49*1.25)</f>
        <v>50.42625000000001</v>
      </c>
      <c r="N49" s="168">
        <f>+(M49*1.07)</f>
        <v>53.956087500000017</v>
      </c>
      <c r="O49" s="265">
        <f>+(N49*1.06)</f>
        <v>57.19345275000002</v>
      </c>
      <c r="P49" s="168">
        <v>60.6</v>
      </c>
    </row>
    <row r="50" spans="1:16" x14ac:dyDescent="0.25">
      <c r="A50" s="301"/>
      <c r="B50" s="204" t="s">
        <v>379</v>
      </c>
      <c r="C50" s="171"/>
      <c r="D50" s="171"/>
      <c r="E50" s="169"/>
      <c r="F50" s="170"/>
      <c r="G50" s="169"/>
      <c r="H50" s="170"/>
      <c r="I50" s="196" t="s">
        <v>224</v>
      </c>
      <c r="J50" s="196" t="s">
        <v>224</v>
      </c>
      <c r="K50" s="196" t="s">
        <v>224</v>
      </c>
      <c r="L50" s="268" t="s">
        <v>252</v>
      </c>
      <c r="M50" s="197" t="s">
        <v>252</v>
      </c>
      <c r="N50" s="197" t="s">
        <v>252</v>
      </c>
      <c r="O50" s="268" t="s">
        <v>508</v>
      </c>
      <c r="P50" s="197" t="s">
        <v>508</v>
      </c>
    </row>
    <row r="51" spans="1:16" x14ac:dyDescent="0.25">
      <c r="A51" s="301"/>
      <c r="B51" s="204" t="s">
        <v>379</v>
      </c>
      <c r="C51" s="171"/>
      <c r="D51" s="171"/>
      <c r="E51" s="196" t="s">
        <v>224</v>
      </c>
      <c r="F51" s="196"/>
      <c r="G51" s="196" t="s">
        <v>224</v>
      </c>
      <c r="H51" s="196"/>
      <c r="I51" s="196" t="s">
        <v>224</v>
      </c>
      <c r="J51" s="196" t="s">
        <v>224</v>
      </c>
      <c r="K51" s="196" t="s">
        <v>224</v>
      </c>
      <c r="L51" s="269">
        <v>3.75</v>
      </c>
      <c r="M51" s="198">
        <f>+L51*1.25</f>
        <v>4.6875</v>
      </c>
      <c r="N51" s="198">
        <f>+M51*1.07</f>
        <v>5.015625</v>
      </c>
      <c r="O51" s="269">
        <f>+N51*1.06</f>
        <v>5.3165624999999999</v>
      </c>
      <c r="P51" s="198">
        <v>5.65</v>
      </c>
    </row>
    <row r="52" spans="1:16" x14ac:dyDescent="0.25">
      <c r="A52" s="301"/>
      <c r="B52" s="115" t="s">
        <v>380</v>
      </c>
      <c r="C52" s="171"/>
      <c r="D52" s="171"/>
      <c r="E52" s="169" t="s">
        <v>225</v>
      </c>
      <c r="F52" s="170"/>
      <c r="G52" s="169" t="s">
        <v>226</v>
      </c>
      <c r="H52" s="170"/>
      <c r="I52" s="169" t="s">
        <v>227</v>
      </c>
      <c r="J52" s="143">
        <f>+I52*1.06</f>
        <v>2.4167999999999998</v>
      </c>
      <c r="K52" s="143">
        <f>+J52*1.24</f>
        <v>2.9968319999999999</v>
      </c>
      <c r="L52" s="265">
        <v>4.9800000000000004</v>
      </c>
      <c r="M52" s="168">
        <f>4.98*1.25</f>
        <v>6.2250000000000005</v>
      </c>
      <c r="N52" s="198">
        <f>+M52*1.07</f>
        <v>6.6607500000000011</v>
      </c>
      <c r="O52" s="269">
        <f>+N52*1.06</f>
        <v>7.0603950000000015</v>
      </c>
      <c r="P52" s="198">
        <v>7.5</v>
      </c>
    </row>
    <row r="53" spans="1:16" ht="10.5" customHeight="1" x14ac:dyDescent="0.25">
      <c r="A53" s="301"/>
      <c r="B53" s="195" t="s">
        <v>228</v>
      </c>
      <c r="C53" s="171"/>
      <c r="D53" s="171"/>
      <c r="E53" s="169" t="s">
        <v>229</v>
      </c>
      <c r="F53" s="170"/>
      <c r="G53" s="169" t="s">
        <v>230</v>
      </c>
      <c r="H53" s="170"/>
      <c r="I53" s="169" t="s">
        <v>231</v>
      </c>
      <c r="J53" s="143">
        <f>+I53*1.06</f>
        <v>2.6500000000000004</v>
      </c>
      <c r="K53" s="143">
        <f>+J53*1.24</f>
        <v>3.2860000000000005</v>
      </c>
      <c r="L53" s="265">
        <v>5.46</v>
      </c>
      <c r="M53" s="168">
        <f>5.46*1.25</f>
        <v>6.8250000000000002</v>
      </c>
      <c r="N53" s="198">
        <f>+M53*1.07</f>
        <v>7.3027500000000005</v>
      </c>
      <c r="O53" s="269">
        <f>+N53*1.06</f>
        <v>7.7409150000000011</v>
      </c>
      <c r="P53" s="198">
        <v>8.1999999999999993</v>
      </c>
    </row>
    <row r="54" spans="1:16" ht="13.8" thickBot="1" x14ac:dyDescent="0.3">
      <c r="A54" s="306"/>
      <c r="B54" s="325" t="s">
        <v>520</v>
      </c>
      <c r="C54" s="191"/>
      <c r="D54" s="191"/>
      <c r="E54" s="142"/>
      <c r="F54" s="192"/>
      <c r="G54" s="142"/>
      <c r="H54" s="192"/>
      <c r="I54" s="142"/>
      <c r="J54" s="320"/>
      <c r="K54" s="320"/>
      <c r="L54" s="321"/>
      <c r="M54" s="322"/>
      <c r="N54" s="326"/>
      <c r="O54" s="327"/>
      <c r="P54" s="326">
        <v>56.5</v>
      </c>
    </row>
    <row r="57" spans="1:16" ht="13.8" thickBot="1" x14ac:dyDescent="0.3"/>
    <row r="58" spans="1:16" x14ac:dyDescent="0.25">
      <c r="A58" s="961" t="s">
        <v>377</v>
      </c>
      <c r="B58" s="962"/>
      <c r="C58" s="962"/>
      <c r="D58" s="962"/>
      <c r="E58" s="962"/>
      <c r="F58" s="962"/>
      <c r="G58" s="962"/>
      <c r="H58" s="962"/>
      <c r="I58" s="963"/>
      <c r="J58" s="202" t="s">
        <v>378</v>
      </c>
      <c r="K58" s="202" t="s">
        <v>378</v>
      </c>
      <c r="L58" s="257" t="s">
        <v>378</v>
      </c>
      <c r="M58" s="202" t="s">
        <v>378</v>
      </c>
      <c r="N58" s="257" t="s">
        <v>378</v>
      </c>
      <c r="O58" s="257" t="s">
        <v>527</v>
      </c>
      <c r="P58" s="257" t="s">
        <v>527</v>
      </c>
    </row>
    <row r="59" spans="1:16" x14ac:dyDescent="0.25">
      <c r="A59" s="304"/>
      <c r="B59" s="175"/>
      <c r="C59" s="175"/>
      <c r="D59" s="175"/>
      <c r="E59" s="175"/>
      <c r="F59" s="175"/>
      <c r="G59" s="175"/>
      <c r="H59" s="175"/>
      <c r="I59" s="175"/>
      <c r="J59" s="175"/>
      <c r="K59" s="175"/>
      <c r="L59" s="258"/>
      <c r="M59" s="176"/>
      <c r="N59" s="176"/>
      <c r="O59" s="258"/>
      <c r="P59" s="176"/>
    </row>
    <row r="60" spans="1:16" ht="13.8" x14ac:dyDescent="0.3">
      <c r="A60" s="304"/>
      <c r="B60" s="177"/>
      <c r="C60" s="177"/>
      <c r="D60" s="177"/>
      <c r="E60" s="178" t="s">
        <v>28</v>
      </c>
      <c r="F60" s="179"/>
      <c r="G60" s="178" t="s">
        <v>30</v>
      </c>
      <c r="H60" s="179"/>
      <c r="I60" s="178" t="s">
        <v>31</v>
      </c>
      <c r="J60" s="178" t="s">
        <v>32</v>
      </c>
      <c r="K60" s="178" t="s">
        <v>178</v>
      </c>
      <c r="L60" s="259" t="s">
        <v>179</v>
      </c>
      <c r="M60" s="180" t="s">
        <v>240</v>
      </c>
      <c r="N60" s="180" t="s">
        <v>245</v>
      </c>
      <c r="O60" s="259" t="s">
        <v>257</v>
      </c>
      <c r="P60" s="180" t="s">
        <v>382</v>
      </c>
    </row>
    <row r="61" spans="1:16" ht="14.4" thickBot="1" x14ac:dyDescent="0.35">
      <c r="A61" s="305"/>
      <c r="B61" s="181"/>
      <c r="C61" s="181"/>
      <c r="D61" s="181"/>
      <c r="E61" s="182" t="s">
        <v>201</v>
      </c>
      <c r="F61" s="182"/>
      <c r="G61" s="182" t="s">
        <v>201</v>
      </c>
      <c r="H61" s="182"/>
      <c r="I61" s="182" t="s">
        <v>201</v>
      </c>
      <c r="J61" s="182" t="s">
        <v>201</v>
      </c>
      <c r="K61" s="182" t="s">
        <v>201</v>
      </c>
      <c r="L61" s="260" t="s">
        <v>201</v>
      </c>
      <c r="M61" s="183" t="s">
        <v>201</v>
      </c>
      <c r="N61" s="183" t="s">
        <v>201</v>
      </c>
      <c r="O61" s="260" t="s">
        <v>201</v>
      </c>
      <c r="P61" s="183" t="s">
        <v>201</v>
      </c>
    </row>
    <row r="62" spans="1:16" x14ac:dyDescent="0.25">
      <c r="A62" s="201"/>
      <c r="B62" s="303" t="s">
        <v>202</v>
      </c>
      <c r="C62" s="171"/>
      <c r="D62" s="171"/>
      <c r="E62" s="170"/>
      <c r="F62" s="170"/>
      <c r="G62" s="170"/>
      <c r="H62" s="170"/>
      <c r="I62" s="170"/>
      <c r="J62" s="170"/>
      <c r="K62" s="170"/>
      <c r="L62" s="264"/>
      <c r="M62" s="140"/>
      <c r="N62" s="140"/>
      <c r="O62" s="264"/>
      <c r="P62" s="140"/>
    </row>
    <row r="63" spans="1:16" x14ac:dyDescent="0.25">
      <c r="A63" s="301"/>
      <c r="B63" s="171"/>
      <c r="C63" s="171"/>
      <c r="D63" s="171"/>
      <c r="E63" s="170"/>
      <c r="F63" s="170"/>
      <c r="G63" s="170"/>
      <c r="H63" s="170"/>
      <c r="I63" s="170"/>
      <c r="J63" s="170"/>
      <c r="K63" s="170"/>
      <c r="L63" s="264"/>
      <c r="M63" s="140"/>
      <c r="N63" s="140"/>
      <c r="O63" s="264"/>
      <c r="P63" s="140"/>
    </row>
    <row r="64" spans="1:16" x14ac:dyDescent="0.25">
      <c r="A64" s="301"/>
      <c r="B64" s="115" t="s">
        <v>519</v>
      </c>
      <c r="C64" s="171"/>
      <c r="D64" s="171"/>
      <c r="E64" s="169" t="s">
        <v>203</v>
      </c>
      <c r="F64" s="170"/>
      <c r="G64" s="169" t="s">
        <v>204</v>
      </c>
      <c r="H64" s="170"/>
      <c r="I64" s="169" t="s">
        <v>205</v>
      </c>
      <c r="J64" s="189">
        <f>+I64*1.06</f>
        <v>52.660800000000002</v>
      </c>
      <c r="K64" s="189">
        <f>+J64*1.065</f>
        <v>56.083751999999997</v>
      </c>
      <c r="L64" s="265">
        <f>+K64*1.083-0.01</f>
        <v>60.728703415999995</v>
      </c>
      <c r="M64" s="168">
        <f>+L64*1.25</f>
        <v>75.910879269999995</v>
      </c>
      <c r="N64" s="168">
        <f>+M64*1.07</f>
        <v>81.224640818899999</v>
      </c>
      <c r="O64" s="265">
        <f>+N64*1.06</f>
        <v>86.098119268033997</v>
      </c>
      <c r="P64" s="168">
        <v>91.2</v>
      </c>
    </row>
    <row r="65" spans="1:16" x14ac:dyDescent="0.25">
      <c r="A65" s="301"/>
      <c r="B65" s="171" t="s">
        <v>206</v>
      </c>
      <c r="C65" s="171"/>
      <c r="D65" s="171"/>
      <c r="E65" s="169" t="s">
        <v>203</v>
      </c>
      <c r="F65" s="170"/>
      <c r="G65" s="169" t="s">
        <v>204</v>
      </c>
      <c r="H65" s="170"/>
      <c r="I65" s="169" t="s">
        <v>205</v>
      </c>
      <c r="J65" s="189">
        <f>+I65*1.06</f>
        <v>52.660800000000002</v>
      </c>
      <c r="K65" s="189">
        <f>+J65*1.065</f>
        <v>56.083751999999997</v>
      </c>
      <c r="L65" s="265">
        <f>+K65*1.083-0.01</f>
        <v>60.728703415999995</v>
      </c>
      <c r="M65" s="168">
        <f>+L65*1.25</f>
        <v>75.910879269999995</v>
      </c>
      <c r="N65" s="168">
        <f>+M65*1.07</f>
        <v>81.224640818899999</v>
      </c>
      <c r="O65" s="265">
        <f>+N65*1.06</f>
        <v>86.098119268033997</v>
      </c>
      <c r="P65" s="168">
        <v>91.2</v>
      </c>
    </row>
    <row r="66" spans="1:16" ht="13.8" thickBot="1" x14ac:dyDescent="0.3">
      <c r="A66" s="306"/>
      <c r="B66" s="191" t="s">
        <v>207</v>
      </c>
      <c r="C66" s="191"/>
      <c r="D66" s="191"/>
      <c r="E66" s="142" t="s">
        <v>208</v>
      </c>
      <c r="F66" s="192"/>
      <c r="G66" s="142" t="s">
        <v>209</v>
      </c>
      <c r="H66" s="192"/>
      <c r="I66" s="142" t="s">
        <v>210</v>
      </c>
      <c r="J66" s="328">
        <f>+I66*1.06</f>
        <v>184.334</v>
      </c>
      <c r="K66" s="328">
        <f>+J66*1.065</f>
        <v>196.31571</v>
      </c>
      <c r="L66" s="321">
        <f>+K66*1.083</f>
        <v>212.60991392999998</v>
      </c>
      <c r="M66" s="322">
        <f>+L66*1.25</f>
        <v>265.76239241249999</v>
      </c>
      <c r="N66" s="322">
        <f>+M66*1.07</f>
        <v>284.36575988137503</v>
      </c>
      <c r="O66" s="321">
        <f>+N66*1.06</f>
        <v>301.42770547425755</v>
      </c>
      <c r="P66" s="322">
        <v>319.5</v>
      </c>
    </row>
  </sheetData>
  <mergeCells count="5">
    <mergeCell ref="A1:I1"/>
    <mergeCell ref="A20:I20"/>
    <mergeCell ref="A31:I31"/>
    <mergeCell ref="A43:I43"/>
    <mergeCell ref="A58:I58"/>
  </mergeCells>
  <pageMargins left="0.7" right="0.7" top="0.75" bottom="0.75" header="0.3" footer="0.3"/>
  <pageSetup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2:K262"/>
  <sheetViews>
    <sheetView topLeftCell="A149" workbookViewId="0">
      <selection activeCell="I165" sqref="I165:K165"/>
    </sheetView>
  </sheetViews>
  <sheetFormatPr defaultRowHeight="13.2" x14ac:dyDescent="0.25"/>
  <cols>
    <col min="1" max="1" width="3.6640625" customWidth="1"/>
    <col min="2" max="2" width="9.109375" customWidth="1"/>
    <col min="3" max="3" width="35.6640625" customWidth="1"/>
    <col min="4" max="8" width="8.88671875" customWidth="1"/>
  </cols>
  <sheetData>
    <row r="2" spans="1:11" x14ac:dyDescent="0.25">
      <c r="C2" t="s">
        <v>891</v>
      </c>
    </row>
    <row r="3" spans="1:11" x14ac:dyDescent="0.25">
      <c r="A3" s="941" t="s">
        <v>415</v>
      </c>
      <c r="B3" s="942"/>
      <c r="C3" s="943"/>
      <c r="D3" s="149"/>
      <c r="E3" s="596"/>
      <c r="F3" s="596"/>
      <c r="G3" s="149"/>
      <c r="H3" s="596"/>
      <c r="I3" s="596"/>
      <c r="J3" s="596"/>
      <c r="K3" s="596"/>
    </row>
    <row r="4" spans="1:11" x14ac:dyDescent="0.25">
      <c r="A4" s="944" t="s">
        <v>21</v>
      </c>
      <c r="B4" s="945"/>
      <c r="C4" s="150" t="s">
        <v>22</v>
      </c>
      <c r="D4" s="103" t="s">
        <v>23</v>
      </c>
      <c r="E4" s="104" t="s">
        <v>24</v>
      </c>
      <c r="F4" s="103" t="s">
        <v>535</v>
      </c>
      <c r="G4" s="103" t="s">
        <v>413</v>
      </c>
      <c r="H4" s="104" t="s">
        <v>24</v>
      </c>
      <c r="I4" s="583" t="s">
        <v>24</v>
      </c>
      <c r="J4" s="583" t="s">
        <v>24</v>
      </c>
      <c r="K4" s="583" t="s">
        <v>24</v>
      </c>
    </row>
    <row r="5" spans="1:11" x14ac:dyDescent="0.25">
      <c r="A5" s="946"/>
      <c r="B5" s="947"/>
      <c r="C5" s="106"/>
      <c r="D5" s="333" t="s">
        <v>257</v>
      </c>
      <c r="E5" s="107" t="s">
        <v>382</v>
      </c>
      <c r="F5" s="107" t="s">
        <v>382</v>
      </c>
      <c r="G5" s="333" t="s">
        <v>382</v>
      </c>
      <c r="H5" s="107" t="s">
        <v>407</v>
      </c>
      <c r="I5" s="586" t="s">
        <v>414</v>
      </c>
      <c r="J5" s="586" t="s">
        <v>530</v>
      </c>
      <c r="K5" s="586" t="s">
        <v>886</v>
      </c>
    </row>
    <row r="6" spans="1:11" x14ac:dyDescent="0.25">
      <c r="A6" s="344"/>
      <c r="B6" s="151"/>
      <c r="C6" s="93" t="s">
        <v>33</v>
      </c>
      <c r="D6" s="428"/>
      <c r="E6" s="428"/>
      <c r="F6" s="428"/>
      <c r="G6" s="428"/>
      <c r="H6" s="428"/>
      <c r="I6" s="428"/>
      <c r="J6" s="428"/>
      <c r="K6" s="428"/>
    </row>
    <row r="7" spans="1:11" x14ac:dyDescent="0.25">
      <c r="A7" s="118">
        <v>38</v>
      </c>
      <c r="B7" s="155">
        <v>5005</v>
      </c>
      <c r="C7" s="94" t="s">
        <v>241</v>
      </c>
      <c r="D7" s="428"/>
      <c r="E7" s="428"/>
      <c r="F7" s="428"/>
      <c r="G7" s="428"/>
      <c r="H7" s="428"/>
      <c r="I7" s="428"/>
      <c r="J7" s="428"/>
      <c r="K7" s="428"/>
    </row>
    <row r="8" spans="1:11" x14ac:dyDescent="0.25">
      <c r="A8" s="118">
        <v>38</v>
      </c>
      <c r="B8" s="151">
        <v>5010</v>
      </c>
      <c r="C8" s="94" t="s">
        <v>34</v>
      </c>
      <c r="D8" s="428"/>
      <c r="E8" s="428"/>
      <c r="F8" s="428"/>
      <c r="G8" s="428"/>
      <c r="H8" s="428"/>
      <c r="I8" s="428"/>
      <c r="J8" s="428"/>
      <c r="K8" s="428"/>
    </row>
    <row r="9" spans="1:11" x14ac:dyDescent="0.25">
      <c r="A9" s="118">
        <v>38</v>
      </c>
      <c r="B9" s="151">
        <v>5015</v>
      </c>
      <c r="C9" s="94" t="s">
        <v>35</v>
      </c>
      <c r="D9" s="428"/>
      <c r="E9" s="428"/>
      <c r="F9" s="428"/>
      <c r="G9" s="428"/>
      <c r="H9" s="428"/>
      <c r="I9" s="428"/>
      <c r="J9" s="428"/>
      <c r="K9" s="428"/>
    </row>
    <row r="10" spans="1:11" x14ac:dyDescent="0.25">
      <c r="A10" s="118">
        <v>38</v>
      </c>
      <c r="B10" s="151">
        <v>5020</v>
      </c>
      <c r="C10" s="94" t="s">
        <v>350</v>
      </c>
      <c r="D10" s="428"/>
      <c r="E10" s="428"/>
      <c r="F10" s="428"/>
      <c r="G10" s="428"/>
      <c r="H10" s="428"/>
      <c r="I10" s="428"/>
      <c r="J10" s="428"/>
      <c r="K10" s="428"/>
    </row>
    <row r="11" spans="1:11" x14ac:dyDescent="0.25">
      <c r="A11" s="118">
        <v>38</v>
      </c>
      <c r="B11" s="151">
        <v>5025</v>
      </c>
      <c r="C11" s="94" t="s">
        <v>36</v>
      </c>
      <c r="D11" s="428"/>
      <c r="E11" s="428"/>
      <c r="F11" s="428"/>
      <c r="G11" s="428"/>
      <c r="H11" s="428"/>
      <c r="I11" s="428"/>
      <c r="J11" s="428"/>
      <c r="K11" s="428"/>
    </row>
    <row r="12" spans="1:11" x14ac:dyDescent="0.25">
      <c r="A12" s="118">
        <v>38</v>
      </c>
      <c r="B12" s="151">
        <v>5030</v>
      </c>
      <c r="C12" s="94" t="s">
        <v>85</v>
      </c>
      <c r="D12" s="428"/>
      <c r="E12" s="428"/>
      <c r="F12" s="428"/>
      <c r="G12" s="428"/>
      <c r="H12" s="428"/>
      <c r="I12" s="428"/>
      <c r="J12" s="428"/>
      <c r="K12" s="428"/>
    </row>
    <row r="13" spans="1:11" x14ac:dyDescent="0.25">
      <c r="A13" s="118">
        <v>38</v>
      </c>
      <c r="B13" s="151">
        <v>5035</v>
      </c>
      <c r="C13" s="94" t="s">
        <v>84</v>
      </c>
      <c r="D13" s="428"/>
      <c r="E13" s="428"/>
      <c r="F13" s="428"/>
      <c r="G13" s="428"/>
      <c r="H13" s="428"/>
      <c r="I13" s="428"/>
      <c r="J13" s="428"/>
      <c r="K13" s="428"/>
    </row>
    <row r="14" spans="1:11" x14ac:dyDescent="0.25">
      <c r="A14" s="118">
        <v>38</v>
      </c>
      <c r="B14" s="151">
        <v>5040</v>
      </c>
      <c r="C14" s="94" t="s">
        <v>37</v>
      </c>
      <c r="D14" s="428"/>
      <c r="E14" s="428"/>
      <c r="F14" s="428"/>
      <c r="G14" s="428"/>
      <c r="H14" s="428"/>
      <c r="I14" s="428"/>
      <c r="J14" s="428"/>
      <c r="K14" s="428"/>
    </row>
    <row r="15" spans="1:11" x14ac:dyDescent="0.25">
      <c r="A15" s="118">
        <v>38</v>
      </c>
      <c r="B15" s="151">
        <v>5045</v>
      </c>
      <c r="C15" s="94" t="s">
        <v>38</v>
      </c>
      <c r="D15" s="428"/>
      <c r="E15" s="428"/>
      <c r="F15" s="428"/>
      <c r="G15" s="428"/>
      <c r="H15" s="428"/>
      <c r="I15" s="428"/>
      <c r="J15" s="428"/>
      <c r="K15" s="428"/>
    </row>
    <row r="16" spans="1:11" x14ac:dyDescent="0.25">
      <c r="A16" s="118">
        <v>38</v>
      </c>
      <c r="B16" s="151">
        <v>5050</v>
      </c>
      <c r="C16" s="94" t="s">
        <v>83</v>
      </c>
      <c r="D16" s="428"/>
      <c r="E16" s="428"/>
      <c r="F16" s="428"/>
      <c r="G16" s="428"/>
      <c r="H16" s="428"/>
      <c r="I16" s="428"/>
      <c r="J16" s="428"/>
      <c r="K16" s="428"/>
    </row>
    <row r="17" spans="1:11" x14ac:dyDescent="0.25">
      <c r="A17" s="118">
        <v>38</v>
      </c>
      <c r="B17" s="151">
        <v>5055</v>
      </c>
      <c r="C17" s="94" t="s">
        <v>39</v>
      </c>
      <c r="D17" s="428"/>
      <c r="E17" s="428"/>
      <c r="F17" s="428"/>
      <c r="G17" s="428"/>
      <c r="H17" s="428"/>
      <c r="I17" s="428">
        <v>850000</v>
      </c>
      <c r="J17" s="428">
        <f>+I17*1.055</f>
        <v>896750</v>
      </c>
      <c r="K17" s="428">
        <f>+J17*1.053</f>
        <v>944277.75</v>
      </c>
    </row>
    <row r="18" spans="1:11" x14ac:dyDescent="0.25">
      <c r="A18" s="344"/>
      <c r="B18" s="151"/>
      <c r="C18" s="94"/>
      <c r="D18" s="429">
        <f t="shared" ref="D18:I18" si="0">SUM(D7:D17)</f>
        <v>0</v>
      </c>
      <c r="E18" s="429">
        <f t="shared" si="0"/>
        <v>0</v>
      </c>
      <c r="F18" s="429">
        <f t="shared" si="0"/>
        <v>0</v>
      </c>
      <c r="G18" s="429">
        <f t="shared" si="0"/>
        <v>0</v>
      </c>
      <c r="H18" s="429">
        <f t="shared" si="0"/>
        <v>0</v>
      </c>
      <c r="I18" s="429">
        <f t="shared" si="0"/>
        <v>850000</v>
      </c>
      <c r="J18" s="429">
        <f>SUM(J7:J17)</f>
        <v>896750</v>
      </c>
      <c r="K18" s="429">
        <f>SUM(K7:K17)</f>
        <v>944277.75</v>
      </c>
    </row>
    <row r="19" spans="1:11" x14ac:dyDescent="0.25">
      <c r="A19" s="344"/>
      <c r="B19" s="151"/>
      <c r="C19" s="93" t="s">
        <v>40</v>
      </c>
      <c r="D19" s="428"/>
      <c r="E19" s="86"/>
      <c r="F19" s="428"/>
      <c r="G19" s="428"/>
      <c r="H19" s="86"/>
      <c r="I19" s="86"/>
      <c r="J19" s="86"/>
      <c r="K19" s="86"/>
    </row>
    <row r="20" spans="1:11" x14ac:dyDescent="0.25">
      <c r="A20" s="118">
        <v>38</v>
      </c>
      <c r="B20" s="151">
        <v>5105</v>
      </c>
      <c r="C20" s="94" t="s">
        <v>41</v>
      </c>
      <c r="D20" s="428"/>
      <c r="E20" s="428"/>
      <c r="F20" s="428"/>
      <c r="G20" s="428"/>
      <c r="H20" s="428"/>
      <c r="I20" s="428"/>
      <c r="J20" s="428"/>
      <c r="K20" s="428"/>
    </row>
    <row r="21" spans="1:11" x14ac:dyDescent="0.25">
      <c r="A21" s="118">
        <v>38</v>
      </c>
      <c r="B21" s="151">
        <v>5115</v>
      </c>
      <c r="C21" s="94" t="s">
        <v>42</v>
      </c>
      <c r="D21" s="428"/>
      <c r="E21" s="428"/>
      <c r="F21" s="428"/>
      <c r="G21" s="428"/>
      <c r="H21" s="428"/>
      <c r="I21" s="428"/>
      <c r="J21" s="428"/>
      <c r="K21" s="428"/>
    </row>
    <row r="22" spans="1:11" x14ac:dyDescent="0.25">
      <c r="A22" s="118">
        <v>38</v>
      </c>
      <c r="B22" s="151">
        <v>5120</v>
      </c>
      <c r="C22" s="94" t="s">
        <v>43</v>
      </c>
      <c r="D22" s="428"/>
      <c r="E22" s="428"/>
      <c r="F22" s="428"/>
      <c r="G22" s="428"/>
      <c r="H22" s="428"/>
      <c r="I22" s="428"/>
      <c r="J22" s="428"/>
      <c r="K22" s="428"/>
    </row>
    <row r="23" spans="1:11" x14ac:dyDescent="0.25">
      <c r="A23" s="118">
        <v>38</v>
      </c>
      <c r="B23" s="151">
        <v>5125</v>
      </c>
      <c r="C23" s="94" t="s">
        <v>44</v>
      </c>
      <c r="D23" s="428"/>
      <c r="E23" s="428"/>
      <c r="F23" s="428"/>
      <c r="G23" s="428"/>
      <c r="H23" s="428"/>
      <c r="I23" s="428"/>
      <c r="J23" s="428"/>
      <c r="K23" s="428"/>
    </row>
    <row r="24" spans="1:11" x14ac:dyDescent="0.25">
      <c r="A24" s="118">
        <v>38</v>
      </c>
      <c r="B24" s="151">
        <v>5130</v>
      </c>
      <c r="C24" s="94" t="s">
        <v>45</v>
      </c>
      <c r="D24" s="428"/>
      <c r="E24" s="428"/>
      <c r="F24" s="428"/>
      <c r="G24" s="428"/>
      <c r="H24" s="428"/>
      <c r="I24" s="428"/>
      <c r="J24" s="428"/>
      <c r="K24" s="428"/>
    </row>
    <row r="25" spans="1:11" x14ac:dyDescent="0.25">
      <c r="A25" s="344"/>
      <c r="B25" s="151"/>
      <c r="C25" s="94"/>
      <c r="D25" s="429"/>
      <c r="E25" s="429"/>
      <c r="F25" s="429"/>
      <c r="G25" s="429"/>
      <c r="H25" s="429"/>
      <c r="I25" s="429"/>
      <c r="J25" s="429">
        <f>SUM(J20:J24)</f>
        <v>0</v>
      </c>
      <c r="K25" s="429">
        <f>SUM(K20:K24)</f>
        <v>0</v>
      </c>
    </row>
    <row r="26" spans="1:11" x14ac:dyDescent="0.25">
      <c r="A26" s="344"/>
      <c r="B26" s="151"/>
      <c r="C26" s="93" t="s">
        <v>46</v>
      </c>
      <c r="D26" s="428"/>
      <c r="E26" s="86"/>
      <c r="F26" s="86"/>
      <c r="G26" s="428"/>
      <c r="H26" s="86"/>
      <c r="I26" s="86"/>
      <c r="J26" s="86"/>
      <c r="K26" s="86"/>
    </row>
    <row r="27" spans="1:11" x14ac:dyDescent="0.25">
      <c r="A27" s="344"/>
      <c r="B27" s="151"/>
      <c r="C27" s="93" t="s">
        <v>47</v>
      </c>
      <c r="D27" s="428"/>
      <c r="E27" s="86"/>
      <c r="F27" s="86"/>
      <c r="G27" s="428"/>
      <c r="H27" s="86"/>
      <c r="I27" s="86"/>
      <c r="J27" s="86"/>
      <c r="K27" s="86"/>
    </row>
    <row r="28" spans="1:11" x14ac:dyDescent="0.25">
      <c r="A28" s="118">
        <v>38</v>
      </c>
      <c r="B28" s="151">
        <v>5150</v>
      </c>
      <c r="C28" s="94" t="s">
        <v>48</v>
      </c>
      <c r="D28" s="428"/>
      <c r="E28" s="428"/>
      <c r="F28" s="428"/>
      <c r="G28" s="428"/>
      <c r="H28" s="428"/>
      <c r="I28" s="428"/>
      <c r="J28" s="428"/>
      <c r="K28" s="428"/>
    </row>
    <row r="29" spans="1:11" x14ac:dyDescent="0.25">
      <c r="A29" s="344"/>
      <c r="B29" s="151"/>
      <c r="C29" s="94"/>
      <c r="D29" s="429"/>
      <c r="E29" s="429"/>
      <c r="F29" s="429"/>
      <c r="G29" s="429"/>
      <c r="H29" s="429"/>
      <c r="I29" s="429"/>
      <c r="J29" s="429">
        <v>0</v>
      </c>
      <c r="K29" s="429">
        <v>0</v>
      </c>
    </row>
    <row r="30" spans="1:11" x14ac:dyDescent="0.25">
      <c r="A30" s="344"/>
      <c r="B30" s="151"/>
      <c r="C30" s="93" t="s">
        <v>49</v>
      </c>
      <c r="D30" s="428"/>
      <c r="E30" s="86"/>
      <c r="F30" s="86"/>
      <c r="G30" s="428"/>
      <c r="H30" s="86"/>
      <c r="I30" s="86"/>
      <c r="J30" s="86"/>
      <c r="K30" s="86"/>
    </row>
    <row r="31" spans="1:11" x14ac:dyDescent="0.25">
      <c r="A31" s="118">
        <v>38</v>
      </c>
      <c r="B31" s="151">
        <v>5170</v>
      </c>
      <c r="C31" s="94" t="s">
        <v>341</v>
      </c>
      <c r="D31" s="428"/>
      <c r="E31" s="425"/>
      <c r="F31" s="428"/>
      <c r="G31" s="428"/>
      <c r="H31" s="428"/>
      <c r="I31" s="428"/>
      <c r="J31" s="428"/>
      <c r="K31" s="428"/>
    </row>
    <row r="32" spans="1:11" x14ac:dyDescent="0.25">
      <c r="A32" s="344"/>
      <c r="B32" s="151"/>
      <c r="C32" s="94"/>
      <c r="D32" s="429"/>
      <c r="E32" s="429">
        <f>SUM(E31)</f>
        <v>0</v>
      </c>
      <c r="F32" s="429">
        <v>0</v>
      </c>
      <c r="G32" s="429">
        <v>0</v>
      </c>
      <c r="H32" s="429">
        <v>0</v>
      </c>
      <c r="I32" s="429">
        <v>0</v>
      </c>
      <c r="J32" s="429">
        <v>0</v>
      </c>
      <c r="K32" s="429">
        <v>0</v>
      </c>
    </row>
    <row r="33" spans="1:11" x14ac:dyDescent="0.25">
      <c r="A33" s="344"/>
      <c r="B33" s="151"/>
      <c r="C33" s="93" t="s">
        <v>50</v>
      </c>
      <c r="D33" s="428"/>
      <c r="E33" s="86"/>
      <c r="F33" s="86"/>
      <c r="G33" s="428"/>
      <c r="H33" s="86"/>
      <c r="I33" s="86"/>
      <c r="J33" s="86"/>
      <c r="K33" s="86"/>
    </row>
    <row r="34" spans="1:11" x14ac:dyDescent="0.25">
      <c r="A34" s="118">
        <v>38</v>
      </c>
      <c r="B34" s="151">
        <v>5180</v>
      </c>
      <c r="C34" s="94" t="s">
        <v>51</v>
      </c>
      <c r="D34" s="428"/>
      <c r="E34" s="425"/>
      <c r="F34" s="428"/>
      <c r="G34" s="428"/>
      <c r="H34" s="428"/>
      <c r="I34" s="428"/>
      <c r="J34" s="428"/>
      <c r="K34" s="425"/>
    </row>
    <row r="35" spans="1:11" x14ac:dyDescent="0.25">
      <c r="A35" s="344"/>
      <c r="B35" s="151"/>
      <c r="C35" s="94"/>
      <c r="D35" s="429"/>
      <c r="E35" s="429">
        <f>SUM(E34)</f>
        <v>0</v>
      </c>
      <c r="F35" s="429">
        <v>0</v>
      </c>
      <c r="G35" s="429">
        <v>0</v>
      </c>
      <c r="H35" s="429"/>
      <c r="I35" s="429"/>
      <c r="J35" s="429"/>
      <c r="K35" s="429"/>
    </row>
    <row r="36" spans="1:11" x14ac:dyDescent="0.25">
      <c r="A36" s="344"/>
      <c r="B36" s="151"/>
      <c r="C36" s="93" t="s">
        <v>52</v>
      </c>
      <c r="D36" s="428"/>
      <c r="E36" s="86"/>
      <c r="F36" s="86"/>
      <c r="G36" s="428"/>
      <c r="H36" s="86"/>
      <c r="I36" s="86"/>
      <c r="J36" s="86"/>
      <c r="K36" s="86"/>
    </row>
    <row r="37" spans="1:11" x14ac:dyDescent="0.25">
      <c r="A37" s="118">
        <v>38</v>
      </c>
      <c r="B37" s="151">
        <v>5190</v>
      </c>
      <c r="C37" s="94" t="s">
        <v>53</v>
      </c>
      <c r="D37" s="428"/>
      <c r="E37" s="425"/>
      <c r="F37" s="428"/>
      <c r="G37" s="428"/>
      <c r="H37" s="428"/>
      <c r="I37" s="428"/>
      <c r="J37" s="428"/>
      <c r="K37" s="428"/>
    </row>
    <row r="38" spans="1:11" x14ac:dyDescent="0.25">
      <c r="A38" s="344"/>
      <c r="B38" s="151"/>
      <c r="C38" s="94"/>
      <c r="D38" s="429"/>
      <c r="E38" s="429">
        <f>E37</f>
        <v>0</v>
      </c>
      <c r="F38" s="429">
        <v>0</v>
      </c>
      <c r="G38" s="429">
        <v>0</v>
      </c>
      <c r="H38" s="429"/>
      <c r="I38" s="429"/>
      <c r="J38" s="429"/>
      <c r="K38" s="429"/>
    </row>
    <row r="39" spans="1:11" x14ac:dyDescent="0.25">
      <c r="A39" s="344"/>
      <c r="B39" s="151"/>
      <c r="C39" s="93" t="s">
        <v>54</v>
      </c>
      <c r="D39" s="428"/>
      <c r="E39" s="86"/>
      <c r="F39" s="86"/>
      <c r="G39" s="428"/>
      <c r="H39" s="86"/>
      <c r="I39" s="86"/>
      <c r="J39" s="86"/>
      <c r="K39" s="86"/>
    </row>
    <row r="40" spans="1:11" x14ac:dyDescent="0.25">
      <c r="A40" s="118">
        <v>38</v>
      </c>
      <c r="B40" s="151">
        <v>5200</v>
      </c>
      <c r="C40" s="94" t="s">
        <v>55</v>
      </c>
      <c r="D40" s="428"/>
      <c r="E40" s="425"/>
      <c r="F40" s="428">
        <v>0</v>
      </c>
      <c r="G40" s="428">
        <v>0</v>
      </c>
      <c r="H40" s="428"/>
      <c r="I40" s="428"/>
      <c r="J40" s="428"/>
      <c r="K40" s="428"/>
    </row>
    <row r="41" spans="1:11" x14ac:dyDescent="0.25">
      <c r="A41" s="118">
        <v>38</v>
      </c>
      <c r="B41" s="151">
        <v>5205</v>
      </c>
      <c r="C41" s="94" t="s">
        <v>56</v>
      </c>
      <c r="D41" s="428"/>
      <c r="E41" s="425"/>
      <c r="F41" s="428">
        <v>0</v>
      </c>
      <c r="G41" s="428">
        <v>0</v>
      </c>
      <c r="H41" s="428"/>
      <c r="I41" s="428"/>
      <c r="J41" s="428"/>
      <c r="K41" s="428"/>
    </row>
    <row r="42" spans="1:11" x14ac:dyDescent="0.25">
      <c r="A42" s="118">
        <v>38</v>
      </c>
      <c r="B42" s="151">
        <v>5210</v>
      </c>
      <c r="C42" s="94" t="s">
        <v>57</v>
      </c>
      <c r="D42" s="428"/>
      <c r="E42" s="425"/>
      <c r="F42" s="428">
        <v>0</v>
      </c>
      <c r="G42" s="428">
        <v>0</v>
      </c>
      <c r="H42" s="428"/>
      <c r="I42" s="428"/>
      <c r="J42" s="428"/>
      <c r="K42" s="428"/>
    </row>
    <row r="43" spans="1:11" x14ac:dyDescent="0.25">
      <c r="A43" s="118">
        <v>38</v>
      </c>
      <c r="B43" s="151">
        <v>5215</v>
      </c>
      <c r="C43" s="94" t="s">
        <v>95</v>
      </c>
      <c r="D43" s="428"/>
      <c r="E43" s="425"/>
      <c r="F43" s="428">
        <v>0</v>
      </c>
      <c r="G43" s="428">
        <v>0</v>
      </c>
      <c r="H43" s="428"/>
      <c r="I43" s="428"/>
      <c r="J43" s="428"/>
      <c r="K43" s="428"/>
    </row>
    <row r="44" spans="1:11" x14ac:dyDescent="0.25">
      <c r="A44" s="118">
        <v>38</v>
      </c>
      <c r="B44" s="151">
        <v>5220</v>
      </c>
      <c r="C44" s="94" t="s">
        <v>58</v>
      </c>
      <c r="D44" s="428"/>
      <c r="E44" s="425"/>
      <c r="F44" s="428">
        <v>0</v>
      </c>
      <c r="G44" s="428">
        <v>0</v>
      </c>
      <c r="H44" s="428"/>
      <c r="I44" s="428"/>
      <c r="J44" s="428"/>
      <c r="K44" s="428"/>
    </row>
    <row r="45" spans="1:11" x14ac:dyDescent="0.25">
      <c r="A45" s="118">
        <v>38</v>
      </c>
      <c r="B45" s="151">
        <v>5225</v>
      </c>
      <c r="C45" s="94" t="s">
        <v>92</v>
      </c>
      <c r="D45" s="428"/>
      <c r="E45" s="425"/>
      <c r="F45" s="428">
        <v>0</v>
      </c>
      <c r="G45" s="428">
        <v>0</v>
      </c>
      <c r="H45" s="428"/>
      <c r="I45" s="428"/>
      <c r="J45" s="428"/>
      <c r="K45" s="428"/>
    </row>
    <row r="46" spans="1:11" x14ac:dyDescent="0.25">
      <c r="A46" s="118">
        <v>38</v>
      </c>
      <c r="B46" s="151">
        <v>5230</v>
      </c>
      <c r="C46" s="94" t="s">
        <v>86</v>
      </c>
      <c r="D46" s="428"/>
      <c r="E46" s="425"/>
      <c r="F46" s="428">
        <v>0</v>
      </c>
      <c r="G46" s="428">
        <v>0</v>
      </c>
      <c r="H46" s="428"/>
      <c r="I46" s="428"/>
      <c r="J46" s="428"/>
      <c r="K46" s="428"/>
    </row>
    <row r="47" spans="1:11" x14ac:dyDescent="0.25">
      <c r="A47" s="118">
        <v>38</v>
      </c>
      <c r="B47" s="151">
        <v>5235</v>
      </c>
      <c r="C47" s="94" t="s">
        <v>124</v>
      </c>
      <c r="D47" s="428"/>
      <c r="E47" s="425"/>
      <c r="F47" s="428">
        <v>0</v>
      </c>
      <c r="G47" s="428">
        <v>0</v>
      </c>
      <c r="H47" s="428"/>
      <c r="I47" s="428"/>
      <c r="J47" s="428"/>
      <c r="K47" s="428"/>
    </row>
    <row r="48" spans="1:11" x14ac:dyDescent="0.25">
      <c r="A48" s="118">
        <v>38</v>
      </c>
      <c r="B48" s="151">
        <v>5240</v>
      </c>
      <c r="C48" s="94" t="s">
        <v>59</v>
      </c>
      <c r="D48" s="428"/>
      <c r="E48" s="425"/>
      <c r="F48" s="428">
        <v>0</v>
      </c>
      <c r="G48" s="428">
        <v>0</v>
      </c>
      <c r="H48" s="428">
        <v>0</v>
      </c>
      <c r="I48" s="428"/>
      <c r="J48" s="428">
        <v>0</v>
      </c>
      <c r="K48" s="428">
        <v>0</v>
      </c>
    </row>
    <row r="49" spans="1:11" x14ac:dyDescent="0.25">
      <c r="A49" s="118">
        <v>38</v>
      </c>
      <c r="B49" s="151">
        <v>5245</v>
      </c>
      <c r="C49" s="94" t="s">
        <v>91</v>
      </c>
      <c r="D49" s="428"/>
      <c r="E49" s="425"/>
      <c r="F49" s="428">
        <v>0</v>
      </c>
      <c r="G49" s="428">
        <v>0</v>
      </c>
      <c r="H49" s="428"/>
      <c r="I49" s="428"/>
      <c r="J49" s="428"/>
      <c r="K49" s="428"/>
    </row>
    <row r="50" spans="1:11" x14ac:dyDescent="0.25">
      <c r="A50" s="118">
        <v>38</v>
      </c>
      <c r="B50" s="151">
        <v>5250</v>
      </c>
      <c r="C50" s="94" t="s">
        <v>88</v>
      </c>
      <c r="D50" s="428"/>
      <c r="E50" s="428"/>
      <c r="F50" s="428"/>
      <c r="G50" s="428"/>
      <c r="H50" s="428"/>
      <c r="I50" s="428"/>
      <c r="J50" s="428"/>
      <c r="K50" s="428"/>
    </row>
    <row r="51" spans="1:11" x14ac:dyDescent="0.25">
      <c r="A51" s="118">
        <v>38</v>
      </c>
      <c r="B51" s="151">
        <v>5255</v>
      </c>
      <c r="C51" s="94" t="s">
        <v>125</v>
      </c>
      <c r="D51" s="428"/>
      <c r="E51" s="428"/>
      <c r="F51" s="428"/>
      <c r="G51" s="428"/>
      <c r="H51" s="428"/>
      <c r="I51" s="428"/>
      <c r="J51" s="428"/>
      <c r="K51" s="428"/>
    </row>
    <row r="52" spans="1:11" x14ac:dyDescent="0.25">
      <c r="A52" s="118">
        <v>38</v>
      </c>
      <c r="B52" s="151">
        <v>5260</v>
      </c>
      <c r="C52" s="94" t="s">
        <v>90</v>
      </c>
      <c r="D52" s="428"/>
      <c r="E52" s="428"/>
      <c r="F52" s="428"/>
      <c r="G52" s="428"/>
      <c r="H52" s="428"/>
      <c r="I52" s="428"/>
      <c r="J52" s="428"/>
      <c r="K52" s="428"/>
    </row>
    <row r="53" spans="1:11" x14ac:dyDescent="0.25">
      <c r="A53" s="118">
        <v>38</v>
      </c>
      <c r="B53" s="151">
        <v>5265</v>
      </c>
      <c r="C53" s="94" t="s">
        <v>87</v>
      </c>
      <c r="D53" s="428"/>
      <c r="E53" s="428"/>
      <c r="F53" s="428"/>
      <c r="G53" s="428"/>
      <c r="H53" s="428"/>
      <c r="I53" s="428"/>
      <c r="J53" s="428"/>
      <c r="K53" s="428"/>
    </row>
    <row r="54" spans="1:11" x14ac:dyDescent="0.25">
      <c r="A54" s="118">
        <v>38</v>
      </c>
      <c r="B54" s="151">
        <v>5270</v>
      </c>
      <c r="C54" s="94" t="s">
        <v>89</v>
      </c>
      <c r="D54" s="428"/>
      <c r="E54" s="428"/>
      <c r="F54" s="428"/>
      <c r="G54" s="428"/>
      <c r="H54" s="428"/>
      <c r="I54" s="428"/>
      <c r="J54" s="428"/>
      <c r="K54" s="428"/>
    </row>
    <row r="55" spans="1:11" x14ac:dyDescent="0.25">
      <c r="A55" s="118">
        <v>38</v>
      </c>
      <c r="B55" s="151">
        <v>5275</v>
      </c>
      <c r="C55" s="94" t="s">
        <v>93</v>
      </c>
      <c r="D55" s="428"/>
      <c r="E55" s="428"/>
      <c r="F55" s="428"/>
      <c r="G55" s="428"/>
      <c r="H55" s="428"/>
      <c r="I55" s="428"/>
      <c r="J55" s="428"/>
      <c r="K55" s="428"/>
    </row>
    <row r="56" spans="1:11" x14ac:dyDescent="0.25">
      <c r="A56" s="118">
        <v>38</v>
      </c>
      <c r="B56" s="151">
        <v>5280</v>
      </c>
      <c r="C56" s="94" t="s">
        <v>94</v>
      </c>
      <c r="D56" s="428"/>
      <c r="E56" s="428"/>
      <c r="F56" s="428"/>
      <c r="G56" s="428"/>
      <c r="H56" s="428"/>
      <c r="I56" s="428"/>
      <c r="J56" s="428"/>
      <c r="K56" s="428"/>
    </row>
    <row r="57" spans="1:11" x14ac:dyDescent="0.25">
      <c r="A57" s="118">
        <v>38</v>
      </c>
      <c r="B57" s="151">
        <v>5285</v>
      </c>
      <c r="C57" s="94" t="s">
        <v>60</v>
      </c>
      <c r="D57" s="428"/>
      <c r="E57" s="428"/>
      <c r="F57" s="428"/>
      <c r="G57" s="428"/>
      <c r="H57" s="428"/>
      <c r="I57" s="428"/>
      <c r="J57" s="428"/>
      <c r="K57" s="428"/>
    </row>
    <row r="58" spans="1:11" x14ac:dyDescent="0.25">
      <c r="A58" s="118">
        <v>38</v>
      </c>
      <c r="B58" s="151">
        <v>5290</v>
      </c>
      <c r="C58" s="94" t="s">
        <v>186</v>
      </c>
      <c r="D58" s="428"/>
      <c r="E58" s="425"/>
      <c r="F58" s="428"/>
      <c r="G58" s="428"/>
      <c r="H58" s="428"/>
      <c r="I58" s="428"/>
      <c r="J58" s="428"/>
      <c r="K58" s="428"/>
    </row>
    <row r="59" spans="1:11" x14ac:dyDescent="0.25">
      <c r="A59" s="344"/>
      <c r="B59" s="151"/>
      <c r="C59" s="94"/>
      <c r="D59" s="439"/>
      <c r="E59" s="439"/>
      <c r="F59" s="439"/>
      <c r="G59" s="439"/>
      <c r="H59" s="439"/>
      <c r="I59" s="439"/>
      <c r="J59" s="439"/>
      <c r="K59" s="439"/>
    </row>
    <row r="60" spans="1:11" x14ac:dyDescent="0.25">
      <c r="A60" s="344"/>
      <c r="B60" s="151"/>
      <c r="C60" s="93" t="s">
        <v>198</v>
      </c>
      <c r="D60" s="428"/>
      <c r="E60" s="112"/>
      <c r="F60" s="112"/>
      <c r="G60" s="428"/>
      <c r="H60" s="112"/>
      <c r="I60" s="112"/>
      <c r="J60" s="112"/>
      <c r="K60" s="112"/>
    </row>
    <row r="61" spans="1:11" x14ac:dyDescent="0.25">
      <c r="A61" s="118">
        <v>38</v>
      </c>
      <c r="B61" s="151">
        <v>5400</v>
      </c>
      <c r="C61" s="94" t="s">
        <v>334</v>
      </c>
      <c r="D61" s="428"/>
      <c r="E61" s="86"/>
      <c r="F61" s="428"/>
      <c r="G61" s="428"/>
      <c r="H61" s="428"/>
      <c r="I61" s="86"/>
      <c r="J61" s="86"/>
      <c r="K61" s="86"/>
    </row>
    <row r="62" spans="1:11" x14ac:dyDescent="0.25">
      <c r="A62" s="118">
        <v>38</v>
      </c>
      <c r="B62" s="151">
        <v>5405</v>
      </c>
      <c r="C62" s="94" t="s">
        <v>335</v>
      </c>
      <c r="D62" s="428"/>
      <c r="E62" s="425"/>
      <c r="F62" s="428"/>
      <c r="G62" s="428"/>
      <c r="H62" s="428">
        <f>0/8*12</f>
        <v>0</v>
      </c>
      <c r="I62" s="428"/>
      <c r="J62" s="428"/>
      <c r="K62" s="425"/>
    </row>
    <row r="63" spans="1:11" x14ac:dyDescent="0.25">
      <c r="A63" s="344"/>
      <c r="B63" s="151"/>
      <c r="C63" s="94"/>
      <c r="D63" s="429"/>
      <c r="E63" s="429">
        <f>SUM(E61:E62)</f>
        <v>0</v>
      </c>
      <c r="F63" s="429">
        <v>0</v>
      </c>
      <c r="G63" s="429"/>
      <c r="H63" s="429">
        <f>SUM(H61:H62)</f>
        <v>0</v>
      </c>
      <c r="I63" s="429"/>
      <c r="J63" s="429"/>
      <c r="K63" s="429"/>
    </row>
    <row r="64" spans="1:11" x14ac:dyDescent="0.25">
      <c r="A64" s="344"/>
      <c r="B64" s="151"/>
      <c r="C64" s="93" t="s">
        <v>61</v>
      </c>
      <c r="D64" s="428"/>
      <c r="E64" s="86"/>
      <c r="F64" s="86"/>
      <c r="G64" s="428"/>
      <c r="H64" s="86"/>
      <c r="I64" s="86"/>
      <c r="J64" s="86"/>
      <c r="K64" s="86"/>
    </row>
    <row r="65" spans="1:11" x14ac:dyDescent="0.25">
      <c r="A65" s="118">
        <v>38</v>
      </c>
      <c r="B65" s="151">
        <v>5450</v>
      </c>
      <c r="C65" s="94" t="s">
        <v>895</v>
      </c>
      <c r="D65" s="428"/>
      <c r="E65" s="425"/>
      <c r="F65" s="428"/>
      <c r="G65" s="428"/>
      <c r="H65" s="428">
        <f>0/8*12</f>
        <v>0</v>
      </c>
      <c r="I65" s="428">
        <v>60000</v>
      </c>
      <c r="J65" s="428">
        <f>+I65*1.055</f>
        <v>63299.999999999993</v>
      </c>
      <c r="K65" s="425">
        <f>+J65*1.053</f>
        <v>66654.899999999994</v>
      </c>
    </row>
    <row r="66" spans="1:11" x14ac:dyDescent="0.25">
      <c r="A66" s="344"/>
      <c r="B66" s="151"/>
      <c r="C66" s="94"/>
      <c r="D66" s="429"/>
      <c r="E66" s="429">
        <f>E65</f>
        <v>0</v>
      </c>
      <c r="F66" s="429">
        <v>0</v>
      </c>
      <c r="G66" s="429"/>
      <c r="H66" s="429">
        <f>H65</f>
        <v>0</v>
      </c>
      <c r="I66" s="429"/>
      <c r="J66" s="429"/>
      <c r="K66" s="429"/>
    </row>
    <row r="67" spans="1:11" x14ac:dyDescent="0.25">
      <c r="A67" s="344"/>
      <c r="B67" s="151"/>
      <c r="C67" s="93" t="s">
        <v>96</v>
      </c>
      <c r="D67" s="428"/>
      <c r="E67" s="86"/>
      <c r="F67" s="86"/>
      <c r="G67" s="428"/>
      <c r="H67" s="86"/>
      <c r="I67" s="86"/>
      <c r="J67" s="86"/>
      <c r="K67" s="86"/>
    </row>
    <row r="68" spans="1:11" x14ac:dyDescent="0.25">
      <c r="A68" s="118">
        <v>38</v>
      </c>
      <c r="B68" s="151">
        <v>5470</v>
      </c>
      <c r="C68" s="94" t="s">
        <v>97</v>
      </c>
      <c r="D68" s="428"/>
      <c r="E68" s="86"/>
      <c r="F68" s="428">
        <v>0</v>
      </c>
      <c r="G68" s="428"/>
      <c r="H68" s="428">
        <f>0/8*12</f>
        <v>0</v>
      </c>
      <c r="I68" s="428"/>
      <c r="J68" s="428"/>
      <c r="K68" s="428"/>
    </row>
    <row r="69" spans="1:11" x14ac:dyDescent="0.25">
      <c r="A69" s="118">
        <v>38</v>
      </c>
      <c r="B69" s="151">
        <v>5475</v>
      </c>
      <c r="C69" s="94" t="s">
        <v>134</v>
      </c>
      <c r="D69" s="428"/>
      <c r="E69" s="86"/>
      <c r="F69" s="428">
        <v>0</v>
      </c>
      <c r="G69" s="428"/>
      <c r="H69" s="428">
        <f>0/8*12</f>
        <v>0</v>
      </c>
      <c r="I69" s="428"/>
      <c r="J69" s="428"/>
      <c r="K69" s="428"/>
    </row>
    <row r="70" spans="1:11" x14ac:dyDescent="0.25">
      <c r="A70" s="344"/>
      <c r="B70" s="151"/>
      <c r="C70" s="94"/>
      <c r="D70" s="439"/>
      <c r="E70" s="439">
        <f>SUM(E68:E69)</f>
        <v>0</v>
      </c>
      <c r="F70" s="439">
        <v>0</v>
      </c>
      <c r="G70" s="439"/>
      <c r="H70" s="439">
        <f>SUM(H68:H69)</f>
        <v>0</v>
      </c>
      <c r="I70" s="439"/>
      <c r="J70" s="439"/>
      <c r="K70" s="439"/>
    </row>
    <row r="71" spans="1:11" x14ac:dyDescent="0.25">
      <c r="A71" s="344"/>
      <c r="B71" s="151"/>
      <c r="C71" s="93" t="s">
        <v>62</v>
      </c>
      <c r="D71" s="88"/>
      <c r="E71" s="113"/>
      <c r="F71" s="113"/>
      <c r="G71" s="88"/>
      <c r="H71" s="113"/>
      <c r="I71" s="113"/>
      <c r="J71" s="113"/>
      <c r="K71" s="113"/>
    </row>
    <row r="72" spans="1:11" x14ac:dyDescent="0.25">
      <c r="A72" s="118">
        <v>38</v>
      </c>
      <c r="B72" s="151">
        <v>5505</v>
      </c>
      <c r="C72" s="94" t="s">
        <v>259</v>
      </c>
      <c r="D72" s="428"/>
      <c r="E72" s="428"/>
      <c r="F72" s="428"/>
      <c r="G72" s="428"/>
      <c r="H72" s="428"/>
      <c r="I72" s="428">
        <v>180000</v>
      </c>
      <c r="J72" s="428">
        <f>+I72*1.055</f>
        <v>189900</v>
      </c>
      <c r="K72" s="428">
        <f>+J72*1.053</f>
        <v>199964.69999999998</v>
      </c>
    </row>
    <row r="73" spans="1:11" x14ac:dyDescent="0.25">
      <c r="A73" s="118">
        <v>38</v>
      </c>
      <c r="B73" s="151">
        <v>5510</v>
      </c>
      <c r="C73" s="94" t="s">
        <v>63</v>
      </c>
      <c r="D73" s="428"/>
      <c r="E73" s="428"/>
      <c r="F73" s="428">
        <v>0</v>
      </c>
      <c r="G73" s="428">
        <v>0</v>
      </c>
      <c r="H73" s="428"/>
      <c r="I73" s="428"/>
      <c r="J73" s="428"/>
      <c r="K73" s="428"/>
    </row>
    <row r="74" spans="1:11" x14ac:dyDescent="0.25">
      <c r="A74" s="118">
        <v>38</v>
      </c>
      <c r="B74" s="151">
        <v>5520</v>
      </c>
      <c r="C74" s="94" t="s">
        <v>260</v>
      </c>
      <c r="D74" s="428"/>
      <c r="E74" s="428"/>
      <c r="F74" s="428">
        <v>0</v>
      </c>
      <c r="G74" s="428">
        <v>0</v>
      </c>
      <c r="H74" s="428"/>
      <c r="I74" s="428"/>
      <c r="J74" s="428"/>
      <c r="K74" s="428"/>
    </row>
    <row r="75" spans="1:11" x14ac:dyDescent="0.25">
      <c r="A75" s="118">
        <v>38</v>
      </c>
      <c r="B75" s="151">
        <v>5525</v>
      </c>
      <c r="C75" s="94" t="s">
        <v>261</v>
      </c>
      <c r="D75" s="428"/>
      <c r="E75" s="428"/>
      <c r="F75" s="428">
        <v>0</v>
      </c>
      <c r="G75" s="428">
        <v>0</v>
      </c>
      <c r="H75" s="428"/>
      <c r="I75" s="428"/>
      <c r="J75" s="428"/>
      <c r="K75" s="428"/>
    </row>
    <row r="76" spans="1:11" x14ac:dyDescent="0.25">
      <c r="A76" s="118">
        <v>38</v>
      </c>
      <c r="B76" s="151">
        <v>5530</v>
      </c>
      <c r="C76" s="94" t="s">
        <v>262</v>
      </c>
      <c r="D76" s="428"/>
      <c r="E76" s="428"/>
      <c r="F76" s="428">
        <v>0</v>
      </c>
      <c r="G76" s="428">
        <v>0</v>
      </c>
      <c r="H76" s="428"/>
      <c r="I76" s="428"/>
      <c r="J76" s="428"/>
      <c r="K76" s="428"/>
    </row>
    <row r="77" spans="1:11" x14ac:dyDescent="0.25">
      <c r="A77" s="118">
        <v>38</v>
      </c>
      <c r="B77" s="151">
        <v>5535</v>
      </c>
      <c r="C77" s="94" t="s">
        <v>263</v>
      </c>
      <c r="D77" s="428"/>
      <c r="E77" s="428"/>
      <c r="F77" s="428">
        <v>0</v>
      </c>
      <c r="G77" s="428">
        <v>0</v>
      </c>
      <c r="H77" s="428"/>
      <c r="I77" s="428"/>
      <c r="J77" s="428"/>
      <c r="K77" s="428"/>
    </row>
    <row r="78" spans="1:11" x14ac:dyDescent="0.25">
      <c r="A78" s="118">
        <v>38</v>
      </c>
      <c r="B78" s="151">
        <v>5540</v>
      </c>
      <c r="C78" s="94" t="s">
        <v>264</v>
      </c>
      <c r="D78" s="428"/>
      <c r="E78" s="428"/>
      <c r="F78" s="428"/>
      <c r="G78" s="428"/>
      <c r="H78" s="428"/>
      <c r="I78" s="428"/>
      <c r="J78" s="428"/>
      <c r="K78" s="428"/>
    </row>
    <row r="79" spans="1:11" x14ac:dyDescent="0.25">
      <c r="A79" s="118">
        <v>38</v>
      </c>
      <c r="B79" s="151">
        <v>5545</v>
      </c>
      <c r="C79" s="94" t="s">
        <v>265</v>
      </c>
      <c r="D79" s="428"/>
      <c r="E79" s="428"/>
      <c r="F79" s="428">
        <v>0</v>
      </c>
      <c r="G79" s="428">
        <v>0</v>
      </c>
      <c r="H79" s="428"/>
      <c r="I79" s="428"/>
      <c r="J79" s="428"/>
      <c r="K79" s="428"/>
    </row>
    <row r="80" spans="1:11" x14ac:dyDescent="0.25">
      <c r="A80" s="118">
        <v>38</v>
      </c>
      <c r="B80" s="151">
        <v>5550</v>
      </c>
      <c r="C80" s="94" t="s">
        <v>267</v>
      </c>
      <c r="D80" s="428"/>
      <c r="E80" s="428"/>
      <c r="F80" s="428">
        <v>0</v>
      </c>
      <c r="G80" s="428">
        <v>0</v>
      </c>
      <c r="H80" s="428"/>
      <c r="I80" s="428"/>
      <c r="J80" s="428"/>
      <c r="K80" s="428"/>
    </row>
    <row r="81" spans="1:11" x14ac:dyDescent="0.25">
      <c r="A81" s="118">
        <v>38</v>
      </c>
      <c r="B81" s="151">
        <v>5555</v>
      </c>
      <c r="C81" s="94" t="s">
        <v>268</v>
      </c>
      <c r="D81" s="428"/>
      <c r="E81" s="428"/>
      <c r="F81" s="428"/>
      <c r="G81" s="428"/>
      <c r="H81" s="428"/>
      <c r="I81" s="428"/>
      <c r="J81" s="428"/>
      <c r="K81" s="428"/>
    </row>
    <row r="82" spans="1:11" x14ac:dyDescent="0.25">
      <c r="A82" s="118">
        <v>38</v>
      </c>
      <c r="B82" s="151">
        <v>5560</v>
      </c>
      <c r="C82" s="94" t="s">
        <v>269</v>
      </c>
      <c r="D82" s="428"/>
      <c r="E82" s="428"/>
      <c r="F82" s="428">
        <v>0</v>
      </c>
      <c r="G82" s="428">
        <v>0</v>
      </c>
      <c r="H82" s="428"/>
      <c r="I82" s="428"/>
      <c r="J82" s="428"/>
      <c r="K82" s="428"/>
    </row>
    <row r="83" spans="1:11" x14ac:dyDescent="0.25">
      <c r="A83" s="118">
        <v>38</v>
      </c>
      <c r="B83" s="151">
        <v>5565</v>
      </c>
      <c r="C83" s="94" t="s">
        <v>246</v>
      </c>
      <c r="D83" s="428"/>
      <c r="E83" s="428"/>
      <c r="F83" s="428">
        <v>0</v>
      </c>
      <c r="G83" s="428">
        <v>0</v>
      </c>
      <c r="H83" s="428"/>
      <c r="I83" s="428"/>
      <c r="J83" s="428"/>
      <c r="K83" s="428"/>
    </row>
    <row r="84" spans="1:11" x14ac:dyDescent="0.25">
      <c r="A84" s="118">
        <v>38</v>
      </c>
      <c r="B84" s="151">
        <v>5570</v>
      </c>
      <c r="C84" s="94" t="s">
        <v>270</v>
      </c>
      <c r="D84" s="428"/>
      <c r="E84" s="428"/>
      <c r="F84" s="428">
        <v>0</v>
      </c>
      <c r="G84" s="428">
        <v>0</v>
      </c>
      <c r="H84" s="428"/>
      <c r="I84" s="428"/>
      <c r="J84" s="428"/>
      <c r="K84" s="428"/>
    </row>
    <row r="85" spans="1:11" x14ac:dyDescent="0.25">
      <c r="A85" s="118">
        <v>38</v>
      </c>
      <c r="B85" s="151">
        <v>5575</v>
      </c>
      <c r="C85" s="94" t="s">
        <v>271</v>
      </c>
      <c r="D85" s="428"/>
      <c r="E85" s="428"/>
      <c r="F85" s="428">
        <v>0</v>
      </c>
      <c r="G85" s="428">
        <v>0</v>
      </c>
      <c r="H85" s="428"/>
      <c r="I85" s="428"/>
      <c r="J85" s="428"/>
      <c r="K85" s="428"/>
    </row>
    <row r="86" spans="1:11" x14ac:dyDescent="0.25">
      <c r="A86" s="118">
        <v>38</v>
      </c>
      <c r="B86" s="151">
        <v>5580</v>
      </c>
      <c r="C86" s="94" t="s">
        <v>272</v>
      </c>
      <c r="D86" s="428"/>
      <c r="E86" s="428"/>
      <c r="F86" s="428">
        <v>0</v>
      </c>
      <c r="G86" s="428">
        <v>0</v>
      </c>
      <c r="H86" s="428"/>
      <c r="I86" s="428"/>
      <c r="J86" s="428"/>
      <c r="K86" s="428"/>
    </row>
    <row r="87" spans="1:11" x14ac:dyDescent="0.25">
      <c r="A87" s="118">
        <v>38</v>
      </c>
      <c r="B87" s="151">
        <v>5585</v>
      </c>
      <c r="C87" s="94" t="s">
        <v>273</v>
      </c>
      <c r="D87" s="86"/>
      <c r="E87" s="428"/>
      <c r="F87" s="428">
        <v>0</v>
      </c>
      <c r="G87" s="86">
        <v>0</v>
      </c>
      <c r="H87" s="86">
        <v>0</v>
      </c>
      <c r="I87" s="86">
        <v>150000</v>
      </c>
      <c r="J87" s="428">
        <f>+I87*1.055</f>
        <v>158250</v>
      </c>
      <c r="K87" s="428">
        <f>+J87*1.053</f>
        <v>166637.25</v>
      </c>
    </row>
    <row r="88" spans="1:11" x14ac:dyDescent="0.25">
      <c r="A88" s="118">
        <v>38</v>
      </c>
      <c r="B88" s="151">
        <v>5590</v>
      </c>
      <c r="C88" s="94" t="s">
        <v>274</v>
      </c>
      <c r="D88" s="86"/>
      <c r="E88" s="428"/>
      <c r="F88" s="428">
        <v>0</v>
      </c>
      <c r="G88" s="86">
        <v>0</v>
      </c>
      <c r="H88" s="86">
        <v>0</v>
      </c>
      <c r="I88" s="86">
        <v>250000</v>
      </c>
      <c r="J88" s="428">
        <f t="shared" ref="J88:J140" si="1">+I88*1.055</f>
        <v>263750</v>
      </c>
      <c r="K88" s="428">
        <f t="shared" ref="K88:K140" si="2">+J88*1.053</f>
        <v>277728.75</v>
      </c>
    </row>
    <row r="89" spans="1:11" x14ac:dyDescent="0.25">
      <c r="A89" s="118">
        <v>38</v>
      </c>
      <c r="B89" s="151">
        <v>5595</v>
      </c>
      <c r="C89" s="94" t="s">
        <v>275</v>
      </c>
      <c r="D89" s="428"/>
      <c r="E89" s="428"/>
      <c r="F89" s="428">
        <v>0</v>
      </c>
      <c r="G89" s="428">
        <v>0</v>
      </c>
      <c r="H89" s="428">
        <v>0</v>
      </c>
      <c r="I89" s="428">
        <v>500000</v>
      </c>
      <c r="J89" s="428">
        <f t="shared" si="1"/>
        <v>527500</v>
      </c>
      <c r="K89" s="428">
        <f t="shared" si="2"/>
        <v>555457.5</v>
      </c>
    </row>
    <row r="90" spans="1:11" x14ac:dyDescent="0.25">
      <c r="A90" s="118">
        <v>38</v>
      </c>
      <c r="B90" s="151">
        <v>5600</v>
      </c>
      <c r="C90" s="159" t="s">
        <v>276</v>
      </c>
      <c r="D90" s="428"/>
      <c r="E90" s="428"/>
      <c r="F90" s="428">
        <v>0</v>
      </c>
      <c r="G90" s="428">
        <v>0</v>
      </c>
      <c r="H90" s="428"/>
      <c r="I90" s="428"/>
      <c r="J90" s="428">
        <f t="shared" si="1"/>
        <v>0</v>
      </c>
      <c r="K90" s="428">
        <f t="shared" si="2"/>
        <v>0</v>
      </c>
    </row>
    <row r="91" spans="1:11" x14ac:dyDescent="0.25">
      <c r="A91" s="118">
        <v>38</v>
      </c>
      <c r="B91" s="151">
        <v>5605</v>
      </c>
      <c r="C91" s="159" t="s">
        <v>277</v>
      </c>
      <c r="D91" s="428"/>
      <c r="E91" s="428"/>
      <c r="F91" s="428">
        <v>0</v>
      </c>
      <c r="G91" s="428">
        <v>0</v>
      </c>
      <c r="H91" s="428"/>
      <c r="I91" s="428"/>
      <c r="J91" s="428">
        <f t="shared" si="1"/>
        <v>0</v>
      </c>
      <c r="K91" s="428">
        <f t="shared" si="2"/>
        <v>0</v>
      </c>
    </row>
    <row r="92" spans="1:11" x14ac:dyDescent="0.25">
      <c r="A92" s="118">
        <v>38</v>
      </c>
      <c r="B92" s="151">
        <v>5610</v>
      </c>
      <c r="C92" s="159" t="s">
        <v>278</v>
      </c>
      <c r="D92" s="428"/>
      <c r="E92" s="428"/>
      <c r="F92" s="428">
        <v>0</v>
      </c>
      <c r="G92" s="428">
        <v>0</v>
      </c>
      <c r="H92" s="428"/>
      <c r="I92" s="428"/>
      <c r="J92" s="428">
        <f t="shared" si="1"/>
        <v>0</v>
      </c>
      <c r="K92" s="428">
        <f t="shared" si="2"/>
        <v>0</v>
      </c>
    </row>
    <row r="93" spans="1:11" x14ac:dyDescent="0.25">
      <c r="A93" s="118">
        <v>38</v>
      </c>
      <c r="B93" s="151">
        <v>5615</v>
      </c>
      <c r="C93" s="159" t="s">
        <v>887</v>
      </c>
      <c r="D93" s="428"/>
      <c r="E93" s="428"/>
      <c r="F93" s="428">
        <v>0</v>
      </c>
      <c r="G93" s="428">
        <v>0</v>
      </c>
      <c r="H93" s="428">
        <v>0</v>
      </c>
      <c r="I93" s="428"/>
      <c r="J93" s="428"/>
      <c r="K93" s="428"/>
    </row>
    <row r="94" spans="1:11" x14ac:dyDescent="0.25">
      <c r="A94" s="118">
        <v>38</v>
      </c>
      <c r="B94" s="151">
        <v>5620</v>
      </c>
      <c r="C94" s="159" t="s">
        <v>280</v>
      </c>
      <c r="D94" s="428"/>
      <c r="E94" s="428"/>
      <c r="F94" s="428">
        <v>0</v>
      </c>
      <c r="G94" s="428">
        <v>0</v>
      </c>
      <c r="H94" s="428"/>
      <c r="I94" s="428"/>
      <c r="J94" s="428">
        <f t="shared" si="1"/>
        <v>0</v>
      </c>
      <c r="K94" s="428">
        <f t="shared" si="2"/>
        <v>0</v>
      </c>
    </row>
    <row r="95" spans="1:11" x14ac:dyDescent="0.25">
      <c r="A95" s="118">
        <v>38</v>
      </c>
      <c r="B95" s="151">
        <v>5625</v>
      </c>
      <c r="C95" s="159" t="s">
        <v>888</v>
      </c>
      <c r="D95" s="428"/>
      <c r="E95" s="428"/>
      <c r="F95" s="428">
        <v>0</v>
      </c>
      <c r="G95" s="428">
        <v>0</v>
      </c>
      <c r="H95" s="428">
        <v>0</v>
      </c>
      <c r="I95" s="428">
        <v>80000</v>
      </c>
      <c r="J95" s="428">
        <f t="shared" si="1"/>
        <v>84400</v>
      </c>
      <c r="K95" s="428">
        <f t="shared" si="2"/>
        <v>88873.2</v>
      </c>
    </row>
    <row r="96" spans="1:11" x14ac:dyDescent="0.25">
      <c r="A96" s="118">
        <v>38</v>
      </c>
      <c r="B96" s="151">
        <v>5630</v>
      </c>
      <c r="C96" s="159" t="s">
        <v>282</v>
      </c>
      <c r="D96" s="428"/>
      <c r="E96" s="428"/>
      <c r="F96" s="428">
        <v>0</v>
      </c>
      <c r="G96" s="428">
        <v>0</v>
      </c>
      <c r="H96" s="428"/>
      <c r="I96" s="428"/>
      <c r="J96" s="428">
        <f t="shared" si="1"/>
        <v>0</v>
      </c>
      <c r="K96" s="428">
        <f t="shared" si="2"/>
        <v>0</v>
      </c>
    </row>
    <row r="97" spans="1:11" x14ac:dyDescent="0.25">
      <c r="A97" s="118">
        <v>38</v>
      </c>
      <c r="B97" s="151">
        <v>5635</v>
      </c>
      <c r="C97" s="159" t="s">
        <v>283</v>
      </c>
      <c r="D97" s="428"/>
      <c r="E97" s="428"/>
      <c r="F97" s="428">
        <v>0</v>
      </c>
      <c r="G97" s="428">
        <v>0</v>
      </c>
      <c r="H97" s="428"/>
      <c r="I97" s="428"/>
      <c r="J97" s="428">
        <f t="shared" si="1"/>
        <v>0</v>
      </c>
      <c r="K97" s="428">
        <f t="shared" si="2"/>
        <v>0</v>
      </c>
    </row>
    <row r="98" spans="1:11" x14ac:dyDescent="0.25">
      <c r="A98" s="118">
        <v>38</v>
      </c>
      <c r="B98" s="151">
        <v>5640</v>
      </c>
      <c r="C98" s="159" t="s">
        <v>284</v>
      </c>
      <c r="D98" s="428"/>
      <c r="E98" s="428"/>
      <c r="F98" s="428">
        <v>0</v>
      </c>
      <c r="G98" s="428">
        <v>0</v>
      </c>
      <c r="H98" s="428"/>
      <c r="I98" s="428"/>
      <c r="J98" s="428">
        <f t="shared" si="1"/>
        <v>0</v>
      </c>
      <c r="K98" s="428">
        <f t="shared" si="2"/>
        <v>0</v>
      </c>
    </row>
    <row r="99" spans="1:11" x14ac:dyDescent="0.25">
      <c r="A99" s="118">
        <v>38</v>
      </c>
      <c r="B99" s="151">
        <v>5645</v>
      </c>
      <c r="C99" s="159" t="s">
        <v>285</v>
      </c>
      <c r="D99" s="428"/>
      <c r="E99" s="428"/>
      <c r="F99" s="428">
        <v>0</v>
      </c>
      <c r="G99" s="428">
        <v>0</v>
      </c>
      <c r="H99" s="428"/>
      <c r="I99" s="428"/>
      <c r="J99" s="428">
        <f t="shared" si="1"/>
        <v>0</v>
      </c>
      <c r="K99" s="428">
        <f t="shared" si="2"/>
        <v>0</v>
      </c>
    </row>
    <row r="100" spans="1:11" x14ac:dyDescent="0.25">
      <c r="A100" s="118">
        <v>38</v>
      </c>
      <c r="B100" s="151">
        <v>5650</v>
      </c>
      <c r="C100" s="159" t="s">
        <v>286</v>
      </c>
      <c r="D100" s="428"/>
      <c r="E100" s="428"/>
      <c r="F100" s="428">
        <v>0</v>
      </c>
      <c r="G100" s="428">
        <v>0</v>
      </c>
      <c r="H100" s="428"/>
      <c r="I100" s="428"/>
      <c r="J100" s="428">
        <f t="shared" si="1"/>
        <v>0</v>
      </c>
      <c r="K100" s="428">
        <f t="shared" si="2"/>
        <v>0</v>
      </c>
    </row>
    <row r="101" spans="1:11" x14ac:dyDescent="0.25">
      <c r="A101" s="118">
        <v>38</v>
      </c>
      <c r="B101" s="151">
        <v>5655</v>
      </c>
      <c r="C101" s="159" t="s">
        <v>287</v>
      </c>
      <c r="D101" s="428"/>
      <c r="E101" s="428"/>
      <c r="F101" s="428">
        <v>0</v>
      </c>
      <c r="G101" s="428">
        <v>0</v>
      </c>
      <c r="H101" s="428"/>
      <c r="I101" s="428"/>
      <c r="J101" s="428">
        <f t="shared" si="1"/>
        <v>0</v>
      </c>
      <c r="K101" s="428">
        <f t="shared" si="2"/>
        <v>0</v>
      </c>
    </row>
    <row r="102" spans="1:11" x14ac:dyDescent="0.25">
      <c r="A102" s="118">
        <v>38</v>
      </c>
      <c r="B102" s="151">
        <v>5660</v>
      </c>
      <c r="C102" s="159" t="s">
        <v>288</v>
      </c>
      <c r="D102" s="428"/>
      <c r="E102" s="428"/>
      <c r="F102" s="428">
        <v>0</v>
      </c>
      <c r="G102" s="428">
        <v>0</v>
      </c>
      <c r="H102" s="428"/>
      <c r="I102" s="428"/>
      <c r="J102" s="428">
        <f t="shared" si="1"/>
        <v>0</v>
      </c>
      <c r="K102" s="428">
        <f t="shared" si="2"/>
        <v>0</v>
      </c>
    </row>
    <row r="103" spans="1:11" x14ac:dyDescent="0.25">
      <c r="A103" s="118">
        <v>38</v>
      </c>
      <c r="B103" s="151">
        <v>5665</v>
      </c>
      <c r="C103" s="94" t="s">
        <v>289</v>
      </c>
      <c r="D103" s="428"/>
      <c r="E103" s="428"/>
      <c r="F103" s="428">
        <v>0</v>
      </c>
      <c r="G103" s="428">
        <v>0</v>
      </c>
      <c r="H103" s="428"/>
      <c r="I103" s="428"/>
      <c r="J103" s="428">
        <f t="shared" si="1"/>
        <v>0</v>
      </c>
      <c r="K103" s="428">
        <f t="shared" si="2"/>
        <v>0</v>
      </c>
    </row>
    <row r="104" spans="1:11" x14ac:dyDescent="0.25">
      <c r="A104" s="118">
        <v>38</v>
      </c>
      <c r="B104" s="151">
        <v>5670</v>
      </c>
      <c r="C104" s="94" t="s">
        <v>290</v>
      </c>
      <c r="D104" s="428"/>
      <c r="E104" s="428"/>
      <c r="F104" s="428">
        <v>0</v>
      </c>
      <c r="G104" s="428">
        <v>0</v>
      </c>
      <c r="H104" s="428"/>
      <c r="I104" s="428"/>
      <c r="J104" s="428">
        <f t="shared" si="1"/>
        <v>0</v>
      </c>
      <c r="K104" s="428">
        <f t="shared" si="2"/>
        <v>0</v>
      </c>
    </row>
    <row r="105" spans="1:11" x14ac:dyDescent="0.25">
      <c r="A105" s="118">
        <v>38</v>
      </c>
      <c r="B105" s="151">
        <v>5675</v>
      </c>
      <c r="C105" s="94" t="s">
        <v>291</v>
      </c>
      <c r="D105" s="428"/>
      <c r="E105" s="428"/>
      <c r="F105" s="428">
        <v>0</v>
      </c>
      <c r="G105" s="428">
        <v>0</v>
      </c>
      <c r="H105" s="428"/>
      <c r="I105" s="428"/>
      <c r="J105" s="428">
        <f t="shared" si="1"/>
        <v>0</v>
      </c>
      <c r="K105" s="428">
        <f t="shared" si="2"/>
        <v>0</v>
      </c>
    </row>
    <row r="106" spans="1:11" x14ac:dyDescent="0.25">
      <c r="A106" s="118">
        <v>38</v>
      </c>
      <c r="B106" s="151">
        <v>5680</v>
      </c>
      <c r="C106" s="94" t="s">
        <v>292</v>
      </c>
      <c r="D106" s="428"/>
      <c r="E106" s="428"/>
      <c r="F106" s="428">
        <v>0</v>
      </c>
      <c r="G106" s="428">
        <v>0</v>
      </c>
      <c r="H106" s="428"/>
      <c r="I106" s="428"/>
      <c r="J106" s="428">
        <f t="shared" si="1"/>
        <v>0</v>
      </c>
      <c r="K106" s="428">
        <f t="shared" si="2"/>
        <v>0</v>
      </c>
    </row>
    <row r="107" spans="1:11" x14ac:dyDescent="0.25">
      <c r="A107" s="118">
        <v>38</v>
      </c>
      <c r="B107" s="151">
        <v>5685</v>
      </c>
      <c r="C107" s="94" t="s">
        <v>293</v>
      </c>
      <c r="D107" s="428"/>
      <c r="E107" s="428"/>
      <c r="F107" s="428">
        <v>0</v>
      </c>
      <c r="G107" s="428">
        <v>0</v>
      </c>
      <c r="H107" s="428"/>
      <c r="I107" s="428"/>
      <c r="J107" s="428">
        <f t="shared" si="1"/>
        <v>0</v>
      </c>
      <c r="K107" s="428">
        <f t="shared" si="2"/>
        <v>0</v>
      </c>
    </row>
    <row r="108" spans="1:11" x14ac:dyDescent="0.25">
      <c r="A108" s="118">
        <v>38</v>
      </c>
      <c r="B108" s="151">
        <v>5690</v>
      </c>
      <c r="C108" s="94" t="s">
        <v>247</v>
      </c>
      <c r="D108" s="428"/>
      <c r="E108" s="428"/>
      <c r="F108" s="428">
        <v>0</v>
      </c>
      <c r="G108" s="428">
        <v>0</v>
      </c>
      <c r="H108" s="428"/>
      <c r="I108" s="428"/>
      <c r="J108" s="428">
        <f t="shared" si="1"/>
        <v>0</v>
      </c>
      <c r="K108" s="428">
        <f t="shared" si="2"/>
        <v>0</v>
      </c>
    </row>
    <row r="109" spans="1:11" x14ac:dyDescent="0.25">
      <c r="A109" s="118">
        <v>38</v>
      </c>
      <c r="B109" s="151">
        <v>5695</v>
      </c>
      <c r="C109" s="94" t="s">
        <v>294</v>
      </c>
      <c r="D109" s="428"/>
      <c r="E109" s="428"/>
      <c r="F109" s="428">
        <v>0</v>
      </c>
      <c r="G109" s="428">
        <v>0</v>
      </c>
      <c r="H109" s="428"/>
      <c r="I109" s="428"/>
      <c r="J109" s="428">
        <f t="shared" si="1"/>
        <v>0</v>
      </c>
      <c r="K109" s="428">
        <f t="shared" si="2"/>
        <v>0</v>
      </c>
    </row>
    <row r="110" spans="1:11" x14ac:dyDescent="0.25">
      <c r="A110" s="118">
        <v>38</v>
      </c>
      <c r="B110" s="151">
        <v>5700</v>
      </c>
      <c r="C110" s="94" t="s">
        <v>889</v>
      </c>
      <c r="D110" s="428"/>
      <c r="E110" s="428"/>
      <c r="F110" s="428">
        <v>0</v>
      </c>
      <c r="G110" s="428">
        <v>0</v>
      </c>
      <c r="H110" s="428">
        <v>0</v>
      </c>
      <c r="I110" s="428"/>
      <c r="J110" s="428"/>
      <c r="K110" s="428"/>
    </row>
    <row r="111" spans="1:11" x14ac:dyDescent="0.25">
      <c r="A111" s="118">
        <v>38</v>
      </c>
      <c r="B111" s="151">
        <v>5710</v>
      </c>
      <c r="C111" s="94" t="s">
        <v>297</v>
      </c>
      <c r="D111" s="428"/>
      <c r="E111" s="428"/>
      <c r="F111" s="428">
        <v>0</v>
      </c>
      <c r="G111" s="428">
        <v>0</v>
      </c>
      <c r="H111" s="428"/>
      <c r="I111" s="428"/>
      <c r="J111" s="428">
        <f t="shared" si="1"/>
        <v>0</v>
      </c>
      <c r="K111" s="428">
        <f t="shared" si="2"/>
        <v>0</v>
      </c>
    </row>
    <row r="112" spans="1:11" x14ac:dyDescent="0.25">
      <c r="A112" s="118">
        <v>38</v>
      </c>
      <c r="B112" s="151">
        <v>5715</v>
      </c>
      <c r="C112" s="94" t="s">
        <v>298</v>
      </c>
      <c r="D112" s="428"/>
      <c r="E112" s="428"/>
      <c r="F112" s="428">
        <v>0</v>
      </c>
      <c r="G112" s="428">
        <v>0</v>
      </c>
      <c r="H112" s="428"/>
      <c r="I112" s="428"/>
      <c r="J112" s="428">
        <f t="shared" si="1"/>
        <v>0</v>
      </c>
      <c r="K112" s="428">
        <f t="shared" si="2"/>
        <v>0</v>
      </c>
    </row>
    <row r="113" spans="1:11" x14ac:dyDescent="0.25">
      <c r="A113" s="118">
        <v>38</v>
      </c>
      <c r="B113" s="151">
        <v>5720</v>
      </c>
      <c r="C113" s="94" t="s">
        <v>299</v>
      </c>
      <c r="D113" s="428"/>
      <c r="E113" s="428"/>
      <c r="F113" s="428">
        <v>0</v>
      </c>
      <c r="G113" s="428">
        <v>0</v>
      </c>
      <c r="H113" s="428">
        <v>0</v>
      </c>
      <c r="I113" s="428">
        <f>800000-180000-200000</f>
        <v>420000</v>
      </c>
      <c r="J113" s="428">
        <f t="shared" si="1"/>
        <v>443100</v>
      </c>
      <c r="K113" s="428">
        <f t="shared" si="2"/>
        <v>466584.3</v>
      </c>
    </row>
    <row r="114" spans="1:11" x14ac:dyDescent="0.25">
      <c r="A114" s="118">
        <v>38</v>
      </c>
      <c r="B114" s="151">
        <v>5730</v>
      </c>
      <c r="C114" s="94" t="s">
        <v>300</v>
      </c>
      <c r="D114" s="428"/>
      <c r="E114" s="428"/>
      <c r="F114" s="428">
        <v>0</v>
      </c>
      <c r="G114" s="428">
        <v>0</v>
      </c>
      <c r="H114" s="428"/>
      <c r="I114" s="428"/>
      <c r="J114" s="428">
        <f t="shared" si="1"/>
        <v>0</v>
      </c>
      <c r="K114" s="428">
        <f t="shared" si="2"/>
        <v>0</v>
      </c>
    </row>
    <row r="115" spans="1:11" x14ac:dyDescent="0.25">
      <c r="A115" s="118">
        <v>38</v>
      </c>
      <c r="B115" s="151">
        <v>5735</v>
      </c>
      <c r="C115" s="94" t="s">
        <v>301</v>
      </c>
      <c r="D115" s="428"/>
      <c r="E115" s="428"/>
      <c r="F115" s="428">
        <v>0</v>
      </c>
      <c r="G115" s="428">
        <v>0</v>
      </c>
      <c r="H115" s="428"/>
      <c r="I115" s="428"/>
      <c r="J115" s="428">
        <f t="shared" si="1"/>
        <v>0</v>
      </c>
      <c r="K115" s="428">
        <f t="shared" si="2"/>
        <v>0</v>
      </c>
    </row>
    <row r="116" spans="1:11" x14ac:dyDescent="0.25">
      <c r="A116" s="118">
        <v>38</v>
      </c>
      <c r="B116" s="151">
        <v>5740</v>
      </c>
      <c r="C116" s="94" t="s">
        <v>302</v>
      </c>
      <c r="D116" s="428"/>
      <c r="E116" s="428"/>
      <c r="F116" s="428">
        <v>0</v>
      </c>
      <c r="G116" s="428">
        <v>0</v>
      </c>
      <c r="H116" s="428"/>
      <c r="I116" s="428"/>
      <c r="J116" s="428">
        <f t="shared" si="1"/>
        <v>0</v>
      </c>
      <c r="K116" s="428">
        <f t="shared" si="2"/>
        <v>0</v>
      </c>
    </row>
    <row r="117" spans="1:11" x14ac:dyDescent="0.25">
      <c r="A117" s="118">
        <v>38</v>
      </c>
      <c r="B117" s="151">
        <v>5745</v>
      </c>
      <c r="C117" s="94" t="s">
        <v>303</v>
      </c>
      <c r="D117" s="428"/>
      <c r="E117" s="428"/>
      <c r="F117" s="428">
        <v>0</v>
      </c>
      <c r="G117" s="428">
        <v>0</v>
      </c>
      <c r="H117" s="428"/>
      <c r="I117" s="428"/>
      <c r="J117" s="428">
        <f t="shared" si="1"/>
        <v>0</v>
      </c>
      <c r="K117" s="428">
        <f t="shared" si="2"/>
        <v>0</v>
      </c>
    </row>
    <row r="118" spans="1:11" x14ac:dyDescent="0.25">
      <c r="A118" s="118">
        <v>38</v>
      </c>
      <c r="B118" s="151">
        <v>5750</v>
      </c>
      <c r="C118" s="94" t="s">
        <v>304</v>
      </c>
      <c r="D118" s="428"/>
      <c r="E118" s="428"/>
      <c r="F118" s="428"/>
      <c r="G118" s="428"/>
      <c r="H118" s="428"/>
      <c r="I118" s="428"/>
      <c r="J118" s="428">
        <f t="shared" si="1"/>
        <v>0</v>
      </c>
      <c r="K118" s="428">
        <f t="shared" si="2"/>
        <v>0</v>
      </c>
    </row>
    <row r="119" spans="1:11" x14ac:dyDescent="0.25">
      <c r="A119" s="118">
        <v>38</v>
      </c>
      <c r="B119" s="151">
        <v>5755</v>
      </c>
      <c r="C119" s="94" t="s">
        <v>305</v>
      </c>
      <c r="D119" s="428"/>
      <c r="E119" s="428"/>
      <c r="F119" s="428"/>
      <c r="G119" s="428"/>
      <c r="H119" s="428"/>
      <c r="I119" s="428"/>
      <c r="J119" s="428">
        <f t="shared" si="1"/>
        <v>0</v>
      </c>
      <c r="K119" s="428">
        <f t="shared" si="2"/>
        <v>0</v>
      </c>
    </row>
    <row r="120" spans="1:11" x14ac:dyDescent="0.25">
      <c r="A120" s="118">
        <v>38</v>
      </c>
      <c r="B120" s="151">
        <v>5760</v>
      </c>
      <c r="C120" s="94" t="s">
        <v>306</v>
      </c>
      <c r="D120" s="428"/>
      <c r="E120" s="428"/>
      <c r="F120" s="428"/>
      <c r="G120" s="428"/>
      <c r="H120" s="428"/>
      <c r="I120" s="428">
        <v>500000</v>
      </c>
      <c r="J120" s="428">
        <v>527500</v>
      </c>
      <c r="K120" s="428">
        <v>555458</v>
      </c>
    </row>
    <row r="121" spans="1:11" x14ac:dyDescent="0.25">
      <c r="A121" s="118">
        <v>38</v>
      </c>
      <c r="B121" s="151">
        <v>5765</v>
      </c>
      <c r="C121" s="94" t="s">
        <v>307</v>
      </c>
      <c r="D121" s="428"/>
      <c r="E121" s="428"/>
      <c r="F121" s="428"/>
      <c r="G121" s="428"/>
      <c r="H121" s="428"/>
      <c r="I121" s="428"/>
      <c r="J121" s="428">
        <f t="shared" si="1"/>
        <v>0</v>
      </c>
      <c r="K121" s="428">
        <f t="shared" si="2"/>
        <v>0</v>
      </c>
    </row>
    <row r="122" spans="1:11" x14ac:dyDescent="0.25">
      <c r="A122" s="118">
        <v>38</v>
      </c>
      <c r="B122" s="151">
        <v>5770</v>
      </c>
      <c r="C122" s="94" t="s">
        <v>308</v>
      </c>
      <c r="D122" s="428"/>
      <c r="E122" s="428"/>
      <c r="F122" s="428"/>
      <c r="G122" s="428"/>
      <c r="H122" s="428"/>
      <c r="I122" s="428"/>
      <c r="J122" s="428">
        <f t="shared" si="1"/>
        <v>0</v>
      </c>
      <c r="K122" s="428">
        <f t="shared" si="2"/>
        <v>0</v>
      </c>
    </row>
    <row r="123" spans="1:11" x14ac:dyDescent="0.25">
      <c r="A123" s="118">
        <v>38</v>
      </c>
      <c r="B123" s="151">
        <v>5775</v>
      </c>
      <c r="C123" s="94" t="s">
        <v>309</v>
      </c>
      <c r="D123" s="428"/>
      <c r="E123" s="428"/>
      <c r="F123" s="428"/>
      <c r="G123" s="428"/>
      <c r="H123" s="428"/>
      <c r="I123" s="428"/>
      <c r="J123" s="428">
        <f t="shared" si="1"/>
        <v>0</v>
      </c>
      <c r="K123" s="428">
        <f t="shared" si="2"/>
        <v>0</v>
      </c>
    </row>
    <row r="124" spans="1:11" x14ac:dyDescent="0.25">
      <c r="A124" s="118">
        <v>38</v>
      </c>
      <c r="B124" s="151">
        <v>5780</v>
      </c>
      <c r="C124" s="94" t="s">
        <v>310</v>
      </c>
      <c r="D124" s="428"/>
      <c r="E124" s="428"/>
      <c r="F124" s="428"/>
      <c r="G124" s="428"/>
      <c r="H124" s="428"/>
      <c r="I124" s="428"/>
      <c r="J124" s="428">
        <f t="shared" si="1"/>
        <v>0</v>
      </c>
      <c r="K124" s="428">
        <f t="shared" si="2"/>
        <v>0</v>
      </c>
    </row>
    <row r="125" spans="1:11" x14ac:dyDescent="0.25">
      <c r="A125" s="118">
        <v>38</v>
      </c>
      <c r="B125" s="151">
        <v>5785</v>
      </c>
      <c r="C125" s="94" t="s">
        <v>311</v>
      </c>
      <c r="D125" s="428"/>
      <c r="E125" s="428"/>
      <c r="F125" s="428">
        <v>0</v>
      </c>
      <c r="G125" s="428">
        <v>0</v>
      </c>
      <c r="H125" s="428">
        <f t="shared" ref="H125:H147" si="3">0/8*12</f>
        <v>0</v>
      </c>
      <c r="I125" s="428"/>
      <c r="J125" s="428">
        <f t="shared" si="1"/>
        <v>0</v>
      </c>
      <c r="K125" s="428">
        <f t="shared" si="2"/>
        <v>0</v>
      </c>
    </row>
    <row r="126" spans="1:11" x14ac:dyDescent="0.25">
      <c r="A126" s="118">
        <v>38</v>
      </c>
      <c r="B126" s="151">
        <v>5790</v>
      </c>
      <c r="C126" s="94" t="s">
        <v>312</v>
      </c>
      <c r="D126" s="428"/>
      <c r="E126" s="428"/>
      <c r="F126" s="428">
        <v>0</v>
      </c>
      <c r="G126" s="428">
        <v>0</v>
      </c>
      <c r="H126" s="428">
        <f t="shared" si="3"/>
        <v>0</v>
      </c>
      <c r="I126" s="428"/>
      <c r="J126" s="428">
        <f t="shared" si="1"/>
        <v>0</v>
      </c>
      <c r="K126" s="428">
        <f t="shared" si="2"/>
        <v>0</v>
      </c>
    </row>
    <row r="127" spans="1:11" x14ac:dyDescent="0.25">
      <c r="A127" s="118">
        <v>38</v>
      </c>
      <c r="B127" s="151">
        <v>5795</v>
      </c>
      <c r="C127" s="94" t="s">
        <v>313</v>
      </c>
      <c r="D127" s="428"/>
      <c r="E127" s="428"/>
      <c r="F127" s="428">
        <v>0</v>
      </c>
      <c r="G127" s="428">
        <v>0</v>
      </c>
      <c r="H127" s="428">
        <f t="shared" si="3"/>
        <v>0</v>
      </c>
      <c r="I127" s="428"/>
      <c r="J127" s="428">
        <f t="shared" si="1"/>
        <v>0</v>
      </c>
      <c r="K127" s="428">
        <f t="shared" si="2"/>
        <v>0</v>
      </c>
    </row>
    <row r="128" spans="1:11" x14ac:dyDescent="0.25">
      <c r="A128" s="118">
        <v>38</v>
      </c>
      <c r="B128" s="151">
        <v>5800</v>
      </c>
      <c r="C128" s="94" t="s">
        <v>314</v>
      </c>
      <c r="D128" s="428"/>
      <c r="E128" s="428"/>
      <c r="F128" s="428">
        <v>0</v>
      </c>
      <c r="G128" s="428">
        <v>0</v>
      </c>
      <c r="H128" s="428">
        <f t="shared" si="3"/>
        <v>0</v>
      </c>
      <c r="I128" s="428"/>
      <c r="J128" s="428">
        <f t="shared" si="1"/>
        <v>0</v>
      </c>
      <c r="K128" s="428">
        <f t="shared" si="2"/>
        <v>0</v>
      </c>
    </row>
    <row r="129" spans="1:11" x14ac:dyDescent="0.25">
      <c r="A129" s="118">
        <v>38</v>
      </c>
      <c r="B129" s="151">
        <v>5805</v>
      </c>
      <c r="C129" s="94" t="s">
        <v>315</v>
      </c>
      <c r="D129" s="428"/>
      <c r="E129" s="428"/>
      <c r="F129" s="428">
        <v>0</v>
      </c>
      <c r="G129" s="428">
        <v>0</v>
      </c>
      <c r="H129" s="428">
        <f t="shared" si="3"/>
        <v>0</v>
      </c>
      <c r="I129" s="428"/>
      <c r="J129" s="428">
        <f t="shared" si="1"/>
        <v>0</v>
      </c>
      <c r="K129" s="428">
        <f t="shared" si="2"/>
        <v>0</v>
      </c>
    </row>
    <row r="130" spans="1:11" x14ac:dyDescent="0.25">
      <c r="A130" s="118">
        <v>38</v>
      </c>
      <c r="B130" s="151">
        <v>5810</v>
      </c>
      <c r="C130" s="94" t="s">
        <v>316</v>
      </c>
      <c r="D130" s="428"/>
      <c r="E130" s="428"/>
      <c r="F130" s="428">
        <v>0</v>
      </c>
      <c r="G130" s="428">
        <v>0</v>
      </c>
      <c r="H130" s="428">
        <f t="shared" si="3"/>
        <v>0</v>
      </c>
      <c r="I130" s="428"/>
      <c r="J130" s="428">
        <f t="shared" si="1"/>
        <v>0</v>
      </c>
      <c r="K130" s="428">
        <f t="shared" si="2"/>
        <v>0</v>
      </c>
    </row>
    <row r="131" spans="1:11" x14ac:dyDescent="0.25">
      <c r="A131" s="118">
        <v>38</v>
      </c>
      <c r="B131" s="151">
        <v>5815</v>
      </c>
      <c r="C131" s="94" t="s">
        <v>99</v>
      </c>
      <c r="D131" s="428"/>
      <c r="E131" s="428"/>
      <c r="F131" s="428">
        <v>0</v>
      </c>
      <c r="G131" s="428">
        <v>0</v>
      </c>
      <c r="H131" s="428">
        <f t="shared" si="3"/>
        <v>0</v>
      </c>
      <c r="I131" s="428">
        <v>100000</v>
      </c>
      <c r="J131" s="428">
        <f>+I131*1.055</f>
        <v>105500</v>
      </c>
      <c r="K131" s="428">
        <f>+J131*1.053</f>
        <v>111091.5</v>
      </c>
    </row>
    <row r="132" spans="1:11" x14ac:dyDescent="0.25">
      <c r="A132" s="118">
        <v>38</v>
      </c>
      <c r="B132" s="151">
        <v>5820</v>
      </c>
      <c r="C132" s="94" t="s">
        <v>114</v>
      </c>
      <c r="D132" s="86"/>
      <c r="E132" s="428"/>
      <c r="F132" s="428">
        <v>0</v>
      </c>
      <c r="G132" s="86">
        <v>0</v>
      </c>
      <c r="H132" s="428">
        <f t="shared" si="3"/>
        <v>0</v>
      </c>
      <c r="I132" s="428"/>
      <c r="J132" s="428">
        <f t="shared" si="1"/>
        <v>0</v>
      </c>
      <c r="K132" s="428">
        <f t="shared" si="2"/>
        <v>0</v>
      </c>
    </row>
    <row r="133" spans="1:11" x14ac:dyDescent="0.25">
      <c r="A133" s="118">
        <v>38</v>
      </c>
      <c r="B133" s="151">
        <v>5825</v>
      </c>
      <c r="C133" s="94" t="s">
        <v>317</v>
      </c>
      <c r="D133" s="86"/>
      <c r="E133" s="428"/>
      <c r="F133" s="428">
        <v>0</v>
      </c>
      <c r="G133" s="86">
        <v>0</v>
      </c>
      <c r="H133" s="428">
        <f t="shared" si="3"/>
        <v>0</v>
      </c>
      <c r="I133" s="428"/>
      <c r="J133" s="428">
        <f t="shared" si="1"/>
        <v>0</v>
      </c>
      <c r="K133" s="428">
        <f t="shared" si="2"/>
        <v>0</v>
      </c>
    </row>
    <row r="134" spans="1:11" x14ac:dyDescent="0.25">
      <c r="A134" s="118">
        <v>38</v>
      </c>
      <c r="B134" s="151">
        <v>5830</v>
      </c>
      <c r="C134" s="94" t="s">
        <v>318</v>
      </c>
      <c r="D134" s="86"/>
      <c r="E134" s="428"/>
      <c r="F134" s="428">
        <v>0</v>
      </c>
      <c r="G134" s="86">
        <v>0</v>
      </c>
      <c r="H134" s="428">
        <f t="shared" si="3"/>
        <v>0</v>
      </c>
      <c r="I134" s="428"/>
      <c r="J134" s="428">
        <f t="shared" si="1"/>
        <v>0</v>
      </c>
      <c r="K134" s="428">
        <f t="shared" si="2"/>
        <v>0</v>
      </c>
    </row>
    <row r="135" spans="1:11" x14ac:dyDescent="0.25">
      <c r="A135" s="118">
        <v>38</v>
      </c>
      <c r="B135" s="151">
        <v>5835</v>
      </c>
      <c r="C135" s="94" t="s">
        <v>319</v>
      </c>
      <c r="D135" s="86"/>
      <c r="E135" s="428"/>
      <c r="F135" s="428">
        <v>0</v>
      </c>
      <c r="G135" s="86">
        <v>0</v>
      </c>
      <c r="H135" s="428">
        <f t="shared" si="3"/>
        <v>0</v>
      </c>
      <c r="I135" s="428"/>
      <c r="J135" s="428">
        <f t="shared" si="1"/>
        <v>0</v>
      </c>
      <c r="K135" s="428">
        <f t="shared" si="2"/>
        <v>0</v>
      </c>
    </row>
    <row r="136" spans="1:11" x14ac:dyDescent="0.25">
      <c r="A136" s="118">
        <v>38</v>
      </c>
      <c r="B136" s="151">
        <v>5840</v>
      </c>
      <c r="C136" s="94" t="s">
        <v>332</v>
      </c>
      <c r="D136" s="440"/>
      <c r="E136" s="428"/>
      <c r="F136" s="428">
        <v>0</v>
      </c>
      <c r="G136" s="440"/>
      <c r="H136" s="428">
        <f t="shared" si="3"/>
        <v>0</v>
      </c>
      <c r="I136" s="428"/>
      <c r="J136" s="428">
        <f t="shared" si="1"/>
        <v>0</v>
      </c>
      <c r="K136" s="428">
        <f t="shared" si="2"/>
        <v>0</v>
      </c>
    </row>
    <row r="137" spans="1:11" x14ac:dyDescent="0.25">
      <c r="A137" s="118">
        <v>38</v>
      </c>
      <c r="B137" s="151">
        <v>5845</v>
      </c>
      <c r="C137" s="94" t="s">
        <v>320</v>
      </c>
      <c r="D137" s="86"/>
      <c r="E137" s="428"/>
      <c r="F137" s="428">
        <v>0</v>
      </c>
      <c r="G137" s="86">
        <v>0</v>
      </c>
      <c r="H137" s="428">
        <f t="shared" si="3"/>
        <v>0</v>
      </c>
      <c r="I137" s="428"/>
      <c r="J137" s="428">
        <f t="shared" si="1"/>
        <v>0</v>
      </c>
      <c r="K137" s="428">
        <f t="shared" si="2"/>
        <v>0</v>
      </c>
    </row>
    <row r="138" spans="1:11" x14ac:dyDescent="0.25">
      <c r="A138" s="118">
        <v>38</v>
      </c>
      <c r="B138" s="151">
        <v>5855</v>
      </c>
      <c r="C138" s="94" t="s">
        <v>321</v>
      </c>
      <c r="D138" s="428"/>
      <c r="E138" s="428"/>
      <c r="F138" s="428">
        <v>0</v>
      </c>
      <c r="G138" s="428">
        <v>0</v>
      </c>
      <c r="H138" s="428">
        <f t="shared" si="3"/>
        <v>0</v>
      </c>
      <c r="I138" s="428"/>
      <c r="J138" s="428">
        <f t="shared" si="1"/>
        <v>0</v>
      </c>
      <c r="K138" s="428">
        <f t="shared" si="2"/>
        <v>0</v>
      </c>
    </row>
    <row r="139" spans="1:11" x14ac:dyDescent="0.25">
      <c r="A139" s="118">
        <v>38</v>
      </c>
      <c r="B139" s="151">
        <v>5860</v>
      </c>
      <c r="C139" s="94" t="s">
        <v>322</v>
      </c>
      <c r="D139" s="428"/>
      <c r="E139" s="428"/>
      <c r="F139" s="428">
        <v>0</v>
      </c>
      <c r="G139" s="428">
        <v>0</v>
      </c>
      <c r="H139" s="428">
        <f t="shared" si="3"/>
        <v>0</v>
      </c>
      <c r="I139" s="428"/>
      <c r="J139" s="428">
        <f t="shared" si="1"/>
        <v>0</v>
      </c>
      <c r="K139" s="428">
        <f t="shared" si="2"/>
        <v>0</v>
      </c>
    </row>
    <row r="140" spans="1:11" x14ac:dyDescent="0.25">
      <c r="A140" s="118">
        <v>38</v>
      </c>
      <c r="B140" s="151">
        <v>5865</v>
      </c>
      <c r="C140" s="94" t="s">
        <v>323</v>
      </c>
      <c r="D140" s="428"/>
      <c r="E140" s="428"/>
      <c r="F140" s="428">
        <v>0</v>
      </c>
      <c r="G140" s="428">
        <v>0</v>
      </c>
      <c r="H140" s="428">
        <f t="shared" si="3"/>
        <v>0</v>
      </c>
      <c r="I140" s="428"/>
      <c r="J140" s="428">
        <f t="shared" si="1"/>
        <v>0</v>
      </c>
      <c r="K140" s="428">
        <f t="shared" si="2"/>
        <v>0</v>
      </c>
    </row>
    <row r="141" spans="1:11" x14ac:dyDescent="0.25">
      <c r="A141" s="118">
        <v>38</v>
      </c>
      <c r="B141" s="151">
        <v>5870</v>
      </c>
      <c r="C141" s="94" t="s">
        <v>324</v>
      </c>
      <c r="D141" s="428"/>
      <c r="E141" s="428"/>
      <c r="F141" s="428">
        <v>0</v>
      </c>
      <c r="G141" s="428">
        <v>0</v>
      </c>
      <c r="H141" s="428">
        <f t="shared" si="3"/>
        <v>0</v>
      </c>
      <c r="I141" s="428"/>
      <c r="J141" s="428">
        <f t="shared" ref="J141:J147" si="4">+I141*1.055</f>
        <v>0</v>
      </c>
      <c r="K141" s="428">
        <f t="shared" ref="K141:K147" si="5">+J141*1.053</f>
        <v>0</v>
      </c>
    </row>
    <row r="142" spans="1:11" x14ac:dyDescent="0.25">
      <c r="A142" s="118">
        <v>38</v>
      </c>
      <c r="B142" s="151">
        <v>5875</v>
      </c>
      <c r="C142" s="94" t="s">
        <v>325</v>
      </c>
      <c r="D142" s="428"/>
      <c r="E142" s="428"/>
      <c r="F142" s="428">
        <v>0</v>
      </c>
      <c r="G142" s="428">
        <v>0</v>
      </c>
      <c r="H142" s="428">
        <f t="shared" si="3"/>
        <v>0</v>
      </c>
      <c r="I142" s="428"/>
      <c r="J142" s="428">
        <f t="shared" si="4"/>
        <v>0</v>
      </c>
      <c r="K142" s="428">
        <f t="shared" si="5"/>
        <v>0</v>
      </c>
    </row>
    <row r="143" spans="1:11" x14ac:dyDescent="0.25">
      <c r="A143" s="118">
        <v>38</v>
      </c>
      <c r="B143" s="151">
        <v>5880</v>
      </c>
      <c r="C143" s="94" t="s">
        <v>326</v>
      </c>
      <c r="D143" s="428"/>
      <c r="E143" s="428"/>
      <c r="F143" s="428">
        <v>0</v>
      </c>
      <c r="G143" s="428">
        <v>0</v>
      </c>
      <c r="H143" s="428">
        <f t="shared" si="3"/>
        <v>0</v>
      </c>
      <c r="I143" s="428"/>
      <c r="J143" s="428">
        <f t="shared" si="4"/>
        <v>0</v>
      </c>
      <c r="K143" s="428">
        <f t="shared" si="5"/>
        <v>0</v>
      </c>
    </row>
    <row r="144" spans="1:11" x14ac:dyDescent="0.25">
      <c r="A144" s="118">
        <v>38</v>
      </c>
      <c r="B144" s="151">
        <v>5885</v>
      </c>
      <c r="C144" s="94" t="s">
        <v>331</v>
      </c>
      <c r="D144" s="428"/>
      <c r="E144" s="428"/>
      <c r="F144" s="428">
        <v>0</v>
      </c>
      <c r="G144" s="428">
        <v>0</v>
      </c>
      <c r="H144" s="428">
        <f t="shared" si="3"/>
        <v>0</v>
      </c>
      <c r="I144" s="428"/>
      <c r="J144" s="428">
        <f t="shared" si="4"/>
        <v>0</v>
      </c>
      <c r="K144" s="428">
        <f t="shared" si="5"/>
        <v>0</v>
      </c>
    </row>
    <row r="145" spans="1:11" x14ac:dyDescent="0.25">
      <c r="A145" s="118">
        <v>38</v>
      </c>
      <c r="B145" s="151">
        <v>5890</v>
      </c>
      <c r="C145" s="94" t="s">
        <v>327</v>
      </c>
      <c r="D145" s="428"/>
      <c r="E145" s="428"/>
      <c r="F145" s="428">
        <v>0</v>
      </c>
      <c r="G145" s="428">
        <v>0</v>
      </c>
      <c r="H145" s="428">
        <f t="shared" si="3"/>
        <v>0</v>
      </c>
      <c r="I145" s="428"/>
      <c r="J145" s="428">
        <f t="shared" si="4"/>
        <v>0</v>
      </c>
      <c r="K145" s="428">
        <f t="shared" si="5"/>
        <v>0</v>
      </c>
    </row>
    <row r="146" spans="1:11" x14ac:dyDescent="0.25">
      <c r="A146" s="118">
        <v>38</v>
      </c>
      <c r="B146" s="151">
        <v>5895</v>
      </c>
      <c r="C146" s="94" t="s">
        <v>328</v>
      </c>
      <c r="D146" s="428"/>
      <c r="E146" s="428"/>
      <c r="F146" s="428">
        <v>0</v>
      </c>
      <c r="G146" s="428">
        <v>0</v>
      </c>
      <c r="H146" s="428">
        <f t="shared" si="3"/>
        <v>0</v>
      </c>
      <c r="I146" s="428"/>
      <c r="J146" s="428">
        <f t="shared" si="4"/>
        <v>0</v>
      </c>
      <c r="K146" s="428">
        <f t="shared" si="5"/>
        <v>0</v>
      </c>
    </row>
    <row r="147" spans="1:11" x14ac:dyDescent="0.25">
      <c r="A147" s="118">
        <v>38</v>
      </c>
      <c r="B147" s="151">
        <v>5910</v>
      </c>
      <c r="C147" s="94" t="s">
        <v>330</v>
      </c>
      <c r="D147" s="428"/>
      <c r="E147" s="428"/>
      <c r="F147" s="428">
        <v>0</v>
      </c>
      <c r="G147" s="428">
        <v>0</v>
      </c>
      <c r="H147" s="428">
        <f t="shared" si="3"/>
        <v>0</v>
      </c>
      <c r="I147" s="428"/>
      <c r="J147" s="428">
        <f t="shared" si="4"/>
        <v>0</v>
      </c>
      <c r="K147" s="428">
        <f t="shared" si="5"/>
        <v>0</v>
      </c>
    </row>
    <row r="148" spans="1:11" x14ac:dyDescent="0.25">
      <c r="A148" s="344"/>
      <c r="B148" s="151"/>
      <c r="C148" s="94"/>
      <c r="D148" s="429"/>
      <c r="E148" s="429">
        <f t="shared" ref="E148:K148" si="6">SUM(E72:E147)</f>
        <v>0</v>
      </c>
      <c r="F148" s="429">
        <f t="shared" si="6"/>
        <v>0</v>
      </c>
      <c r="G148" s="429">
        <f t="shared" si="6"/>
        <v>0</v>
      </c>
      <c r="H148" s="429">
        <f t="shared" si="6"/>
        <v>0</v>
      </c>
      <c r="I148" s="429">
        <f t="shared" si="6"/>
        <v>2180000</v>
      </c>
      <c r="J148" s="429">
        <f t="shared" si="6"/>
        <v>2299900</v>
      </c>
      <c r="K148" s="429">
        <f t="shared" si="6"/>
        <v>2421795.2000000002</v>
      </c>
    </row>
    <row r="149" spans="1:11" x14ac:dyDescent="0.25">
      <c r="A149" s="344"/>
      <c r="B149" s="151"/>
      <c r="C149" s="93" t="s">
        <v>187</v>
      </c>
      <c r="D149" s="428"/>
      <c r="E149" s="425"/>
      <c r="F149" s="425"/>
      <c r="G149" s="428"/>
      <c r="H149" s="425"/>
      <c r="I149" s="425"/>
      <c r="J149" s="425"/>
      <c r="K149" s="425"/>
    </row>
    <row r="150" spans="1:11" x14ac:dyDescent="0.25">
      <c r="A150" s="118">
        <v>38</v>
      </c>
      <c r="B150" s="151">
        <v>6005</v>
      </c>
      <c r="C150" s="94" t="s">
        <v>188</v>
      </c>
      <c r="D150" s="428">
        <v>0</v>
      </c>
      <c r="E150" s="425"/>
      <c r="F150" s="428">
        <v>0</v>
      </c>
      <c r="G150" s="428">
        <v>0</v>
      </c>
      <c r="H150" s="428">
        <f>0/8*12</f>
        <v>0</v>
      </c>
      <c r="I150" s="428"/>
      <c r="J150" s="428"/>
      <c r="K150" s="425"/>
    </row>
    <row r="151" spans="1:11" x14ac:dyDescent="0.25">
      <c r="A151" s="344"/>
      <c r="B151" s="151"/>
      <c r="C151" s="94"/>
      <c r="D151" s="429">
        <v>0</v>
      </c>
      <c r="E151" s="429">
        <f>SUM(E150)</f>
        <v>0</v>
      </c>
      <c r="F151" s="429">
        <v>0</v>
      </c>
      <c r="G151" s="429">
        <v>0</v>
      </c>
      <c r="H151" s="429">
        <f>SUM(H150)</f>
        <v>0</v>
      </c>
      <c r="I151" s="429">
        <f>SUM(I150)</f>
        <v>0</v>
      </c>
      <c r="J151" s="429">
        <f>SUM(J150)</f>
        <v>0</v>
      </c>
      <c r="K151" s="429">
        <f>SUM(K150)</f>
        <v>0</v>
      </c>
    </row>
    <row r="152" spans="1:11" x14ac:dyDescent="0.25">
      <c r="A152" s="344"/>
      <c r="B152" s="151"/>
      <c r="C152" s="93" t="s">
        <v>64</v>
      </c>
      <c r="D152" s="88"/>
      <c r="E152" s="113"/>
      <c r="F152" s="113"/>
      <c r="G152" s="88"/>
      <c r="H152" s="113"/>
      <c r="I152" s="113"/>
      <c r="J152" s="113"/>
      <c r="K152" s="113"/>
    </row>
    <row r="153" spans="1:11" x14ac:dyDescent="0.25">
      <c r="A153" s="118">
        <v>38</v>
      </c>
      <c r="B153" s="151">
        <v>6105</v>
      </c>
      <c r="C153" s="94" t="s">
        <v>336</v>
      </c>
      <c r="D153" s="428">
        <v>0</v>
      </c>
      <c r="E153" s="425"/>
      <c r="F153" s="428">
        <v>0</v>
      </c>
      <c r="G153" s="428">
        <v>0</v>
      </c>
      <c r="H153" s="428">
        <f>0/8*12</f>
        <v>0</v>
      </c>
      <c r="I153" s="428"/>
      <c r="J153" s="428"/>
      <c r="K153" s="425"/>
    </row>
    <row r="154" spans="1:11" x14ac:dyDescent="0.25">
      <c r="A154" s="118">
        <v>38</v>
      </c>
      <c r="B154" s="151">
        <v>6110</v>
      </c>
      <c r="C154" s="94" t="s">
        <v>337</v>
      </c>
      <c r="D154" s="428">
        <v>0</v>
      </c>
      <c r="E154" s="425"/>
      <c r="F154" s="428">
        <v>0</v>
      </c>
      <c r="G154" s="428">
        <v>0</v>
      </c>
      <c r="H154" s="428">
        <f>0/8*12</f>
        <v>0</v>
      </c>
      <c r="I154" s="428">
        <v>200000</v>
      </c>
      <c r="J154" s="428">
        <f>+I154*1.055</f>
        <v>211000</v>
      </c>
      <c r="K154" s="425">
        <f>+J154*1.053</f>
        <v>222183</v>
      </c>
    </row>
    <row r="155" spans="1:11" x14ac:dyDescent="0.25">
      <c r="A155" s="118">
        <v>38</v>
      </c>
      <c r="B155" s="151">
        <v>6115</v>
      </c>
      <c r="C155" s="94" t="s">
        <v>60</v>
      </c>
      <c r="D155" s="428">
        <v>0</v>
      </c>
      <c r="E155" s="425"/>
      <c r="F155" s="428">
        <v>0</v>
      </c>
      <c r="G155" s="428">
        <v>0</v>
      </c>
      <c r="H155" s="428"/>
      <c r="I155" s="428"/>
      <c r="J155" s="428"/>
      <c r="K155" s="425"/>
    </row>
    <row r="156" spans="1:11" x14ac:dyDescent="0.25">
      <c r="A156" s="344"/>
      <c r="B156" s="151"/>
      <c r="C156" s="94"/>
      <c r="D156" s="429">
        <v>0</v>
      </c>
      <c r="E156" s="429">
        <f>SUM(E153:E155)</f>
        <v>0</v>
      </c>
      <c r="F156" s="429">
        <v>0</v>
      </c>
      <c r="G156" s="429">
        <v>0</v>
      </c>
      <c r="H156" s="429">
        <f>SUM(H153:H155)</f>
        <v>0</v>
      </c>
      <c r="I156" s="429">
        <f>SUM(I153:I155)</f>
        <v>200000</v>
      </c>
      <c r="J156" s="429">
        <f>SUM(J153:J155)</f>
        <v>211000</v>
      </c>
      <c r="K156" s="429">
        <f>SUM(K153:K155)</f>
        <v>222183</v>
      </c>
    </row>
    <row r="157" spans="1:11" x14ac:dyDescent="0.25">
      <c r="A157" s="344"/>
      <c r="B157" s="151"/>
      <c r="C157" s="459" t="s">
        <v>65</v>
      </c>
      <c r="D157" s="88"/>
      <c r="E157" s="113"/>
      <c r="F157" s="113"/>
      <c r="G157" s="88"/>
      <c r="H157" s="113"/>
      <c r="I157" s="113"/>
      <c r="J157" s="113"/>
      <c r="K157" s="113"/>
    </row>
    <row r="158" spans="1:11" x14ac:dyDescent="0.25">
      <c r="A158" s="118">
        <v>38</v>
      </c>
      <c r="B158" s="151">
        <v>6205</v>
      </c>
      <c r="C158" s="94" t="s">
        <v>338</v>
      </c>
      <c r="D158" s="428">
        <v>0</v>
      </c>
      <c r="E158" s="425"/>
      <c r="F158" s="428">
        <v>0</v>
      </c>
      <c r="G158" s="428">
        <v>0</v>
      </c>
      <c r="H158" s="428">
        <f>0/8*12</f>
        <v>0</v>
      </c>
      <c r="I158" s="428"/>
      <c r="J158" s="428"/>
      <c r="K158" s="428"/>
    </row>
    <row r="159" spans="1:11" x14ac:dyDescent="0.25">
      <c r="A159" s="118">
        <v>38</v>
      </c>
      <c r="B159" s="151">
        <v>6210</v>
      </c>
      <c r="C159" s="94" t="s">
        <v>339</v>
      </c>
      <c r="D159" s="428">
        <v>0</v>
      </c>
      <c r="E159" s="428"/>
      <c r="F159" s="428">
        <v>0</v>
      </c>
      <c r="G159" s="428">
        <v>0</v>
      </c>
      <c r="H159" s="428">
        <f>0/8*12</f>
        <v>0</v>
      </c>
      <c r="I159" s="428"/>
      <c r="J159" s="428"/>
      <c r="K159" s="428"/>
    </row>
    <row r="160" spans="1:11" x14ac:dyDescent="0.25">
      <c r="A160" s="344"/>
      <c r="B160" s="346"/>
      <c r="C160" s="347"/>
      <c r="D160" s="441">
        <v>0</v>
      </c>
      <c r="E160" s="441">
        <f>SUM(E158:E159)</f>
        <v>0</v>
      </c>
      <c r="F160" s="441">
        <v>0</v>
      </c>
      <c r="G160" s="441">
        <v>0</v>
      </c>
      <c r="H160" s="441">
        <f>SUM(H158:H159)</f>
        <v>0</v>
      </c>
      <c r="I160" s="441"/>
      <c r="J160" s="441"/>
      <c r="K160" s="441"/>
    </row>
    <row r="161" spans="1:11" x14ac:dyDescent="0.25">
      <c r="A161" s="344"/>
      <c r="B161" s="346"/>
      <c r="C161" s="93" t="s">
        <v>189</v>
      </c>
      <c r="D161" s="441"/>
      <c r="E161" s="441">
        <f>E160+E156+E151+E148+E70+E66+E63+E59+E38+E35+E32+E29+E25+E18</f>
        <v>0</v>
      </c>
      <c r="F161" s="441">
        <f>F160+F156+F151+F148+F70+F66+F63+F59+F38+F35+F32+F29+F25+F18</f>
        <v>0</v>
      </c>
      <c r="G161" s="441"/>
      <c r="H161" s="441">
        <f>H160+H156+H151+H148+H70+H66+H63+H59+H38+H35+H32+H29+H25+H18</f>
        <v>0</v>
      </c>
      <c r="I161" s="441"/>
      <c r="J161" s="441"/>
      <c r="K161" s="441"/>
    </row>
    <row r="162" spans="1:11" x14ac:dyDescent="0.25">
      <c r="A162" s="344"/>
      <c r="B162" s="151"/>
      <c r="C162" s="93" t="s">
        <v>258</v>
      </c>
      <c r="D162" s="442"/>
      <c r="E162" s="442"/>
      <c r="F162" s="442"/>
      <c r="G162" s="442"/>
      <c r="H162" s="442"/>
      <c r="I162" s="442"/>
      <c r="J162" s="442"/>
      <c r="K162" s="442"/>
    </row>
    <row r="163" spans="1:11" x14ac:dyDescent="0.25">
      <c r="A163" s="118">
        <v>38</v>
      </c>
      <c r="B163" s="151">
        <v>6305</v>
      </c>
      <c r="C163" s="94" t="s">
        <v>190</v>
      </c>
      <c r="D163" s="428">
        <v>0</v>
      </c>
      <c r="E163" s="428"/>
      <c r="F163" s="428"/>
      <c r="G163" s="428"/>
      <c r="H163" s="428"/>
      <c r="I163" s="428"/>
      <c r="J163" s="428"/>
      <c r="K163" s="428"/>
    </row>
    <row r="164" spans="1:11" x14ac:dyDescent="0.25">
      <c r="A164" s="344"/>
      <c r="B164" s="151"/>
      <c r="C164" s="94"/>
      <c r="D164" s="441">
        <f t="shared" ref="D164:K164" si="7">+D163</f>
        <v>0</v>
      </c>
      <c r="E164" s="441">
        <f t="shared" si="7"/>
        <v>0</v>
      </c>
      <c r="F164" s="441">
        <f t="shared" si="7"/>
        <v>0</v>
      </c>
      <c r="G164" s="441">
        <f t="shared" si="7"/>
        <v>0</v>
      </c>
      <c r="H164" s="441">
        <f t="shared" si="7"/>
        <v>0</v>
      </c>
      <c r="I164" s="441">
        <f t="shared" si="7"/>
        <v>0</v>
      </c>
      <c r="J164" s="441">
        <f t="shared" si="7"/>
        <v>0</v>
      </c>
      <c r="K164" s="441">
        <f t="shared" si="7"/>
        <v>0</v>
      </c>
    </row>
    <row r="165" spans="1:11" x14ac:dyDescent="0.25">
      <c r="A165" s="348"/>
      <c r="B165" s="152"/>
      <c r="C165" s="119" t="s">
        <v>191</v>
      </c>
      <c r="D165" s="448">
        <f t="shared" ref="D165:K165" si="8">+D164+D160+D156+D151+D148+D70+D66+D63+D59+D38+D35+D32+D29+D25+D18</f>
        <v>0</v>
      </c>
      <c r="E165" s="448">
        <f t="shared" si="8"/>
        <v>0</v>
      </c>
      <c r="F165" s="448">
        <f t="shared" si="8"/>
        <v>0</v>
      </c>
      <c r="G165" s="448">
        <f t="shared" si="8"/>
        <v>0</v>
      </c>
      <c r="H165" s="448">
        <f t="shared" si="8"/>
        <v>0</v>
      </c>
      <c r="I165" s="448">
        <f t="shared" si="8"/>
        <v>3230000</v>
      </c>
      <c r="J165" s="448">
        <f t="shared" si="8"/>
        <v>3407650</v>
      </c>
      <c r="K165" s="448">
        <f t="shared" si="8"/>
        <v>3588255.95</v>
      </c>
    </row>
    <row r="166" spans="1:11" x14ac:dyDescent="0.25">
      <c r="A166" s="344"/>
      <c r="B166" s="130"/>
      <c r="C166" s="440"/>
      <c r="D166" s="111"/>
      <c r="E166" s="120"/>
      <c r="F166" s="120"/>
      <c r="G166" s="111"/>
      <c r="H166" s="120"/>
      <c r="I166" s="120"/>
      <c r="J166" s="120"/>
      <c r="K166" s="120"/>
    </row>
    <row r="167" spans="1:11" x14ac:dyDescent="0.25">
      <c r="A167" s="344"/>
      <c r="B167" s="130"/>
      <c r="C167" s="440"/>
      <c r="D167" s="111">
        <v>0</v>
      </c>
      <c r="E167" s="111"/>
      <c r="F167" s="111"/>
      <c r="G167" s="111"/>
      <c r="H167" s="111"/>
      <c r="I167" s="111"/>
      <c r="J167" s="111"/>
      <c r="K167" s="111"/>
    </row>
    <row r="168" spans="1:11" x14ac:dyDescent="0.25">
      <c r="A168" s="349"/>
      <c r="B168" s="546" t="s">
        <v>416</v>
      </c>
      <c r="C168" s="546"/>
      <c r="D168" s="547">
        <v>0</v>
      </c>
      <c r="E168" s="596"/>
      <c r="F168" s="596"/>
      <c r="G168" s="547"/>
      <c r="H168" s="596"/>
      <c r="I168" s="596"/>
      <c r="J168" s="596"/>
      <c r="K168" s="596"/>
    </row>
    <row r="169" spans="1:11" x14ac:dyDescent="0.25">
      <c r="A169" s="944" t="s">
        <v>21</v>
      </c>
      <c r="B169" s="945"/>
      <c r="C169" s="150" t="s">
        <v>22</v>
      </c>
      <c r="D169" s="103">
        <f>SUM(D165+D168)</f>
        <v>0</v>
      </c>
      <c r="E169" s="104" t="s">
        <v>24</v>
      </c>
      <c r="F169" s="103" t="s">
        <v>535</v>
      </c>
      <c r="G169" s="103" t="s">
        <v>413</v>
      </c>
      <c r="H169" s="104" t="s">
        <v>24</v>
      </c>
      <c r="I169" s="583" t="s">
        <v>24</v>
      </c>
      <c r="J169" s="583" t="s">
        <v>24</v>
      </c>
      <c r="K169" s="583" t="s">
        <v>24</v>
      </c>
    </row>
    <row r="170" spans="1:11" x14ac:dyDescent="0.25">
      <c r="A170" s="946"/>
      <c r="B170" s="947"/>
      <c r="C170" s="106"/>
      <c r="D170" s="333" t="s">
        <v>257</v>
      </c>
      <c r="E170" s="107" t="s">
        <v>382</v>
      </c>
      <c r="F170" s="107" t="s">
        <v>382</v>
      </c>
      <c r="G170" s="333" t="s">
        <v>879</v>
      </c>
      <c r="H170" s="107" t="s">
        <v>407</v>
      </c>
      <c r="I170" s="586" t="s">
        <v>414</v>
      </c>
      <c r="J170" s="586" t="s">
        <v>530</v>
      </c>
      <c r="K170" s="586" t="s">
        <v>886</v>
      </c>
    </row>
    <row r="171" spans="1:11" x14ac:dyDescent="0.25">
      <c r="A171" s="350"/>
      <c r="B171" s="153"/>
      <c r="C171" s="93" t="s">
        <v>98</v>
      </c>
      <c r="D171" s="444"/>
      <c r="E171" s="435"/>
      <c r="F171" s="435"/>
      <c r="G171" s="444"/>
      <c r="H171" s="435"/>
      <c r="I171" s="435"/>
      <c r="J171" s="435"/>
      <c r="K171" s="435"/>
    </row>
    <row r="172" spans="1:11" x14ac:dyDescent="0.25">
      <c r="A172" s="118">
        <v>38</v>
      </c>
      <c r="B172" s="151">
        <v>1237</v>
      </c>
      <c r="C172" s="94" t="s">
        <v>99</v>
      </c>
      <c r="D172" s="444"/>
      <c r="E172" s="425"/>
      <c r="F172" s="435">
        <v>0</v>
      </c>
      <c r="G172" s="444">
        <v>0</v>
      </c>
      <c r="H172" s="435"/>
      <c r="I172" s="435"/>
      <c r="J172" s="435"/>
      <c r="K172" s="425"/>
    </row>
    <row r="173" spans="1:11" x14ac:dyDescent="0.25">
      <c r="A173" s="118">
        <v>38</v>
      </c>
      <c r="B173" s="151">
        <v>5725</v>
      </c>
      <c r="C173" s="94" t="s">
        <v>400</v>
      </c>
      <c r="D173" s="428"/>
      <c r="E173" s="428">
        <v>0</v>
      </c>
      <c r="F173" s="428">
        <v>0</v>
      </c>
      <c r="G173" s="428">
        <v>0</v>
      </c>
      <c r="H173" s="428"/>
      <c r="I173" s="428"/>
      <c r="J173" s="428"/>
      <c r="K173" s="428"/>
    </row>
    <row r="174" spans="1:11" x14ac:dyDescent="0.25">
      <c r="A174" s="344"/>
      <c r="B174" s="151"/>
      <c r="C174" s="94"/>
      <c r="D174" s="436"/>
      <c r="E174" s="436">
        <f>SUM(E172)</f>
        <v>0</v>
      </c>
      <c r="F174" s="436">
        <v>0</v>
      </c>
      <c r="G174" s="436">
        <v>0</v>
      </c>
      <c r="H174" s="436"/>
      <c r="I174" s="436"/>
      <c r="J174" s="436"/>
      <c r="K174" s="436"/>
    </row>
    <row r="175" spans="1:11" x14ac:dyDescent="0.25">
      <c r="A175" s="344"/>
      <c r="B175" s="151"/>
      <c r="C175" s="93" t="s">
        <v>100</v>
      </c>
      <c r="D175" s="444"/>
      <c r="E175" s="435"/>
      <c r="F175" s="435"/>
      <c r="G175" s="444"/>
      <c r="H175" s="435"/>
      <c r="I175" s="435"/>
      <c r="J175" s="435"/>
      <c r="K175" s="435"/>
    </row>
    <row r="176" spans="1:11" x14ac:dyDescent="0.25">
      <c r="A176" s="118">
        <v>38</v>
      </c>
      <c r="B176" s="151">
        <v>1147</v>
      </c>
      <c r="C176" s="94" t="s">
        <v>102</v>
      </c>
      <c r="D176" s="444"/>
      <c r="E176" s="435"/>
      <c r="F176" s="435">
        <v>0</v>
      </c>
      <c r="G176" s="444">
        <v>0</v>
      </c>
      <c r="H176" s="435"/>
      <c r="I176" s="435"/>
      <c r="J176" s="435"/>
      <c r="K176" s="435"/>
    </row>
    <row r="177" spans="1:11" x14ac:dyDescent="0.25">
      <c r="A177" s="118">
        <v>38</v>
      </c>
      <c r="B177" s="151">
        <v>1202</v>
      </c>
      <c r="C177" s="94" t="s">
        <v>343</v>
      </c>
      <c r="D177" s="444"/>
      <c r="E177" s="435"/>
      <c r="F177" s="435">
        <v>0</v>
      </c>
      <c r="G177" s="444">
        <v>0</v>
      </c>
      <c r="H177" s="435"/>
      <c r="I177" s="435"/>
      <c r="J177" s="435"/>
      <c r="K177" s="435"/>
    </row>
    <row r="178" spans="1:11" x14ac:dyDescent="0.25">
      <c r="A178" s="118">
        <v>38</v>
      </c>
      <c r="B178" s="151">
        <v>1207</v>
      </c>
      <c r="C178" s="94" t="s">
        <v>104</v>
      </c>
      <c r="D178" s="444"/>
      <c r="E178" s="435"/>
      <c r="F178" s="435">
        <v>0</v>
      </c>
      <c r="G178" s="444">
        <v>0</v>
      </c>
      <c r="H178" s="435"/>
      <c r="I178" s="435"/>
      <c r="J178" s="435"/>
      <c r="K178" s="435"/>
    </row>
    <row r="179" spans="1:11" x14ac:dyDescent="0.25">
      <c r="A179" s="118">
        <v>38</v>
      </c>
      <c r="B179" s="151">
        <v>1153</v>
      </c>
      <c r="C179" s="94" t="s">
        <v>115</v>
      </c>
      <c r="D179" s="444"/>
      <c r="E179" s="435"/>
      <c r="F179" s="435">
        <v>0</v>
      </c>
      <c r="G179" s="444">
        <v>0</v>
      </c>
      <c r="H179" s="435"/>
      <c r="I179" s="435"/>
      <c r="J179" s="435"/>
      <c r="K179" s="435"/>
    </row>
    <row r="180" spans="1:11" x14ac:dyDescent="0.25">
      <c r="A180" s="118">
        <v>38</v>
      </c>
      <c r="B180" s="151">
        <v>1143</v>
      </c>
      <c r="C180" s="94" t="s">
        <v>109</v>
      </c>
      <c r="D180" s="444"/>
      <c r="E180" s="435"/>
      <c r="F180" s="435">
        <v>0</v>
      </c>
      <c r="G180" s="444">
        <v>0</v>
      </c>
      <c r="H180" s="435"/>
      <c r="I180" s="435"/>
      <c r="J180" s="435"/>
      <c r="K180" s="435"/>
    </row>
    <row r="181" spans="1:11" x14ac:dyDescent="0.25">
      <c r="A181" s="118">
        <v>38</v>
      </c>
      <c r="B181" s="151">
        <v>5500</v>
      </c>
      <c r="C181" s="94" t="s">
        <v>266</v>
      </c>
      <c r="D181" s="428"/>
      <c r="E181" s="428">
        <v>0</v>
      </c>
      <c r="F181" s="428">
        <v>0</v>
      </c>
      <c r="G181" s="428">
        <v>0</v>
      </c>
      <c r="H181" s="428"/>
      <c r="I181" s="428"/>
      <c r="J181" s="428"/>
      <c r="K181" s="428"/>
    </row>
    <row r="182" spans="1:11" x14ac:dyDescent="0.25">
      <c r="A182" s="118">
        <v>38</v>
      </c>
      <c r="B182" s="151">
        <v>5705</v>
      </c>
      <c r="C182" s="94" t="s">
        <v>296</v>
      </c>
      <c r="D182" s="428"/>
      <c r="E182" s="428"/>
      <c r="F182" s="428">
        <v>0</v>
      </c>
      <c r="G182" s="428">
        <v>0</v>
      </c>
      <c r="H182" s="428"/>
      <c r="I182" s="428"/>
      <c r="J182" s="428"/>
      <c r="K182" s="428"/>
    </row>
    <row r="183" spans="1:11" x14ac:dyDescent="0.25">
      <c r="A183" s="118">
        <v>38</v>
      </c>
      <c r="B183" s="151">
        <v>1140</v>
      </c>
      <c r="C183" s="94" t="s">
        <v>113</v>
      </c>
      <c r="D183" s="444"/>
      <c r="E183" s="435"/>
      <c r="F183" s="435">
        <v>0</v>
      </c>
      <c r="G183" s="444">
        <v>0</v>
      </c>
      <c r="H183" s="435"/>
      <c r="I183" s="435"/>
      <c r="J183" s="435"/>
      <c r="K183" s="435"/>
    </row>
    <row r="184" spans="1:11" x14ac:dyDescent="0.25">
      <c r="A184" s="118">
        <v>38</v>
      </c>
      <c r="B184" s="151">
        <v>1145</v>
      </c>
      <c r="C184" s="94" t="s">
        <v>132</v>
      </c>
      <c r="D184" s="444"/>
      <c r="E184" s="435"/>
      <c r="F184" s="435">
        <v>0</v>
      </c>
      <c r="G184" s="444">
        <v>0</v>
      </c>
      <c r="H184" s="435"/>
      <c r="I184" s="435"/>
      <c r="J184" s="435"/>
      <c r="K184" s="435"/>
    </row>
    <row r="185" spans="1:11" x14ac:dyDescent="0.25">
      <c r="A185" s="118">
        <v>38</v>
      </c>
      <c r="B185" s="151">
        <v>1150</v>
      </c>
      <c r="C185" s="94" t="s">
        <v>120</v>
      </c>
      <c r="D185" s="444"/>
      <c r="E185" s="435"/>
      <c r="F185" s="435">
        <v>0</v>
      </c>
      <c r="G185" s="444">
        <v>0</v>
      </c>
      <c r="H185" s="435"/>
      <c r="I185" s="435"/>
      <c r="J185" s="435"/>
      <c r="K185" s="435"/>
    </row>
    <row r="186" spans="1:11" x14ac:dyDescent="0.25">
      <c r="A186" s="118">
        <v>38</v>
      </c>
      <c r="B186" s="151">
        <v>1155</v>
      </c>
      <c r="C186" s="94" t="s">
        <v>116</v>
      </c>
      <c r="D186" s="444"/>
      <c r="E186" s="435"/>
      <c r="F186" s="435">
        <v>0</v>
      </c>
      <c r="G186" s="444">
        <v>0</v>
      </c>
      <c r="H186" s="435"/>
      <c r="I186" s="435"/>
      <c r="J186" s="435"/>
      <c r="K186" s="435"/>
    </row>
    <row r="187" spans="1:11" x14ac:dyDescent="0.25">
      <c r="A187" s="118">
        <v>38</v>
      </c>
      <c r="B187" s="151">
        <v>1160</v>
      </c>
      <c r="C187" s="94" t="s">
        <v>101</v>
      </c>
      <c r="D187" s="444"/>
      <c r="E187" s="435"/>
      <c r="F187" s="435">
        <v>0</v>
      </c>
      <c r="G187" s="444">
        <v>0</v>
      </c>
      <c r="H187" s="435"/>
      <c r="I187" s="435"/>
      <c r="J187" s="435"/>
      <c r="K187" s="435"/>
    </row>
    <row r="188" spans="1:11" x14ac:dyDescent="0.25">
      <c r="A188" s="118">
        <v>38</v>
      </c>
      <c r="B188" s="151">
        <v>1165</v>
      </c>
      <c r="C188" s="94" t="s">
        <v>114</v>
      </c>
      <c r="D188" s="444"/>
      <c r="E188" s="435"/>
      <c r="F188" s="435">
        <v>0</v>
      </c>
      <c r="G188" s="444">
        <v>0</v>
      </c>
      <c r="H188" s="435"/>
      <c r="I188" s="435"/>
      <c r="J188" s="435"/>
      <c r="K188" s="435"/>
    </row>
    <row r="189" spans="1:11" x14ac:dyDescent="0.25">
      <c r="A189" s="118"/>
      <c r="B189" s="151"/>
      <c r="C189" s="94" t="s">
        <v>401</v>
      </c>
      <c r="D189" s="444"/>
      <c r="E189" s="435"/>
      <c r="F189" s="435">
        <v>0</v>
      </c>
      <c r="G189" s="444">
        <v>0</v>
      </c>
      <c r="H189" s="435"/>
      <c r="I189" s="435"/>
      <c r="J189" s="435"/>
      <c r="K189" s="435"/>
    </row>
    <row r="190" spans="1:11" x14ac:dyDescent="0.25">
      <c r="A190" s="118">
        <v>38</v>
      </c>
      <c r="B190" s="151">
        <v>1180</v>
      </c>
      <c r="C190" s="94" t="s">
        <v>402</v>
      </c>
      <c r="D190" s="444"/>
      <c r="E190" s="435"/>
      <c r="F190" s="435">
        <v>0</v>
      </c>
      <c r="G190" s="444">
        <v>0</v>
      </c>
      <c r="H190" s="435"/>
      <c r="I190" s="435"/>
      <c r="J190" s="435"/>
      <c r="K190" s="435"/>
    </row>
    <row r="191" spans="1:11" x14ac:dyDescent="0.25">
      <c r="A191" s="118">
        <v>38</v>
      </c>
      <c r="B191" s="151">
        <v>1185</v>
      </c>
      <c r="C191" s="94" t="s">
        <v>403</v>
      </c>
      <c r="D191" s="444"/>
      <c r="E191" s="435"/>
      <c r="F191" s="435">
        <v>0</v>
      </c>
      <c r="G191" s="444">
        <v>0</v>
      </c>
      <c r="H191" s="435"/>
      <c r="I191" s="435"/>
      <c r="J191" s="435"/>
      <c r="K191" s="435"/>
    </row>
    <row r="192" spans="1:11" x14ac:dyDescent="0.25">
      <c r="A192" s="118">
        <v>38</v>
      </c>
      <c r="B192" s="151">
        <v>1190</v>
      </c>
      <c r="C192" s="94" t="s">
        <v>404</v>
      </c>
      <c r="D192" s="444"/>
      <c r="E192" s="435"/>
      <c r="F192" s="435">
        <v>0</v>
      </c>
      <c r="G192" s="444">
        <v>0</v>
      </c>
      <c r="H192" s="435"/>
      <c r="I192" s="435"/>
      <c r="J192" s="435"/>
      <c r="K192" s="435"/>
    </row>
    <row r="193" spans="1:11" x14ac:dyDescent="0.25">
      <c r="A193" s="118"/>
      <c r="B193" s="151"/>
      <c r="C193" s="94" t="s">
        <v>405</v>
      </c>
      <c r="D193" s="444"/>
      <c r="E193" s="435"/>
      <c r="F193" s="435">
        <v>0</v>
      </c>
      <c r="G193" s="444">
        <v>0</v>
      </c>
      <c r="H193" s="435"/>
      <c r="I193" s="435"/>
      <c r="J193" s="435"/>
      <c r="K193" s="435"/>
    </row>
    <row r="194" spans="1:11" x14ac:dyDescent="0.25">
      <c r="A194" s="118">
        <v>38</v>
      </c>
      <c r="B194" s="151">
        <v>1195</v>
      </c>
      <c r="C194" s="94" t="s">
        <v>199</v>
      </c>
      <c r="D194" s="444"/>
      <c r="E194" s="435"/>
      <c r="F194" s="435">
        <v>0</v>
      </c>
      <c r="G194" s="444">
        <v>0</v>
      </c>
      <c r="H194" s="435"/>
      <c r="I194" s="435"/>
      <c r="J194" s="435"/>
      <c r="K194" s="435"/>
    </row>
    <row r="195" spans="1:11" x14ac:dyDescent="0.25">
      <c r="A195" s="118">
        <v>38</v>
      </c>
      <c r="B195" s="151">
        <v>1200</v>
      </c>
      <c r="C195" s="94" t="s">
        <v>117</v>
      </c>
      <c r="D195" s="444"/>
      <c r="E195" s="435"/>
      <c r="F195" s="435">
        <v>0</v>
      </c>
      <c r="G195" s="444">
        <v>0</v>
      </c>
      <c r="H195" s="435"/>
      <c r="I195" s="435"/>
      <c r="J195" s="435"/>
      <c r="K195" s="435"/>
    </row>
    <row r="196" spans="1:11" x14ac:dyDescent="0.25">
      <c r="A196" s="118">
        <v>38</v>
      </c>
      <c r="B196" s="151">
        <v>1205</v>
      </c>
      <c r="C196" s="440" t="s">
        <v>105</v>
      </c>
      <c r="D196" s="444"/>
      <c r="E196" s="435"/>
      <c r="F196" s="435">
        <v>0</v>
      </c>
      <c r="G196" s="444">
        <v>0</v>
      </c>
      <c r="H196" s="435"/>
      <c r="I196" s="435"/>
      <c r="J196" s="435"/>
      <c r="K196" s="435"/>
    </row>
    <row r="197" spans="1:11" x14ac:dyDescent="0.25">
      <c r="A197" s="118">
        <v>38</v>
      </c>
      <c r="B197" s="151">
        <v>1210</v>
      </c>
      <c r="C197" s="94" t="s">
        <v>118</v>
      </c>
      <c r="D197" s="444"/>
      <c r="E197" s="435"/>
      <c r="F197" s="435">
        <v>0</v>
      </c>
      <c r="G197" s="444">
        <v>0</v>
      </c>
      <c r="H197" s="435"/>
      <c r="I197" s="435"/>
      <c r="J197" s="435"/>
      <c r="K197" s="435"/>
    </row>
    <row r="198" spans="1:11" x14ac:dyDescent="0.25">
      <c r="A198" s="118">
        <v>38</v>
      </c>
      <c r="B198" s="151">
        <v>1215</v>
      </c>
      <c r="C198" s="94" t="s">
        <v>133</v>
      </c>
      <c r="D198" s="444"/>
      <c r="E198" s="435"/>
      <c r="F198" s="435">
        <v>0</v>
      </c>
      <c r="G198" s="444">
        <v>0</v>
      </c>
      <c r="H198" s="435"/>
      <c r="I198" s="435"/>
      <c r="J198" s="435"/>
      <c r="K198" s="435"/>
    </row>
    <row r="199" spans="1:11" x14ac:dyDescent="0.25">
      <c r="A199" s="118">
        <v>38</v>
      </c>
      <c r="B199" s="151">
        <v>5905</v>
      </c>
      <c r="C199" s="94" t="s">
        <v>329</v>
      </c>
      <c r="D199" s="428"/>
      <c r="E199" s="428"/>
      <c r="F199" s="428">
        <v>0</v>
      </c>
      <c r="G199" s="428">
        <v>0</v>
      </c>
      <c r="H199" s="428"/>
      <c r="I199" s="428"/>
      <c r="J199" s="428"/>
      <c r="K199" s="428"/>
    </row>
    <row r="200" spans="1:11" x14ac:dyDescent="0.25">
      <c r="A200" s="118">
        <v>38</v>
      </c>
      <c r="B200" s="151">
        <v>5900</v>
      </c>
      <c r="C200" s="94" t="s">
        <v>333</v>
      </c>
      <c r="D200" s="428"/>
      <c r="E200" s="428">
        <v>0</v>
      </c>
      <c r="F200" s="428">
        <v>0</v>
      </c>
      <c r="G200" s="428">
        <v>0</v>
      </c>
      <c r="H200" s="428"/>
      <c r="I200" s="428"/>
      <c r="J200" s="428"/>
      <c r="K200" s="428"/>
    </row>
    <row r="201" spans="1:11" x14ac:dyDescent="0.25">
      <c r="A201" s="118">
        <v>38</v>
      </c>
      <c r="B201" s="151">
        <v>1220</v>
      </c>
      <c r="C201" s="94" t="s">
        <v>340</v>
      </c>
      <c r="D201" s="444"/>
      <c r="E201" s="435"/>
      <c r="F201" s="435">
        <v>0</v>
      </c>
      <c r="G201" s="444">
        <v>0</v>
      </c>
      <c r="H201" s="435"/>
      <c r="I201" s="435"/>
      <c r="J201" s="435"/>
      <c r="K201" s="435"/>
    </row>
    <row r="202" spans="1:11" x14ac:dyDescent="0.25">
      <c r="A202" s="118">
        <v>38</v>
      </c>
      <c r="B202" s="151">
        <v>1225</v>
      </c>
      <c r="C202" s="94" t="s">
        <v>370</v>
      </c>
      <c r="D202" s="444"/>
      <c r="E202" s="435"/>
      <c r="F202" s="435">
        <v>0</v>
      </c>
      <c r="G202" s="444">
        <v>0</v>
      </c>
      <c r="H202" s="435"/>
      <c r="I202" s="435"/>
      <c r="J202" s="435"/>
      <c r="K202" s="435"/>
    </row>
    <row r="203" spans="1:11" x14ac:dyDescent="0.25">
      <c r="A203" s="118">
        <v>38</v>
      </c>
      <c r="B203" s="151">
        <v>1230</v>
      </c>
      <c r="C203" s="94" t="s">
        <v>119</v>
      </c>
      <c r="D203" s="444"/>
      <c r="E203" s="435"/>
      <c r="F203" s="435">
        <v>0</v>
      </c>
      <c r="G203" s="444">
        <v>0</v>
      </c>
      <c r="H203" s="435"/>
      <c r="I203" s="435"/>
      <c r="J203" s="435"/>
      <c r="K203" s="435"/>
    </row>
    <row r="204" spans="1:11" x14ac:dyDescent="0.25">
      <c r="A204" s="118">
        <v>38</v>
      </c>
      <c r="B204" s="151">
        <v>1235</v>
      </c>
      <c r="C204" s="94" t="s">
        <v>347</v>
      </c>
      <c r="D204" s="444"/>
      <c r="E204" s="435"/>
      <c r="F204" s="435">
        <v>0</v>
      </c>
      <c r="G204" s="444">
        <v>0</v>
      </c>
      <c r="H204" s="435"/>
      <c r="I204" s="435"/>
      <c r="J204" s="435"/>
      <c r="K204" s="435"/>
    </row>
    <row r="205" spans="1:11" x14ac:dyDescent="0.25">
      <c r="A205" s="118"/>
      <c r="B205" s="151"/>
      <c r="C205" s="94" t="s">
        <v>510</v>
      </c>
      <c r="D205" s="225"/>
      <c r="E205" s="428"/>
      <c r="F205" s="428"/>
      <c r="G205" s="225"/>
      <c r="H205" s="428"/>
      <c r="I205" s="428"/>
      <c r="J205" s="428"/>
      <c r="K205" s="428"/>
    </row>
    <row r="206" spans="1:11" x14ac:dyDescent="0.25">
      <c r="A206" s="344"/>
      <c r="B206" s="151"/>
      <c r="C206" s="94"/>
      <c r="D206" s="437"/>
      <c r="E206" s="437">
        <f>SUM(E176:E204)</f>
        <v>0</v>
      </c>
      <c r="F206" s="437">
        <v>0</v>
      </c>
      <c r="G206" s="437">
        <v>0</v>
      </c>
      <c r="H206" s="437"/>
      <c r="I206" s="437"/>
      <c r="J206" s="437"/>
      <c r="K206" s="437"/>
    </row>
    <row r="207" spans="1:11" x14ac:dyDescent="0.25">
      <c r="A207" s="344"/>
      <c r="B207" s="151"/>
      <c r="C207" s="93" t="s">
        <v>66</v>
      </c>
      <c r="D207" s="444"/>
      <c r="E207" s="435"/>
      <c r="F207" s="435"/>
      <c r="G207" s="444"/>
      <c r="H207" s="435"/>
      <c r="I207" s="435"/>
      <c r="J207" s="435"/>
      <c r="K207" s="435"/>
    </row>
    <row r="208" spans="1:11" x14ac:dyDescent="0.25">
      <c r="A208" s="118">
        <v>38</v>
      </c>
      <c r="B208" s="151">
        <v>1305</v>
      </c>
      <c r="C208" s="94" t="s">
        <v>342</v>
      </c>
      <c r="D208" s="444"/>
      <c r="E208" s="435"/>
      <c r="F208" s="435">
        <v>0</v>
      </c>
      <c r="G208" s="444">
        <v>0</v>
      </c>
      <c r="H208" s="435"/>
      <c r="I208" s="435"/>
      <c r="J208" s="435"/>
      <c r="K208" s="435"/>
    </row>
    <row r="209" spans="1:11" x14ac:dyDescent="0.25">
      <c r="A209" s="118">
        <v>38</v>
      </c>
      <c r="B209" s="151">
        <v>1310</v>
      </c>
      <c r="C209" s="94" t="s">
        <v>344</v>
      </c>
      <c r="D209" s="444"/>
      <c r="E209" s="435"/>
      <c r="F209" s="435">
        <v>0</v>
      </c>
      <c r="G209" s="444">
        <v>0</v>
      </c>
      <c r="H209" s="435"/>
      <c r="I209" s="435"/>
      <c r="J209" s="435"/>
      <c r="K209" s="435"/>
    </row>
    <row r="210" spans="1:11" x14ac:dyDescent="0.25">
      <c r="A210" s="118">
        <v>38</v>
      </c>
      <c r="B210" s="151">
        <v>1320</v>
      </c>
      <c r="C210" s="94" t="s">
        <v>345</v>
      </c>
      <c r="D210" s="444"/>
      <c r="E210" s="435"/>
      <c r="F210" s="435">
        <v>0</v>
      </c>
      <c r="G210" s="444">
        <v>0</v>
      </c>
      <c r="H210" s="435"/>
      <c r="I210" s="435"/>
      <c r="J210" s="435"/>
      <c r="K210" s="435"/>
    </row>
    <row r="211" spans="1:11" x14ac:dyDescent="0.25">
      <c r="A211" s="118">
        <v>38</v>
      </c>
      <c r="B211" s="151">
        <v>1315</v>
      </c>
      <c r="C211" s="94" t="s">
        <v>346</v>
      </c>
      <c r="D211" s="444"/>
      <c r="E211" s="425"/>
      <c r="F211" s="435">
        <v>0</v>
      </c>
      <c r="G211" s="444">
        <v>0</v>
      </c>
      <c r="H211" s="435"/>
      <c r="I211" s="435"/>
      <c r="J211" s="435"/>
      <c r="K211" s="425"/>
    </row>
    <row r="212" spans="1:11" x14ac:dyDescent="0.25">
      <c r="A212" s="344"/>
      <c r="B212" s="151"/>
      <c r="C212" s="94"/>
      <c r="D212" s="436"/>
      <c r="E212" s="436">
        <f>SUM(E208:E211)</f>
        <v>0</v>
      </c>
      <c r="F212" s="436">
        <v>0</v>
      </c>
      <c r="G212" s="436">
        <v>0</v>
      </c>
      <c r="H212" s="436"/>
      <c r="I212" s="436"/>
      <c r="J212" s="436"/>
      <c r="K212" s="436"/>
    </row>
    <row r="213" spans="1:11" x14ac:dyDescent="0.25">
      <c r="A213" s="344"/>
      <c r="B213" s="151"/>
      <c r="C213" s="93" t="s">
        <v>67</v>
      </c>
      <c r="D213" s="444"/>
      <c r="E213" s="435"/>
      <c r="F213" s="435"/>
      <c r="G213" s="444"/>
      <c r="H213" s="435"/>
      <c r="I213" s="435"/>
      <c r="J213" s="435"/>
      <c r="K213" s="435"/>
    </row>
    <row r="214" spans="1:11" x14ac:dyDescent="0.25">
      <c r="A214" s="118">
        <v>38</v>
      </c>
      <c r="B214" s="151">
        <v>1400</v>
      </c>
      <c r="C214" s="94" t="s">
        <v>68</v>
      </c>
      <c r="D214" s="444"/>
      <c r="E214" s="425"/>
      <c r="F214" s="435"/>
      <c r="G214" s="444"/>
      <c r="H214" s="435"/>
      <c r="I214" s="435"/>
      <c r="J214" s="435"/>
      <c r="K214" s="425"/>
    </row>
    <row r="215" spans="1:11" x14ac:dyDescent="0.25">
      <c r="A215" s="118">
        <v>38</v>
      </c>
      <c r="B215" s="151">
        <v>1405</v>
      </c>
      <c r="C215" s="94" t="s">
        <v>69</v>
      </c>
      <c r="D215" s="444"/>
      <c r="E215" s="425"/>
      <c r="F215" s="435"/>
      <c r="G215" s="444"/>
      <c r="H215" s="435"/>
      <c r="I215" s="435"/>
      <c r="J215" s="435"/>
      <c r="K215" s="425"/>
    </row>
    <row r="216" spans="1:11" x14ac:dyDescent="0.25">
      <c r="A216" s="344"/>
      <c r="B216" s="151"/>
      <c r="C216" s="94"/>
      <c r="D216" s="436"/>
      <c r="E216" s="436">
        <f>SUM(E214:E215)</f>
        <v>0</v>
      </c>
      <c r="F216" s="436">
        <v>0</v>
      </c>
      <c r="G216" s="436">
        <v>0</v>
      </c>
      <c r="H216" s="436"/>
      <c r="I216" s="436"/>
      <c r="J216" s="436"/>
      <c r="K216" s="436"/>
    </row>
    <row r="217" spans="1:11" x14ac:dyDescent="0.25">
      <c r="A217" s="344"/>
      <c r="B217" s="151"/>
      <c r="C217" s="93" t="s">
        <v>70</v>
      </c>
      <c r="D217" s="444"/>
      <c r="E217" s="435"/>
      <c r="F217" s="435"/>
      <c r="G217" s="444"/>
      <c r="H217" s="435"/>
      <c r="I217" s="435"/>
      <c r="J217" s="435"/>
      <c r="K217" s="435"/>
    </row>
    <row r="218" spans="1:11" x14ac:dyDescent="0.25">
      <c r="A218" s="118">
        <v>38</v>
      </c>
      <c r="B218" s="151">
        <v>1500</v>
      </c>
      <c r="C218" s="94" t="s">
        <v>106</v>
      </c>
      <c r="D218" s="444"/>
      <c r="E218" s="425"/>
      <c r="F218" s="435"/>
      <c r="G218" s="444"/>
      <c r="H218" s="435"/>
      <c r="I218" s="435"/>
      <c r="J218" s="435"/>
      <c r="K218" s="425"/>
    </row>
    <row r="219" spans="1:11" x14ac:dyDescent="0.25">
      <c r="A219" s="118">
        <v>38</v>
      </c>
      <c r="B219" s="151">
        <v>1505</v>
      </c>
      <c r="C219" s="94" t="s">
        <v>71</v>
      </c>
      <c r="D219" s="444"/>
      <c r="E219" s="425"/>
      <c r="F219" s="435"/>
      <c r="G219" s="444"/>
      <c r="H219" s="435"/>
      <c r="I219" s="435"/>
      <c r="J219" s="435"/>
      <c r="K219" s="425"/>
    </row>
    <row r="220" spans="1:11" x14ac:dyDescent="0.25">
      <c r="A220" s="118">
        <v>38</v>
      </c>
      <c r="B220" s="151">
        <v>1510</v>
      </c>
      <c r="C220" s="94" t="s">
        <v>72</v>
      </c>
      <c r="D220" s="444"/>
      <c r="E220" s="425"/>
      <c r="F220" s="435"/>
      <c r="G220" s="444"/>
      <c r="H220" s="435"/>
      <c r="I220" s="435"/>
      <c r="J220" s="435"/>
      <c r="K220" s="425"/>
    </row>
    <row r="221" spans="1:11" x14ac:dyDescent="0.25">
      <c r="A221" s="344"/>
      <c r="B221" s="151"/>
      <c r="C221" s="94"/>
      <c r="D221" s="436"/>
      <c r="E221" s="436">
        <f>SUM(E218:E220)</f>
        <v>0</v>
      </c>
      <c r="F221" s="436">
        <v>0</v>
      </c>
      <c r="G221" s="436">
        <v>0</v>
      </c>
      <c r="H221" s="436"/>
      <c r="I221" s="436"/>
      <c r="J221" s="436"/>
      <c r="K221" s="436"/>
    </row>
    <row r="222" spans="1:11" x14ac:dyDescent="0.25">
      <c r="A222" s="344"/>
      <c r="B222" s="151"/>
      <c r="C222" s="93" t="s">
        <v>73</v>
      </c>
      <c r="D222" s="444"/>
      <c r="E222" s="435"/>
      <c r="F222" s="435"/>
      <c r="G222" s="444"/>
      <c r="H222" s="435"/>
      <c r="I222" s="435"/>
      <c r="J222" s="435"/>
      <c r="K222" s="435"/>
    </row>
    <row r="223" spans="1:11" x14ac:dyDescent="0.25">
      <c r="A223" s="118">
        <v>38</v>
      </c>
      <c r="B223" s="151">
        <v>1550</v>
      </c>
      <c r="C223" s="94" t="s">
        <v>349</v>
      </c>
      <c r="D223" s="444"/>
      <c r="E223" s="435"/>
      <c r="F223" s="435"/>
      <c r="G223" s="444"/>
      <c r="H223" s="435"/>
      <c r="I223" s="435"/>
      <c r="J223" s="435"/>
      <c r="K223" s="435"/>
    </row>
    <row r="224" spans="1:11" x14ac:dyDescent="0.25">
      <c r="A224" s="118">
        <v>38</v>
      </c>
      <c r="B224" s="151">
        <v>1555</v>
      </c>
      <c r="C224" s="94" t="s">
        <v>348</v>
      </c>
      <c r="D224" s="444">
        <v>15614</v>
      </c>
      <c r="E224" s="435">
        <v>225000</v>
      </c>
      <c r="F224" s="428">
        <v>225000</v>
      </c>
      <c r="G224" s="444">
        <v>225000</v>
      </c>
      <c r="H224" s="428">
        <f>(F224*0.1)+F224</f>
        <v>247500</v>
      </c>
      <c r="I224" s="428"/>
      <c r="J224" s="428"/>
      <c r="K224" s="428"/>
    </row>
    <row r="225" spans="1:11" x14ac:dyDescent="0.25">
      <c r="A225" s="344"/>
      <c r="B225" s="151"/>
      <c r="C225" s="94"/>
      <c r="D225" s="437">
        <v>15614</v>
      </c>
      <c r="E225" s="437">
        <f>SUM(E223:E224)</f>
        <v>225000</v>
      </c>
      <c r="F225" s="437">
        <f>SUM(F223:F224)</f>
        <v>225000</v>
      </c>
      <c r="G225" s="437">
        <v>225000</v>
      </c>
      <c r="H225" s="437">
        <f>SUM(H223:H224)</f>
        <v>247500</v>
      </c>
      <c r="I225" s="437"/>
      <c r="J225" s="437"/>
      <c r="K225" s="437"/>
    </row>
    <row r="226" spans="1:11" x14ac:dyDescent="0.25">
      <c r="A226" s="344"/>
      <c r="B226" s="151"/>
      <c r="C226" s="93" t="s">
        <v>74</v>
      </c>
      <c r="D226" s="444"/>
      <c r="E226" s="435"/>
      <c r="F226" s="435"/>
      <c r="G226" s="444"/>
      <c r="H226" s="435"/>
      <c r="I226" s="435"/>
      <c r="J226" s="435"/>
      <c r="K226" s="435"/>
    </row>
    <row r="227" spans="1:11" x14ac:dyDescent="0.25">
      <c r="A227" s="118">
        <v>38</v>
      </c>
      <c r="B227" s="151">
        <v>1605</v>
      </c>
      <c r="C227" s="94" t="s">
        <v>75</v>
      </c>
      <c r="D227" s="444">
        <v>0</v>
      </c>
      <c r="E227" s="435"/>
      <c r="F227" s="435"/>
      <c r="G227" s="444"/>
      <c r="H227" s="435"/>
      <c r="I227" s="435"/>
      <c r="J227" s="435"/>
      <c r="K227" s="435"/>
    </row>
    <row r="228" spans="1:11" x14ac:dyDescent="0.25">
      <c r="A228" s="118">
        <v>38</v>
      </c>
      <c r="B228" s="151">
        <v>1610</v>
      </c>
      <c r="C228" s="94" t="s">
        <v>131</v>
      </c>
      <c r="D228" s="444">
        <v>0</v>
      </c>
      <c r="E228" s="425"/>
      <c r="F228" s="435"/>
      <c r="G228" s="444"/>
      <c r="H228" s="435"/>
      <c r="I228" s="435"/>
      <c r="J228" s="435"/>
      <c r="K228" s="435"/>
    </row>
    <row r="229" spans="1:11" x14ac:dyDescent="0.25">
      <c r="A229" s="118">
        <v>38</v>
      </c>
      <c r="B229" s="151">
        <v>1615</v>
      </c>
      <c r="C229" s="94" t="s">
        <v>182</v>
      </c>
      <c r="D229" s="444">
        <v>0</v>
      </c>
      <c r="E229" s="425"/>
      <c r="F229" s="435"/>
      <c r="G229" s="444"/>
      <c r="H229" s="435"/>
      <c r="I229" s="435"/>
      <c r="J229" s="435"/>
      <c r="K229" s="435"/>
    </row>
    <row r="230" spans="1:11" x14ac:dyDescent="0.25">
      <c r="A230" s="118">
        <v>38</v>
      </c>
      <c r="B230" s="151">
        <v>1620</v>
      </c>
      <c r="C230" s="94" t="s">
        <v>255</v>
      </c>
      <c r="D230" s="444">
        <v>0</v>
      </c>
      <c r="E230" s="425"/>
      <c r="F230" s="435"/>
      <c r="G230" s="444"/>
      <c r="H230" s="435"/>
      <c r="I230" s="435"/>
      <c r="J230" s="435"/>
      <c r="K230" s="435"/>
    </row>
    <row r="231" spans="1:11" x14ac:dyDescent="0.25">
      <c r="A231" s="118">
        <v>38</v>
      </c>
      <c r="B231" s="151">
        <v>1625</v>
      </c>
      <c r="C231" s="94" t="s">
        <v>108</v>
      </c>
      <c r="D231" s="444">
        <v>0</v>
      </c>
      <c r="E231" s="425"/>
      <c r="F231" s="435"/>
      <c r="G231" s="444"/>
      <c r="H231" s="435"/>
      <c r="I231" s="435"/>
      <c r="J231" s="435"/>
      <c r="K231" s="435"/>
    </row>
    <row r="232" spans="1:11" x14ac:dyDescent="0.25">
      <c r="A232" s="118">
        <v>38</v>
      </c>
      <c r="B232" s="151">
        <v>1630</v>
      </c>
      <c r="C232" s="94" t="s">
        <v>76</v>
      </c>
      <c r="D232" s="444">
        <v>0</v>
      </c>
      <c r="E232" s="425"/>
      <c r="F232" s="435"/>
      <c r="G232" s="444"/>
      <c r="H232" s="435"/>
      <c r="I232" s="435"/>
      <c r="J232" s="435"/>
      <c r="K232" s="435"/>
    </row>
    <row r="233" spans="1:11" x14ac:dyDescent="0.25">
      <c r="A233" s="118">
        <v>38</v>
      </c>
      <c r="B233" s="151">
        <v>1635</v>
      </c>
      <c r="C233" s="94" t="s">
        <v>180</v>
      </c>
      <c r="D233" s="444">
        <v>0</v>
      </c>
      <c r="E233" s="425"/>
      <c r="F233" s="435"/>
      <c r="G233" s="444"/>
      <c r="H233" s="435"/>
      <c r="I233" s="435"/>
      <c r="J233" s="435"/>
      <c r="K233" s="435"/>
    </row>
    <row r="234" spans="1:11" x14ac:dyDescent="0.25">
      <c r="A234" s="118">
        <v>38</v>
      </c>
      <c r="B234" s="151">
        <v>1640</v>
      </c>
      <c r="C234" s="94" t="s">
        <v>184</v>
      </c>
      <c r="D234" s="444">
        <v>0</v>
      </c>
      <c r="E234" s="425"/>
      <c r="F234" s="435"/>
      <c r="G234" s="444"/>
      <c r="H234" s="435"/>
      <c r="I234" s="435"/>
      <c r="J234" s="435"/>
      <c r="K234" s="435"/>
    </row>
    <row r="235" spans="1:11" x14ac:dyDescent="0.25">
      <c r="A235" s="118">
        <v>38</v>
      </c>
      <c r="B235" s="151">
        <v>1645</v>
      </c>
      <c r="C235" s="94" t="s">
        <v>77</v>
      </c>
      <c r="D235" s="444">
        <v>0</v>
      </c>
      <c r="E235" s="425"/>
      <c r="F235" s="435"/>
      <c r="G235" s="444"/>
      <c r="H235" s="435"/>
      <c r="I235" s="435"/>
      <c r="J235" s="435"/>
      <c r="K235" s="435"/>
    </row>
    <row r="236" spans="1:11" x14ac:dyDescent="0.25">
      <c r="A236" s="118">
        <v>38</v>
      </c>
      <c r="B236" s="151">
        <v>1650</v>
      </c>
      <c r="C236" s="94" t="s">
        <v>78</v>
      </c>
      <c r="D236" s="444">
        <v>0</v>
      </c>
      <c r="E236" s="425"/>
      <c r="F236" s="435"/>
      <c r="G236" s="444"/>
      <c r="H236" s="435"/>
      <c r="I236" s="435"/>
      <c r="J236" s="435"/>
      <c r="K236" s="435"/>
    </row>
    <row r="237" spans="1:11" x14ac:dyDescent="0.25">
      <c r="A237" s="118">
        <v>38</v>
      </c>
      <c r="B237" s="151"/>
      <c r="C237" s="94" t="s">
        <v>200</v>
      </c>
      <c r="D237" s="444">
        <v>0</v>
      </c>
      <c r="E237" s="425"/>
      <c r="F237" s="435"/>
      <c r="G237" s="444"/>
      <c r="H237" s="435"/>
      <c r="I237" s="435"/>
      <c r="J237" s="435"/>
      <c r="K237" s="435"/>
    </row>
    <row r="238" spans="1:11" x14ac:dyDescent="0.25">
      <c r="A238" s="118">
        <v>38</v>
      </c>
      <c r="B238" s="151">
        <v>1660</v>
      </c>
      <c r="C238" s="94" t="s">
        <v>185</v>
      </c>
      <c r="D238" s="444">
        <v>0</v>
      </c>
      <c r="E238" s="425"/>
      <c r="F238" s="435"/>
      <c r="G238" s="444"/>
      <c r="H238" s="435"/>
      <c r="I238" s="435"/>
      <c r="J238" s="435"/>
      <c r="K238" s="435"/>
    </row>
    <row r="239" spans="1:11" x14ac:dyDescent="0.25">
      <c r="A239" s="118">
        <v>38</v>
      </c>
      <c r="B239" s="151">
        <v>1665</v>
      </c>
      <c r="C239" s="94" t="s">
        <v>181</v>
      </c>
      <c r="D239" s="444">
        <v>0</v>
      </c>
      <c r="E239" s="425"/>
      <c r="F239" s="435"/>
      <c r="G239" s="444"/>
      <c r="H239" s="435"/>
      <c r="I239" s="435"/>
      <c r="J239" s="435"/>
      <c r="K239" s="435"/>
    </row>
    <row r="240" spans="1:11" x14ac:dyDescent="0.25">
      <c r="A240" s="344"/>
      <c r="B240" s="151"/>
      <c r="C240" s="94"/>
      <c r="D240" s="436">
        <v>0</v>
      </c>
      <c r="E240" s="436">
        <f>SUM(E227:E239)</f>
        <v>0</v>
      </c>
      <c r="F240" s="436">
        <v>0</v>
      </c>
      <c r="G240" s="436">
        <v>0</v>
      </c>
      <c r="H240" s="436"/>
      <c r="I240" s="436"/>
      <c r="J240" s="436"/>
      <c r="K240" s="436"/>
    </row>
    <row r="241" spans="1:11" x14ac:dyDescent="0.25">
      <c r="A241" s="344"/>
      <c r="B241" s="151"/>
      <c r="C241" s="93" t="s">
        <v>79</v>
      </c>
      <c r="D241" s="444"/>
      <c r="E241" s="435"/>
      <c r="F241" s="435"/>
      <c r="G241" s="444"/>
      <c r="H241" s="435"/>
      <c r="I241" s="435"/>
      <c r="J241" s="435"/>
      <c r="K241" s="435"/>
    </row>
    <row r="242" spans="1:11" x14ac:dyDescent="0.25">
      <c r="A242" s="118">
        <v>38</v>
      </c>
      <c r="B242" s="151">
        <v>1705</v>
      </c>
      <c r="C242" s="94" t="s">
        <v>123</v>
      </c>
      <c r="D242" s="444">
        <v>0</v>
      </c>
      <c r="E242" s="435"/>
      <c r="F242" s="435"/>
      <c r="G242" s="444"/>
      <c r="H242" s="435"/>
      <c r="I242" s="435"/>
      <c r="J242" s="435"/>
      <c r="K242" s="435"/>
    </row>
    <row r="243" spans="1:11" x14ac:dyDescent="0.25">
      <c r="A243" s="118">
        <v>38</v>
      </c>
      <c r="B243" s="151">
        <v>1710</v>
      </c>
      <c r="C243" s="94" t="s">
        <v>242</v>
      </c>
      <c r="D243" s="444">
        <v>0</v>
      </c>
      <c r="E243" s="435"/>
      <c r="F243" s="435"/>
      <c r="G243" s="444"/>
      <c r="H243" s="435"/>
      <c r="I243" s="435"/>
      <c r="J243" s="435"/>
      <c r="K243" s="435"/>
    </row>
    <row r="244" spans="1:11" x14ac:dyDescent="0.25">
      <c r="A244" s="118">
        <v>38</v>
      </c>
      <c r="B244" s="151">
        <v>1715</v>
      </c>
      <c r="C244" s="94" t="s">
        <v>183</v>
      </c>
      <c r="D244" s="444">
        <v>0</v>
      </c>
      <c r="E244" s="435"/>
      <c r="F244" s="435"/>
      <c r="G244" s="444"/>
      <c r="H244" s="435"/>
      <c r="I244" s="435"/>
      <c r="J244" s="435"/>
      <c r="K244" s="435"/>
    </row>
    <row r="245" spans="1:11" x14ac:dyDescent="0.25">
      <c r="A245" s="118">
        <v>38</v>
      </c>
      <c r="B245" s="151">
        <v>1720</v>
      </c>
      <c r="C245" s="94" t="s">
        <v>103</v>
      </c>
      <c r="D245" s="444">
        <v>0</v>
      </c>
      <c r="E245" s="435"/>
      <c r="F245" s="435"/>
      <c r="G245" s="444"/>
      <c r="H245" s="435"/>
      <c r="I245" s="435"/>
      <c r="J245" s="435"/>
      <c r="K245" s="435"/>
    </row>
    <row r="246" spans="1:11" x14ac:dyDescent="0.25">
      <c r="A246" s="118">
        <v>38</v>
      </c>
      <c r="B246" s="151">
        <v>1725</v>
      </c>
      <c r="C246" s="94" t="s">
        <v>107</v>
      </c>
      <c r="D246" s="444">
        <v>0</v>
      </c>
      <c r="E246" s="435"/>
      <c r="F246" s="435"/>
      <c r="G246" s="444"/>
      <c r="H246" s="435"/>
      <c r="I246" s="435"/>
      <c r="J246" s="435"/>
      <c r="K246" s="435"/>
    </row>
    <row r="247" spans="1:11" x14ac:dyDescent="0.25">
      <c r="A247" s="118">
        <v>38</v>
      </c>
      <c r="B247" s="151">
        <v>1730</v>
      </c>
      <c r="C247" s="94" t="s">
        <v>256</v>
      </c>
      <c r="D247" s="444">
        <v>0</v>
      </c>
      <c r="E247" s="435"/>
      <c r="F247" s="435"/>
      <c r="G247" s="444"/>
      <c r="H247" s="435"/>
      <c r="I247" s="435"/>
      <c r="J247" s="435"/>
      <c r="K247" s="435"/>
    </row>
    <row r="248" spans="1:11" x14ac:dyDescent="0.25">
      <c r="A248" s="344"/>
      <c r="B248" s="151"/>
      <c r="C248" s="94"/>
      <c r="D248" s="436">
        <v>0</v>
      </c>
      <c r="E248" s="436">
        <f>SUM(E242:E247)</f>
        <v>0</v>
      </c>
      <c r="F248" s="436">
        <v>0</v>
      </c>
      <c r="G248" s="436">
        <v>0</v>
      </c>
      <c r="H248" s="436"/>
      <c r="I248" s="436"/>
      <c r="J248" s="436"/>
      <c r="K248" s="436"/>
    </row>
    <row r="249" spans="1:11" x14ac:dyDescent="0.25">
      <c r="A249" s="344"/>
      <c r="B249" s="151"/>
      <c r="C249" s="93" t="s">
        <v>80</v>
      </c>
      <c r="D249" s="444"/>
      <c r="E249" s="435"/>
      <c r="F249" s="435"/>
      <c r="G249" s="444"/>
      <c r="H249" s="435"/>
      <c r="I249" s="435"/>
      <c r="J249" s="435"/>
      <c r="K249" s="435"/>
    </row>
    <row r="250" spans="1:11" x14ac:dyDescent="0.25">
      <c r="A250" s="118">
        <v>38</v>
      </c>
      <c r="B250" s="151">
        <v>1805</v>
      </c>
      <c r="C250" s="94" t="s">
        <v>81</v>
      </c>
      <c r="D250" s="444">
        <v>0</v>
      </c>
      <c r="E250" s="425"/>
      <c r="F250" s="435"/>
      <c r="G250" s="444"/>
      <c r="H250" s="435"/>
      <c r="I250" s="435"/>
      <c r="J250" s="435"/>
      <c r="K250" s="425"/>
    </row>
    <row r="251" spans="1:11" x14ac:dyDescent="0.25">
      <c r="A251" s="344"/>
      <c r="B251" s="151"/>
      <c r="C251" s="94"/>
      <c r="D251" s="436">
        <v>0</v>
      </c>
      <c r="E251" s="436">
        <f>E250</f>
        <v>0</v>
      </c>
      <c r="F251" s="436">
        <v>0</v>
      </c>
      <c r="G251" s="436">
        <v>0</v>
      </c>
      <c r="H251" s="436"/>
      <c r="I251" s="436"/>
      <c r="J251" s="436"/>
      <c r="K251" s="436"/>
    </row>
    <row r="252" spans="1:11" x14ac:dyDescent="0.25">
      <c r="A252" s="344"/>
      <c r="B252" s="346"/>
      <c r="C252" s="93" t="s">
        <v>192</v>
      </c>
      <c r="D252" s="442"/>
      <c r="E252" s="442"/>
      <c r="F252" s="442"/>
      <c r="G252" s="442"/>
      <c r="H252" s="442"/>
      <c r="I252" s="442"/>
      <c r="J252" s="442"/>
      <c r="K252" s="442"/>
    </row>
    <row r="253" spans="1:11" x14ac:dyDescent="0.25">
      <c r="A253" s="344"/>
      <c r="B253" s="151"/>
      <c r="C253" s="94"/>
      <c r="D253" s="442"/>
      <c r="E253" s="442"/>
      <c r="F253" s="442"/>
      <c r="G253" s="442"/>
      <c r="H253" s="442"/>
      <c r="I253" s="442"/>
      <c r="J253" s="442"/>
      <c r="K253" s="442"/>
    </row>
    <row r="254" spans="1:11" x14ac:dyDescent="0.25">
      <c r="A254" s="344"/>
      <c r="B254" s="151"/>
      <c r="C254" s="145" t="s">
        <v>193</v>
      </c>
      <c r="D254" s="445"/>
      <c r="E254" s="146"/>
      <c r="F254" s="445"/>
      <c r="G254" s="445"/>
      <c r="H254" s="445"/>
      <c r="I254" s="445"/>
      <c r="J254" s="445"/>
      <c r="K254" s="445"/>
    </row>
    <row r="255" spans="1:11" x14ac:dyDescent="0.25">
      <c r="A255" s="118">
        <v>38</v>
      </c>
      <c r="B255" s="151">
        <v>1905</v>
      </c>
      <c r="C255" s="118" t="s">
        <v>194</v>
      </c>
      <c r="D255" s="127">
        <v>0</v>
      </c>
      <c r="E255" s="147"/>
      <c r="F255" s="435"/>
      <c r="G255" s="127"/>
      <c r="H255" s="435"/>
      <c r="I255" s="435"/>
      <c r="J255" s="435"/>
      <c r="K255" s="435"/>
    </row>
    <row r="256" spans="1:11" x14ac:dyDescent="0.25">
      <c r="A256" s="344"/>
      <c r="B256" s="151"/>
      <c r="C256" s="94"/>
      <c r="D256" s="442">
        <v>0</v>
      </c>
      <c r="E256" s="442">
        <f>SUM(E255)</f>
        <v>0</v>
      </c>
      <c r="F256" s="442">
        <v>0</v>
      </c>
      <c r="G256" s="442">
        <v>0</v>
      </c>
      <c r="H256" s="442">
        <v>0</v>
      </c>
      <c r="I256" s="442"/>
      <c r="J256" s="442"/>
      <c r="K256" s="442"/>
    </row>
    <row r="257" spans="1:11" x14ac:dyDescent="0.25">
      <c r="A257" s="344"/>
      <c r="B257" s="151"/>
      <c r="C257" s="93" t="s">
        <v>189</v>
      </c>
      <c r="D257" s="442"/>
      <c r="E257" s="442">
        <f>E252+E256</f>
        <v>0</v>
      </c>
      <c r="F257" s="442"/>
      <c r="G257" s="442"/>
      <c r="H257" s="442"/>
      <c r="I257" s="442"/>
      <c r="J257" s="442"/>
      <c r="K257" s="442"/>
    </row>
    <row r="258" spans="1:11" x14ac:dyDescent="0.25">
      <c r="A258" s="344"/>
      <c r="B258" s="151"/>
      <c r="C258" s="145" t="s">
        <v>195</v>
      </c>
      <c r="D258" s="445"/>
      <c r="E258" s="148"/>
      <c r="F258" s="446"/>
      <c r="G258" s="445"/>
      <c r="H258" s="446"/>
      <c r="I258" s="446"/>
      <c r="J258" s="446"/>
      <c r="K258" s="446"/>
    </row>
    <row r="259" spans="1:11" x14ac:dyDescent="0.25">
      <c r="A259" s="118">
        <v>38</v>
      </c>
      <c r="B259" s="151">
        <v>1950</v>
      </c>
      <c r="C259" s="118" t="s">
        <v>196</v>
      </c>
      <c r="D259" s="127">
        <v>0</v>
      </c>
      <c r="E259" s="147"/>
      <c r="F259" s="435">
        <f>E259/8*12</f>
        <v>0</v>
      </c>
      <c r="G259" s="127">
        <v>0</v>
      </c>
      <c r="H259" s="435">
        <f>F259/8*12</f>
        <v>0</v>
      </c>
      <c r="I259" s="435"/>
      <c r="J259" s="435">
        <f>H259/8*12</f>
        <v>0</v>
      </c>
      <c r="K259" s="435">
        <f>J259/8*12</f>
        <v>0</v>
      </c>
    </row>
    <row r="260" spans="1:11" x14ac:dyDescent="0.25">
      <c r="A260" s="344"/>
      <c r="B260" s="346"/>
      <c r="C260" s="94"/>
      <c r="D260" s="445">
        <v>0</v>
      </c>
      <c r="E260" s="445">
        <f t="shared" ref="E260:K260" si="9">E259</f>
        <v>0</v>
      </c>
      <c r="F260" s="445">
        <f t="shared" si="9"/>
        <v>0</v>
      </c>
      <c r="G260" s="445">
        <v>0</v>
      </c>
      <c r="H260" s="445">
        <f t="shared" si="9"/>
        <v>0</v>
      </c>
      <c r="I260" s="445"/>
      <c r="J260" s="445">
        <f t="shared" si="9"/>
        <v>0</v>
      </c>
      <c r="K260" s="445">
        <f t="shared" si="9"/>
        <v>0</v>
      </c>
    </row>
    <row r="261" spans="1:11" x14ac:dyDescent="0.25">
      <c r="A261" s="348"/>
      <c r="B261" s="351"/>
      <c r="C261" s="93" t="s">
        <v>197</v>
      </c>
      <c r="D261" s="448">
        <f>D257+D260</f>
        <v>0</v>
      </c>
      <c r="E261" s="448">
        <f>E257+E260</f>
        <v>0</v>
      </c>
      <c r="F261" s="448">
        <f>F257+F260</f>
        <v>0</v>
      </c>
      <c r="G261" s="448">
        <f>G257+G260</f>
        <v>0</v>
      </c>
      <c r="H261" s="448">
        <f>H257+H260</f>
        <v>0</v>
      </c>
      <c r="I261" s="448"/>
      <c r="J261" s="448"/>
      <c r="K261" s="448"/>
    </row>
    <row r="262" spans="1:11" x14ac:dyDescent="0.25">
      <c r="A262" s="349"/>
      <c r="B262" s="154"/>
      <c r="C262" s="126" t="s">
        <v>82</v>
      </c>
      <c r="D262" s="449">
        <f>D261-D165</f>
        <v>0</v>
      </c>
      <c r="E262" s="449">
        <f>E261-E165</f>
        <v>0</v>
      </c>
      <c r="F262" s="449">
        <f>F261-F165</f>
        <v>0</v>
      </c>
      <c r="G262" s="449">
        <f>G261-G165</f>
        <v>0</v>
      </c>
      <c r="H262" s="449">
        <f>H261-H165</f>
        <v>0</v>
      </c>
      <c r="I262" s="449"/>
      <c r="J262" s="449"/>
      <c r="K262" s="449"/>
    </row>
  </sheetData>
  <mergeCells count="3">
    <mergeCell ref="A3:C3"/>
    <mergeCell ref="A4:B5"/>
    <mergeCell ref="A169:B170"/>
  </mergeCells>
  <pageMargins left="0.7" right="0.7" top="0.75" bottom="0.75" header="0.3" footer="0.3"/>
  <pageSetup scale="76" fitToHeight="0" orientation="portrait" horizontalDpi="4294967295" verticalDpi="4294967295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4"/>
  <dimension ref="A1:V181"/>
  <sheetViews>
    <sheetView topLeftCell="B109" workbookViewId="0">
      <selection activeCell="C174" sqref="C174"/>
    </sheetView>
  </sheetViews>
  <sheetFormatPr defaultRowHeight="13.2" x14ac:dyDescent="0.25"/>
  <cols>
    <col min="1" max="1" width="5.33203125" customWidth="1"/>
    <col min="2" max="2" width="27.33203125" customWidth="1"/>
    <col min="3" max="3" width="21.6640625" customWidth="1"/>
    <col min="4" max="4" width="24.109375" customWidth="1"/>
    <col min="5" max="5" width="67" bestFit="1" customWidth="1"/>
    <col min="6" max="16" width="9.109375" hidden="1" customWidth="1"/>
    <col min="17" max="17" width="17.5546875" customWidth="1"/>
    <col min="18" max="18" width="18.88671875" hidden="1" customWidth="1"/>
    <col min="19" max="19" width="18.44140625" hidden="1" customWidth="1"/>
    <col min="20" max="20" width="17.88671875" customWidth="1"/>
    <col min="21" max="21" width="13.6640625" customWidth="1"/>
    <col min="22" max="22" width="13.44140625" style="603" customWidth="1"/>
  </cols>
  <sheetData>
    <row r="1" spans="1:22" x14ac:dyDescent="0.25">
      <c r="A1" s="520"/>
      <c r="B1" s="443"/>
      <c r="C1" s="438"/>
      <c r="D1" s="438"/>
      <c r="E1" s="438"/>
      <c r="F1" s="438"/>
      <c r="G1" s="438"/>
      <c r="H1" s="438"/>
      <c r="I1" s="438"/>
      <c r="J1" s="438"/>
      <c r="K1" s="438"/>
      <c r="L1" s="438"/>
      <c r="M1" s="438"/>
      <c r="N1" s="438"/>
      <c r="O1" s="438"/>
      <c r="P1" s="438"/>
      <c r="Q1" s="487"/>
      <c r="R1" s="438"/>
      <c r="S1" s="480"/>
      <c r="T1" s="521">
        <v>24</v>
      </c>
      <c r="U1" s="426"/>
    </row>
    <row r="2" spans="1:22" ht="18" x14ac:dyDescent="0.35">
      <c r="A2" s="520"/>
      <c r="B2" s="488" t="s">
        <v>874</v>
      </c>
      <c r="C2" s="481"/>
      <c r="D2" s="481"/>
      <c r="E2" s="481"/>
      <c r="F2" s="481"/>
      <c r="G2" s="481"/>
      <c r="H2" s="481"/>
      <c r="I2" s="481"/>
      <c r="J2" s="481"/>
      <c r="K2" s="481"/>
      <c r="L2" s="481"/>
      <c r="M2" s="481"/>
      <c r="N2" s="481"/>
      <c r="O2" s="481"/>
      <c r="P2" s="481"/>
      <c r="Q2" s="489"/>
      <c r="R2" s="481"/>
      <c r="S2" s="482"/>
      <c r="T2" s="438"/>
      <c r="U2" s="426"/>
    </row>
    <row r="3" spans="1:22" ht="18" x14ac:dyDescent="0.35">
      <c r="A3" s="520"/>
      <c r="B3" s="490"/>
      <c r="C3" s="481"/>
      <c r="D3" s="481"/>
      <c r="E3" s="481"/>
      <c r="F3" s="481"/>
      <c r="G3" s="481"/>
      <c r="H3" s="481"/>
      <c r="I3" s="481"/>
      <c r="J3" s="481"/>
      <c r="K3" s="481"/>
      <c r="L3" s="481"/>
      <c r="M3" s="481"/>
      <c r="N3" s="481"/>
      <c r="O3" s="481"/>
      <c r="P3" s="481"/>
      <c r="Q3" s="489"/>
      <c r="R3" s="481"/>
      <c r="S3" s="482"/>
      <c r="T3" s="438"/>
      <c r="U3" s="426"/>
    </row>
    <row r="4" spans="1:22" x14ac:dyDescent="0.25">
      <c r="A4" s="520"/>
      <c r="B4" s="424" t="s">
        <v>1</v>
      </c>
      <c r="C4" s="472" t="s">
        <v>545</v>
      </c>
      <c r="D4" s="472" t="s">
        <v>546</v>
      </c>
      <c r="E4" s="472" t="s">
        <v>22</v>
      </c>
      <c r="F4" s="473" t="s">
        <v>547</v>
      </c>
      <c r="G4" s="473" t="s">
        <v>548</v>
      </c>
      <c r="H4" s="473" t="s">
        <v>549</v>
      </c>
      <c r="I4" s="474" t="s">
        <v>178</v>
      </c>
      <c r="J4" s="474" t="s">
        <v>179</v>
      </c>
      <c r="K4" s="474" t="s">
        <v>240</v>
      </c>
      <c r="L4" s="474" t="s">
        <v>245</v>
      </c>
      <c r="M4" s="474" t="s">
        <v>257</v>
      </c>
      <c r="N4" s="474" t="s">
        <v>494</v>
      </c>
      <c r="O4" s="472" t="s">
        <v>550</v>
      </c>
      <c r="P4" s="472" t="s">
        <v>78</v>
      </c>
      <c r="Q4" s="491" t="s">
        <v>495</v>
      </c>
      <c r="R4" s="474" t="s">
        <v>382</v>
      </c>
      <c r="S4" s="474" t="s">
        <v>407</v>
      </c>
      <c r="T4" s="474" t="s">
        <v>414</v>
      </c>
      <c r="U4" s="591" t="s">
        <v>530</v>
      </c>
      <c r="V4" s="591" t="s">
        <v>886</v>
      </c>
    </row>
    <row r="5" spans="1:22" x14ac:dyDescent="0.25">
      <c r="A5" s="520"/>
      <c r="B5" s="519"/>
      <c r="C5" s="430" t="s">
        <v>148</v>
      </c>
      <c r="D5" s="430" t="s">
        <v>443</v>
      </c>
      <c r="E5" s="430" t="s">
        <v>551</v>
      </c>
      <c r="F5" s="430">
        <v>0</v>
      </c>
      <c r="G5" s="430">
        <v>0</v>
      </c>
      <c r="H5" s="430">
        <f>J5+O5+P5</f>
        <v>0</v>
      </c>
      <c r="I5" s="430"/>
      <c r="J5" s="430"/>
      <c r="K5" s="430">
        <v>100000</v>
      </c>
      <c r="L5" s="430"/>
      <c r="M5" s="430">
        <f>+N5+O5+P5</f>
        <v>0</v>
      </c>
      <c r="N5" s="430"/>
      <c r="O5" s="430"/>
      <c r="P5" s="430"/>
      <c r="Q5" s="491"/>
      <c r="R5" s="430"/>
      <c r="S5" s="430"/>
      <c r="T5" s="430"/>
      <c r="U5" s="592"/>
      <c r="V5" s="604"/>
    </row>
    <row r="6" spans="1:22" x14ac:dyDescent="0.25">
      <c r="A6" s="520"/>
      <c r="B6" s="519"/>
      <c r="C6" s="430" t="s">
        <v>552</v>
      </c>
      <c r="D6" s="430" t="s">
        <v>443</v>
      </c>
      <c r="E6" s="430"/>
      <c r="F6" s="430">
        <v>0</v>
      </c>
      <c r="G6" s="430">
        <v>0</v>
      </c>
      <c r="H6" s="430">
        <f>J6+O6+P6</f>
        <v>0</v>
      </c>
      <c r="I6" s="430"/>
      <c r="J6" s="430"/>
      <c r="K6" s="430"/>
      <c r="L6" s="430"/>
      <c r="M6" s="430">
        <f>+N6+O6+P6</f>
        <v>0</v>
      </c>
      <c r="N6" s="430"/>
      <c r="O6" s="430"/>
      <c r="P6" s="430"/>
      <c r="Q6" s="491"/>
      <c r="R6" s="430"/>
      <c r="S6" s="430"/>
      <c r="T6" s="430"/>
      <c r="U6" s="592"/>
      <c r="V6" s="604"/>
    </row>
    <row r="7" spans="1:22" x14ac:dyDescent="0.25">
      <c r="A7" s="520"/>
      <c r="B7" s="519"/>
      <c r="C7" s="430" t="s">
        <v>553</v>
      </c>
      <c r="D7" s="430" t="s">
        <v>443</v>
      </c>
      <c r="E7" s="475"/>
      <c r="F7" s="475"/>
      <c r="G7" s="475"/>
      <c r="H7" s="475"/>
      <c r="I7" s="475"/>
      <c r="J7" s="475"/>
      <c r="K7" s="475"/>
      <c r="L7" s="475"/>
      <c r="M7" s="475"/>
      <c r="N7" s="475"/>
      <c r="O7" s="430"/>
      <c r="P7" s="430"/>
      <c r="Q7" s="491"/>
      <c r="R7" s="430"/>
      <c r="S7" s="430"/>
      <c r="T7" s="430"/>
      <c r="U7" s="592"/>
      <c r="V7" s="604"/>
    </row>
    <row r="8" spans="1:22" x14ac:dyDescent="0.25">
      <c r="A8" s="520"/>
      <c r="B8" s="519"/>
      <c r="C8" s="430" t="s">
        <v>121</v>
      </c>
      <c r="D8" s="430" t="s">
        <v>443</v>
      </c>
      <c r="E8" s="330" t="s">
        <v>885</v>
      </c>
      <c r="F8" s="475"/>
      <c r="G8" s="475"/>
      <c r="H8" s="475"/>
      <c r="I8" s="475"/>
      <c r="J8" s="475"/>
      <c r="K8" s="475"/>
      <c r="L8" s="475"/>
      <c r="M8" s="475"/>
      <c r="N8" s="475"/>
      <c r="O8" s="430"/>
      <c r="P8" s="430"/>
      <c r="Q8" s="491" t="s">
        <v>550</v>
      </c>
      <c r="R8" s="430"/>
      <c r="S8" s="430">
        <v>3200000</v>
      </c>
      <c r="T8" s="430"/>
      <c r="U8" s="592"/>
      <c r="V8" s="604"/>
    </row>
    <row r="9" spans="1:22" x14ac:dyDescent="0.25">
      <c r="A9" s="520"/>
      <c r="B9" s="519"/>
      <c r="C9" s="430" t="s">
        <v>121</v>
      </c>
      <c r="D9" s="430" t="s">
        <v>443</v>
      </c>
      <c r="E9" s="475" t="s">
        <v>875</v>
      </c>
      <c r="F9" s="475"/>
      <c r="G9" s="475"/>
      <c r="H9" s="475"/>
      <c r="I9" s="475"/>
      <c r="J9" s="475"/>
      <c r="K9" s="475"/>
      <c r="L9" s="475"/>
      <c r="M9" s="475"/>
      <c r="N9" s="475"/>
      <c r="O9" s="430"/>
      <c r="P9" s="430"/>
      <c r="Q9" s="491" t="s">
        <v>550</v>
      </c>
      <c r="R9" s="430"/>
      <c r="S9" s="430"/>
      <c r="T9" s="430">
        <v>2881020</v>
      </c>
      <c r="U9" s="592"/>
      <c r="V9" s="604"/>
    </row>
    <row r="10" spans="1:22" x14ac:dyDescent="0.25">
      <c r="A10" s="520"/>
      <c r="B10" s="519"/>
      <c r="C10" s="430"/>
      <c r="D10" s="430"/>
      <c r="E10" s="430"/>
      <c r="F10" s="430">
        <v>0</v>
      </c>
      <c r="G10" s="430">
        <v>0</v>
      </c>
      <c r="H10" s="430">
        <f>J10+O10+P10</f>
        <v>0</v>
      </c>
      <c r="I10" s="430"/>
      <c r="J10" s="430"/>
      <c r="K10" s="430"/>
      <c r="L10" s="430"/>
      <c r="M10" s="430">
        <f>+N10+O10+P10</f>
        <v>0</v>
      </c>
      <c r="N10" s="430"/>
      <c r="O10" s="430"/>
      <c r="P10" s="430"/>
      <c r="Q10" s="491"/>
      <c r="R10" s="430"/>
      <c r="S10" s="430"/>
      <c r="T10" s="430"/>
      <c r="U10" s="592"/>
      <c r="V10" s="604"/>
    </row>
    <row r="11" spans="1:22" x14ac:dyDescent="0.25">
      <c r="A11" s="520"/>
      <c r="B11" s="519"/>
      <c r="C11" s="430"/>
      <c r="D11" s="430"/>
      <c r="E11" s="430"/>
      <c r="F11" s="430"/>
      <c r="G11" s="430"/>
      <c r="H11" s="430"/>
      <c r="I11" s="430"/>
      <c r="J11" s="430"/>
      <c r="K11" s="430"/>
      <c r="L11" s="430"/>
      <c r="M11" s="430"/>
      <c r="N11" s="430"/>
      <c r="O11" s="430"/>
      <c r="P11" s="430"/>
      <c r="Q11" s="491"/>
      <c r="R11" s="430"/>
      <c r="S11" s="430"/>
      <c r="T11" s="430"/>
      <c r="U11" s="592"/>
      <c r="V11" s="604"/>
    </row>
    <row r="12" spans="1:22" x14ac:dyDescent="0.25">
      <c r="A12" s="520"/>
      <c r="B12" s="519"/>
      <c r="C12" s="430" t="s">
        <v>554</v>
      </c>
      <c r="D12" s="430" t="s">
        <v>555</v>
      </c>
      <c r="E12" s="430" t="s">
        <v>554</v>
      </c>
      <c r="F12" s="430"/>
      <c r="G12" s="430"/>
      <c r="H12" s="430"/>
      <c r="I12" s="430"/>
      <c r="J12" s="430"/>
      <c r="K12" s="430"/>
      <c r="L12" s="430">
        <v>1516085</v>
      </c>
      <c r="M12" s="430">
        <f>+N12+O12+P12</f>
        <v>1843400</v>
      </c>
      <c r="N12" s="430"/>
      <c r="O12" s="430"/>
      <c r="P12" s="430">
        <v>1843400</v>
      </c>
      <c r="Q12" s="491" t="s">
        <v>78</v>
      </c>
      <c r="R12" s="430">
        <v>1746050</v>
      </c>
      <c r="S12" s="430">
        <v>1436550</v>
      </c>
      <c r="T12" s="430">
        <v>1429269.29</v>
      </c>
      <c r="U12" s="593">
        <v>1220100</v>
      </c>
      <c r="V12" s="593">
        <v>1241850</v>
      </c>
    </row>
    <row r="13" spans="1:22" x14ac:dyDescent="0.25">
      <c r="A13" s="520"/>
      <c r="B13" s="519"/>
      <c r="C13" s="430" t="s">
        <v>553</v>
      </c>
      <c r="D13" s="430" t="s">
        <v>443</v>
      </c>
      <c r="E13" s="430" t="s">
        <v>556</v>
      </c>
      <c r="F13" s="430"/>
      <c r="G13" s="430"/>
      <c r="H13" s="430"/>
      <c r="I13" s="430"/>
      <c r="J13" s="430"/>
      <c r="K13" s="430"/>
      <c r="L13" s="430"/>
      <c r="M13" s="430"/>
      <c r="N13" s="430"/>
      <c r="O13" s="430"/>
      <c r="P13" s="430"/>
      <c r="Q13" s="491" t="s">
        <v>550</v>
      </c>
      <c r="R13" s="430">
        <v>100000</v>
      </c>
      <c r="S13" s="430"/>
      <c r="T13" s="430"/>
      <c r="U13" s="593">
        <v>263750</v>
      </c>
      <c r="V13" s="593">
        <v>277729</v>
      </c>
    </row>
    <row r="14" spans="1:22" x14ac:dyDescent="0.25">
      <c r="A14" s="520"/>
      <c r="B14" s="492"/>
      <c r="C14" s="469"/>
      <c r="D14" s="469"/>
      <c r="E14" s="469"/>
      <c r="F14" s="469"/>
      <c r="G14" s="469"/>
      <c r="H14" s="469"/>
      <c r="I14" s="469"/>
      <c r="J14" s="469"/>
      <c r="K14" s="469"/>
      <c r="L14" s="469"/>
      <c r="M14" s="469"/>
      <c r="N14" s="469"/>
      <c r="O14" s="469"/>
      <c r="P14" s="469"/>
      <c r="Q14" s="493"/>
      <c r="R14" s="469"/>
      <c r="S14" s="469"/>
      <c r="T14" s="469"/>
      <c r="U14" s="426"/>
      <c r="V14" s="604"/>
    </row>
    <row r="15" spans="1:22" ht="13.8" thickBot="1" x14ac:dyDescent="0.3">
      <c r="A15" s="520"/>
      <c r="B15" s="494" t="s">
        <v>557</v>
      </c>
      <c r="C15" s="469"/>
      <c r="D15" s="469"/>
      <c r="E15" s="469"/>
      <c r="F15" s="469">
        <v>0</v>
      </c>
      <c r="G15" s="469">
        <v>0</v>
      </c>
      <c r="H15" s="469">
        <f>SUM(H5:H10)</f>
        <v>0</v>
      </c>
      <c r="I15" s="469"/>
      <c r="J15" s="469"/>
      <c r="K15" s="469">
        <f>SUM(K5:K10)</f>
        <v>100000</v>
      </c>
      <c r="L15" s="469"/>
      <c r="M15" s="471">
        <f>SUM(M7:M10)</f>
        <v>0</v>
      </c>
      <c r="N15" s="471">
        <f>SUM(N7:N10)</f>
        <v>0</v>
      </c>
      <c r="O15" s="471">
        <f>SUM(O7:O10)</f>
        <v>0</v>
      </c>
      <c r="P15" s="471">
        <f>SUM(P7:P10)</f>
        <v>0</v>
      </c>
      <c r="Q15" s="495"/>
      <c r="R15" s="471">
        <f>SUM(R12:R14)</f>
        <v>1846050</v>
      </c>
      <c r="S15" s="471">
        <f>SUM(S6:S14)</f>
        <v>4636550</v>
      </c>
      <c r="T15" s="471">
        <f>SUM(T6:T14)</f>
        <v>4310289.29</v>
      </c>
      <c r="U15" s="471">
        <f>SUM(U6:U14)</f>
        <v>1483850</v>
      </c>
      <c r="V15" s="471">
        <f>SUM(V6:V14)</f>
        <v>1519579</v>
      </c>
    </row>
    <row r="16" spans="1:22" ht="13.8" thickTop="1" x14ac:dyDescent="0.25">
      <c r="A16" s="520"/>
      <c r="B16" s="494"/>
      <c r="C16" s="469"/>
      <c r="D16" s="469"/>
      <c r="E16" s="469"/>
      <c r="F16" s="469"/>
      <c r="G16" s="469"/>
      <c r="H16" s="469"/>
      <c r="I16" s="469"/>
      <c r="J16" s="469"/>
      <c r="K16" s="469"/>
      <c r="L16" s="469"/>
      <c r="M16" s="470"/>
      <c r="N16" s="470"/>
      <c r="O16" s="470"/>
      <c r="P16" s="470"/>
      <c r="Q16" s="493"/>
      <c r="R16" s="470"/>
      <c r="S16" s="470"/>
      <c r="T16" s="470"/>
      <c r="U16" s="426"/>
    </row>
    <row r="17" spans="1:22" x14ac:dyDescent="0.25">
      <c r="A17" s="520"/>
      <c r="B17" s="511" t="s">
        <v>2</v>
      </c>
      <c r="C17" s="472" t="s">
        <v>545</v>
      </c>
      <c r="D17" s="472" t="s">
        <v>546</v>
      </c>
      <c r="E17" s="472" t="s">
        <v>22</v>
      </c>
      <c r="F17" s="473" t="s">
        <v>547</v>
      </c>
      <c r="G17" s="473" t="s">
        <v>548</v>
      </c>
      <c r="H17" s="473" t="s">
        <v>549</v>
      </c>
      <c r="I17" s="474" t="s">
        <v>178</v>
      </c>
      <c r="J17" s="474" t="s">
        <v>179</v>
      </c>
      <c r="K17" s="474" t="s">
        <v>240</v>
      </c>
      <c r="L17" s="474" t="s">
        <v>245</v>
      </c>
      <c r="M17" s="474" t="s">
        <v>257</v>
      </c>
      <c r="N17" s="474" t="s">
        <v>494</v>
      </c>
      <c r="O17" s="472" t="s">
        <v>550</v>
      </c>
      <c r="P17" s="472" t="s">
        <v>78</v>
      </c>
      <c r="Q17" s="491"/>
      <c r="R17" s="474" t="s">
        <v>382</v>
      </c>
      <c r="S17" s="474" t="s">
        <v>407</v>
      </c>
      <c r="T17" s="474" t="s">
        <v>414</v>
      </c>
      <c r="U17" s="591" t="s">
        <v>530</v>
      </c>
      <c r="V17" s="604"/>
    </row>
    <row r="18" spans="1:22" x14ac:dyDescent="0.25">
      <c r="A18" s="520"/>
      <c r="B18" s="512"/>
      <c r="C18" s="430" t="s">
        <v>558</v>
      </c>
      <c r="D18" s="430" t="s">
        <v>572</v>
      </c>
      <c r="E18" s="430" t="s">
        <v>551</v>
      </c>
      <c r="F18" s="430">
        <v>1000000</v>
      </c>
      <c r="G18" s="430">
        <v>0</v>
      </c>
      <c r="H18" s="430"/>
      <c r="I18" s="430">
        <v>3500000</v>
      </c>
      <c r="J18" s="430"/>
      <c r="K18" s="430"/>
      <c r="L18" s="430">
        <v>3227391</v>
      </c>
      <c r="M18" s="430">
        <f>+N18+O18+P18</f>
        <v>0</v>
      </c>
      <c r="N18" s="430"/>
      <c r="O18" s="430"/>
      <c r="P18" s="432"/>
      <c r="Q18" s="496" t="s">
        <v>550</v>
      </c>
      <c r="R18" s="430">
        <v>290000</v>
      </c>
      <c r="S18" s="430"/>
      <c r="T18" s="430"/>
      <c r="U18" s="593"/>
      <c r="V18" s="604"/>
    </row>
    <row r="19" spans="1:22" x14ac:dyDescent="0.25">
      <c r="A19" s="520"/>
      <c r="B19" s="512"/>
      <c r="C19" s="430" t="s">
        <v>559</v>
      </c>
      <c r="D19" s="430" t="s">
        <v>443</v>
      </c>
      <c r="E19" s="430" t="s">
        <v>551</v>
      </c>
      <c r="F19" s="430"/>
      <c r="G19" s="430"/>
      <c r="H19" s="430"/>
      <c r="I19" s="430"/>
      <c r="J19" s="430"/>
      <c r="K19" s="430"/>
      <c r="L19" s="430"/>
      <c r="M19" s="430"/>
      <c r="N19" s="430"/>
      <c r="O19" s="430"/>
      <c r="P19" s="432"/>
      <c r="Q19" s="496" t="s">
        <v>550</v>
      </c>
      <c r="R19" s="430">
        <v>145000</v>
      </c>
      <c r="S19" s="430"/>
      <c r="T19" s="430"/>
      <c r="U19" s="593"/>
      <c r="V19" s="604"/>
    </row>
    <row r="20" spans="1:22" x14ac:dyDescent="0.25">
      <c r="A20" s="520"/>
      <c r="B20" s="512"/>
      <c r="C20" s="430" t="s">
        <v>558</v>
      </c>
      <c r="D20" s="430" t="s">
        <v>555</v>
      </c>
      <c r="E20" s="430" t="s">
        <v>560</v>
      </c>
      <c r="F20" s="430"/>
      <c r="G20" s="430"/>
      <c r="H20" s="430"/>
      <c r="I20" s="430"/>
      <c r="J20" s="430"/>
      <c r="K20" s="430"/>
      <c r="L20" s="430"/>
      <c r="M20" s="430"/>
      <c r="N20" s="430"/>
      <c r="O20" s="430"/>
      <c r="P20" s="432"/>
      <c r="Q20" s="496" t="s">
        <v>550</v>
      </c>
      <c r="R20" s="430">
        <v>100000</v>
      </c>
      <c r="S20" s="430"/>
      <c r="T20" s="430"/>
      <c r="U20" s="593"/>
      <c r="V20" s="604"/>
    </row>
    <row r="21" spans="1:22" x14ac:dyDescent="0.25">
      <c r="A21" s="520"/>
      <c r="B21" s="512"/>
      <c r="C21" s="430" t="s">
        <v>558</v>
      </c>
      <c r="D21" s="430" t="s">
        <v>555</v>
      </c>
      <c r="E21" s="430" t="s">
        <v>561</v>
      </c>
      <c r="F21" s="430"/>
      <c r="G21" s="430"/>
      <c r="H21" s="430"/>
      <c r="I21" s="430"/>
      <c r="J21" s="430"/>
      <c r="K21" s="430"/>
      <c r="L21" s="430"/>
      <c r="M21" s="430"/>
      <c r="N21" s="430"/>
      <c r="O21" s="430"/>
      <c r="P21" s="432"/>
      <c r="Q21" s="496" t="s">
        <v>550</v>
      </c>
      <c r="R21" s="430">
        <v>250000</v>
      </c>
      <c r="S21" s="430"/>
      <c r="T21" s="430"/>
      <c r="U21" s="593"/>
      <c r="V21" s="604"/>
    </row>
    <row r="22" spans="1:22" x14ac:dyDescent="0.25">
      <c r="A22" s="520"/>
      <c r="B22" s="512"/>
      <c r="C22" s="430" t="s">
        <v>558</v>
      </c>
      <c r="D22" s="430" t="s">
        <v>555</v>
      </c>
      <c r="E22" s="430" t="s">
        <v>562</v>
      </c>
      <c r="F22" s="430">
        <v>0</v>
      </c>
      <c r="G22" s="430">
        <v>0</v>
      </c>
      <c r="H22" s="430">
        <f>J22+O22+P22</f>
        <v>554931</v>
      </c>
      <c r="I22" s="430"/>
      <c r="J22" s="430"/>
      <c r="K22" s="430"/>
      <c r="L22" s="430">
        <v>320000</v>
      </c>
      <c r="M22" s="430">
        <f>+N22+O22+P22</f>
        <v>554931</v>
      </c>
      <c r="N22" s="430"/>
      <c r="O22" s="430">
        <v>554931</v>
      </c>
      <c r="P22" s="430"/>
      <c r="Q22" s="491" t="s">
        <v>550</v>
      </c>
      <c r="R22" s="430">
        <v>394000</v>
      </c>
      <c r="S22" s="430"/>
      <c r="T22" s="430"/>
      <c r="U22" s="593"/>
      <c r="V22" s="604"/>
    </row>
    <row r="23" spans="1:22" x14ac:dyDescent="0.25">
      <c r="A23" s="520"/>
      <c r="B23" s="492"/>
      <c r="C23" s="469"/>
      <c r="D23" s="469"/>
      <c r="E23" s="469"/>
      <c r="F23" s="469"/>
      <c r="G23" s="469"/>
      <c r="H23" s="469"/>
      <c r="I23" s="469"/>
      <c r="J23" s="469"/>
      <c r="K23" s="469"/>
      <c r="L23" s="469"/>
      <c r="M23" s="469"/>
      <c r="N23" s="469"/>
      <c r="O23" s="469"/>
      <c r="P23" s="469"/>
      <c r="Q23" s="493"/>
      <c r="R23" s="469"/>
      <c r="S23" s="469"/>
      <c r="T23" s="469"/>
      <c r="U23" s="469"/>
      <c r="V23" s="604"/>
    </row>
    <row r="24" spans="1:22" ht="13.8" thickBot="1" x14ac:dyDescent="0.3">
      <c r="A24" s="520"/>
      <c r="B24" s="494" t="s">
        <v>563</v>
      </c>
      <c r="C24" s="470"/>
      <c r="D24" s="470"/>
      <c r="E24" s="470"/>
      <c r="F24" s="470"/>
      <c r="G24" s="470"/>
      <c r="H24" s="470"/>
      <c r="I24" s="470"/>
      <c r="J24" s="470"/>
      <c r="K24" s="470"/>
      <c r="L24" s="470"/>
      <c r="M24" s="471">
        <f>SUM(M18:M23)</f>
        <v>554931</v>
      </c>
      <c r="N24" s="471">
        <f t="shared" ref="N24:V24" si="0">SUM(N18:N23)</f>
        <v>0</v>
      </c>
      <c r="O24" s="471">
        <f t="shared" si="0"/>
        <v>554931</v>
      </c>
      <c r="P24" s="471">
        <f t="shared" si="0"/>
        <v>0</v>
      </c>
      <c r="Q24" s="495"/>
      <c r="R24" s="471">
        <f>SUM(R18:R23)</f>
        <v>1179000</v>
      </c>
      <c r="S24" s="471">
        <f t="shared" si="0"/>
        <v>0</v>
      </c>
      <c r="T24" s="471">
        <f t="shared" si="0"/>
        <v>0</v>
      </c>
      <c r="U24" s="471">
        <f t="shared" si="0"/>
        <v>0</v>
      </c>
      <c r="V24" s="471">
        <f t="shared" si="0"/>
        <v>0</v>
      </c>
    </row>
    <row r="25" spans="1:22" ht="13.8" thickTop="1" x14ac:dyDescent="0.25">
      <c r="A25" s="520"/>
      <c r="B25" s="492"/>
      <c r="C25" s="469"/>
      <c r="D25" s="469"/>
      <c r="E25" s="469"/>
      <c r="F25" s="469"/>
      <c r="G25" s="469"/>
      <c r="H25" s="469"/>
      <c r="I25" s="469"/>
      <c r="J25" s="469"/>
      <c r="K25" s="469"/>
      <c r="L25" s="469"/>
      <c r="M25" s="469"/>
      <c r="N25" s="469"/>
      <c r="O25" s="469"/>
      <c r="P25" s="469"/>
      <c r="Q25" s="493"/>
      <c r="R25" s="469"/>
      <c r="S25" s="469"/>
      <c r="T25" s="469"/>
      <c r="U25" s="520"/>
    </row>
    <row r="26" spans="1:22" x14ac:dyDescent="0.25">
      <c r="A26" s="520"/>
      <c r="B26" s="511" t="s">
        <v>564</v>
      </c>
      <c r="C26" s="472" t="s">
        <v>545</v>
      </c>
      <c r="D26" s="472" t="s">
        <v>546</v>
      </c>
      <c r="E26" s="472" t="s">
        <v>22</v>
      </c>
      <c r="F26" s="473" t="s">
        <v>547</v>
      </c>
      <c r="G26" s="473" t="s">
        <v>548</v>
      </c>
      <c r="H26" s="473" t="s">
        <v>549</v>
      </c>
      <c r="I26" s="474" t="s">
        <v>178</v>
      </c>
      <c r="J26" s="474" t="s">
        <v>179</v>
      </c>
      <c r="K26" s="474" t="s">
        <v>240</v>
      </c>
      <c r="L26" s="474" t="s">
        <v>245</v>
      </c>
      <c r="M26" s="474" t="s">
        <v>257</v>
      </c>
      <c r="N26" s="474" t="s">
        <v>494</v>
      </c>
      <c r="O26" s="472" t="s">
        <v>550</v>
      </c>
      <c r="P26" s="472" t="s">
        <v>78</v>
      </c>
      <c r="Q26" s="491"/>
      <c r="R26" s="474" t="s">
        <v>382</v>
      </c>
      <c r="S26" s="474" t="s">
        <v>407</v>
      </c>
      <c r="T26" s="474" t="s">
        <v>414</v>
      </c>
      <c r="U26" s="591" t="s">
        <v>530</v>
      </c>
      <c r="V26" s="474" t="s">
        <v>886</v>
      </c>
    </row>
    <row r="27" spans="1:22" x14ac:dyDescent="0.25">
      <c r="A27" s="520"/>
      <c r="B27" s="511"/>
      <c r="C27" s="430" t="s">
        <v>565</v>
      </c>
      <c r="D27" s="430" t="s">
        <v>566</v>
      </c>
      <c r="E27" s="519" t="s">
        <v>567</v>
      </c>
      <c r="F27" s="473"/>
      <c r="G27" s="473"/>
      <c r="H27" s="473"/>
      <c r="I27" s="474"/>
      <c r="J27" s="474"/>
      <c r="K27" s="474"/>
      <c r="L27" s="474"/>
      <c r="M27" s="474"/>
      <c r="N27" s="474"/>
      <c r="O27" s="472"/>
      <c r="P27" s="472"/>
      <c r="Q27" s="491" t="s">
        <v>78</v>
      </c>
      <c r="R27" s="474"/>
      <c r="S27" s="474"/>
      <c r="T27" s="474"/>
      <c r="U27" s="591"/>
      <c r="V27" s="604"/>
    </row>
    <row r="28" spans="1:22" x14ac:dyDescent="0.25">
      <c r="A28" s="520"/>
      <c r="B28" s="512"/>
      <c r="C28" s="430" t="s">
        <v>565</v>
      </c>
      <c r="D28" s="430" t="s">
        <v>566</v>
      </c>
      <c r="E28" s="430" t="s">
        <v>568</v>
      </c>
      <c r="F28" s="430">
        <v>0</v>
      </c>
      <c r="G28" s="430">
        <v>0</v>
      </c>
      <c r="H28" s="430">
        <v>600000</v>
      </c>
      <c r="I28" s="430">
        <v>900000</v>
      </c>
      <c r="J28" s="430">
        <v>600000</v>
      </c>
      <c r="K28" s="430">
        <v>1000000</v>
      </c>
      <c r="L28" s="430">
        <v>1500000</v>
      </c>
      <c r="M28" s="430">
        <f>+N28+O28+P28</f>
        <v>641269</v>
      </c>
      <c r="N28" s="430"/>
      <c r="O28" s="430">
        <v>641269</v>
      </c>
      <c r="P28" s="430"/>
      <c r="Q28" s="491" t="s">
        <v>569</v>
      </c>
      <c r="R28" s="430">
        <v>2000000</v>
      </c>
      <c r="S28" s="430"/>
      <c r="T28" s="430"/>
      <c r="U28" s="593"/>
      <c r="V28" s="604"/>
    </row>
    <row r="29" spans="1:22" x14ac:dyDescent="0.25">
      <c r="A29" s="520"/>
      <c r="B29" s="512"/>
      <c r="C29" s="430" t="s">
        <v>565</v>
      </c>
      <c r="D29" s="430" t="s">
        <v>555</v>
      </c>
      <c r="E29" s="430" t="s">
        <v>570</v>
      </c>
      <c r="F29" s="430"/>
      <c r="G29" s="430"/>
      <c r="H29" s="430"/>
      <c r="I29" s="430"/>
      <c r="J29" s="430"/>
      <c r="K29" s="430"/>
      <c r="L29" s="430"/>
      <c r="M29" s="430"/>
      <c r="N29" s="430"/>
      <c r="O29" s="430"/>
      <c r="P29" s="430"/>
      <c r="Q29" s="491" t="s">
        <v>550</v>
      </c>
      <c r="R29" s="497">
        <v>655413</v>
      </c>
      <c r="S29" s="430"/>
      <c r="T29" s="430">
        <v>655413</v>
      </c>
      <c r="U29" s="593"/>
      <c r="V29" s="604"/>
    </row>
    <row r="30" spans="1:22" x14ac:dyDescent="0.25">
      <c r="A30" s="520"/>
      <c r="B30" s="512"/>
      <c r="C30" s="430" t="s">
        <v>565</v>
      </c>
      <c r="D30" s="430" t="s">
        <v>555</v>
      </c>
      <c r="E30" s="430" t="s">
        <v>571</v>
      </c>
      <c r="F30" s="430"/>
      <c r="G30" s="430"/>
      <c r="H30" s="430"/>
      <c r="I30" s="430"/>
      <c r="J30" s="430"/>
      <c r="K30" s="430"/>
      <c r="L30" s="430"/>
      <c r="M30" s="430"/>
      <c r="N30" s="430"/>
      <c r="O30" s="430"/>
      <c r="P30" s="430"/>
      <c r="Q30" s="491" t="s">
        <v>550</v>
      </c>
      <c r="R30" s="430">
        <v>575700</v>
      </c>
      <c r="S30" s="430">
        <v>1800000</v>
      </c>
      <c r="T30" s="430">
        <v>1500000</v>
      </c>
      <c r="U30" s="593"/>
      <c r="V30" s="604"/>
    </row>
    <row r="31" spans="1:22" x14ac:dyDescent="0.25">
      <c r="A31" s="520"/>
      <c r="B31" s="512"/>
      <c r="C31" s="430" t="s">
        <v>565</v>
      </c>
      <c r="D31" s="430" t="s">
        <v>572</v>
      </c>
      <c r="E31" s="430" t="s">
        <v>573</v>
      </c>
      <c r="F31" s="430"/>
      <c r="G31" s="430"/>
      <c r="H31" s="430"/>
      <c r="I31" s="430"/>
      <c r="J31" s="430"/>
      <c r="K31" s="430"/>
      <c r="L31" s="430"/>
      <c r="M31" s="430"/>
      <c r="N31" s="430"/>
      <c r="O31" s="430"/>
      <c r="P31" s="430"/>
      <c r="Q31" s="491" t="s">
        <v>550</v>
      </c>
      <c r="R31" s="430"/>
      <c r="S31" s="430"/>
      <c r="T31" s="430">
        <v>405136</v>
      </c>
      <c r="U31" s="593"/>
      <c r="V31" s="604"/>
    </row>
    <row r="32" spans="1:22" x14ac:dyDescent="0.25">
      <c r="A32" s="520"/>
      <c r="B32" s="512"/>
      <c r="C32" s="430" t="s">
        <v>19</v>
      </c>
      <c r="D32" s="430" t="s">
        <v>555</v>
      </c>
      <c r="E32" s="430" t="s">
        <v>876</v>
      </c>
      <c r="F32" s="430"/>
      <c r="G32" s="430"/>
      <c r="H32" s="430"/>
      <c r="I32" s="430"/>
      <c r="J32" s="430">
        <v>260000</v>
      </c>
      <c r="K32" s="430"/>
      <c r="L32" s="430"/>
      <c r="M32" s="430">
        <f t="shared" ref="M32:M41" si="1">+N32+O32+P32</f>
        <v>314524</v>
      </c>
      <c r="N32" s="430"/>
      <c r="O32" s="430"/>
      <c r="P32" s="430">
        <v>314524</v>
      </c>
      <c r="Q32" s="491" t="s">
        <v>550</v>
      </c>
      <c r="R32" s="430">
        <v>250000</v>
      </c>
      <c r="S32" s="430">
        <v>2575200</v>
      </c>
      <c r="T32" s="430"/>
      <c r="U32" s="593"/>
      <c r="V32" s="604"/>
    </row>
    <row r="33" spans="1:22" x14ac:dyDescent="0.25">
      <c r="A33" s="520"/>
      <c r="B33" s="512"/>
      <c r="C33" s="430" t="s">
        <v>565</v>
      </c>
      <c r="D33" s="430" t="s">
        <v>574</v>
      </c>
      <c r="E33" s="430" t="s">
        <v>575</v>
      </c>
      <c r="F33" s="430">
        <v>200000</v>
      </c>
      <c r="G33" s="430">
        <v>1290000</v>
      </c>
      <c r="H33" s="430">
        <f>J33+O33+P33</f>
        <v>0</v>
      </c>
      <c r="I33" s="430"/>
      <c r="J33" s="430"/>
      <c r="K33" s="430"/>
      <c r="L33" s="430"/>
      <c r="M33" s="430">
        <f t="shared" si="1"/>
        <v>0</v>
      </c>
      <c r="N33" s="430"/>
      <c r="O33" s="430"/>
      <c r="P33" s="430"/>
      <c r="Q33" s="491"/>
      <c r="R33" s="430"/>
      <c r="S33" s="430"/>
      <c r="T33" s="430"/>
      <c r="U33" s="593"/>
      <c r="V33" s="604"/>
    </row>
    <row r="34" spans="1:22" x14ac:dyDescent="0.25">
      <c r="A34" s="520"/>
      <c r="B34" s="512"/>
      <c r="C34" s="430" t="s">
        <v>13</v>
      </c>
      <c r="D34" s="430" t="s">
        <v>576</v>
      </c>
      <c r="E34" s="430" t="s">
        <v>577</v>
      </c>
      <c r="F34" s="430">
        <v>0</v>
      </c>
      <c r="G34" s="430">
        <v>4400000</v>
      </c>
      <c r="H34" s="430">
        <f>J34+O34+P34</f>
        <v>0</v>
      </c>
      <c r="I34" s="430"/>
      <c r="J34" s="430"/>
      <c r="K34" s="430"/>
      <c r="L34" s="430"/>
      <c r="M34" s="430">
        <f t="shared" si="1"/>
        <v>0</v>
      </c>
      <c r="N34" s="430"/>
      <c r="O34" s="430"/>
      <c r="P34" s="430"/>
      <c r="Q34" s="491"/>
      <c r="R34" s="430"/>
      <c r="S34" s="430"/>
      <c r="T34" s="430"/>
      <c r="U34" s="593"/>
      <c r="V34" s="604"/>
    </row>
    <row r="35" spans="1:22" x14ac:dyDescent="0.25">
      <c r="A35" s="520"/>
      <c r="B35" s="512"/>
      <c r="C35" s="430" t="s">
        <v>13</v>
      </c>
      <c r="D35" s="430" t="s">
        <v>574</v>
      </c>
      <c r="E35" s="430" t="s">
        <v>577</v>
      </c>
      <c r="F35" s="430">
        <v>0</v>
      </c>
      <c r="G35" s="430">
        <v>2800000</v>
      </c>
      <c r="H35" s="430">
        <f>J35+O35+P35</f>
        <v>0</v>
      </c>
      <c r="I35" s="430"/>
      <c r="J35" s="430"/>
      <c r="K35" s="430"/>
      <c r="L35" s="430"/>
      <c r="M35" s="430">
        <f t="shared" si="1"/>
        <v>0</v>
      </c>
      <c r="N35" s="430"/>
      <c r="O35" s="430"/>
      <c r="P35" s="430"/>
      <c r="Q35" s="491"/>
      <c r="R35" s="430"/>
      <c r="S35" s="430"/>
      <c r="T35" s="430"/>
      <c r="U35" s="593"/>
      <c r="V35" s="604"/>
    </row>
    <row r="36" spans="1:22" x14ac:dyDescent="0.25">
      <c r="A36" s="520"/>
      <c r="B36" s="512"/>
      <c r="C36" s="430" t="s">
        <v>5</v>
      </c>
      <c r="D36" s="430" t="s">
        <v>555</v>
      </c>
      <c r="E36" s="430" t="s">
        <v>5</v>
      </c>
      <c r="F36" s="430">
        <v>0</v>
      </c>
      <c r="G36" s="430"/>
      <c r="H36" s="430"/>
      <c r="I36" s="430">
        <v>2000000</v>
      </c>
      <c r="J36" s="430"/>
      <c r="K36" s="430"/>
      <c r="L36" s="430"/>
      <c r="M36" s="430">
        <f t="shared" si="1"/>
        <v>0</v>
      </c>
      <c r="N36" s="430"/>
      <c r="O36" s="430"/>
      <c r="P36" s="430"/>
      <c r="Q36" s="491"/>
      <c r="R36" s="430"/>
      <c r="S36" s="430"/>
      <c r="T36" s="430"/>
      <c r="U36" s="593"/>
      <c r="V36" s="604"/>
    </row>
    <row r="37" spans="1:22" x14ac:dyDescent="0.25">
      <c r="A37" s="520"/>
      <c r="B37" s="512"/>
      <c r="C37" s="430" t="s">
        <v>13</v>
      </c>
      <c r="D37" s="430" t="s">
        <v>578</v>
      </c>
      <c r="E37" s="430" t="s">
        <v>579</v>
      </c>
      <c r="F37" s="430"/>
      <c r="G37" s="430"/>
      <c r="H37" s="430">
        <v>100000</v>
      </c>
      <c r="I37" s="430"/>
      <c r="J37" s="430"/>
      <c r="K37" s="430"/>
      <c r="L37" s="430"/>
      <c r="M37" s="430">
        <f t="shared" si="1"/>
        <v>0</v>
      </c>
      <c r="N37" s="430"/>
      <c r="O37" s="430"/>
      <c r="P37" s="430"/>
      <c r="Q37" s="491"/>
      <c r="R37" s="430"/>
      <c r="S37" s="430"/>
      <c r="T37" s="430"/>
      <c r="U37" s="593"/>
      <c r="V37" s="604"/>
    </row>
    <row r="38" spans="1:22" x14ac:dyDescent="0.25">
      <c r="A38" s="520"/>
      <c r="B38" s="512"/>
      <c r="C38" s="430" t="s">
        <v>13</v>
      </c>
      <c r="D38" s="430" t="s">
        <v>580</v>
      </c>
      <c r="E38" s="430" t="s">
        <v>579</v>
      </c>
      <c r="F38" s="430"/>
      <c r="G38" s="430"/>
      <c r="H38" s="430"/>
      <c r="I38" s="430"/>
      <c r="J38" s="430"/>
      <c r="K38" s="430"/>
      <c r="L38" s="430"/>
      <c r="M38" s="430">
        <f t="shared" si="1"/>
        <v>0</v>
      </c>
      <c r="N38" s="430"/>
      <c r="O38" s="430"/>
      <c r="P38" s="430"/>
      <c r="Q38" s="491"/>
      <c r="R38" s="430"/>
      <c r="S38" s="430"/>
      <c r="T38" s="430"/>
      <c r="U38" s="593"/>
      <c r="V38" s="474"/>
    </row>
    <row r="39" spans="1:22" x14ac:dyDescent="0.25">
      <c r="A39" s="520"/>
      <c r="B39" s="512"/>
      <c r="C39" s="430" t="s">
        <v>13</v>
      </c>
      <c r="D39" s="430" t="s">
        <v>581</v>
      </c>
      <c r="E39" s="430" t="s">
        <v>579</v>
      </c>
      <c r="F39" s="430"/>
      <c r="G39" s="430"/>
      <c r="H39" s="430"/>
      <c r="I39" s="430"/>
      <c r="J39" s="430"/>
      <c r="K39" s="430"/>
      <c r="L39" s="430"/>
      <c r="M39" s="430">
        <f t="shared" si="1"/>
        <v>0</v>
      </c>
      <c r="N39" s="430"/>
      <c r="O39" s="430"/>
      <c r="P39" s="430"/>
      <c r="Q39" s="491"/>
      <c r="R39" s="430"/>
      <c r="S39" s="430"/>
      <c r="T39" s="430"/>
      <c r="U39" s="593"/>
      <c r="V39" s="604"/>
    </row>
    <row r="40" spans="1:22" x14ac:dyDescent="0.25">
      <c r="A40" s="520"/>
      <c r="B40" s="512"/>
      <c r="C40" s="430" t="s">
        <v>13</v>
      </c>
      <c r="D40" s="430" t="s">
        <v>574</v>
      </c>
      <c r="E40" s="430" t="s">
        <v>579</v>
      </c>
      <c r="F40" s="430"/>
      <c r="G40" s="430"/>
      <c r="H40" s="430"/>
      <c r="I40" s="430"/>
      <c r="J40" s="430"/>
      <c r="K40" s="430"/>
      <c r="L40" s="430"/>
      <c r="M40" s="430">
        <f t="shared" si="1"/>
        <v>0</v>
      </c>
      <c r="N40" s="430"/>
      <c r="O40" s="430"/>
      <c r="P40" s="430"/>
      <c r="Q40" s="491"/>
      <c r="R40" s="430"/>
      <c r="S40" s="430"/>
      <c r="T40" s="430"/>
      <c r="U40" s="593"/>
      <c r="V40" s="604"/>
    </row>
    <row r="41" spans="1:22" x14ac:dyDescent="0.25">
      <c r="A41" s="520"/>
      <c r="B41" s="512"/>
      <c r="C41" s="430" t="s">
        <v>13</v>
      </c>
      <c r="D41" s="430" t="s">
        <v>582</v>
      </c>
      <c r="E41" s="430" t="s">
        <v>579</v>
      </c>
      <c r="F41" s="430"/>
      <c r="G41" s="430"/>
      <c r="H41" s="430"/>
      <c r="I41" s="430"/>
      <c r="J41" s="430"/>
      <c r="K41" s="430"/>
      <c r="L41" s="430"/>
      <c r="M41" s="430">
        <f t="shared" si="1"/>
        <v>0</v>
      </c>
      <c r="N41" s="430"/>
      <c r="O41" s="430"/>
      <c r="P41" s="430"/>
      <c r="Q41" s="491"/>
      <c r="R41" s="430"/>
      <c r="S41" s="430"/>
      <c r="T41" s="430"/>
      <c r="U41" s="593"/>
      <c r="V41" s="604"/>
    </row>
    <row r="42" spans="1:22" x14ac:dyDescent="0.25">
      <c r="A42" s="520"/>
      <c r="B42" s="512"/>
      <c r="C42" s="430" t="s">
        <v>13</v>
      </c>
      <c r="D42" s="430" t="s">
        <v>555</v>
      </c>
      <c r="E42" s="430" t="s">
        <v>583</v>
      </c>
      <c r="F42" s="473"/>
      <c r="G42" s="473"/>
      <c r="H42" s="473"/>
      <c r="I42" s="474"/>
      <c r="J42" s="474"/>
      <c r="K42" s="474"/>
      <c r="L42" s="474"/>
      <c r="M42" s="474"/>
      <c r="N42" s="474"/>
      <c r="O42" s="472"/>
      <c r="P42" s="472"/>
      <c r="Q42" s="491" t="s">
        <v>550</v>
      </c>
      <c r="R42" s="498">
        <v>451410</v>
      </c>
      <c r="S42" s="469">
        <v>4360679</v>
      </c>
      <c r="T42" s="469"/>
      <c r="U42" s="469"/>
      <c r="V42" s="604"/>
    </row>
    <row r="43" spans="1:22" x14ac:dyDescent="0.25">
      <c r="A43" s="520"/>
      <c r="B43" s="512"/>
      <c r="C43" s="430"/>
      <c r="D43" s="430" t="s">
        <v>578</v>
      </c>
      <c r="E43" s="430" t="s">
        <v>583</v>
      </c>
      <c r="F43" s="473"/>
      <c r="G43" s="473"/>
      <c r="H43" s="473"/>
      <c r="I43" s="474"/>
      <c r="J43" s="474"/>
      <c r="K43" s="474"/>
      <c r="L43" s="474"/>
      <c r="M43" s="474"/>
      <c r="N43" s="474"/>
      <c r="O43" s="472"/>
      <c r="P43" s="472"/>
      <c r="Q43" s="491" t="s">
        <v>550</v>
      </c>
      <c r="R43" s="498">
        <v>667212</v>
      </c>
      <c r="S43" s="474"/>
      <c r="T43" s="474"/>
      <c r="U43" s="591"/>
      <c r="V43" s="604"/>
    </row>
    <row r="44" spans="1:22" x14ac:dyDescent="0.25">
      <c r="A44" s="520"/>
      <c r="B44" s="512"/>
      <c r="C44" s="430"/>
      <c r="D44" s="430" t="s">
        <v>582</v>
      </c>
      <c r="E44" s="430" t="s">
        <v>583</v>
      </c>
      <c r="F44" s="473"/>
      <c r="G44" s="473"/>
      <c r="H44" s="473"/>
      <c r="I44" s="474"/>
      <c r="J44" s="474"/>
      <c r="K44" s="474"/>
      <c r="L44" s="474"/>
      <c r="M44" s="474"/>
      <c r="N44" s="474"/>
      <c r="O44" s="472"/>
      <c r="P44" s="472"/>
      <c r="Q44" s="491" t="s">
        <v>550</v>
      </c>
      <c r="R44" s="498">
        <v>216000</v>
      </c>
      <c r="S44" s="474"/>
      <c r="T44" s="474"/>
      <c r="U44" s="591"/>
      <c r="V44" s="604"/>
    </row>
    <row r="45" spans="1:22" x14ac:dyDescent="0.25">
      <c r="A45" s="520"/>
      <c r="B45" s="512"/>
      <c r="C45" s="430" t="s">
        <v>15</v>
      </c>
      <c r="D45" s="430" t="s">
        <v>555</v>
      </c>
      <c r="E45" s="430" t="s">
        <v>584</v>
      </c>
      <c r="F45" s="430"/>
      <c r="G45" s="430"/>
      <c r="H45" s="430"/>
      <c r="I45" s="430"/>
      <c r="J45" s="430"/>
      <c r="K45" s="430"/>
      <c r="L45" s="430"/>
      <c r="M45" s="430"/>
      <c r="N45" s="430"/>
      <c r="O45" s="430"/>
      <c r="P45" s="430"/>
      <c r="Q45" s="491" t="s">
        <v>550</v>
      </c>
      <c r="R45" s="430"/>
      <c r="S45" s="430"/>
      <c r="T45" s="430"/>
      <c r="U45" s="593"/>
      <c r="V45" s="604"/>
    </row>
    <row r="46" spans="1:22" x14ac:dyDescent="0.25">
      <c r="A46" s="520"/>
      <c r="B46" s="512"/>
      <c r="C46" s="430" t="s">
        <v>13</v>
      </c>
      <c r="D46" s="430" t="s">
        <v>582</v>
      </c>
      <c r="E46" s="430" t="s">
        <v>585</v>
      </c>
      <c r="F46" s="430"/>
      <c r="G46" s="430"/>
      <c r="H46" s="430"/>
      <c r="I46" s="430"/>
      <c r="J46" s="430"/>
      <c r="K46" s="430"/>
      <c r="L46" s="430"/>
      <c r="M46" s="430"/>
      <c r="N46" s="430"/>
      <c r="O46" s="430"/>
      <c r="P46" s="430"/>
      <c r="Q46" s="491" t="s">
        <v>586</v>
      </c>
      <c r="R46" s="430"/>
      <c r="S46" s="430"/>
      <c r="T46" s="430"/>
      <c r="U46" s="593"/>
      <c r="V46" s="604"/>
    </row>
    <row r="47" spans="1:22" x14ac:dyDescent="0.25">
      <c r="A47" s="520"/>
      <c r="B47" s="512"/>
      <c r="C47" s="430" t="s">
        <v>587</v>
      </c>
      <c r="D47" s="430" t="s">
        <v>588</v>
      </c>
      <c r="E47" s="430" t="s">
        <v>589</v>
      </c>
      <c r="F47" s="430"/>
      <c r="G47" s="430"/>
      <c r="H47" s="430"/>
      <c r="I47" s="430"/>
      <c r="J47" s="430"/>
      <c r="K47" s="430"/>
      <c r="L47" s="430"/>
      <c r="M47" s="430"/>
      <c r="N47" s="430"/>
      <c r="O47" s="430"/>
      <c r="P47" s="430"/>
      <c r="Q47" s="491" t="s">
        <v>550</v>
      </c>
      <c r="R47" s="430">
        <v>260000</v>
      </c>
      <c r="S47" s="430"/>
      <c r="T47" s="430"/>
      <c r="U47" s="593"/>
      <c r="V47" s="604"/>
    </row>
    <row r="48" spans="1:22" x14ac:dyDescent="0.25">
      <c r="A48" s="520"/>
      <c r="B48" s="512"/>
      <c r="C48" s="430" t="s">
        <v>13</v>
      </c>
      <c r="D48" s="430" t="s">
        <v>578</v>
      </c>
      <c r="E48" s="430" t="s">
        <v>579</v>
      </c>
      <c r="F48" s="430"/>
      <c r="G48" s="430"/>
      <c r="H48" s="430"/>
      <c r="I48" s="430"/>
      <c r="J48" s="430"/>
      <c r="K48" s="430"/>
      <c r="L48" s="430"/>
      <c r="M48" s="430">
        <f>+N48+O48+P48</f>
        <v>0</v>
      </c>
      <c r="N48" s="430"/>
      <c r="O48" s="430"/>
      <c r="P48" s="430"/>
      <c r="Q48" s="491"/>
      <c r="R48" s="430"/>
      <c r="S48" s="430"/>
      <c r="T48" s="430"/>
      <c r="U48" s="593"/>
      <c r="V48" s="604"/>
    </row>
    <row r="49" spans="1:22" x14ac:dyDescent="0.25">
      <c r="A49" s="520"/>
      <c r="B49" s="492"/>
      <c r="C49" s="469" t="s">
        <v>13</v>
      </c>
      <c r="D49" s="469" t="s">
        <v>555</v>
      </c>
      <c r="E49" s="469" t="s">
        <v>583</v>
      </c>
      <c r="F49" s="469"/>
      <c r="G49" s="469"/>
      <c r="H49" s="469"/>
      <c r="I49" s="469"/>
      <c r="J49" s="469"/>
      <c r="K49" s="469"/>
      <c r="L49" s="469"/>
      <c r="M49" s="469"/>
      <c r="N49" s="469"/>
      <c r="O49" s="469"/>
      <c r="P49" s="469"/>
      <c r="Q49" s="493" t="s">
        <v>550</v>
      </c>
      <c r="R49" s="469"/>
      <c r="S49" s="469"/>
      <c r="T49" s="469"/>
      <c r="U49" s="469"/>
      <c r="V49" s="607"/>
    </row>
    <row r="50" spans="1:22" s="426" customFormat="1" x14ac:dyDescent="0.25">
      <c r="A50" s="520"/>
      <c r="B50" s="519" t="s">
        <v>902</v>
      </c>
      <c r="C50" s="430" t="s">
        <v>648</v>
      </c>
      <c r="D50" s="430" t="s">
        <v>628</v>
      </c>
      <c r="E50" s="430" t="s">
        <v>904</v>
      </c>
      <c r="F50" s="430"/>
      <c r="G50" s="430"/>
      <c r="H50" s="430"/>
      <c r="I50" s="430"/>
      <c r="J50" s="430"/>
      <c r="K50" s="430"/>
      <c r="L50" s="430"/>
      <c r="M50" s="430"/>
      <c r="N50" s="430"/>
      <c r="O50" s="430"/>
      <c r="P50" s="430"/>
      <c r="Q50" s="491" t="s">
        <v>78</v>
      </c>
      <c r="R50" s="430"/>
      <c r="S50" s="430"/>
      <c r="T50" s="430">
        <v>3831592</v>
      </c>
      <c r="U50" s="430">
        <v>174163</v>
      </c>
      <c r="V50" s="604"/>
    </row>
    <row r="51" spans="1:22" s="426" customFormat="1" x14ac:dyDescent="0.25">
      <c r="A51" s="520"/>
      <c r="B51" s="519" t="s">
        <v>905</v>
      </c>
      <c r="C51" s="430" t="s">
        <v>568</v>
      </c>
      <c r="D51" s="430" t="s">
        <v>576</v>
      </c>
      <c r="E51" s="430" t="s">
        <v>906</v>
      </c>
      <c r="F51" s="430"/>
      <c r="G51" s="430"/>
      <c r="H51" s="430"/>
      <c r="I51" s="430"/>
      <c r="J51" s="430"/>
      <c r="K51" s="430"/>
      <c r="L51" s="430"/>
      <c r="M51" s="430"/>
      <c r="N51" s="430"/>
      <c r="O51" s="430"/>
      <c r="P51" s="430"/>
      <c r="Q51" s="491" t="s">
        <v>78</v>
      </c>
      <c r="R51" s="430"/>
      <c r="S51" s="430"/>
      <c r="T51" s="430">
        <v>3009437</v>
      </c>
      <c r="U51" s="430">
        <v>136793</v>
      </c>
      <c r="V51" s="430"/>
    </row>
    <row r="52" spans="1:22" s="426" customFormat="1" x14ac:dyDescent="0.25">
      <c r="A52" s="520"/>
      <c r="B52" s="519" t="s">
        <v>903</v>
      </c>
      <c r="C52" s="430" t="s">
        <v>648</v>
      </c>
      <c r="D52" s="430" t="s">
        <v>580</v>
      </c>
      <c r="E52" s="430" t="s">
        <v>904</v>
      </c>
      <c r="F52" s="430"/>
      <c r="G52" s="430"/>
      <c r="H52" s="430"/>
      <c r="I52" s="430"/>
      <c r="J52" s="430"/>
      <c r="K52" s="430"/>
      <c r="L52" s="430"/>
      <c r="M52" s="430"/>
      <c r="N52" s="430"/>
      <c r="O52" s="430"/>
      <c r="P52" s="430"/>
      <c r="Q52" s="491" t="s">
        <v>78</v>
      </c>
      <c r="R52" s="430"/>
      <c r="S52" s="430"/>
      <c r="T52" s="430">
        <v>1804962</v>
      </c>
      <c r="U52" s="430">
        <v>94998</v>
      </c>
      <c r="V52" s="604"/>
    </row>
    <row r="53" spans="1:22" s="426" customFormat="1" x14ac:dyDescent="0.25">
      <c r="A53" s="520"/>
      <c r="B53" s="519"/>
      <c r="C53" s="430" t="s">
        <v>909</v>
      </c>
      <c r="D53" s="430" t="s">
        <v>578</v>
      </c>
      <c r="E53" s="430" t="s">
        <v>910</v>
      </c>
      <c r="F53" s="430"/>
      <c r="G53" s="430"/>
      <c r="H53" s="430"/>
      <c r="I53" s="430"/>
      <c r="J53" s="430"/>
      <c r="K53" s="430"/>
      <c r="L53" s="430"/>
      <c r="M53" s="430"/>
      <c r="N53" s="430"/>
      <c r="O53" s="430"/>
      <c r="P53" s="430"/>
      <c r="Q53" s="491" t="s">
        <v>78</v>
      </c>
      <c r="R53" s="430"/>
      <c r="S53" s="430"/>
      <c r="T53" s="430"/>
      <c r="U53" s="430"/>
      <c r="V53" s="604">
        <v>576358</v>
      </c>
    </row>
    <row r="54" spans="1:22" s="426" customFormat="1" x14ac:dyDescent="0.25">
      <c r="A54" s="520"/>
      <c r="B54" s="519"/>
      <c r="C54" s="430"/>
      <c r="D54" s="430"/>
      <c r="E54" s="430"/>
      <c r="F54" s="430"/>
      <c r="G54" s="430"/>
      <c r="H54" s="430"/>
      <c r="I54" s="430"/>
      <c r="J54" s="430"/>
      <c r="K54" s="430"/>
      <c r="L54" s="430"/>
      <c r="M54" s="430"/>
      <c r="N54" s="430"/>
      <c r="O54" s="430"/>
      <c r="P54" s="430"/>
      <c r="Q54" s="491"/>
      <c r="R54" s="430"/>
      <c r="S54" s="430"/>
      <c r="T54" s="430"/>
      <c r="U54" s="430"/>
      <c r="V54" s="604"/>
    </row>
    <row r="55" spans="1:22" s="426" customFormat="1" x14ac:dyDescent="0.25">
      <c r="A55" s="520"/>
      <c r="B55" s="519"/>
      <c r="C55" s="430"/>
      <c r="D55" s="430"/>
      <c r="E55" s="430"/>
      <c r="F55" s="430"/>
      <c r="G55" s="430"/>
      <c r="H55" s="430"/>
      <c r="I55" s="430"/>
      <c r="J55" s="430"/>
      <c r="K55" s="430"/>
      <c r="L55" s="430"/>
      <c r="M55" s="430"/>
      <c r="N55" s="430"/>
      <c r="O55" s="430"/>
      <c r="P55" s="430"/>
      <c r="Q55" s="491"/>
      <c r="R55" s="430"/>
      <c r="S55" s="430"/>
      <c r="T55" s="430"/>
      <c r="U55" s="430"/>
      <c r="V55" s="604"/>
    </row>
    <row r="56" spans="1:22" s="426" customFormat="1" x14ac:dyDescent="0.25">
      <c r="A56" s="520"/>
      <c r="B56" s="492"/>
      <c r="C56" s="469"/>
      <c r="D56" s="469"/>
      <c r="E56" s="469"/>
      <c r="F56" s="469"/>
      <c r="G56" s="469"/>
      <c r="H56" s="469"/>
      <c r="I56" s="469"/>
      <c r="J56" s="469"/>
      <c r="K56" s="469"/>
      <c r="L56" s="469"/>
      <c r="M56" s="469"/>
      <c r="N56" s="469"/>
      <c r="O56" s="469"/>
      <c r="P56" s="469"/>
      <c r="Q56" s="493"/>
      <c r="R56" s="469"/>
      <c r="S56" s="469"/>
      <c r="T56" s="469"/>
      <c r="U56" s="469"/>
      <c r="V56" s="608"/>
    </row>
    <row r="57" spans="1:22" ht="13.8" thickBot="1" x14ac:dyDescent="0.3">
      <c r="A57" s="520"/>
      <c r="B57" s="494" t="s">
        <v>590</v>
      </c>
      <c r="C57" s="469"/>
      <c r="D57" s="469"/>
      <c r="E57" s="469"/>
      <c r="F57" s="469"/>
      <c r="G57" s="469"/>
      <c r="H57" s="469"/>
      <c r="I57" s="469"/>
      <c r="J57" s="469"/>
      <c r="K57" s="469"/>
      <c r="L57" s="469"/>
      <c r="M57" s="471">
        <f>SUM(M28:M49)</f>
        <v>955793</v>
      </c>
      <c r="N57" s="471">
        <f>SUM(N28:N49)</f>
        <v>0</v>
      </c>
      <c r="O57" s="471">
        <f>SUM(O28:O49)</f>
        <v>641269</v>
      </c>
      <c r="P57" s="471">
        <f>SUM(P28:P49)</f>
        <v>314524</v>
      </c>
      <c r="Q57" s="495"/>
      <c r="R57" s="471">
        <f>SUM(R28:R49)</f>
        <v>5075735</v>
      </c>
      <c r="S57" s="471">
        <f>SUM(S28:S49)</f>
        <v>8735879</v>
      </c>
      <c r="T57" s="471">
        <f>SUM(T27:T55)</f>
        <v>11206540</v>
      </c>
      <c r="U57" s="471">
        <f>SUM(U27:U55)</f>
        <v>405954</v>
      </c>
      <c r="V57" s="471">
        <f>SUM(V27:V55)</f>
        <v>576358</v>
      </c>
    </row>
    <row r="58" spans="1:22" ht="13.8" thickTop="1" x14ac:dyDescent="0.25">
      <c r="A58" s="520"/>
      <c r="B58" s="492"/>
      <c r="C58" s="469"/>
      <c r="D58" s="469"/>
      <c r="E58" s="469"/>
      <c r="F58" s="469"/>
      <c r="G58" s="469"/>
      <c r="H58" s="469"/>
      <c r="I58" s="469"/>
      <c r="J58" s="469"/>
      <c r="K58" s="469"/>
      <c r="L58" s="469"/>
      <c r="M58" s="469"/>
      <c r="N58" s="469"/>
      <c r="O58" s="469"/>
      <c r="P58" s="469"/>
      <c r="Q58" s="493"/>
      <c r="R58" s="469"/>
      <c r="S58" s="469"/>
      <c r="T58" s="469"/>
      <c r="U58" s="520"/>
    </row>
    <row r="59" spans="1:22" x14ac:dyDescent="0.25">
      <c r="A59" s="520"/>
      <c r="B59" s="511" t="s">
        <v>6</v>
      </c>
      <c r="C59" s="472" t="s">
        <v>545</v>
      </c>
      <c r="D59" s="472" t="s">
        <v>546</v>
      </c>
      <c r="E59" s="472" t="s">
        <v>22</v>
      </c>
      <c r="F59" s="473" t="s">
        <v>547</v>
      </c>
      <c r="G59" s="473" t="s">
        <v>548</v>
      </c>
      <c r="H59" s="473" t="s">
        <v>549</v>
      </c>
      <c r="I59" s="474" t="s">
        <v>178</v>
      </c>
      <c r="J59" s="474" t="s">
        <v>179</v>
      </c>
      <c r="K59" s="474" t="s">
        <v>240</v>
      </c>
      <c r="L59" s="474" t="s">
        <v>245</v>
      </c>
      <c r="M59" s="474" t="s">
        <v>257</v>
      </c>
      <c r="N59" s="474" t="s">
        <v>494</v>
      </c>
      <c r="O59" s="472" t="s">
        <v>550</v>
      </c>
      <c r="P59" s="472" t="s">
        <v>78</v>
      </c>
      <c r="Q59" s="491"/>
      <c r="R59" s="474" t="s">
        <v>382</v>
      </c>
      <c r="S59" s="474" t="s">
        <v>407</v>
      </c>
      <c r="T59" s="474" t="s">
        <v>414</v>
      </c>
      <c r="U59" s="591" t="s">
        <v>530</v>
      </c>
      <c r="V59" s="604" t="s">
        <v>886</v>
      </c>
    </row>
    <row r="60" spans="1:22" x14ac:dyDescent="0.25">
      <c r="A60" s="520"/>
      <c r="B60" s="512" t="s">
        <v>591</v>
      </c>
      <c r="C60" s="430" t="s">
        <v>145</v>
      </c>
      <c r="D60" s="430" t="s">
        <v>592</v>
      </c>
      <c r="E60" s="430" t="s">
        <v>593</v>
      </c>
      <c r="F60" s="473"/>
      <c r="G60" s="473"/>
      <c r="H60" s="473"/>
      <c r="I60" s="474"/>
      <c r="J60" s="474"/>
      <c r="K60" s="474"/>
      <c r="L60" s="474"/>
      <c r="M60" s="474"/>
      <c r="N60" s="474"/>
      <c r="O60" s="472"/>
      <c r="P60" s="472"/>
      <c r="Q60" s="491" t="s">
        <v>78</v>
      </c>
      <c r="R60" s="498">
        <v>9844473</v>
      </c>
      <c r="S60" s="523">
        <v>13021050</v>
      </c>
      <c r="T60" s="523">
        <v>10013321</v>
      </c>
      <c r="U60" s="594">
        <v>927049</v>
      </c>
      <c r="V60" s="126"/>
    </row>
    <row r="61" spans="1:22" x14ac:dyDescent="0.25">
      <c r="A61" s="520"/>
      <c r="B61" s="512" t="s">
        <v>594</v>
      </c>
      <c r="C61" s="430" t="s">
        <v>145</v>
      </c>
      <c r="D61" s="430" t="s">
        <v>595</v>
      </c>
      <c r="E61" s="430" t="s">
        <v>593</v>
      </c>
      <c r="F61" s="430">
        <v>0</v>
      </c>
      <c r="G61" s="430"/>
      <c r="H61" s="430"/>
      <c r="I61" s="430">
        <v>200000</v>
      </c>
      <c r="J61" s="430"/>
      <c r="K61" s="430"/>
      <c r="L61" s="430"/>
      <c r="M61" s="430">
        <f>+N61+O61+P61</f>
        <v>0</v>
      </c>
      <c r="N61" s="430"/>
      <c r="O61" s="430"/>
      <c r="P61" s="430"/>
      <c r="Q61" s="491" t="s">
        <v>78</v>
      </c>
      <c r="R61" s="430">
        <v>1193210</v>
      </c>
      <c r="S61" s="523">
        <v>383000</v>
      </c>
      <c r="T61" s="523">
        <v>1464271</v>
      </c>
      <c r="U61" s="595"/>
      <c r="V61" s="126"/>
    </row>
    <row r="62" spans="1:22" s="426" customFormat="1" x14ac:dyDescent="0.25">
      <c r="A62" s="520"/>
      <c r="B62" s="519"/>
      <c r="C62" s="430" t="s">
        <v>145</v>
      </c>
      <c r="D62" s="430" t="s">
        <v>628</v>
      </c>
      <c r="E62" s="430" t="s">
        <v>915</v>
      </c>
      <c r="F62" s="430"/>
      <c r="G62" s="430"/>
      <c r="H62" s="430"/>
      <c r="I62" s="430"/>
      <c r="J62" s="430"/>
      <c r="K62" s="430"/>
      <c r="L62" s="430"/>
      <c r="M62" s="430"/>
      <c r="N62" s="430"/>
      <c r="O62" s="430"/>
      <c r="P62" s="430"/>
      <c r="Q62" s="491" t="s">
        <v>550</v>
      </c>
      <c r="R62" s="430"/>
      <c r="S62" s="523"/>
      <c r="T62" s="523">
        <v>260000</v>
      </c>
      <c r="U62" s="524"/>
      <c r="V62" s="126"/>
    </row>
    <row r="63" spans="1:22" x14ac:dyDescent="0.25">
      <c r="A63" s="520"/>
      <c r="B63" s="492"/>
      <c r="C63" s="469"/>
      <c r="D63" s="469"/>
      <c r="E63" s="469"/>
      <c r="F63" s="469"/>
      <c r="G63" s="469"/>
      <c r="H63" s="469"/>
      <c r="I63" s="469"/>
      <c r="J63" s="469"/>
      <c r="K63" s="469"/>
      <c r="L63" s="469"/>
      <c r="M63" s="469"/>
      <c r="N63" s="469"/>
      <c r="O63" s="469"/>
      <c r="P63" s="469"/>
      <c r="Q63" s="493"/>
      <c r="R63" s="469"/>
      <c r="S63" s="469"/>
      <c r="T63" s="469"/>
      <c r="U63" s="469"/>
      <c r="V63" s="611"/>
    </row>
    <row r="64" spans="1:22" ht="13.8" thickBot="1" x14ac:dyDescent="0.3">
      <c r="A64" s="520"/>
      <c r="B64" s="494" t="s">
        <v>596</v>
      </c>
      <c r="C64" s="469"/>
      <c r="D64" s="469"/>
      <c r="E64" s="469"/>
      <c r="F64" s="469"/>
      <c r="G64" s="469"/>
      <c r="H64" s="469"/>
      <c r="I64" s="469"/>
      <c r="J64" s="469"/>
      <c r="K64" s="469"/>
      <c r="L64" s="469"/>
      <c r="M64" s="471">
        <f>SUM(M63:M63)</f>
        <v>0</v>
      </c>
      <c r="N64" s="471">
        <f>SUM(N63:N63)</f>
        <v>0</v>
      </c>
      <c r="O64" s="471">
        <f>SUM(O63:O63)</f>
        <v>0</v>
      </c>
      <c r="P64" s="471">
        <f>SUM(P63:P63)</f>
        <v>0</v>
      </c>
      <c r="Q64" s="495"/>
      <c r="R64" s="471">
        <f>SUM(R60:R63)</f>
        <v>11037683</v>
      </c>
      <c r="S64" s="471">
        <f>SUM(S60:S63)</f>
        <v>13404050</v>
      </c>
      <c r="T64" s="471">
        <f>SUM(T60:T63)</f>
        <v>11737592</v>
      </c>
      <c r="U64" s="471">
        <f>SUM(U60:U63)</f>
        <v>927049</v>
      </c>
      <c r="V64" s="471">
        <f>SUM(V60:V63)</f>
        <v>0</v>
      </c>
    </row>
    <row r="65" spans="1:22" ht="13.8" thickTop="1" x14ac:dyDescent="0.25">
      <c r="A65" s="520"/>
      <c r="B65" s="492"/>
      <c r="C65" s="469"/>
      <c r="D65" s="469"/>
      <c r="E65" s="469"/>
      <c r="F65" s="469"/>
      <c r="G65" s="469"/>
      <c r="H65" s="469"/>
      <c r="I65" s="469"/>
      <c r="J65" s="469"/>
      <c r="K65" s="469"/>
      <c r="L65" s="469"/>
      <c r="M65" s="469"/>
      <c r="N65" s="469"/>
      <c r="O65" s="469"/>
      <c r="P65" s="469"/>
      <c r="Q65" s="493"/>
      <c r="R65" s="469"/>
      <c r="S65" s="469"/>
      <c r="T65" s="469"/>
      <c r="U65" s="520"/>
    </row>
    <row r="66" spans="1:22" x14ac:dyDescent="0.25">
      <c r="A66" s="520"/>
      <c r="B66" s="511" t="s">
        <v>7</v>
      </c>
      <c r="C66" s="472" t="s">
        <v>545</v>
      </c>
      <c r="D66" s="472" t="s">
        <v>546</v>
      </c>
      <c r="E66" s="472" t="s">
        <v>22</v>
      </c>
      <c r="F66" s="473" t="s">
        <v>547</v>
      </c>
      <c r="G66" s="473" t="s">
        <v>548</v>
      </c>
      <c r="H66" s="473" t="s">
        <v>549</v>
      </c>
      <c r="I66" s="474" t="s">
        <v>178</v>
      </c>
      <c r="J66" s="474" t="s">
        <v>179</v>
      </c>
      <c r="K66" s="474" t="s">
        <v>240</v>
      </c>
      <c r="L66" s="474" t="s">
        <v>245</v>
      </c>
      <c r="M66" s="474" t="s">
        <v>257</v>
      </c>
      <c r="N66" s="474" t="s">
        <v>494</v>
      </c>
      <c r="O66" s="472" t="s">
        <v>550</v>
      </c>
      <c r="P66" s="472" t="s">
        <v>78</v>
      </c>
      <c r="Q66" s="491"/>
      <c r="R66" s="474" t="s">
        <v>382</v>
      </c>
      <c r="S66" s="474" t="s">
        <v>407</v>
      </c>
      <c r="T66" s="474" t="s">
        <v>414</v>
      </c>
      <c r="U66" s="474" t="s">
        <v>530</v>
      </c>
      <c r="V66" s="604" t="s">
        <v>886</v>
      </c>
    </row>
    <row r="67" spans="1:22" x14ac:dyDescent="0.25">
      <c r="A67" s="520"/>
      <c r="B67" s="513"/>
      <c r="C67" s="430" t="s">
        <v>19</v>
      </c>
      <c r="D67" s="430" t="s">
        <v>555</v>
      </c>
      <c r="E67" s="430" t="s">
        <v>884</v>
      </c>
      <c r="F67" s="430">
        <v>0</v>
      </c>
      <c r="G67" s="430"/>
      <c r="H67" s="430">
        <v>0</v>
      </c>
      <c r="I67" s="430">
        <v>1000000</v>
      </c>
      <c r="J67" s="430"/>
      <c r="K67" s="430">
        <v>1000000</v>
      </c>
      <c r="L67" s="430"/>
      <c r="M67" s="430">
        <f>+N67+O67+P67</f>
        <v>0</v>
      </c>
      <c r="N67" s="430"/>
      <c r="O67" s="430"/>
      <c r="P67" s="430"/>
      <c r="Q67" s="491" t="s">
        <v>550</v>
      </c>
      <c r="R67" s="430"/>
      <c r="S67" s="430">
        <v>200000</v>
      </c>
      <c r="T67" s="430"/>
      <c r="U67" s="430"/>
      <c r="V67" s="604"/>
    </row>
    <row r="68" spans="1:22" x14ac:dyDescent="0.25">
      <c r="A68" s="520"/>
      <c r="B68" s="512" t="s">
        <v>597</v>
      </c>
      <c r="C68" s="430" t="s">
        <v>19</v>
      </c>
      <c r="D68" s="430" t="s">
        <v>580</v>
      </c>
      <c r="E68" s="430" t="s">
        <v>598</v>
      </c>
      <c r="F68" s="430"/>
      <c r="G68" s="430"/>
      <c r="H68" s="430"/>
      <c r="I68" s="430"/>
      <c r="J68" s="430"/>
      <c r="K68" s="430"/>
      <c r="L68" s="430">
        <v>3323784</v>
      </c>
      <c r="M68" s="430">
        <f>+N68+O68+P68</f>
        <v>1272009</v>
      </c>
      <c r="N68" s="430"/>
      <c r="O68" s="430"/>
      <c r="P68" s="430">
        <v>1272009</v>
      </c>
      <c r="Q68" s="491" t="s">
        <v>78</v>
      </c>
      <c r="R68" s="430">
        <v>3308940</v>
      </c>
      <c r="S68" s="430"/>
      <c r="T68" s="430"/>
      <c r="U68" s="430"/>
      <c r="V68" s="126"/>
    </row>
    <row r="69" spans="1:22" x14ac:dyDescent="0.25">
      <c r="A69" s="520"/>
      <c r="B69" s="512"/>
      <c r="C69" s="430" t="s">
        <v>19</v>
      </c>
      <c r="D69" s="430" t="s">
        <v>555</v>
      </c>
      <c r="E69" s="430" t="s">
        <v>883</v>
      </c>
      <c r="F69" s="430"/>
      <c r="G69" s="430"/>
      <c r="H69" s="430"/>
      <c r="I69" s="430"/>
      <c r="J69" s="430"/>
      <c r="K69" s="430">
        <v>1100000</v>
      </c>
      <c r="L69" s="430"/>
      <c r="M69" s="430">
        <f>+N69+O69+P69</f>
        <v>0</v>
      </c>
      <c r="N69" s="430"/>
      <c r="O69" s="430"/>
      <c r="P69" s="430"/>
      <c r="Q69" s="491" t="s">
        <v>550</v>
      </c>
      <c r="R69" s="430"/>
      <c r="S69" s="430">
        <f>5030000-4375200</f>
        <v>654800</v>
      </c>
      <c r="T69" s="430">
        <v>2832720</v>
      </c>
      <c r="U69" s="430"/>
      <c r="V69" s="604"/>
    </row>
    <row r="70" spans="1:22" x14ac:dyDescent="0.25">
      <c r="A70" s="520"/>
      <c r="B70" s="512" t="s">
        <v>869</v>
      </c>
      <c r="C70" s="430" t="s">
        <v>19</v>
      </c>
      <c r="D70" s="430" t="s">
        <v>574</v>
      </c>
      <c r="E70" s="430" t="s">
        <v>870</v>
      </c>
      <c r="F70" s="430"/>
      <c r="G70" s="430"/>
      <c r="H70" s="430"/>
      <c r="I70" s="430"/>
      <c r="J70" s="430"/>
      <c r="K70" s="430"/>
      <c r="L70" s="430"/>
      <c r="M70" s="430"/>
      <c r="N70" s="430"/>
      <c r="O70" s="430"/>
      <c r="P70" s="430"/>
      <c r="Q70" s="491" t="s">
        <v>78</v>
      </c>
      <c r="R70" s="430"/>
      <c r="S70" s="430"/>
      <c r="T70" s="430"/>
      <c r="U70" s="430"/>
      <c r="V70" s="604">
        <v>3323784</v>
      </c>
    </row>
    <row r="71" spans="1:22" x14ac:dyDescent="0.25">
      <c r="A71" s="520"/>
      <c r="B71" s="512" t="s">
        <v>869</v>
      </c>
      <c r="C71" s="430" t="s">
        <v>19</v>
      </c>
      <c r="D71" s="430" t="s">
        <v>595</v>
      </c>
      <c r="E71" s="430" t="s">
        <v>870</v>
      </c>
      <c r="F71" s="430"/>
      <c r="G71" s="430"/>
      <c r="H71" s="430"/>
      <c r="I71" s="430"/>
      <c r="J71" s="430"/>
      <c r="K71" s="430"/>
      <c r="L71" s="430"/>
      <c r="M71" s="430"/>
      <c r="N71" s="430"/>
      <c r="O71" s="430"/>
      <c r="P71" s="430"/>
      <c r="Q71" s="491" t="s">
        <v>78</v>
      </c>
      <c r="R71" s="430"/>
      <c r="S71" s="430"/>
      <c r="T71" s="430"/>
      <c r="U71" s="430"/>
      <c r="V71" s="604">
        <v>1831707</v>
      </c>
    </row>
    <row r="72" spans="1:22" s="426" customFormat="1" x14ac:dyDescent="0.25">
      <c r="A72" s="520"/>
      <c r="B72" s="519"/>
      <c r="C72" s="430" t="s">
        <v>19</v>
      </c>
      <c r="D72" s="430" t="s">
        <v>912</v>
      </c>
      <c r="E72" s="430" t="s">
        <v>913</v>
      </c>
      <c r="F72" s="430"/>
      <c r="G72" s="430"/>
      <c r="H72" s="430"/>
      <c r="I72" s="430"/>
      <c r="J72" s="430"/>
      <c r="K72" s="430"/>
      <c r="L72" s="430"/>
      <c r="M72" s="430"/>
      <c r="N72" s="430"/>
      <c r="O72" s="430"/>
      <c r="P72" s="430"/>
      <c r="Q72" s="491" t="s">
        <v>914</v>
      </c>
      <c r="R72" s="430"/>
      <c r="S72" s="430"/>
      <c r="T72" s="430">
        <v>14000000</v>
      </c>
      <c r="U72" s="430"/>
      <c r="V72" s="604"/>
    </row>
    <row r="73" spans="1:22" x14ac:dyDescent="0.25">
      <c r="A73" s="520"/>
      <c r="B73" s="492"/>
      <c r="C73" s="469"/>
      <c r="D73" s="469"/>
      <c r="E73" s="469"/>
      <c r="F73" s="483"/>
      <c r="G73" s="431"/>
      <c r="H73" s="431"/>
      <c r="I73" s="431"/>
      <c r="J73" s="431"/>
      <c r="K73" s="431"/>
      <c r="L73" s="431"/>
      <c r="M73" s="431"/>
      <c r="N73" s="431"/>
      <c r="O73" s="431"/>
      <c r="P73" s="431"/>
      <c r="Q73" s="499"/>
      <c r="R73" s="431"/>
      <c r="S73" s="431"/>
      <c r="T73" s="431"/>
      <c r="U73" s="431"/>
      <c r="V73" s="611"/>
    </row>
    <row r="74" spans="1:22" ht="13.8" thickBot="1" x14ac:dyDescent="0.3">
      <c r="A74" s="520"/>
      <c r="B74" s="494" t="s">
        <v>599</v>
      </c>
      <c r="C74" s="469"/>
      <c r="D74" s="469"/>
      <c r="E74" s="469"/>
      <c r="F74" s="483"/>
      <c r="G74" s="431"/>
      <c r="H74" s="431"/>
      <c r="I74" s="431"/>
      <c r="J74" s="431"/>
      <c r="K74" s="431"/>
      <c r="L74" s="486"/>
      <c r="M74" s="484">
        <f>SUM(M67:M73)</f>
        <v>1272009</v>
      </c>
      <c r="N74" s="484">
        <f t="shared" ref="N74:V74" si="2">SUM(N67:N73)</f>
        <v>0</v>
      </c>
      <c r="O74" s="484">
        <f t="shared" si="2"/>
        <v>0</v>
      </c>
      <c r="P74" s="484">
        <f t="shared" si="2"/>
        <v>1272009</v>
      </c>
      <c r="Q74" s="500"/>
      <c r="R74" s="484">
        <f t="shared" si="2"/>
        <v>3308940</v>
      </c>
      <c r="S74" s="484">
        <f t="shared" si="2"/>
        <v>854800</v>
      </c>
      <c r="T74" s="484">
        <f t="shared" si="2"/>
        <v>16832720</v>
      </c>
      <c r="U74" s="484">
        <f t="shared" si="2"/>
        <v>0</v>
      </c>
      <c r="V74" s="484">
        <f t="shared" si="2"/>
        <v>5155491</v>
      </c>
    </row>
    <row r="75" spans="1:22" ht="13.8" thickTop="1" x14ac:dyDescent="0.25">
      <c r="A75" s="520"/>
      <c r="B75" s="494"/>
      <c r="C75" s="469"/>
      <c r="D75" s="469"/>
      <c r="E75" s="469"/>
      <c r="F75" s="483"/>
      <c r="G75" s="431"/>
      <c r="H75" s="431"/>
      <c r="I75" s="431"/>
      <c r="J75" s="431"/>
      <c r="K75" s="431"/>
      <c r="L75" s="431"/>
      <c r="M75" s="485"/>
      <c r="N75" s="485"/>
      <c r="O75" s="485"/>
      <c r="P75" s="485"/>
      <c r="Q75" s="499"/>
      <c r="R75" s="485"/>
      <c r="S75" s="485"/>
      <c r="T75" s="485"/>
      <c r="U75" s="520"/>
    </row>
    <row r="76" spans="1:22" x14ac:dyDescent="0.25">
      <c r="A76" s="520"/>
      <c r="B76" s="511" t="s">
        <v>8</v>
      </c>
      <c r="C76" s="472" t="s">
        <v>545</v>
      </c>
      <c r="D76" s="472" t="s">
        <v>546</v>
      </c>
      <c r="E76" s="472" t="s">
        <v>22</v>
      </c>
      <c r="F76" s="473" t="s">
        <v>547</v>
      </c>
      <c r="G76" s="473" t="s">
        <v>548</v>
      </c>
      <c r="H76" s="473" t="s">
        <v>549</v>
      </c>
      <c r="I76" s="474" t="s">
        <v>178</v>
      </c>
      <c r="J76" s="474" t="s">
        <v>179</v>
      </c>
      <c r="K76" s="474" t="s">
        <v>240</v>
      </c>
      <c r="L76" s="474" t="s">
        <v>245</v>
      </c>
      <c r="M76" s="474" t="s">
        <v>257</v>
      </c>
      <c r="N76" s="474" t="s">
        <v>494</v>
      </c>
      <c r="O76" s="472" t="s">
        <v>550</v>
      </c>
      <c r="P76" s="472" t="s">
        <v>78</v>
      </c>
      <c r="Q76" s="491"/>
      <c r="R76" s="474" t="s">
        <v>382</v>
      </c>
      <c r="S76" s="474" t="s">
        <v>407</v>
      </c>
      <c r="T76" s="474" t="s">
        <v>414</v>
      </c>
      <c r="U76" s="591" t="s">
        <v>530</v>
      </c>
      <c r="V76" s="604" t="s">
        <v>886</v>
      </c>
    </row>
    <row r="77" spans="1:22" hidden="1" x14ac:dyDescent="0.25">
      <c r="A77" s="520"/>
      <c r="B77" s="512"/>
      <c r="C77" s="430" t="s">
        <v>600</v>
      </c>
      <c r="D77" s="430" t="s">
        <v>18</v>
      </c>
      <c r="E77" s="430" t="s">
        <v>601</v>
      </c>
      <c r="F77" s="430">
        <v>5261000</v>
      </c>
      <c r="G77" s="430">
        <v>26000000</v>
      </c>
      <c r="H77" s="430">
        <v>75415000</v>
      </c>
      <c r="I77" s="430"/>
      <c r="J77" s="430"/>
      <c r="K77" s="430"/>
      <c r="L77" s="430"/>
      <c r="M77" s="430">
        <f>+N77+O77+P77</f>
        <v>0</v>
      </c>
      <c r="N77" s="430"/>
      <c r="O77" s="430"/>
      <c r="P77" s="430"/>
      <c r="Q77" s="491"/>
      <c r="R77" s="430"/>
      <c r="S77" s="430"/>
      <c r="T77" s="430"/>
      <c r="U77" s="593"/>
      <c r="V77" s="604"/>
    </row>
    <row r="78" spans="1:22" hidden="1" x14ac:dyDescent="0.25">
      <c r="A78" s="520"/>
      <c r="B78" s="512"/>
      <c r="C78" s="430" t="s">
        <v>600</v>
      </c>
      <c r="D78" s="430" t="s">
        <v>18</v>
      </c>
      <c r="E78" s="430" t="s">
        <v>602</v>
      </c>
      <c r="F78" s="430"/>
      <c r="G78" s="430"/>
      <c r="H78" s="430">
        <v>548000</v>
      </c>
      <c r="I78" s="430"/>
      <c r="J78" s="430"/>
      <c r="K78" s="430"/>
      <c r="L78" s="430"/>
      <c r="M78" s="430">
        <f t="shared" ref="M78:M92" si="3">+N78+O78+P78</f>
        <v>0</v>
      </c>
      <c r="N78" s="430"/>
      <c r="O78" s="430"/>
      <c r="P78" s="430"/>
      <c r="Q78" s="491"/>
      <c r="R78" s="430"/>
      <c r="S78" s="430"/>
      <c r="T78" s="430"/>
      <c r="U78" s="593"/>
      <c r="V78" s="604"/>
    </row>
    <row r="79" spans="1:22" hidden="1" x14ac:dyDescent="0.25">
      <c r="A79" s="520"/>
      <c r="B79" s="512"/>
      <c r="C79" s="430" t="s">
        <v>600</v>
      </c>
      <c r="D79" s="430" t="s">
        <v>581</v>
      </c>
      <c r="E79" s="430" t="s">
        <v>603</v>
      </c>
      <c r="F79" s="430"/>
      <c r="G79" s="430"/>
      <c r="H79" s="430"/>
      <c r="I79" s="430"/>
      <c r="J79" s="430"/>
      <c r="K79" s="430">
        <v>1399078</v>
      </c>
      <c r="L79" s="430"/>
      <c r="M79" s="430">
        <f t="shared" si="3"/>
        <v>0</v>
      </c>
      <c r="N79" s="430"/>
      <c r="O79" s="430"/>
      <c r="P79" s="430"/>
      <c r="Q79" s="491"/>
      <c r="R79" s="430"/>
      <c r="S79" s="430"/>
      <c r="T79" s="430"/>
      <c r="U79" s="593"/>
      <c r="V79" s="605"/>
    </row>
    <row r="80" spans="1:22" x14ac:dyDescent="0.25">
      <c r="A80" s="520"/>
      <c r="B80" s="512"/>
      <c r="C80" s="430" t="s">
        <v>600</v>
      </c>
      <c r="D80" s="430" t="s">
        <v>595</v>
      </c>
      <c r="E80" s="430" t="s">
        <v>871</v>
      </c>
      <c r="F80" s="430"/>
      <c r="G80" s="430"/>
      <c r="H80" s="430"/>
      <c r="I80" s="430"/>
      <c r="J80" s="430"/>
      <c r="K80" s="430">
        <v>3188007</v>
      </c>
      <c r="L80" s="430"/>
      <c r="M80" s="430">
        <f t="shared" si="3"/>
        <v>0</v>
      </c>
      <c r="N80" s="430"/>
      <c r="O80" s="430"/>
      <c r="P80" s="430"/>
      <c r="Q80" s="491"/>
      <c r="R80" s="430"/>
      <c r="S80" s="430"/>
      <c r="T80" s="430"/>
      <c r="U80" s="593"/>
      <c r="V80" s="604"/>
    </row>
    <row r="81" spans="1:22" x14ac:dyDescent="0.25">
      <c r="A81" s="520"/>
      <c r="B81" s="512" t="s">
        <v>604</v>
      </c>
      <c r="C81" s="430" t="s">
        <v>600</v>
      </c>
      <c r="D81" s="430" t="s">
        <v>595</v>
      </c>
      <c r="E81" s="430" t="s">
        <v>605</v>
      </c>
      <c r="F81" s="430"/>
      <c r="G81" s="430"/>
      <c r="H81" s="430"/>
      <c r="I81" s="430"/>
      <c r="J81" s="430"/>
      <c r="K81" s="430">
        <v>600000</v>
      </c>
      <c r="L81" s="430"/>
      <c r="M81" s="430">
        <f t="shared" si="3"/>
        <v>1250000</v>
      </c>
      <c r="N81" s="430"/>
      <c r="O81" s="430">
        <f>750000+500000</f>
        <v>1250000</v>
      </c>
      <c r="P81" s="430"/>
      <c r="Q81" s="491" t="s">
        <v>78</v>
      </c>
      <c r="R81" s="430">
        <v>1388223</v>
      </c>
      <c r="S81" s="430"/>
      <c r="T81" s="430">
        <v>658955</v>
      </c>
      <c r="U81" s="593"/>
      <c r="V81" s="604"/>
    </row>
    <row r="82" spans="1:22" x14ac:dyDescent="0.25">
      <c r="A82" s="520"/>
      <c r="B82" s="512" t="s">
        <v>896</v>
      </c>
      <c r="C82" s="430" t="s">
        <v>600</v>
      </c>
      <c r="D82" s="430" t="s">
        <v>581</v>
      </c>
      <c r="E82" s="430" t="s">
        <v>897</v>
      </c>
      <c r="F82" s="430"/>
      <c r="G82" s="430"/>
      <c r="H82" s="430"/>
      <c r="I82" s="430"/>
      <c r="J82" s="430"/>
      <c r="K82" s="430"/>
      <c r="L82" s="430"/>
      <c r="M82" s="430"/>
      <c r="N82" s="430"/>
      <c r="O82" s="430"/>
      <c r="P82" s="430"/>
      <c r="Q82" s="491" t="s">
        <v>78</v>
      </c>
      <c r="R82" s="430"/>
      <c r="S82" s="430">
        <v>1005829.34</v>
      </c>
      <c r="T82" s="430"/>
      <c r="U82" s="593">
        <v>28917</v>
      </c>
      <c r="V82" s="604"/>
    </row>
    <row r="83" spans="1:22" s="426" customFormat="1" x14ac:dyDescent="0.25">
      <c r="A83" s="520"/>
      <c r="B83" s="512"/>
      <c r="C83" s="430" t="s">
        <v>600</v>
      </c>
      <c r="D83" s="430" t="s">
        <v>637</v>
      </c>
      <c r="E83" s="430" t="s">
        <v>608</v>
      </c>
      <c r="F83" s="430"/>
      <c r="G83" s="430"/>
      <c r="H83" s="430"/>
      <c r="I83" s="430"/>
      <c r="J83" s="430"/>
      <c r="K83" s="430"/>
      <c r="L83" s="430"/>
      <c r="M83" s="430"/>
      <c r="N83" s="430"/>
      <c r="O83" s="430"/>
      <c r="P83" s="430"/>
      <c r="Q83" s="491" t="s">
        <v>78</v>
      </c>
      <c r="R83" s="430"/>
      <c r="S83" s="430"/>
      <c r="T83" s="430"/>
      <c r="U83" s="593">
        <v>6493725</v>
      </c>
      <c r="V83" s="604">
        <v>756274</v>
      </c>
    </row>
    <row r="84" spans="1:22" s="426" customFormat="1" x14ac:dyDescent="0.25">
      <c r="A84" s="520"/>
      <c r="B84" s="512"/>
      <c r="C84" s="430" t="s">
        <v>600</v>
      </c>
      <c r="D84" s="430" t="s">
        <v>595</v>
      </c>
      <c r="E84" s="430" t="s">
        <v>908</v>
      </c>
      <c r="F84" s="430"/>
      <c r="G84" s="430"/>
      <c r="H84" s="430"/>
      <c r="I84" s="430"/>
      <c r="J84" s="430"/>
      <c r="K84" s="430"/>
      <c r="L84" s="430"/>
      <c r="M84" s="430"/>
      <c r="N84" s="430"/>
      <c r="O84" s="430"/>
      <c r="P84" s="430"/>
      <c r="Q84" s="491" t="s">
        <v>78</v>
      </c>
      <c r="R84" s="430"/>
      <c r="S84" s="430"/>
      <c r="T84" s="430"/>
      <c r="U84" s="593">
        <v>3400808</v>
      </c>
      <c r="V84" s="604">
        <v>188305</v>
      </c>
    </row>
    <row r="85" spans="1:22" x14ac:dyDescent="0.25">
      <c r="A85" s="520"/>
      <c r="B85" s="512" t="s">
        <v>869</v>
      </c>
      <c r="C85" s="430" t="s">
        <v>600</v>
      </c>
      <c r="D85" s="430" t="s">
        <v>574</v>
      </c>
      <c r="E85" s="430" t="s">
        <v>872</v>
      </c>
      <c r="F85" s="430"/>
      <c r="G85" s="430"/>
      <c r="H85" s="430"/>
      <c r="I85" s="430"/>
      <c r="J85" s="430"/>
      <c r="K85" s="430"/>
      <c r="L85" s="430"/>
      <c r="M85" s="430"/>
      <c r="N85" s="430"/>
      <c r="O85" s="430"/>
      <c r="P85" s="430"/>
      <c r="Q85" s="491" t="s">
        <v>78</v>
      </c>
      <c r="R85" s="430"/>
      <c r="S85" s="430"/>
      <c r="T85" s="430"/>
      <c r="U85" s="593"/>
      <c r="V85" s="604"/>
    </row>
    <row r="86" spans="1:22" ht="1.2" customHeight="1" x14ac:dyDescent="0.25">
      <c r="A86" s="520"/>
      <c r="B86" s="512"/>
      <c r="C86" s="430" t="s">
        <v>601</v>
      </c>
      <c r="D86" s="430" t="s">
        <v>580</v>
      </c>
      <c r="E86" s="430" t="s">
        <v>606</v>
      </c>
      <c r="F86" s="430"/>
      <c r="G86" s="430"/>
      <c r="H86" s="430"/>
      <c r="I86" s="430"/>
      <c r="J86" s="430"/>
      <c r="K86" s="430">
        <v>241337</v>
      </c>
      <c r="L86" s="430"/>
      <c r="M86" s="430">
        <f t="shared" si="3"/>
        <v>0</v>
      </c>
      <c r="N86" s="430"/>
      <c r="O86" s="430"/>
      <c r="P86" s="430"/>
      <c r="Q86" s="491"/>
      <c r="R86" s="430"/>
      <c r="S86" s="430"/>
      <c r="T86" s="430"/>
      <c r="U86" s="593"/>
      <c r="V86" s="604"/>
    </row>
    <row r="87" spans="1:22" hidden="1" x14ac:dyDescent="0.25">
      <c r="A87" s="520"/>
      <c r="B87" s="512"/>
      <c r="C87" s="430" t="s">
        <v>601</v>
      </c>
      <c r="D87" s="430" t="s">
        <v>595</v>
      </c>
      <c r="E87" s="430" t="s">
        <v>607</v>
      </c>
      <c r="F87" s="430"/>
      <c r="G87" s="430"/>
      <c r="H87" s="430"/>
      <c r="I87" s="430"/>
      <c r="J87" s="430"/>
      <c r="K87" s="430">
        <v>2000000</v>
      </c>
      <c r="L87" s="430"/>
      <c r="M87" s="430">
        <f t="shared" si="3"/>
        <v>6214068</v>
      </c>
      <c r="N87" s="430"/>
      <c r="O87" s="430"/>
      <c r="P87" s="430">
        <v>6214068</v>
      </c>
      <c r="Q87" s="491"/>
      <c r="R87" s="430"/>
      <c r="S87" s="430"/>
      <c r="T87" s="430"/>
      <c r="U87" s="593"/>
      <c r="V87" s="604"/>
    </row>
    <row r="88" spans="1:22" hidden="1" x14ac:dyDescent="0.25">
      <c r="A88" s="520"/>
      <c r="B88" s="512"/>
      <c r="C88" s="430" t="s">
        <v>601</v>
      </c>
      <c r="D88" s="430" t="s">
        <v>250</v>
      </c>
      <c r="E88" s="430" t="s">
        <v>608</v>
      </c>
      <c r="F88" s="430"/>
      <c r="G88" s="430"/>
      <c r="H88" s="430"/>
      <c r="I88" s="430"/>
      <c r="J88" s="430"/>
      <c r="K88" s="430"/>
      <c r="L88" s="430"/>
      <c r="M88" s="430"/>
      <c r="N88" s="430"/>
      <c r="O88" s="430"/>
      <c r="P88" s="430"/>
      <c r="Q88" s="491" t="s">
        <v>78</v>
      </c>
      <c r="R88" s="430"/>
      <c r="S88" s="430"/>
      <c r="T88" s="430"/>
      <c r="U88" s="593"/>
      <c r="V88" s="604"/>
    </row>
    <row r="89" spans="1:22" hidden="1" x14ac:dyDescent="0.25">
      <c r="A89" s="520"/>
      <c r="B89" s="512"/>
      <c r="C89" s="430" t="s">
        <v>601</v>
      </c>
      <c r="D89" s="430" t="s">
        <v>595</v>
      </c>
      <c r="E89" s="430" t="s">
        <v>609</v>
      </c>
      <c r="F89" s="430"/>
      <c r="G89" s="430"/>
      <c r="H89" s="430"/>
      <c r="I89" s="430"/>
      <c r="J89" s="430"/>
      <c r="K89" s="430"/>
      <c r="L89" s="430"/>
      <c r="M89" s="430"/>
      <c r="N89" s="430"/>
      <c r="O89" s="430"/>
      <c r="P89" s="430"/>
      <c r="Q89" s="491"/>
      <c r="R89" s="430"/>
      <c r="S89" s="430"/>
      <c r="T89" s="430"/>
      <c r="U89" s="593"/>
      <c r="V89" s="604"/>
    </row>
    <row r="90" spans="1:22" hidden="1" x14ac:dyDescent="0.25">
      <c r="A90" s="520"/>
      <c r="B90" s="512"/>
      <c r="C90" s="430"/>
      <c r="D90" s="430"/>
      <c r="E90" s="430"/>
      <c r="F90" s="430"/>
      <c r="G90" s="430"/>
      <c r="H90" s="430"/>
      <c r="I90" s="430"/>
      <c r="J90" s="430"/>
      <c r="K90" s="430"/>
      <c r="L90" s="430"/>
      <c r="M90" s="430"/>
      <c r="N90" s="430"/>
      <c r="O90" s="430"/>
      <c r="P90" s="430"/>
      <c r="Q90" s="491"/>
      <c r="R90" s="430"/>
      <c r="S90" s="430"/>
      <c r="T90" s="430"/>
      <c r="U90" s="593"/>
      <c r="V90" s="604"/>
    </row>
    <row r="91" spans="1:22" hidden="1" x14ac:dyDescent="0.25">
      <c r="A91" s="520"/>
      <c r="B91" s="512"/>
      <c r="C91" s="430" t="s">
        <v>601</v>
      </c>
      <c r="D91" s="430" t="s">
        <v>581</v>
      </c>
      <c r="E91" s="430" t="s">
        <v>608</v>
      </c>
      <c r="F91" s="430"/>
      <c r="G91" s="430"/>
      <c r="H91" s="430"/>
      <c r="I91" s="430"/>
      <c r="J91" s="430"/>
      <c r="K91" s="430">
        <v>548926</v>
      </c>
      <c r="L91" s="430"/>
      <c r="M91" s="430">
        <f t="shared" si="3"/>
        <v>4300000</v>
      </c>
      <c r="N91" s="430"/>
      <c r="O91" s="430"/>
      <c r="P91" s="430">
        <v>4300000</v>
      </c>
      <c r="Q91" s="491"/>
      <c r="R91" s="430"/>
      <c r="S91" s="430"/>
      <c r="T91" s="430"/>
      <c r="U91" s="593"/>
      <c r="V91" s="604"/>
    </row>
    <row r="92" spans="1:22" hidden="1" x14ac:dyDescent="0.25">
      <c r="A92" s="520"/>
      <c r="B92" s="512"/>
      <c r="C92" s="430" t="s">
        <v>610</v>
      </c>
      <c r="D92" s="430" t="s">
        <v>611</v>
      </c>
      <c r="E92" s="430" t="s">
        <v>555</v>
      </c>
      <c r="F92" s="430"/>
      <c r="G92" s="430"/>
      <c r="H92" s="430"/>
      <c r="I92" s="430"/>
      <c r="J92" s="430"/>
      <c r="K92" s="430">
        <v>1260309</v>
      </c>
      <c r="L92" s="430"/>
      <c r="M92" s="430">
        <f t="shared" si="3"/>
        <v>0</v>
      </c>
      <c r="N92" s="430"/>
      <c r="O92" s="430"/>
      <c r="P92" s="430"/>
      <c r="Q92" s="491"/>
      <c r="R92" s="430"/>
      <c r="S92" s="430"/>
      <c r="T92" s="430"/>
      <c r="U92" s="593"/>
      <c r="V92" s="604"/>
    </row>
    <row r="93" spans="1:22" x14ac:dyDescent="0.25">
      <c r="A93" s="520"/>
      <c r="B93" s="492"/>
      <c r="C93" s="469"/>
      <c r="D93" s="469"/>
      <c r="E93" s="469"/>
      <c r="F93" s="469">
        <v>5261000</v>
      </c>
      <c r="G93" s="469">
        <f>SUM(G77:G78)</f>
        <v>26000000</v>
      </c>
      <c r="H93" s="469">
        <f>SUM(H77:H78)</f>
        <v>75963000</v>
      </c>
      <c r="I93" s="469">
        <f>SUM(I77:I78)</f>
        <v>0</v>
      </c>
      <c r="J93" s="469">
        <f>SUM(J77:J78)</f>
        <v>0</v>
      </c>
      <c r="K93" s="469">
        <f>SUM(K77:K92)</f>
        <v>9237657</v>
      </c>
      <c r="L93" s="469" t="e">
        <f>SUM(#REF!)</f>
        <v>#REF!</v>
      </c>
      <c r="M93" s="469"/>
      <c r="N93" s="469"/>
      <c r="O93" s="469"/>
      <c r="P93" s="469"/>
      <c r="Q93" s="493"/>
      <c r="R93" s="469"/>
      <c r="S93" s="469"/>
      <c r="T93" s="469"/>
      <c r="U93" s="469"/>
      <c r="V93" s="604"/>
    </row>
    <row r="94" spans="1:22" ht="13.8" thickBot="1" x14ac:dyDescent="0.3">
      <c r="A94" s="520"/>
      <c r="B94" s="494" t="s">
        <v>612</v>
      </c>
      <c r="C94" s="469"/>
      <c r="D94" s="469"/>
      <c r="E94" s="469"/>
      <c r="F94" s="469"/>
      <c r="G94" s="469"/>
      <c r="H94" s="469"/>
      <c r="I94" s="469"/>
      <c r="J94" s="469"/>
      <c r="K94" s="469"/>
      <c r="L94" s="469"/>
      <c r="M94" s="471">
        <f>SUM(M77:M93)</f>
        <v>11764068</v>
      </c>
      <c r="N94" s="471">
        <f>SUM(N77:N93)</f>
        <v>0</v>
      </c>
      <c r="O94" s="471">
        <f>SUM(O77:O93)</f>
        <v>1250000</v>
      </c>
      <c r="P94" s="471">
        <f>SUM(P77:P93)</f>
        <v>10514068</v>
      </c>
      <c r="Q94" s="495"/>
      <c r="R94" s="471">
        <f>SUM(R77:R93)</f>
        <v>1388223</v>
      </c>
      <c r="S94" s="471">
        <f>SUM(S77:S93)</f>
        <v>1005829.34</v>
      </c>
      <c r="T94" s="471">
        <f>SUM(T77:T93)</f>
        <v>658955</v>
      </c>
      <c r="U94" s="471">
        <f>SUM(U77:U93)</f>
        <v>9923450</v>
      </c>
      <c r="V94" s="471">
        <f>SUM(V77:V93)</f>
        <v>944579</v>
      </c>
    </row>
    <row r="95" spans="1:22" ht="13.8" thickTop="1" x14ac:dyDescent="0.25">
      <c r="A95" s="520"/>
      <c r="B95" s="492"/>
      <c r="C95" s="469"/>
      <c r="D95" s="469"/>
      <c r="E95" s="469"/>
      <c r="F95" s="469"/>
      <c r="G95" s="469"/>
      <c r="H95" s="469"/>
      <c r="I95" s="469"/>
      <c r="J95" s="469"/>
      <c r="K95" s="469"/>
      <c r="L95" s="469"/>
      <c r="M95" s="469"/>
      <c r="N95" s="469"/>
      <c r="O95" s="469"/>
      <c r="P95" s="469"/>
      <c r="Q95" s="493"/>
      <c r="R95" s="469"/>
      <c r="S95" s="469"/>
      <c r="T95" s="469"/>
      <c r="U95" s="520"/>
    </row>
    <row r="96" spans="1:22" x14ac:dyDescent="0.25">
      <c r="A96" s="520"/>
      <c r="B96" s="511" t="s">
        <v>9</v>
      </c>
      <c r="C96" s="472" t="s">
        <v>545</v>
      </c>
      <c r="D96" s="472" t="s">
        <v>546</v>
      </c>
      <c r="E96" s="472" t="s">
        <v>22</v>
      </c>
      <c r="F96" s="473" t="s">
        <v>547</v>
      </c>
      <c r="G96" s="473" t="s">
        <v>548</v>
      </c>
      <c r="H96" s="473" t="s">
        <v>549</v>
      </c>
      <c r="I96" s="474" t="s">
        <v>178</v>
      </c>
      <c r="J96" s="474" t="s">
        <v>179</v>
      </c>
      <c r="K96" s="474" t="s">
        <v>240</v>
      </c>
      <c r="L96" s="474" t="s">
        <v>245</v>
      </c>
      <c r="M96" s="474" t="s">
        <v>257</v>
      </c>
      <c r="N96" s="474" t="s">
        <v>494</v>
      </c>
      <c r="O96" s="472" t="s">
        <v>550</v>
      </c>
      <c r="P96" s="472" t="s">
        <v>78</v>
      </c>
      <c r="Q96" s="491"/>
      <c r="R96" s="474" t="s">
        <v>382</v>
      </c>
      <c r="S96" s="474" t="s">
        <v>407</v>
      </c>
      <c r="T96" s="474" t="s">
        <v>414</v>
      </c>
      <c r="U96" s="474" t="s">
        <v>530</v>
      </c>
      <c r="V96" s="604" t="s">
        <v>886</v>
      </c>
    </row>
    <row r="97" spans="1:22" hidden="1" x14ac:dyDescent="0.25">
      <c r="A97" s="520"/>
      <c r="B97" s="513"/>
      <c r="C97" s="430" t="s">
        <v>613</v>
      </c>
      <c r="D97" s="430" t="s">
        <v>14</v>
      </c>
      <c r="E97" s="430" t="s">
        <v>613</v>
      </c>
      <c r="F97" s="430">
        <v>0</v>
      </c>
      <c r="G97" s="430">
        <v>6000000</v>
      </c>
      <c r="H97" s="430"/>
      <c r="I97" s="430">
        <v>1225350</v>
      </c>
      <c r="J97" s="430"/>
      <c r="K97" s="430"/>
      <c r="L97" s="430"/>
      <c r="M97" s="430">
        <f>+N97+O97+P97</f>
        <v>0</v>
      </c>
      <c r="N97" s="430"/>
      <c r="O97" s="430"/>
      <c r="P97" s="430"/>
      <c r="Q97" s="491"/>
      <c r="R97" s="430"/>
      <c r="S97" s="430"/>
      <c r="T97" s="430"/>
      <c r="U97" s="430"/>
      <c r="V97" s="604"/>
    </row>
    <row r="98" spans="1:22" hidden="1" x14ac:dyDescent="0.25">
      <c r="A98" s="520"/>
      <c r="B98" s="512"/>
      <c r="C98" s="430" t="s">
        <v>613</v>
      </c>
      <c r="D98" s="430" t="s">
        <v>580</v>
      </c>
      <c r="E98" s="430" t="s">
        <v>613</v>
      </c>
      <c r="F98" s="430">
        <v>0</v>
      </c>
      <c r="G98" s="430"/>
      <c r="H98" s="430"/>
      <c r="I98" s="430">
        <v>2260000</v>
      </c>
      <c r="J98" s="430"/>
      <c r="K98" s="430"/>
      <c r="L98" s="430"/>
      <c r="M98" s="430">
        <f t="shared" ref="M98:M103" si="4">+N98+O98+P98</f>
        <v>0</v>
      </c>
      <c r="N98" s="430"/>
      <c r="O98" s="430"/>
      <c r="P98" s="430"/>
      <c r="Q98" s="491"/>
      <c r="R98" s="430"/>
      <c r="S98" s="430"/>
      <c r="T98" s="430"/>
      <c r="U98" s="430"/>
      <c r="V98" s="604"/>
    </row>
    <row r="99" spans="1:22" hidden="1" x14ac:dyDescent="0.25">
      <c r="A99" s="520"/>
      <c r="B99" s="512"/>
      <c r="C99" s="430" t="s">
        <v>613</v>
      </c>
      <c r="D99" s="430" t="s">
        <v>581</v>
      </c>
      <c r="E99" s="430" t="s">
        <v>613</v>
      </c>
      <c r="F99" s="430">
        <v>300000</v>
      </c>
      <c r="G99" s="430"/>
      <c r="H99" s="430"/>
      <c r="I99" s="430">
        <v>2260000</v>
      </c>
      <c r="J99" s="430"/>
      <c r="K99" s="430"/>
      <c r="L99" s="430"/>
      <c r="M99" s="430">
        <f t="shared" si="4"/>
        <v>0</v>
      </c>
      <c r="N99" s="430"/>
      <c r="O99" s="430"/>
      <c r="P99" s="430"/>
      <c r="Q99" s="491"/>
      <c r="R99" s="430"/>
      <c r="S99" s="430"/>
      <c r="T99" s="430"/>
      <c r="U99" s="430"/>
      <c r="V99" s="604"/>
    </row>
    <row r="100" spans="1:22" hidden="1" x14ac:dyDescent="0.25">
      <c r="A100" s="520"/>
      <c r="B100" s="512"/>
      <c r="C100" s="430" t="s">
        <v>613</v>
      </c>
      <c r="D100" s="430" t="s">
        <v>574</v>
      </c>
      <c r="E100" s="430" t="s">
        <v>614</v>
      </c>
      <c r="F100" s="430">
        <v>1000000</v>
      </c>
      <c r="G100" s="430"/>
      <c r="H100" s="430"/>
      <c r="I100" s="430">
        <v>2260000</v>
      </c>
      <c r="J100" s="430"/>
      <c r="K100" s="430">
        <v>8390891</v>
      </c>
      <c r="L100" s="430"/>
      <c r="M100" s="430">
        <f t="shared" si="4"/>
        <v>0</v>
      </c>
      <c r="N100" s="430"/>
      <c r="O100" s="430"/>
      <c r="P100" s="430"/>
      <c r="Q100" s="491"/>
      <c r="R100" s="430"/>
      <c r="S100" s="430"/>
      <c r="T100" s="430"/>
      <c r="U100" s="430"/>
      <c r="V100" s="604"/>
    </row>
    <row r="101" spans="1:22" hidden="1" x14ac:dyDescent="0.25">
      <c r="A101" s="520"/>
      <c r="B101" s="512"/>
      <c r="C101" s="430" t="s">
        <v>613</v>
      </c>
      <c r="D101" s="430" t="s">
        <v>582</v>
      </c>
      <c r="E101" s="430" t="s">
        <v>613</v>
      </c>
      <c r="F101" s="430">
        <v>300000</v>
      </c>
      <c r="G101" s="430"/>
      <c r="H101" s="430"/>
      <c r="I101" s="430">
        <v>2260000</v>
      </c>
      <c r="J101" s="430"/>
      <c r="K101" s="430"/>
      <c r="L101" s="430"/>
      <c r="M101" s="430">
        <f t="shared" si="4"/>
        <v>0</v>
      </c>
      <c r="N101" s="430"/>
      <c r="O101" s="430"/>
      <c r="P101" s="430"/>
      <c r="Q101" s="491"/>
      <c r="R101" s="430"/>
      <c r="S101" s="430"/>
      <c r="T101" s="430"/>
      <c r="U101" s="430"/>
      <c r="V101" s="604"/>
    </row>
    <row r="102" spans="1:22" hidden="1" x14ac:dyDescent="0.25">
      <c r="A102" s="520"/>
      <c r="B102" s="512"/>
      <c r="C102" s="430" t="s">
        <v>613</v>
      </c>
      <c r="D102" s="430" t="s">
        <v>578</v>
      </c>
      <c r="E102" s="430" t="s">
        <v>613</v>
      </c>
      <c r="F102" s="430">
        <v>400000</v>
      </c>
      <c r="G102" s="430"/>
      <c r="H102" s="430"/>
      <c r="I102" s="430">
        <v>2260000</v>
      </c>
      <c r="J102" s="430"/>
      <c r="K102" s="430"/>
      <c r="L102" s="430"/>
      <c r="M102" s="430">
        <f t="shared" si="4"/>
        <v>0</v>
      </c>
      <c r="N102" s="430"/>
      <c r="O102" s="430"/>
      <c r="P102" s="430"/>
      <c r="Q102" s="491"/>
      <c r="R102" s="430"/>
      <c r="S102" s="430"/>
      <c r="T102" s="430"/>
      <c r="U102" s="430"/>
      <c r="V102" s="604"/>
    </row>
    <row r="103" spans="1:22" x14ac:dyDescent="0.25">
      <c r="A103" s="520"/>
      <c r="B103" s="512" t="s">
        <v>615</v>
      </c>
      <c r="C103" s="430" t="s">
        <v>613</v>
      </c>
      <c r="D103" s="430" t="s">
        <v>578</v>
      </c>
      <c r="E103" s="430" t="s">
        <v>616</v>
      </c>
      <c r="F103" s="430"/>
      <c r="G103" s="430"/>
      <c r="H103" s="430"/>
      <c r="I103" s="430"/>
      <c r="J103" s="430"/>
      <c r="K103" s="430"/>
      <c r="L103" s="430">
        <v>3453600</v>
      </c>
      <c r="M103" s="430">
        <f t="shared" si="4"/>
        <v>2675000</v>
      </c>
      <c r="N103" s="430"/>
      <c r="O103" s="430"/>
      <c r="P103" s="430">
        <v>2675000</v>
      </c>
      <c r="Q103" s="491" t="s">
        <v>78</v>
      </c>
      <c r="R103" s="430">
        <v>9717158</v>
      </c>
      <c r="S103" s="430"/>
      <c r="T103" s="430"/>
      <c r="U103" s="430">
        <v>1110693</v>
      </c>
      <c r="V103" s="430">
        <v>9782183</v>
      </c>
    </row>
    <row r="104" spans="1:22" x14ac:dyDescent="0.25">
      <c r="A104" s="520"/>
      <c r="B104" s="512"/>
      <c r="C104" s="430" t="s">
        <v>613</v>
      </c>
      <c r="D104" s="430" t="s">
        <v>555</v>
      </c>
      <c r="E104" s="430" t="s">
        <v>911</v>
      </c>
      <c r="F104" s="430"/>
      <c r="G104" s="430"/>
      <c r="H104" s="430"/>
      <c r="I104" s="430"/>
      <c r="J104" s="430"/>
      <c r="K104" s="430"/>
      <c r="L104" s="430"/>
      <c r="M104" s="430"/>
      <c r="N104" s="430"/>
      <c r="O104" s="430"/>
      <c r="P104" s="430"/>
      <c r="Q104" s="491" t="s">
        <v>617</v>
      </c>
      <c r="R104" s="430">
        <v>1200000</v>
      </c>
      <c r="S104" s="430"/>
      <c r="T104" s="430">
        <v>1112000</v>
      </c>
      <c r="U104" s="430"/>
      <c r="V104" s="604"/>
    </row>
    <row r="105" spans="1:22" hidden="1" x14ac:dyDescent="0.25">
      <c r="A105" s="520"/>
      <c r="B105" s="512"/>
      <c r="C105" s="430"/>
      <c r="D105" s="430" t="s">
        <v>555</v>
      </c>
      <c r="E105" s="430"/>
      <c r="F105" s="430"/>
      <c r="G105" s="430"/>
      <c r="H105" s="430"/>
      <c r="I105" s="430"/>
      <c r="J105" s="430"/>
      <c r="K105" s="430"/>
      <c r="L105" s="430"/>
      <c r="M105" s="430"/>
      <c r="N105" s="430"/>
      <c r="O105" s="430"/>
      <c r="P105" s="430"/>
      <c r="Q105" s="491"/>
      <c r="R105" s="430"/>
      <c r="S105" s="430"/>
      <c r="T105" s="430"/>
      <c r="U105" s="430"/>
    </row>
    <row r="106" spans="1:22" hidden="1" x14ac:dyDescent="0.25">
      <c r="A106" s="520"/>
      <c r="B106" s="512"/>
      <c r="C106" s="430"/>
      <c r="D106" s="430"/>
      <c r="E106" s="430"/>
      <c r="F106" s="430"/>
      <c r="G106" s="430"/>
      <c r="H106" s="430"/>
      <c r="I106" s="430"/>
      <c r="J106" s="430"/>
      <c r="K106" s="430"/>
      <c r="L106" s="430"/>
      <c r="M106" s="430"/>
      <c r="N106" s="430"/>
      <c r="O106" s="430"/>
      <c r="P106" s="430"/>
      <c r="Q106" s="491"/>
      <c r="R106" s="430"/>
      <c r="S106" s="430"/>
      <c r="T106" s="430"/>
      <c r="U106" s="430"/>
    </row>
    <row r="107" spans="1:22" s="426" customFormat="1" x14ac:dyDescent="0.25">
      <c r="A107" s="520"/>
      <c r="B107" s="492"/>
      <c r="C107" s="469"/>
      <c r="D107" s="469"/>
      <c r="E107" s="469"/>
      <c r="F107" s="469"/>
      <c r="G107" s="469"/>
      <c r="H107" s="469"/>
      <c r="I107" s="469"/>
      <c r="J107" s="469"/>
      <c r="K107" s="469"/>
      <c r="L107" s="469"/>
      <c r="M107" s="469"/>
      <c r="N107" s="469"/>
      <c r="O107" s="469"/>
      <c r="P107" s="469"/>
      <c r="Q107" s="493"/>
      <c r="R107" s="469"/>
      <c r="S107" s="469"/>
      <c r="T107" s="469"/>
      <c r="U107" s="469"/>
      <c r="V107" s="603"/>
    </row>
    <row r="108" spans="1:22" hidden="1" x14ac:dyDescent="0.25">
      <c r="A108" s="520"/>
      <c r="B108" s="492"/>
      <c r="C108" s="469"/>
      <c r="D108" s="469"/>
      <c r="E108" s="469"/>
      <c r="F108" s="469"/>
      <c r="G108" s="469"/>
      <c r="H108" s="469"/>
      <c r="I108" s="469"/>
      <c r="J108" s="469"/>
      <c r="K108" s="469"/>
      <c r="L108" s="469"/>
      <c r="M108" s="469"/>
      <c r="N108" s="469"/>
      <c r="O108" s="469"/>
      <c r="P108" s="469"/>
      <c r="Q108" s="493"/>
      <c r="R108" s="469"/>
      <c r="S108" s="469"/>
      <c r="T108" s="522"/>
      <c r="U108" s="522"/>
    </row>
    <row r="109" spans="1:22" ht="13.8" thickBot="1" x14ac:dyDescent="0.3">
      <c r="A109" s="520"/>
      <c r="B109" s="494" t="s">
        <v>618</v>
      </c>
      <c r="C109" s="469"/>
      <c r="D109" s="469"/>
      <c r="E109" s="469"/>
      <c r="F109" s="469"/>
      <c r="G109" s="469"/>
      <c r="H109" s="469"/>
      <c r="I109" s="469"/>
      <c r="J109" s="469"/>
      <c r="K109" s="469"/>
      <c r="L109" s="469"/>
      <c r="M109" s="471">
        <f>SUM(M97:M108)</f>
        <v>2675000</v>
      </c>
      <c r="N109" s="471">
        <f>SUM(N97:N108)</f>
        <v>0</v>
      </c>
      <c r="O109" s="471">
        <f>SUM(O97:O108)</f>
        <v>0</v>
      </c>
      <c r="P109" s="471">
        <f>SUM(P97:P108)</f>
        <v>2675000</v>
      </c>
      <c r="Q109" s="495"/>
      <c r="R109" s="471">
        <f>SUM(R97:R108)</f>
        <v>10917158</v>
      </c>
      <c r="S109" s="471">
        <f>SUM(S97:S108)</f>
        <v>0</v>
      </c>
      <c r="T109" s="471">
        <f>SUM(T97:T108)</f>
        <v>1112000</v>
      </c>
      <c r="U109" s="471">
        <f>SUM(U97:U108)</f>
        <v>1110693</v>
      </c>
      <c r="V109" s="471">
        <f>SUM(V97:V108)</f>
        <v>9782183</v>
      </c>
    </row>
    <row r="110" spans="1:22" ht="13.8" thickTop="1" x14ac:dyDescent="0.25">
      <c r="A110" s="520"/>
      <c r="B110" s="492"/>
      <c r="C110" s="469"/>
      <c r="D110" s="469"/>
      <c r="E110" s="469"/>
      <c r="F110" s="469"/>
      <c r="G110" s="469"/>
      <c r="H110" s="469"/>
      <c r="I110" s="469"/>
      <c r="J110" s="469"/>
      <c r="K110" s="469"/>
      <c r="L110" s="469"/>
      <c r="M110" s="469"/>
      <c r="N110" s="469"/>
      <c r="O110" s="469"/>
      <c r="P110" s="469"/>
      <c r="Q110" s="493"/>
      <c r="R110" s="469"/>
      <c r="S110" s="469"/>
      <c r="T110" s="522"/>
      <c r="U110" s="520"/>
    </row>
    <row r="111" spans="1:22" x14ac:dyDescent="0.25">
      <c r="A111" s="520"/>
      <c r="B111" s="511" t="s">
        <v>10</v>
      </c>
      <c r="C111" s="472" t="s">
        <v>545</v>
      </c>
      <c r="D111" s="472" t="s">
        <v>546</v>
      </c>
      <c r="E111" s="472" t="s">
        <v>22</v>
      </c>
      <c r="F111" s="473" t="s">
        <v>547</v>
      </c>
      <c r="G111" s="473" t="s">
        <v>548</v>
      </c>
      <c r="H111" s="473" t="s">
        <v>549</v>
      </c>
      <c r="I111" s="474" t="s">
        <v>178</v>
      </c>
      <c r="J111" s="474" t="s">
        <v>179</v>
      </c>
      <c r="K111" s="474" t="s">
        <v>240</v>
      </c>
      <c r="L111" s="474" t="s">
        <v>245</v>
      </c>
      <c r="M111" s="474" t="s">
        <v>257</v>
      </c>
      <c r="N111" s="474" t="s">
        <v>494</v>
      </c>
      <c r="O111" s="472" t="s">
        <v>550</v>
      </c>
      <c r="P111" s="472" t="s">
        <v>78</v>
      </c>
      <c r="Q111" s="491"/>
      <c r="R111" s="474" t="s">
        <v>382</v>
      </c>
      <c r="S111" s="474" t="s">
        <v>407</v>
      </c>
      <c r="T111" s="474" t="s">
        <v>414</v>
      </c>
      <c r="U111" s="474" t="s">
        <v>530</v>
      </c>
      <c r="V111" s="604" t="s">
        <v>886</v>
      </c>
    </row>
    <row r="112" spans="1:22" hidden="1" x14ac:dyDescent="0.25">
      <c r="A112" s="520"/>
      <c r="B112" s="512"/>
      <c r="C112" s="430" t="s">
        <v>619</v>
      </c>
      <c r="D112" s="430" t="s">
        <v>620</v>
      </c>
      <c r="E112" s="430" t="s">
        <v>621</v>
      </c>
      <c r="F112" s="430">
        <v>0</v>
      </c>
      <c r="G112" s="430">
        <v>0</v>
      </c>
      <c r="H112" s="430">
        <f>J112+O7+P7</f>
        <v>0</v>
      </c>
      <c r="I112" s="430"/>
      <c r="J112" s="430"/>
      <c r="K112" s="430"/>
      <c r="L112" s="430"/>
      <c r="M112" s="430">
        <f>+N112+O7+P7</f>
        <v>8000000</v>
      </c>
      <c r="N112" s="430">
        <v>8000000</v>
      </c>
      <c r="O112" s="430"/>
      <c r="P112" s="430"/>
      <c r="Q112" s="491"/>
      <c r="R112" s="430"/>
      <c r="S112" s="430"/>
      <c r="T112" s="430"/>
      <c r="U112" s="430"/>
      <c r="V112" s="604"/>
    </row>
    <row r="113" spans="1:22" hidden="1" x14ac:dyDescent="0.25">
      <c r="A113" s="520"/>
      <c r="B113" s="512" t="s">
        <v>622</v>
      </c>
      <c r="C113" s="430" t="s">
        <v>619</v>
      </c>
      <c r="D113" s="430" t="s">
        <v>580</v>
      </c>
      <c r="E113" s="430" t="s">
        <v>623</v>
      </c>
      <c r="F113" s="430">
        <v>1200000</v>
      </c>
      <c r="G113" s="430"/>
      <c r="H113" s="430">
        <f>J113+O113+P115</f>
        <v>0</v>
      </c>
      <c r="I113" s="430"/>
      <c r="J113" s="430"/>
      <c r="K113" s="430"/>
      <c r="L113" s="430"/>
      <c r="M113" s="430">
        <f>+N113+O113+P113</f>
        <v>2712982</v>
      </c>
      <c r="N113" s="430"/>
      <c r="O113" s="430"/>
      <c r="P113" s="430">
        <v>2712982</v>
      </c>
      <c r="Q113" s="491" t="s">
        <v>78</v>
      </c>
      <c r="R113" s="430">
        <v>600000</v>
      </c>
      <c r="S113" s="430"/>
      <c r="T113" s="430"/>
      <c r="U113" s="430"/>
      <c r="V113" s="605"/>
    </row>
    <row r="114" spans="1:22" hidden="1" x14ac:dyDescent="0.25">
      <c r="A114" s="520"/>
      <c r="B114" s="512"/>
      <c r="C114" s="430" t="s">
        <v>619</v>
      </c>
      <c r="D114" s="430" t="s">
        <v>580</v>
      </c>
      <c r="E114" s="430" t="s">
        <v>623</v>
      </c>
      <c r="F114" s="430"/>
      <c r="G114" s="430"/>
      <c r="H114" s="430"/>
      <c r="I114" s="430"/>
      <c r="J114" s="430"/>
      <c r="K114" s="430"/>
      <c r="L114" s="430"/>
      <c r="M114" s="430"/>
      <c r="N114" s="430"/>
      <c r="O114" s="430"/>
      <c r="P114" s="430"/>
      <c r="Q114" s="491"/>
      <c r="R114" s="430"/>
      <c r="S114" s="430"/>
      <c r="T114" s="430"/>
      <c r="U114" s="430"/>
      <c r="V114" s="604"/>
    </row>
    <row r="115" spans="1:22" x14ac:dyDescent="0.25">
      <c r="A115" s="520"/>
      <c r="B115" s="512"/>
      <c r="C115" s="430" t="s">
        <v>619</v>
      </c>
      <c r="D115" s="430" t="s">
        <v>580</v>
      </c>
      <c r="E115" s="430" t="s">
        <v>624</v>
      </c>
      <c r="F115" s="430">
        <v>300000</v>
      </c>
      <c r="G115" s="430"/>
      <c r="H115" s="430">
        <v>300000</v>
      </c>
      <c r="I115" s="430"/>
      <c r="J115" s="430"/>
      <c r="K115" s="430">
        <v>5043847</v>
      </c>
      <c r="L115" s="430"/>
      <c r="M115" s="430">
        <f>+N115+O115+P115</f>
        <v>600000</v>
      </c>
      <c r="N115" s="430"/>
      <c r="O115" s="430">
        <v>600000</v>
      </c>
      <c r="P115" s="430"/>
      <c r="Q115" s="491" t="s">
        <v>494</v>
      </c>
      <c r="R115" s="430">
        <v>17000000</v>
      </c>
      <c r="S115" s="430">
        <v>46000000</v>
      </c>
      <c r="T115" s="430">
        <v>55000000</v>
      </c>
      <c r="U115" s="430">
        <v>42000000</v>
      </c>
      <c r="V115" s="430">
        <v>30000000</v>
      </c>
    </row>
    <row r="116" spans="1:22" x14ac:dyDescent="0.25">
      <c r="A116" s="520"/>
      <c r="B116" s="512"/>
      <c r="C116" s="430" t="s">
        <v>619</v>
      </c>
      <c r="D116" s="430" t="s">
        <v>576</v>
      </c>
      <c r="E116" s="430" t="s">
        <v>625</v>
      </c>
      <c r="F116" s="430"/>
      <c r="G116" s="430"/>
      <c r="H116" s="430"/>
      <c r="I116" s="430"/>
      <c r="J116" s="430"/>
      <c r="K116" s="430"/>
      <c r="L116" s="430"/>
      <c r="M116" s="430"/>
      <c r="N116" s="430"/>
      <c r="O116" s="430"/>
      <c r="P116" s="430"/>
      <c r="Q116" s="491" t="s">
        <v>78</v>
      </c>
      <c r="R116" s="430"/>
      <c r="S116" s="430"/>
      <c r="T116" s="430"/>
      <c r="U116" s="430"/>
      <c r="V116" s="604"/>
    </row>
    <row r="117" spans="1:22" x14ac:dyDescent="0.25">
      <c r="A117" s="520"/>
      <c r="B117" s="512" t="s">
        <v>626</v>
      </c>
      <c r="C117" s="430" t="s">
        <v>619</v>
      </c>
      <c r="D117" s="430" t="s">
        <v>576</v>
      </c>
      <c r="E117" s="430" t="s">
        <v>627</v>
      </c>
      <c r="F117" s="430"/>
      <c r="G117" s="430"/>
      <c r="H117" s="430"/>
      <c r="I117" s="430"/>
      <c r="J117" s="430"/>
      <c r="K117" s="430"/>
      <c r="L117" s="430"/>
      <c r="M117" s="430"/>
      <c r="N117" s="430"/>
      <c r="O117" s="430"/>
      <c r="P117" s="430"/>
      <c r="Q117" s="491" t="s">
        <v>78</v>
      </c>
      <c r="R117" s="430">
        <v>907477</v>
      </c>
      <c r="S117" s="430"/>
      <c r="T117" s="430"/>
      <c r="U117" s="430"/>
      <c r="V117" s="430">
        <v>2790431</v>
      </c>
    </row>
    <row r="118" spans="1:22" x14ac:dyDescent="0.25">
      <c r="A118" s="520"/>
      <c r="B118" s="512"/>
      <c r="C118" s="430" t="s">
        <v>619</v>
      </c>
      <c r="D118" s="430" t="s">
        <v>580</v>
      </c>
      <c r="E118" s="430" t="s">
        <v>623</v>
      </c>
      <c r="F118" s="430"/>
      <c r="G118" s="430"/>
      <c r="H118" s="430"/>
      <c r="I118" s="430"/>
      <c r="J118" s="430"/>
      <c r="K118" s="430"/>
      <c r="L118" s="430"/>
      <c r="M118" s="430"/>
      <c r="N118" s="430"/>
      <c r="O118" s="430"/>
      <c r="P118" s="430"/>
      <c r="Q118" s="491" t="s">
        <v>78</v>
      </c>
      <c r="R118" s="430"/>
      <c r="S118" s="430"/>
      <c r="T118" s="430"/>
      <c r="U118" s="430"/>
      <c r="V118" s="604"/>
    </row>
    <row r="119" spans="1:22" hidden="1" x14ac:dyDescent="0.25">
      <c r="A119" s="520"/>
      <c r="B119" s="512"/>
      <c r="C119" s="430" t="s">
        <v>619</v>
      </c>
      <c r="D119" s="430" t="s">
        <v>628</v>
      </c>
      <c r="E119" s="430" t="s">
        <v>629</v>
      </c>
      <c r="F119" s="430"/>
      <c r="G119" s="430"/>
      <c r="H119" s="430"/>
      <c r="I119" s="430"/>
      <c r="J119" s="430"/>
      <c r="K119" s="430"/>
      <c r="L119" s="430"/>
      <c r="M119" s="430"/>
      <c r="N119" s="430"/>
      <c r="O119" s="430"/>
      <c r="P119" s="430"/>
      <c r="Q119" s="491" t="s">
        <v>78</v>
      </c>
      <c r="R119" s="430"/>
      <c r="S119" s="430"/>
      <c r="T119" s="430"/>
      <c r="U119" s="430"/>
      <c r="V119" s="604"/>
    </row>
    <row r="120" spans="1:22" hidden="1" x14ac:dyDescent="0.25">
      <c r="A120" s="520"/>
      <c r="B120" s="512"/>
      <c r="C120" s="430" t="s">
        <v>619</v>
      </c>
      <c r="D120" s="430" t="s">
        <v>628</v>
      </c>
      <c r="E120" s="430" t="s">
        <v>630</v>
      </c>
      <c r="F120" s="430"/>
      <c r="G120" s="430"/>
      <c r="H120" s="430"/>
      <c r="I120" s="430"/>
      <c r="J120" s="430"/>
      <c r="K120" s="430"/>
      <c r="L120" s="430"/>
      <c r="M120" s="430"/>
      <c r="N120" s="430"/>
      <c r="O120" s="430"/>
      <c r="P120" s="430"/>
      <c r="Q120" s="491" t="s">
        <v>78</v>
      </c>
      <c r="R120" s="430"/>
      <c r="S120" s="430"/>
      <c r="T120" s="430"/>
      <c r="U120" s="430"/>
      <c r="V120" s="604"/>
    </row>
    <row r="121" spans="1:22" hidden="1" x14ac:dyDescent="0.25">
      <c r="A121" s="520"/>
      <c r="B121" s="512"/>
      <c r="C121" s="430"/>
      <c r="D121" s="430" t="s">
        <v>576</v>
      </c>
      <c r="E121" s="430" t="s">
        <v>631</v>
      </c>
      <c r="F121" s="430"/>
      <c r="G121" s="430"/>
      <c r="H121" s="430"/>
      <c r="I121" s="430"/>
      <c r="J121" s="430"/>
      <c r="K121" s="430"/>
      <c r="L121" s="430"/>
      <c r="M121" s="430"/>
      <c r="N121" s="430"/>
      <c r="O121" s="430"/>
      <c r="P121" s="430"/>
      <c r="Q121" s="491"/>
      <c r="R121" s="430"/>
      <c r="S121" s="430"/>
      <c r="T121" s="430"/>
      <c r="U121" s="430"/>
      <c r="V121" s="604"/>
    </row>
    <row r="122" spans="1:22" hidden="1" x14ac:dyDescent="0.25">
      <c r="A122" s="520"/>
      <c r="B122" s="512"/>
      <c r="C122" s="430" t="s">
        <v>619</v>
      </c>
      <c r="D122" s="430" t="s">
        <v>578</v>
      </c>
      <c r="E122" s="430" t="s">
        <v>625</v>
      </c>
      <c r="F122" s="430"/>
      <c r="G122" s="430"/>
      <c r="H122" s="430"/>
      <c r="I122" s="430"/>
      <c r="J122" s="430"/>
      <c r="K122" s="430"/>
      <c r="L122" s="430"/>
      <c r="M122" s="430"/>
      <c r="N122" s="430"/>
      <c r="O122" s="430"/>
      <c r="P122" s="430"/>
      <c r="Q122" s="491" t="s">
        <v>78</v>
      </c>
      <c r="R122" s="430"/>
      <c r="S122" s="430"/>
      <c r="T122" s="430"/>
      <c r="U122" s="430"/>
      <c r="V122" s="605"/>
    </row>
    <row r="123" spans="1:22" hidden="1" x14ac:dyDescent="0.25">
      <c r="A123" s="520"/>
      <c r="B123" s="512"/>
      <c r="C123" s="430" t="s">
        <v>619</v>
      </c>
      <c r="D123" s="430" t="s">
        <v>628</v>
      </c>
      <c r="E123" s="430" t="s">
        <v>632</v>
      </c>
      <c r="F123" s="430"/>
      <c r="G123" s="430"/>
      <c r="H123" s="430"/>
      <c r="I123" s="430"/>
      <c r="J123" s="430"/>
      <c r="K123" s="430"/>
      <c r="L123" s="430"/>
      <c r="M123" s="430"/>
      <c r="N123" s="430"/>
      <c r="O123" s="430"/>
      <c r="P123" s="430"/>
      <c r="Q123" s="491" t="s">
        <v>78</v>
      </c>
      <c r="R123" s="430"/>
      <c r="S123" s="430"/>
      <c r="T123" s="430"/>
      <c r="U123" s="430"/>
      <c r="V123" s="604"/>
    </row>
    <row r="124" spans="1:22" hidden="1" x14ac:dyDescent="0.25">
      <c r="A124" s="520"/>
      <c r="B124" s="512"/>
      <c r="C124" s="430"/>
      <c r="D124" s="430"/>
      <c r="E124" s="430"/>
      <c r="F124" s="430"/>
      <c r="G124" s="430"/>
      <c r="H124" s="430"/>
      <c r="I124" s="430"/>
      <c r="J124" s="430"/>
      <c r="K124" s="430"/>
      <c r="L124" s="430"/>
      <c r="M124" s="430"/>
      <c r="N124" s="430"/>
      <c r="O124" s="430"/>
      <c r="P124" s="430"/>
      <c r="Q124" s="491"/>
      <c r="R124" s="430"/>
      <c r="S124" s="430"/>
      <c r="T124" s="430"/>
      <c r="U124" s="430"/>
      <c r="V124" s="604"/>
    </row>
    <row r="125" spans="1:22" x14ac:dyDescent="0.25">
      <c r="A125" s="520"/>
      <c r="B125" s="512"/>
      <c r="C125" s="430" t="s">
        <v>619</v>
      </c>
      <c r="D125" s="430" t="s">
        <v>578</v>
      </c>
      <c r="E125" s="430" t="s">
        <v>633</v>
      </c>
      <c r="F125" s="430"/>
      <c r="G125" s="430"/>
      <c r="H125" s="430"/>
      <c r="I125" s="430"/>
      <c r="J125" s="430"/>
      <c r="K125" s="430"/>
      <c r="L125" s="430"/>
      <c r="M125" s="430"/>
      <c r="N125" s="430"/>
      <c r="O125" s="430"/>
      <c r="P125" s="430"/>
      <c r="Q125" s="491" t="s">
        <v>78</v>
      </c>
      <c r="R125" s="430"/>
      <c r="S125" s="430"/>
      <c r="T125" s="430"/>
      <c r="U125" s="430"/>
      <c r="V125" s="604"/>
    </row>
    <row r="126" spans="1:22" s="426" customFormat="1" x14ac:dyDescent="0.25">
      <c r="A126" s="520"/>
      <c r="B126" s="512" t="s">
        <v>634</v>
      </c>
      <c r="C126" s="430" t="s">
        <v>619</v>
      </c>
      <c r="D126" s="430" t="s">
        <v>578</v>
      </c>
      <c r="E126" s="430" t="s">
        <v>625</v>
      </c>
      <c r="F126" s="430"/>
      <c r="G126" s="430"/>
      <c r="H126" s="430"/>
      <c r="I126" s="430"/>
      <c r="J126" s="430"/>
      <c r="K126" s="430"/>
      <c r="L126" s="430"/>
      <c r="M126" s="430"/>
      <c r="N126" s="430"/>
      <c r="O126" s="430"/>
      <c r="P126" s="430"/>
      <c r="Q126" s="491" t="s">
        <v>78</v>
      </c>
      <c r="R126" s="430">
        <v>5915469</v>
      </c>
      <c r="S126" s="430">
        <v>4721150</v>
      </c>
      <c r="T126" s="430">
        <v>4022170</v>
      </c>
      <c r="U126" s="430">
        <v>654939</v>
      </c>
      <c r="V126" s="126"/>
    </row>
    <row r="127" spans="1:22" s="426" customFormat="1" hidden="1" x14ac:dyDescent="0.25">
      <c r="A127" s="520"/>
      <c r="B127" s="512" t="s">
        <v>635</v>
      </c>
      <c r="C127" s="430" t="s">
        <v>636</v>
      </c>
      <c r="D127" s="430" t="s">
        <v>637</v>
      </c>
      <c r="E127" s="430" t="s">
        <v>638</v>
      </c>
      <c r="F127" s="430"/>
      <c r="G127" s="430"/>
      <c r="H127" s="430"/>
      <c r="I127" s="430"/>
      <c r="J127" s="430"/>
      <c r="K127" s="430"/>
      <c r="L127" s="430"/>
      <c r="M127" s="430"/>
      <c r="N127" s="430"/>
      <c r="O127" s="430"/>
      <c r="P127" s="430"/>
      <c r="Q127" s="491" t="s">
        <v>78</v>
      </c>
      <c r="R127" s="430">
        <v>300000</v>
      </c>
      <c r="S127" s="430"/>
      <c r="T127" s="430"/>
      <c r="U127" s="430"/>
      <c r="V127" s="605"/>
    </row>
    <row r="128" spans="1:22" s="426" customFormat="1" hidden="1" x14ac:dyDescent="0.25">
      <c r="A128" s="520"/>
      <c r="B128" s="514"/>
      <c r="C128" s="476" t="s">
        <v>619</v>
      </c>
      <c r="D128" s="476" t="s">
        <v>578</v>
      </c>
      <c r="E128" s="476" t="s">
        <v>639</v>
      </c>
      <c r="F128" s="476">
        <v>700000</v>
      </c>
      <c r="G128" s="476"/>
      <c r="H128" s="476"/>
      <c r="I128" s="476"/>
      <c r="J128" s="476"/>
      <c r="K128" s="476">
        <v>1738605</v>
      </c>
      <c r="L128" s="476"/>
      <c r="M128" s="476">
        <f>+N128+O128+P128</f>
        <v>0</v>
      </c>
      <c r="N128" s="476"/>
      <c r="O128" s="476"/>
      <c r="P128" s="476"/>
      <c r="Q128" s="501"/>
      <c r="R128" s="476"/>
      <c r="S128" s="476"/>
      <c r="T128" s="476"/>
      <c r="U128" s="476"/>
      <c r="V128" s="605"/>
    </row>
    <row r="129" spans="1:22" hidden="1" x14ac:dyDescent="0.25">
      <c r="A129" s="525"/>
      <c r="B129" s="519"/>
      <c r="C129" s="430" t="s">
        <v>619</v>
      </c>
      <c r="D129" s="430" t="s">
        <v>555</v>
      </c>
      <c r="E129" s="430" t="s">
        <v>640</v>
      </c>
      <c r="F129" s="430"/>
      <c r="G129" s="430"/>
      <c r="H129" s="430"/>
      <c r="I129" s="430"/>
      <c r="J129" s="430"/>
      <c r="K129" s="430"/>
      <c r="L129" s="430"/>
      <c r="M129" s="430"/>
      <c r="N129" s="430"/>
      <c r="O129" s="430"/>
      <c r="P129" s="430"/>
      <c r="Q129" s="491" t="s">
        <v>550</v>
      </c>
      <c r="R129" s="430">
        <v>50000</v>
      </c>
      <c r="S129" s="430"/>
      <c r="T129" s="430"/>
      <c r="U129" s="430"/>
      <c r="V129" s="604"/>
    </row>
    <row r="130" spans="1:22" x14ac:dyDescent="0.25">
      <c r="A130" s="520"/>
      <c r="B130" s="492" t="s">
        <v>863</v>
      </c>
      <c r="C130" s="430" t="s">
        <v>619</v>
      </c>
      <c r="D130" s="430" t="s">
        <v>628</v>
      </c>
      <c r="E130" s="430" t="s">
        <v>864</v>
      </c>
      <c r="F130" s="430"/>
      <c r="G130" s="430"/>
      <c r="H130" s="430"/>
      <c r="I130" s="430"/>
      <c r="J130" s="430"/>
      <c r="K130" s="430"/>
      <c r="L130" s="430"/>
      <c r="M130" s="430"/>
      <c r="N130" s="430"/>
      <c r="O130" s="430"/>
      <c r="P130" s="430"/>
      <c r="Q130" s="491" t="s">
        <v>78</v>
      </c>
      <c r="R130" s="430"/>
      <c r="S130" s="430">
        <v>183000</v>
      </c>
      <c r="T130" s="430">
        <v>305888</v>
      </c>
      <c r="U130" s="430"/>
      <c r="V130" s="604"/>
    </row>
    <row r="131" spans="1:22" x14ac:dyDescent="0.25">
      <c r="A131" s="520"/>
      <c r="B131" s="492" t="s">
        <v>866</v>
      </c>
      <c r="C131" s="430" t="s">
        <v>619</v>
      </c>
      <c r="D131" s="430" t="s">
        <v>628</v>
      </c>
      <c r="E131" s="430" t="s">
        <v>865</v>
      </c>
      <c r="F131" s="430"/>
      <c r="G131" s="430"/>
      <c r="H131" s="430"/>
      <c r="I131" s="430"/>
      <c r="J131" s="430"/>
      <c r="K131" s="430"/>
      <c r="L131" s="430"/>
      <c r="M131" s="430"/>
      <c r="N131" s="430"/>
      <c r="O131" s="430"/>
      <c r="P131" s="430"/>
      <c r="Q131" s="491" t="s">
        <v>78</v>
      </c>
      <c r="R131" s="430"/>
      <c r="S131" s="430">
        <v>4454309</v>
      </c>
      <c r="T131" s="430"/>
      <c r="U131" s="430">
        <v>4388385</v>
      </c>
      <c r="V131" s="430">
        <v>204000</v>
      </c>
    </row>
    <row r="132" spans="1:22" x14ac:dyDescent="0.25">
      <c r="A132" s="520"/>
      <c r="B132" s="492" t="s">
        <v>867</v>
      </c>
      <c r="C132" s="476" t="s">
        <v>619</v>
      </c>
      <c r="D132" s="476" t="s">
        <v>628</v>
      </c>
      <c r="E132" s="476" t="s">
        <v>868</v>
      </c>
      <c r="F132" s="476"/>
      <c r="G132" s="476"/>
      <c r="H132" s="476"/>
      <c r="I132" s="476"/>
      <c r="J132" s="476"/>
      <c r="K132" s="476"/>
      <c r="L132" s="476"/>
      <c r="M132" s="476"/>
      <c r="N132" s="476"/>
      <c r="O132" s="476"/>
      <c r="P132" s="476"/>
      <c r="Q132" s="501" t="s">
        <v>78</v>
      </c>
      <c r="R132" s="476"/>
      <c r="S132" s="476">
        <v>87000</v>
      </c>
      <c r="T132" s="476"/>
      <c r="U132" s="476">
        <v>1823043</v>
      </c>
      <c r="V132" s="476">
        <v>86956</v>
      </c>
    </row>
    <row r="133" spans="1:22" s="426" customFormat="1" x14ac:dyDescent="0.25">
      <c r="A133" s="520"/>
      <c r="B133" s="519" t="s">
        <v>898</v>
      </c>
      <c r="C133" s="430" t="s">
        <v>568</v>
      </c>
      <c r="D133" s="430" t="s">
        <v>578</v>
      </c>
      <c r="E133" s="430" t="s">
        <v>899</v>
      </c>
      <c r="F133" s="430"/>
      <c r="G133" s="430"/>
      <c r="H133" s="430"/>
      <c r="I133" s="430"/>
      <c r="J133" s="430"/>
      <c r="K133" s="430"/>
      <c r="L133" s="430"/>
      <c r="M133" s="430"/>
      <c r="N133" s="430"/>
      <c r="O133" s="430"/>
      <c r="P133" s="430"/>
      <c r="Q133" s="491" t="s">
        <v>78</v>
      </c>
      <c r="R133" s="430"/>
      <c r="S133" s="430"/>
      <c r="T133" s="430">
        <v>833399</v>
      </c>
      <c r="U133" s="430">
        <v>59675</v>
      </c>
      <c r="V133" s="430"/>
    </row>
    <row r="134" spans="1:22" s="426" customFormat="1" x14ac:dyDescent="0.25">
      <c r="A134" s="520"/>
      <c r="B134" s="519" t="s">
        <v>900</v>
      </c>
      <c r="C134" s="430" t="s">
        <v>568</v>
      </c>
      <c r="D134" s="430" t="s">
        <v>578</v>
      </c>
      <c r="E134" s="430" t="s">
        <v>901</v>
      </c>
      <c r="F134" s="430"/>
      <c r="G134" s="430"/>
      <c r="H134" s="430"/>
      <c r="I134" s="430"/>
      <c r="J134" s="430"/>
      <c r="K134" s="430"/>
      <c r="L134" s="430"/>
      <c r="M134" s="430"/>
      <c r="N134" s="430"/>
      <c r="O134" s="430"/>
      <c r="P134" s="430"/>
      <c r="Q134" s="491" t="s">
        <v>78</v>
      </c>
      <c r="R134" s="430"/>
      <c r="S134" s="430"/>
      <c r="T134" s="430">
        <v>209070</v>
      </c>
      <c r="U134" s="430">
        <v>89177</v>
      </c>
      <c r="V134" s="430"/>
    </row>
    <row r="135" spans="1:22" s="426" customFormat="1" x14ac:dyDescent="0.25">
      <c r="A135" s="520"/>
      <c r="B135" s="519" t="s">
        <v>905</v>
      </c>
      <c r="C135" s="430" t="s">
        <v>568</v>
      </c>
      <c r="D135" s="476" t="s">
        <v>628</v>
      </c>
      <c r="E135" s="430" t="s">
        <v>901</v>
      </c>
      <c r="F135" s="430"/>
      <c r="G135" s="430"/>
      <c r="H135" s="430"/>
      <c r="I135" s="430"/>
      <c r="J135" s="430"/>
      <c r="K135" s="430"/>
      <c r="L135" s="430"/>
      <c r="M135" s="430"/>
      <c r="N135" s="430"/>
      <c r="O135" s="430"/>
      <c r="P135" s="430"/>
      <c r="Q135" s="491" t="s">
        <v>78</v>
      </c>
      <c r="R135" s="430"/>
      <c r="S135" s="430"/>
      <c r="T135" s="430"/>
      <c r="U135" s="430">
        <v>23843</v>
      </c>
      <c r="V135" s="430"/>
    </row>
    <row r="136" spans="1:22" s="426" customFormat="1" x14ac:dyDescent="0.25">
      <c r="A136" s="520"/>
      <c r="B136" s="519" t="s">
        <v>907</v>
      </c>
      <c r="C136" s="430" t="s">
        <v>568</v>
      </c>
      <c r="D136" s="430" t="s">
        <v>592</v>
      </c>
      <c r="E136" s="430" t="s">
        <v>901</v>
      </c>
      <c r="F136" s="430"/>
      <c r="G136" s="430"/>
      <c r="H136" s="430"/>
      <c r="I136" s="430"/>
      <c r="J136" s="430"/>
      <c r="K136" s="430"/>
      <c r="L136" s="430"/>
      <c r="M136" s="430"/>
      <c r="N136" s="430"/>
      <c r="O136" s="430"/>
      <c r="P136" s="430"/>
      <c r="Q136" s="491" t="s">
        <v>78</v>
      </c>
      <c r="R136" s="430"/>
      <c r="S136" s="430"/>
      <c r="T136" s="430">
        <v>1148666</v>
      </c>
      <c r="U136" s="430">
        <v>47691</v>
      </c>
      <c r="V136" s="430"/>
    </row>
    <row r="137" spans="1:22" x14ac:dyDescent="0.25">
      <c r="A137" s="520"/>
      <c r="B137" s="519"/>
      <c r="C137" s="430"/>
      <c r="D137" s="430"/>
      <c r="E137" s="430"/>
      <c r="F137" s="430"/>
      <c r="G137" s="430"/>
      <c r="H137" s="430"/>
      <c r="I137" s="430"/>
      <c r="J137" s="430"/>
      <c r="K137" s="430"/>
      <c r="L137" s="430"/>
      <c r="M137" s="430"/>
      <c r="N137" s="430"/>
      <c r="O137" s="430"/>
      <c r="P137" s="430"/>
      <c r="Q137" s="491"/>
      <c r="R137" s="430"/>
      <c r="S137" s="430"/>
      <c r="T137" s="430"/>
      <c r="U137" s="430"/>
      <c r="V137" s="604"/>
    </row>
    <row r="138" spans="1:22" ht="13.8" thickBot="1" x14ac:dyDescent="0.3">
      <c r="A138" s="520"/>
      <c r="B138" s="494" t="s">
        <v>641</v>
      </c>
      <c r="C138" s="469"/>
      <c r="D138" s="469"/>
      <c r="E138" s="469"/>
      <c r="F138" s="469"/>
      <c r="G138" s="469"/>
      <c r="H138" s="469"/>
      <c r="I138" s="469"/>
      <c r="J138" s="469"/>
      <c r="K138" s="469"/>
      <c r="L138" s="469"/>
      <c r="M138" s="609">
        <f>SUM(M112:M137)</f>
        <v>11312982</v>
      </c>
      <c r="N138" s="609">
        <f>SUM(N112:N137)</f>
        <v>8000000</v>
      </c>
      <c r="O138" s="609">
        <f>SUM(O112:O137)</f>
        <v>600000</v>
      </c>
      <c r="P138" s="609">
        <f>SUM(P112:P137)</f>
        <v>2712982</v>
      </c>
      <c r="Q138" s="610"/>
      <c r="R138" s="609">
        <f>SUM(R112:R137)</f>
        <v>24772946</v>
      </c>
      <c r="S138" s="609">
        <f>SUM(S112:S137)</f>
        <v>55445459</v>
      </c>
      <c r="T138" s="609">
        <f>SUM(T115:T136)</f>
        <v>61519193</v>
      </c>
      <c r="U138" s="609">
        <f>SUM(U115:U136)</f>
        <v>49086753</v>
      </c>
      <c r="V138" s="609">
        <f>SUM(V115:V134)</f>
        <v>33081387</v>
      </c>
    </row>
    <row r="139" spans="1:22" ht="13.8" hidden="1" thickTop="1" x14ac:dyDescent="0.25">
      <c r="A139" s="520"/>
      <c r="B139" s="492"/>
      <c r="C139" s="469"/>
      <c r="D139" s="469"/>
      <c r="E139" s="469"/>
      <c r="F139" s="469"/>
      <c r="G139" s="469"/>
      <c r="H139" s="469"/>
      <c r="I139" s="469"/>
      <c r="J139" s="469"/>
      <c r="K139" s="469"/>
      <c r="L139" s="469"/>
      <c r="M139" s="469"/>
      <c r="N139" s="469"/>
      <c r="O139" s="469"/>
      <c r="P139" s="469"/>
      <c r="Q139" s="493"/>
      <c r="R139" s="469"/>
      <c r="S139" s="469"/>
      <c r="T139" s="469"/>
      <c r="U139" s="520"/>
    </row>
    <row r="140" spans="1:22" hidden="1" x14ac:dyDescent="0.25">
      <c r="A140" s="520"/>
      <c r="B140" s="511" t="s">
        <v>122</v>
      </c>
      <c r="C140" s="472" t="s">
        <v>545</v>
      </c>
      <c r="D140" s="472" t="s">
        <v>546</v>
      </c>
      <c r="E140" s="472" t="s">
        <v>22</v>
      </c>
      <c r="F140" s="473" t="s">
        <v>547</v>
      </c>
      <c r="G140" s="473" t="s">
        <v>548</v>
      </c>
      <c r="H140" s="473" t="s">
        <v>549</v>
      </c>
      <c r="I140" s="474" t="s">
        <v>178</v>
      </c>
      <c r="J140" s="474" t="s">
        <v>179</v>
      </c>
      <c r="K140" s="474" t="s">
        <v>240</v>
      </c>
      <c r="L140" s="474" t="s">
        <v>245</v>
      </c>
      <c r="M140" s="474" t="s">
        <v>257</v>
      </c>
      <c r="N140" s="474" t="s">
        <v>494</v>
      </c>
      <c r="O140" s="472" t="s">
        <v>550</v>
      </c>
      <c r="P140" s="472" t="s">
        <v>78</v>
      </c>
      <c r="Q140" s="491"/>
      <c r="R140" s="474" t="s">
        <v>382</v>
      </c>
      <c r="S140" s="474" t="s">
        <v>407</v>
      </c>
      <c r="T140" s="474" t="s">
        <v>414</v>
      </c>
      <c r="U140" s="474" t="s">
        <v>862</v>
      </c>
    </row>
    <row r="141" spans="1:22" hidden="1" x14ac:dyDescent="0.25">
      <c r="A141" s="520"/>
      <c r="B141" s="513"/>
      <c r="C141" s="430" t="s">
        <v>642</v>
      </c>
      <c r="D141" s="430" t="s">
        <v>555</v>
      </c>
      <c r="E141" s="430" t="s">
        <v>642</v>
      </c>
      <c r="F141" s="430">
        <v>0</v>
      </c>
      <c r="G141" s="430">
        <v>2732000</v>
      </c>
      <c r="H141" s="430">
        <f t="shared" ref="H141:H148" si="5">J141+O141+P141</f>
        <v>0</v>
      </c>
      <c r="I141" s="430"/>
      <c r="J141" s="430"/>
      <c r="K141" s="430"/>
      <c r="L141" s="430"/>
      <c r="M141" s="430">
        <f>+N141+O141+P141</f>
        <v>0</v>
      </c>
      <c r="N141" s="430"/>
      <c r="O141" s="430"/>
      <c r="P141" s="430"/>
      <c r="Q141" s="491"/>
      <c r="R141" s="430"/>
      <c r="S141" s="430"/>
      <c r="T141" s="430"/>
      <c r="U141" s="430"/>
    </row>
    <row r="142" spans="1:22" hidden="1" x14ac:dyDescent="0.25">
      <c r="A142" s="520"/>
      <c r="B142" s="512"/>
      <c r="C142" s="430" t="s">
        <v>642</v>
      </c>
      <c r="D142" s="430" t="s">
        <v>555</v>
      </c>
      <c r="E142" s="430" t="s">
        <v>580</v>
      </c>
      <c r="F142" s="430">
        <v>150000</v>
      </c>
      <c r="G142" s="430"/>
      <c r="H142" s="430">
        <f t="shared" si="5"/>
        <v>0</v>
      </c>
      <c r="I142" s="430"/>
      <c r="J142" s="430"/>
      <c r="K142" s="430"/>
      <c r="L142" s="430"/>
      <c r="M142" s="430">
        <f t="shared" ref="M142:M149" si="6">+N142+O142+P142</f>
        <v>0</v>
      </c>
      <c r="N142" s="430"/>
      <c r="O142" s="430"/>
      <c r="P142" s="430"/>
      <c r="Q142" s="491"/>
      <c r="R142" s="430"/>
      <c r="S142" s="430"/>
      <c r="T142" s="430"/>
      <c r="U142" s="430"/>
    </row>
    <row r="143" spans="1:22" hidden="1" x14ac:dyDescent="0.25">
      <c r="A143" s="520"/>
      <c r="B143" s="512"/>
      <c r="C143" s="430" t="s">
        <v>642</v>
      </c>
      <c r="D143" s="430" t="s">
        <v>555</v>
      </c>
      <c r="E143" s="430" t="s">
        <v>581</v>
      </c>
      <c r="F143" s="430">
        <v>100000</v>
      </c>
      <c r="G143" s="430"/>
      <c r="H143" s="430">
        <f t="shared" si="5"/>
        <v>0</v>
      </c>
      <c r="I143" s="430"/>
      <c r="J143" s="430"/>
      <c r="K143" s="430"/>
      <c r="L143" s="430"/>
      <c r="M143" s="430">
        <f t="shared" si="6"/>
        <v>0</v>
      </c>
      <c r="N143" s="430"/>
      <c r="O143" s="430"/>
      <c r="P143" s="430"/>
      <c r="Q143" s="491"/>
      <c r="R143" s="430"/>
      <c r="S143" s="430"/>
      <c r="T143" s="430"/>
      <c r="U143" s="430"/>
    </row>
    <row r="144" spans="1:22" hidden="1" x14ac:dyDescent="0.25">
      <c r="A144" s="520"/>
      <c r="B144" s="512"/>
      <c r="C144" s="430" t="s">
        <v>642</v>
      </c>
      <c r="D144" s="430" t="s">
        <v>555</v>
      </c>
      <c r="E144" s="430" t="s">
        <v>574</v>
      </c>
      <c r="F144" s="430">
        <v>250000</v>
      </c>
      <c r="G144" s="430"/>
      <c r="H144" s="430">
        <f t="shared" si="5"/>
        <v>0</v>
      </c>
      <c r="I144" s="430"/>
      <c r="J144" s="430"/>
      <c r="K144" s="430"/>
      <c r="L144" s="430"/>
      <c r="M144" s="430">
        <f t="shared" si="6"/>
        <v>0</v>
      </c>
      <c r="N144" s="430"/>
      <c r="O144" s="430"/>
      <c r="P144" s="430"/>
      <c r="Q144" s="491"/>
      <c r="R144" s="430"/>
      <c r="S144" s="430"/>
      <c r="T144" s="430"/>
      <c r="U144" s="430"/>
    </row>
    <row r="145" spans="1:22" hidden="1" x14ac:dyDescent="0.25">
      <c r="A145" s="520"/>
      <c r="B145" s="512"/>
      <c r="C145" s="430" t="s">
        <v>642</v>
      </c>
      <c r="D145" s="430" t="s">
        <v>555</v>
      </c>
      <c r="E145" s="430" t="s">
        <v>582</v>
      </c>
      <c r="F145" s="430">
        <v>100000</v>
      </c>
      <c r="G145" s="430"/>
      <c r="H145" s="430">
        <f t="shared" si="5"/>
        <v>0</v>
      </c>
      <c r="I145" s="430"/>
      <c r="J145" s="430"/>
      <c r="K145" s="430"/>
      <c r="L145" s="430"/>
      <c r="M145" s="430">
        <f t="shared" si="6"/>
        <v>0</v>
      </c>
      <c r="N145" s="430"/>
      <c r="O145" s="430"/>
      <c r="P145" s="430"/>
      <c r="Q145" s="491"/>
      <c r="R145" s="430"/>
      <c r="S145" s="430"/>
      <c r="T145" s="430"/>
      <c r="U145" s="430"/>
    </row>
    <row r="146" spans="1:22" hidden="1" x14ac:dyDescent="0.25">
      <c r="A146" s="520"/>
      <c r="B146" s="512"/>
      <c r="C146" s="430" t="s">
        <v>642</v>
      </c>
      <c r="D146" s="430" t="s">
        <v>555</v>
      </c>
      <c r="E146" s="430" t="s">
        <v>578</v>
      </c>
      <c r="F146" s="430">
        <v>150000</v>
      </c>
      <c r="G146" s="430"/>
      <c r="H146" s="430">
        <f t="shared" si="5"/>
        <v>0</v>
      </c>
      <c r="I146" s="430"/>
      <c r="J146" s="430"/>
      <c r="K146" s="430"/>
      <c r="L146" s="430"/>
      <c r="M146" s="430">
        <f t="shared" si="6"/>
        <v>0</v>
      </c>
      <c r="N146" s="430"/>
      <c r="O146" s="430"/>
      <c r="P146" s="430"/>
      <c r="Q146" s="491"/>
      <c r="R146" s="430"/>
      <c r="S146" s="430"/>
      <c r="T146" s="430"/>
      <c r="U146" s="430"/>
    </row>
    <row r="147" spans="1:22" hidden="1" x14ac:dyDescent="0.25">
      <c r="A147" s="520"/>
      <c r="B147" s="512"/>
      <c r="C147" s="430" t="s">
        <v>642</v>
      </c>
      <c r="D147" s="430" t="s">
        <v>555</v>
      </c>
      <c r="E147" s="430" t="s">
        <v>642</v>
      </c>
      <c r="F147" s="430">
        <v>1390000</v>
      </c>
      <c r="G147" s="430"/>
      <c r="H147" s="430">
        <f t="shared" si="5"/>
        <v>0</v>
      </c>
      <c r="I147" s="430"/>
      <c r="J147" s="430"/>
      <c r="K147" s="430"/>
      <c r="L147" s="430"/>
      <c r="M147" s="430">
        <f t="shared" si="6"/>
        <v>0</v>
      </c>
      <c r="N147" s="430"/>
      <c r="O147" s="430"/>
      <c r="P147" s="430"/>
      <c r="Q147" s="491"/>
      <c r="R147" s="430"/>
      <c r="S147" s="430"/>
      <c r="T147" s="430"/>
      <c r="U147" s="430"/>
    </row>
    <row r="148" spans="1:22" hidden="1" x14ac:dyDescent="0.25">
      <c r="A148" s="520"/>
      <c r="B148" s="514"/>
      <c r="C148" s="430" t="s">
        <v>642</v>
      </c>
      <c r="D148" s="431"/>
      <c r="E148" s="431"/>
      <c r="F148" s="431"/>
      <c r="G148" s="431">
        <v>0</v>
      </c>
      <c r="H148" s="431">
        <f t="shared" si="5"/>
        <v>0</v>
      </c>
      <c r="I148" s="431"/>
      <c r="J148" s="431"/>
      <c r="K148" s="431"/>
      <c r="L148" s="431"/>
      <c r="M148" s="476">
        <f t="shared" si="6"/>
        <v>0</v>
      </c>
      <c r="N148" s="431"/>
      <c r="O148" s="431"/>
      <c r="P148" s="476"/>
      <c r="Q148" s="501"/>
      <c r="R148" s="476"/>
      <c r="S148" s="476"/>
      <c r="T148" s="476"/>
      <c r="U148" s="476"/>
    </row>
    <row r="149" spans="1:22" hidden="1" x14ac:dyDescent="0.25">
      <c r="A149" s="520"/>
      <c r="B149" s="512"/>
      <c r="C149" s="430" t="s">
        <v>642</v>
      </c>
      <c r="D149" s="430" t="s">
        <v>555</v>
      </c>
      <c r="E149" s="430" t="s">
        <v>643</v>
      </c>
      <c r="F149" s="430">
        <f>SUM(F141:F148)</f>
        <v>2140000</v>
      </c>
      <c r="G149" s="430">
        <f>SUM(G141:G148)</f>
        <v>2732000</v>
      </c>
      <c r="H149" s="430">
        <f>SUM(H141:H148)</f>
        <v>0</v>
      </c>
      <c r="I149" s="430"/>
      <c r="J149" s="430"/>
      <c r="K149" s="430"/>
      <c r="L149" s="430">
        <v>2000000</v>
      </c>
      <c r="M149" s="430">
        <f t="shared" si="6"/>
        <v>0</v>
      </c>
      <c r="N149" s="430"/>
      <c r="O149" s="430"/>
      <c r="P149" s="430"/>
      <c r="Q149" s="491"/>
      <c r="R149" s="430"/>
      <c r="S149" s="430"/>
      <c r="T149" s="430"/>
      <c r="U149" s="430"/>
    </row>
    <row r="150" spans="1:22" hidden="1" x14ac:dyDescent="0.25">
      <c r="A150" s="520"/>
      <c r="B150" s="492"/>
      <c r="C150" s="469"/>
      <c r="D150" s="469"/>
      <c r="E150" s="469"/>
      <c r="F150" s="469"/>
      <c r="G150" s="469"/>
      <c r="H150" s="469"/>
      <c r="I150" s="469"/>
      <c r="J150" s="469"/>
      <c r="K150" s="469"/>
      <c r="L150" s="469"/>
      <c r="M150" s="469"/>
      <c r="N150" s="469"/>
      <c r="O150" s="469"/>
      <c r="P150" s="469"/>
      <c r="Q150" s="493"/>
      <c r="R150" s="469"/>
      <c r="S150" s="469"/>
      <c r="T150" s="469"/>
      <c r="U150" s="469"/>
    </row>
    <row r="151" spans="1:22" ht="13.8" hidden="1" thickBot="1" x14ac:dyDescent="0.3">
      <c r="A151" s="520"/>
      <c r="B151" s="494" t="s">
        <v>644</v>
      </c>
      <c r="C151" s="438"/>
      <c r="D151" s="438"/>
      <c r="E151" s="438"/>
      <c r="F151" s="477"/>
      <c r="G151" s="478"/>
      <c r="H151" s="478"/>
      <c r="I151" s="478"/>
      <c r="J151" s="478"/>
      <c r="K151" s="478"/>
      <c r="L151" s="447"/>
      <c r="M151" s="471">
        <f ca="1">SUM(M141:M164)</f>
        <v>0</v>
      </c>
      <c r="N151" s="471">
        <f ca="1">SUM(N141:N164)</f>
        <v>0</v>
      </c>
      <c r="O151" s="471">
        <f ca="1">SUM(O141:O164)</f>
        <v>0</v>
      </c>
      <c r="P151" s="471">
        <f ca="1">SUM(P141:P164)</f>
        <v>0</v>
      </c>
      <c r="Q151" s="495"/>
      <c r="R151" s="471">
        <f ca="1">SUM(R141:R164)</f>
        <v>2080000</v>
      </c>
      <c r="S151" s="471">
        <f ca="1">SUM(S141:S164)</f>
        <v>0</v>
      </c>
      <c r="T151" s="471">
        <f ca="1">SUM(T141:T164)</f>
        <v>0</v>
      </c>
      <c r="U151" s="471">
        <f ca="1">SUM(U141:U164)</f>
        <v>0</v>
      </c>
    </row>
    <row r="152" spans="1:22" ht="13.8" thickTop="1" x14ac:dyDescent="0.25">
      <c r="A152" s="520"/>
      <c r="B152" s="494"/>
      <c r="C152" s="438"/>
      <c r="D152" s="438"/>
      <c r="E152" s="438"/>
      <c r="F152" s="477"/>
      <c r="G152" s="478"/>
      <c r="H152" s="478"/>
      <c r="I152" s="478"/>
      <c r="J152" s="478"/>
      <c r="K152" s="478"/>
      <c r="L152" s="447"/>
      <c r="M152" s="526"/>
      <c r="N152" s="526"/>
      <c r="O152" s="526"/>
      <c r="P152" s="526"/>
      <c r="Q152" s="510"/>
      <c r="R152" s="526"/>
      <c r="S152" s="526"/>
      <c r="T152" s="526"/>
      <c r="U152" s="520"/>
    </row>
    <row r="153" spans="1:22" x14ac:dyDescent="0.25">
      <c r="A153" s="520"/>
      <c r="B153" s="494"/>
      <c r="C153" s="438"/>
      <c r="D153" s="438"/>
      <c r="E153" s="438"/>
      <c r="F153" s="477"/>
      <c r="G153" s="478"/>
      <c r="H153" s="478"/>
      <c r="I153" s="478"/>
      <c r="J153" s="478"/>
      <c r="K153" s="478"/>
      <c r="L153" s="447"/>
      <c r="M153" s="526"/>
      <c r="N153" s="526"/>
      <c r="O153" s="526"/>
      <c r="P153" s="526"/>
      <c r="Q153" s="510"/>
      <c r="R153" s="526"/>
      <c r="S153" s="526"/>
      <c r="T153" s="526"/>
      <c r="U153" s="520"/>
    </row>
    <row r="154" spans="1:22" hidden="1" x14ac:dyDescent="0.25">
      <c r="A154" s="520"/>
      <c r="B154" s="511" t="s">
        <v>645</v>
      </c>
      <c r="C154" s="472" t="s">
        <v>545</v>
      </c>
      <c r="D154" s="472" t="s">
        <v>546</v>
      </c>
      <c r="E154" s="472" t="s">
        <v>22</v>
      </c>
      <c r="F154" s="473" t="s">
        <v>547</v>
      </c>
      <c r="G154" s="473" t="s">
        <v>548</v>
      </c>
      <c r="H154" s="473" t="s">
        <v>549</v>
      </c>
      <c r="I154" s="474" t="s">
        <v>178</v>
      </c>
      <c r="J154" s="474" t="s">
        <v>179</v>
      </c>
      <c r="K154" s="474" t="s">
        <v>240</v>
      </c>
      <c r="L154" s="474" t="s">
        <v>245</v>
      </c>
      <c r="M154" s="474" t="s">
        <v>257</v>
      </c>
      <c r="N154" s="474" t="s">
        <v>494</v>
      </c>
      <c r="O154" s="472" t="s">
        <v>550</v>
      </c>
      <c r="P154" s="472" t="s">
        <v>78</v>
      </c>
      <c r="Q154" s="491"/>
      <c r="R154" s="474" t="s">
        <v>382</v>
      </c>
      <c r="S154" s="474" t="s">
        <v>407</v>
      </c>
      <c r="T154" s="474" t="s">
        <v>414</v>
      </c>
      <c r="U154" s="474" t="s">
        <v>530</v>
      </c>
    </row>
    <row r="155" spans="1:22" hidden="1" x14ac:dyDescent="0.25">
      <c r="A155" s="520"/>
      <c r="B155" s="492"/>
      <c r="C155" s="430" t="s">
        <v>646</v>
      </c>
      <c r="D155" s="430" t="s">
        <v>576</v>
      </c>
      <c r="E155" s="430" t="s">
        <v>647</v>
      </c>
      <c r="F155" s="469"/>
      <c r="G155" s="469"/>
      <c r="H155" s="469"/>
      <c r="I155" s="469"/>
      <c r="J155" s="469"/>
      <c r="K155" s="469"/>
      <c r="L155" s="469"/>
      <c r="M155" s="469"/>
      <c r="N155" s="469"/>
      <c r="O155" s="469"/>
      <c r="P155" s="469"/>
      <c r="Q155" s="491"/>
      <c r="R155" s="430"/>
      <c r="S155" s="430"/>
      <c r="T155" s="430"/>
      <c r="U155" s="430"/>
    </row>
    <row r="156" spans="1:22" hidden="1" x14ac:dyDescent="0.25">
      <c r="A156" s="520"/>
      <c r="B156" s="492"/>
      <c r="C156" s="430" t="s">
        <v>646</v>
      </c>
      <c r="D156" s="430" t="s">
        <v>637</v>
      </c>
      <c r="E156" s="430" t="s">
        <v>647</v>
      </c>
      <c r="F156" s="469"/>
      <c r="G156" s="469"/>
      <c r="H156" s="469"/>
      <c r="I156" s="469"/>
      <c r="J156" s="469"/>
      <c r="K156" s="469"/>
      <c r="L156" s="469"/>
      <c r="M156" s="469"/>
      <c r="N156" s="469"/>
      <c r="O156" s="469"/>
      <c r="P156" s="469"/>
      <c r="Q156" s="491"/>
      <c r="R156" s="430"/>
      <c r="S156" s="430"/>
      <c r="T156" s="430"/>
      <c r="U156" s="430"/>
    </row>
    <row r="157" spans="1:22" hidden="1" x14ac:dyDescent="0.25">
      <c r="A157" s="520"/>
      <c r="B157" s="492"/>
      <c r="C157" s="430" t="s">
        <v>648</v>
      </c>
      <c r="D157" s="430" t="s">
        <v>555</v>
      </c>
      <c r="E157" s="430" t="s">
        <v>649</v>
      </c>
      <c r="F157" s="469"/>
      <c r="G157" s="469"/>
      <c r="H157" s="469"/>
      <c r="I157" s="469"/>
      <c r="J157" s="469"/>
      <c r="K157" s="469"/>
      <c r="L157" s="469"/>
      <c r="M157" s="469"/>
      <c r="N157" s="469"/>
      <c r="O157" s="469"/>
      <c r="P157" s="469"/>
      <c r="Q157" s="491" t="s">
        <v>650</v>
      </c>
      <c r="R157" s="430">
        <v>350000</v>
      </c>
      <c r="S157" s="430"/>
      <c r="T157" s="430"/>
      <c r="U157" s="430"/>
    </row>
    <row r="158" spans="1:22" hidden="1" x14ac:dyDescent="0.25">
      <c r="A158" s="520"/>
      <c r="B158" s="492"/>
      <c r="C158" s="430" t="s">
        <v>13</v>
      </c>
      <c r="D158" s="430" t="s">
        <v>555</v>
      </c>
      <c r="E158" s="430" t="s">
        <v>584</v>
      </c>
      <c r="F158" s="469"/>
      <c r="G158" s="469"/>
      <c r="H158" s="469"/>
      <c r="I158" s="469"/>
      <c r="J158" s="469"/>
      <c r="K158" s="469"/>
      <c r="L158" s="469"/>
      <c r="M158" s="469"/>
      <c r="N158" s="469"/>
      <c r="O158" s="469"/>
      <c r="P158" s="469"/>
      <c r="Q158" s="491" t="s">
        <v>550</v>
      </c>
      <c r="R158" s="430">
        <v>50000</v>
      </c>
      <c r="S158" s="430"/>
      <c r="T158" s="430"/>
      <c r="U158" s="430"/>
    </row>
    <row r="159" spans="1:22" hidden="1" x14ac:dyDescent="0.25">
      <c r="A159" s="520"/>
      <c r="B159" s="492"/>
      <c r="C159" s="430" t="s">
        <v>577</v>
      </c>
      <c r="D159" s="430" t="s">
        <v>443</v>
      </c>
      <c r="E159" s="430" t="s">
        <v>651</v>
      </c>
      <c r="F159" s="469"/>
      <c r="G159" s="469"/>
      <c r="H159" s="469"/>
      <c r="I159" s="469"/>
      <c r="J159" s="469"/>
      <c r="K159" s="469"/>
      <c r="L159" s="469"/>
      <c r="M159" s="469"/>
      <c r="N159" s="469"/>
      <c r="O159" s="469"/>
      <c r="P159" s="469"/>
      <c r="Q159" s="491" t="s">
        <v>550</v>
      </c>
      <c r="R159" s="430">
        <v>60000</v>
      </c>
      <c r="S159" s="430"/>
      <c r="T159" s="430"/>
      <c r="U159" s="430"/>
    </row>
    <row r="160" spans="1:22" hidden="1" x14ac:dyDescent="0.25">
      <c r="A160" s="520"/>
      <c r="B160" s="492"/>
      <c r="C160" s="430" t="s">
        <v>19</v>
      </c>
      <c r="D160" s="430" t="s">
        <v>555</v>
      </c>
      <c r="E160" s="430" t="s">
        <v>652</v>
      </c>
      <c r="F160" s="469"/>
      <c r="G160" s="469"/>
      <c r="H160" s="469"/>
      <c r="I160" s="469"/>
      <c r="J160" s="469"/>
      <c r="K160" s="469"/>
      <c r="L160" s="469"/>
      <c r="M160" s="469"/>
      <c r="N160" s="469"/>
      <c r="O160" s="469"/>
      <c r="P160" s="469"/>
      <c r="Q160" s="491" t="s">
        <v>550</v>
      </c>
      <c r="R160" s="430">
        <v>60000</v>
      </c>
      <c r="S160" s="430"/>
      <c r="T160" s="430"/>
      <c r="U160" s="430"/>
      <c r="V160" s="606"/>
    </row>
    <row r="161" spans="1:22" hidden="1" x14ac:dyDescent="0.25">
      <c r="A161" s="520"/>
      <c r="B161" s="492"/>
      <c r="C161" s="469"/>
      <c r="D161" s="469"/>
      <c r="E161" s="469"/>
      <c r="F161" s="469"/>
      <c r="G161" s="469"/>
      <c r="H161" s="469"/>
      <c r="I161" s="469"/>
      <c r="J161" s="469"/>
      <c r="K161" s="469"/>
      <c r="L161" s="469"/>
      <c r="M161" s="469"/>
      <c r="N161" s="469"/>
      <c r="O161" s="469"/>
      <c r="P161" s="469"/>
      <c r="Q161" s="493"/>
      <c r="R161" s="469"/>
      <c r="S161" s="469"/>
      <c r="T161" s="469"/>
      <c r="U161" s="469"/>
    </row>
    <row r="162" spans="1:22" ht="13.8" hidden="1" thickBot="1" x14ac:dyDescent="0.3">
      <c r="A162" s="520"/>
      <c r="B162" s="492"/>
      <c r="C162" s="469"/>
      <c r="D162" s="469"/>
      <c r="E162" s="469"/>
      <c r="F162" s="469"/>
      <c r="G162" s="469"/>
      <c r="H162" s="469"/>
      <c r="I162" s="469"/>
      <c r="J162" s="469"/>
      <c r="K162" s="469"/>
      <c r="L162" s="469"/>
      <c r="M162" s="469"/>
      <c r="N162" s="469"/>
      <c r="O162" s="469"/>
      <c r="P162" s="469"/>
      <c r="Q162" s="495"/>
      <c r="R162" s="471">
        <f>+R157+R158+R159+R160</f>
        <v>520000</v>
      </c>
      <c r="S162" s="471">
        <f>+S157+S158+S159+S160</f>
        <v>0</v>
      </c>
      <c r="T162" s="471">
        <f>+T157+T158+T159+T160</f>
        <v>0</v>
      </c>
      <c r="U162" s="471">
        <f>+U157+U158+U159+U160</f>
        <v>0</v>
      </c>
      <c r="V162" s="606"/>
    </row>
    <row r="163" spans="1:22" ht="13.8" hidden="1" thickTop="1" x14ac:dyDescent="0.25">
      <c r="A163" s="520"/>
      <c r="B163" s="492"/>
      <c r="C163" s="469"/>
      <c r="D163" s="469"/>
      <c r="E163" s="469"/>
      <c r="F163" s="469"/>
      <c r="G163" s="469"/>
      <c r="H163" s="469"/>
      <c r="I163" s="469"/>
      <c r="J163" s="469"/>
      <c r="K163" s="469"/>
      <c r="L163" s="469"/>
      <c r="M163" s="469"/>
      <c r="N163" s="469"/>
      <c r="O163" s="469"/>
      <c r="P163" s="469"/>
      <c r="Q163" s="493"/>
      <c r="R163" s="469"/>
      <c r="S163" s="469"/>
      <c r="T163" s="469"/>
      <c r="U163" s="529"/>
    </row>
    <row r="164" spans="1:22" hidden="1" x14ac:dyDescent="0.25">
      <c r="A164" s="520"/>
      <c r="B164" s="492"/>
      <c r="C164" s="469"/>
      <c r="D164" s="469"/>
      <c r="E164" s="469"/>
      <c r="F164" s="469"/>
      <c r="G164" s="469" t="e">
        <f>SUM(G149,#REF!,#REF!,G93,#REF!,#REF!,G15)</f>
        <v>#REF!</v>
      </c>
      <c r="H164" s="469" t="e">
        <f>+H140+#REF!+#REF!+H93+#REF!+#REF!</f>
        <v>#VALUE!</v>
      </c>
      <c r="I164" s="469" t="e">
        <f>+I140+#REF!+#REF!+I93+#REF!+#REF!</f>
        <v>#VALUE!</v>
      </c>
      <c r="J164" s="469" t="e">
        <f>+J140+#REF!+#REF!+J93+#REF!+#REF!</f>
        <v>#VALUE!</v>
      </c>
      <c r="K164" s="469" t="e">
        <f>+K140+#REF!+#REF!+K93+#REF!+K22+K15</f>
        <v>#VALUE!</v>
      </c>
      <c r="L164" s="469" t="e">
        <f>+L15+#REF!+#REF!+L93+#REF!+#REF!+L140+L149</f>
        <v>#REF!</v>
      </c>
      <c r="M164" s="469"/>
      <c r="N164" s="469"/>
      <c r="O164" s="469"/>
      <c r="P164" s="469"/>
      <c r="Q164" s="493"/>
      <c r="R164" s="469"/>
      <c r="S164" s="469"/>
      <c r="T164" s="469"/>
      <c r="U164" s="527"/>
    </row>
    <row r="165" spans="1:22" hidden="1" x14ac:dyDescent="0.25">
      <c r="A165" s="520"/>
      <c r="B165" s="434"/>
      <c r="C165" s="434"/>
      <c r="D165" s="434"/>
      <c r="E165" s="434"/>
      <c r="F165" s="434"/>
      <c r="G165" s="434"/>
      <c r="H165" s="434"/>
      <c r="I165" s="434"/>
      <c r="J165" s="434"/>
      <c r="K165" s="434"/>
      <c r="L165" s="434"/>
      <c r="M165" s="434"/>
      <c r="N165" s="434"/>
      <c r="O165" s="434"/>
      <c r="P165" s="434"/>
      <c r="Q165" s="434"/>
      <c r="R165" s="434"/>
      <c r="S165" s="434"/>
      <c r="T165" s="434"/>
      <c r="U165" s="527"/>
    </row>
    <row r="166" spans="1:22" x14ac:dyDescent="0.25">
      <c r="A166" s="520"/>
      <c r="B166" s="468"/>
      <c r="C166" s="434"/>
      <c r="D166" s="434"/>
      <c r="E166" s="434"/>
      <c r="F166" s="434"/>
      <c r="G166" s="434"/>
      <c r="H166" s="434"/>
      <c r="I166" s="434"/>
      <c r="J166" s="434"/>
      <c r="K166" s="434"/>
      <c r="L166" s="434"/>
      <c r="M166" s="434"/>
      <c r="N166" s="434"/>
      <c r="O166" s="434"/>
      <c r="P166" s="434"/>
      <c r="Q166" s="502"/>
      <c r="R166" s="434"/>
      <c r="S166" s="433"/>
      <c r="T166" s="434"/>
      <c r="U166" s="528"/>
    </row>
    <row r="167" spans="1:22" ht="13.8" thickBot="1" x14ac:dyDescent="0.3">
      <c r="A167" s="520"/>
      <c r="B167" s="503" t="s">
        <v>653</v>
      </c>
      <c r="C167" s="434"/>
      <c r="D167" s="434"/>
      <c r="E167" s="434"/>
      <c r="F167" s="434"/>
      <c r="G167" s="434"/>
      <c r="H167" s="434"/>
      <c r="I167" s="434"/>
      <c r="J167" s="433"/>
      <c r="K167" s="433"/>
      <c r="L167" s="433"/>
      <c r="M167" s="479">
        <f ca="1">+M151+M138+M109+M94+M74+M64+M57+M24+M15</f>
        <v>28534783</v>
      </c>
      <c r="N167" s="479">
        <f ca="1">+N151+N138+N109+N94+N74+N64+N57+N24+N15</f>
        <v>8000000</v>
      </c>
      <c r="O167" s="479">
        <f ca="1">+O151+O138+O109+O94+O74+O64+O57+O24+O15</f>
        <v>3046200</v>
      </c>
      <c r="P167" s="479">
        <f ca="1">+P151+P138+P109+P94+P74+P64+P57+P24+P15</f>
        <v>17488583</v>
      </c>
      <c r="Q167" s="504"/>
      <c r="R167" s="479">
        <f>+R15+R24+R57+R64+R74+R94+R109+R138+R162</f>
        <v>60045735</v>
      </c>
      <c r="S167" s="479">
        <f>+S15+S24+S57+S64+S74+S94+S109+S138+S162</f>
        <v>84082567.340000004</v>
      </c>
      <c r="T167" s="479">
        <f>+T138+T109+T94+T74+T64+T57+T24+T15</f>
        <v>107377289.29000001</v>
      </c>
      <c r="U167" s="479">
        <f>+U138+U109+U94+U74+U64+U57+U24+U15</f>
        <v>62937749</v>
      </c>
      <c r="V167" s="479">
        <f>+V138+V109+V94+V74+V64+V57+V24+V15</f>
        <v>51059577</v>
      </c>
    </row>
    <row r="168" spans="1:22" ht="13.8" thickTop="1" x14ac:dyDescent="0.25">
      <c r="A168" s="520"/>
      <c r="B168" s="434"/>
      <c r="C168" s="434"/>
      <c r="D168" s="434"/>
      <c r="E168" s="434"/>
      <c r="F168" s="434"/>
      <c r="G168" s="434"/>
      <c r="H168" s="434"/>
      <c r="I168" s="434"/>
      <c r="J168" s="434"/>
      <c r="K168" s="434"/>
      <c r="L168" s="434"/>
      <c r="M168" s="434"/>
      <c r="N168" s="434"/>
      <c r="O168" s="434"/>
      <c r="P168" s="434"/>
      <c r="Q168" s="434"/>
      <c r="R168" s="434"/>
      <c r="S168" s="434"/>
      <c r="T168" s="434"/>
      <c r="U168" s="426"/>
    </row>
    <row r="169" spans="1:22" x14ac:dyDescent="0.25">
      <c r="A169" s="520"/>
      <c r="B169" s="505" t="s">
        <v>654</v>
      </c>
      <c r="C169" s="505" t="s">
        <v>382</v>
      </c>
      <c r="D169" s="434"/>
      <c r="E169" s="434"/>
      <c r="F169" s="434"/>
      <c r="G169" s="434"/>
      <c r="H169" s="434"/>
      <c r="I169" s="434"/>
      <c r="J169" s="434"/>
      <c r="K169" s="434"/>
      <c r="L169" s="434"/>
      <c r="M169" s="434"/>
      <c r="N169" s="434"/>
      <c r="O169" s="434"/>
      <c r="P169" s="434"/>
      <c r="Q169" s="434"/>
      <c r="R169" s="434"/>
      <c r="S169" s="433"/>
      <c r="T169" s="434"/>
      <c r="U169" s="426"/>
    </row>
    <row r="170" spans="1:22" x14ac:dyDescent="0.25">
      <c r="A170" s="520"/>
      <c r="B170" s="505"/>
      <c r="C170" s="505"/>
      <c r="D170" s="434"/>
      <c r="E170" s="434"/>
      <c r="F170" s="434"/>
      <c r="G170" s="434"/>
      <c r="H170" s="434"/>
      <c r="I170" s="434"/>
      <c r="J170" s="434"/>
      <c r="K170" s="434"/>
      <c r="L170" s="434"/>
      <c r="M170" s="434"/>
      <c r="N170" s="434"/>
      <c r="O170" s="434"/>
      <c r="P170" s="434"/>
      <c r="Q170" s="434"/>
      <c r="R170" s="434"/>
      <c r="S170" s="434"/>
      <c r="T170" s="434"/>
      <c r="U170" s="426"/>
    </row>
    <row r="171" spans="1:22" x14ac:dyDescent="0.25">
      <c r="A171" s="520"/>
      <c r="B171" s="515" t="s">
        <v>78</v>
      </c>
      <c r="C171" s="508">
        <f>+T136+T134+T133+T130+T126+T81+T61+T60+T52+T51+T50+T12</f>
        <v>28731000.289999999</v>
      </c>
      <c r="D171" s="508"/>
      <c r="E171" s="468"/>
      <c r="F171" s="434"/>
      <c r="G171" s="434"/>
      <c r="H171" s="434"/>
      <c r="I171" s="434"/>
      <c r="J171" s="434"/>
      <c r="K171" s="434"/>
      <c r="L171" s="434"/>
      <c r="M171" s="434"/>
      <c r="N171" s="434"/>
      <c r="O171" s="434"/>
      <c r="P171" s="434"/>
      <c r="Q171" s="434"/>
      <c r="R171" s="434"/>
      <c r="S171" s="433"/>
      <c r="T171" s="434"/>
      <c r="U171" s="427"/>
    </row>
    <row r="172" spans="1:22" x14ac:dyDescent="0.25">
      <c r="A172" s="520"/>
      <c r="B172" s="515" t="s">
        <v>494</v>
      </c>
      <c r="C172" s="508">
        <f>+T115</f>
        <v>55000000</v>
      </c>
      <c r="D172" s="508"/>
      <c r="E172" s="434"/>
      <c r="F172" s="434"/>
      <c r="G172" s="434"/>
      <c r="H172" s="434"/>
      <c r="I172" s="434"/>
      <c r="J172" s="434"/>
      <c r="K172" s="434"/>
      <c r="L172" s="434"/>
      <c r="M172" s="434"/>
      <c r="N172" s="434"/>
      <c r="O172" s="434"/>
      <c r="P172" s="434"/>
      <c r="Q172" s="434"/>
      <c r="R172" s="434"/>
      <c r="S172" s="434"/>
      <c r="T172" s="434"/>
      <c r="U172" s="426"/>
    </row>
    <row r="173" spans="1:22" x14ac:dyDescent="0.25">
      <c r="A173" s="520"/>
      <c r="B173" s="515" t="s">
        <v>655</v>
      </c>
      <c r="C173" s="508">
        <f>+T9+T29+T30+T31+T62+T69</f>
        <v>8534289</v>
      </c>
      <c r="D173" s="508"/>
      <c r="E173" s="433"/>
      <c r="F173" s="434"/>
      <c r="G173" s="434"/>
      <c r="H173" s="434"/>
      <c r="I173" s="434"/>
      <c r="J173" s="434"/>
      <c r="K173" s="434"/>
      <c r="L173" s="434"/>
      <c r="M173" s="434"/>
      <c r="N173" s="434"/>
      <c r="O173" s="434"/>
      <c r="P173" s="434"/>
      <c r="Q173" s="434"/>
      <c r="R173" s="434"/>
      <c r="S173" s="434"/>
      <c r="T173" s="434"/>
      <c r="U173" s="426"/>
    </row>
    <row r="174" spans="1:22" x14ac:dyDescent="0.25">
      <c r="A174" s="520"/>
      <c r="B174" s="515" t="s">
        <v>656</v>
      </c>
      <c r="C174" s="508"/>
      <c r="D174" s="508"/>
      <c r="E174" s="434"/>
      <c r="F174" s="434"/>
      <c r="G174" s="434"/>
      <c r="H174" s="434"/>
      <c r="I174" s="434"/>
      <c r="J174" s="434"/>
      <c r="K174" s="434"/>
      <c r="L174" s="434"/>
      <c r="M174" s="434"/>
      <c r="N174" s="434"/>
      <c r="O174" s="434"/>
      <c r="P174" s="434"/>
      <c r="Q174" s="434"/>
      <c r="R174" s="433"/>
      <c r="S174" s="434"/>
      <c r="T174" s="433"/>
      <c r="U174" s="426"/>
    </row>
    <row r="175" spans="1:22" x14ac:dyDescent="0.25">
      <c r="A175" s="520"/>
      <c r="B175" s="515" t="s">
        <v>657</v>
      </c>
      <c r="C175" s="508">
        <v>0</v>
      </c>
      <c r="D175" s="508"/>
      <c r="E175" s="434"/>
      <c r="F175" s="434"/>
      <c r="G175" s="434"/>
      <c r="H175" s="434"/>
      <c r="I175" s="434"/>
      <c r="J175" s="434"/>
      <c r="K175" s="434"/>
      <c r="L175" s="434"/>
      <c r="M175" s="434"/>
      <c r="N175" s="434"/>
      <c r="O175" s="434"/>
      <c r="P175" s="434"/>
      <c r="Q175" s="434"/>
      <c r="R175" s="433"/>
      <c r="S175" s="434"/>
      <c r="T175" s="434"/>
      <c r="U175" s="426"/>
    </row>
    <row r="176" spans="1:22" x14ac:dyDescent="0.25">
      <c r="A176" s="520"/>
      <c r="B176" s="513" t="s">
        <v>914</v>
      </c>
      <c r="C176" s="508">
        <f>+T72</f>
        <v>14000000</v>
      </c>
      <c r="D176" s="508"/>
      <c r="E176" s="434"/>
      <c r="F176" s="434"/>
      <c r="G176" s="434"/>
      <c r="H176" s="434"/>
      <c r="I176" s="434"/>
      <c r="J176" s="434"/>
      <c r="K176" s="434"/>
      <c r="L176" s="434"/>
      <c r="M176" s="434"/>
      <c r="N176" s="434"/>
      <c r="O176" s="434"/>
      <c r="P176" s="434"/>
      <c r="Q176" s="434"/>
      <c r="R176" s="433"/>
      <c r="S176" s="434"/>
      <c r="T176" s="434"/>
      <c r="U176" s="426"/>
    </row>
    <row r="177" spans="1:21" x14ac:dyDescent="0.25">
      <c r="A177" s="520"/>
      <c r="B177" s="515" t="s">
        <v>503</v>
      </c>
      <c r="C177" s="508">
        <v>2023000</v>
      </c>
      <c r="D177" s="508"/>
      <c r="E177" s="434"/>
      <c r="F177" s="434"/>
      <c r="G177" s="434"/>
      <c r="H177" s="434"/>
      <c r="I177" s="434"/>
      <c r="J177" s="434"/>
      <c r="K177" s="434"/>
      <c r="L177" s="434"/>
      <c r="M177" s="434"/>
      <c r="N177" s="434"/>
      <c r="O177" s="434"/>
      <c r="P177" s="434"/>
      <c r="Q177" s="434"/>
      <c r="R177" s="434"/>
      <c r="S177" s="434"/>
      <c r="T177" s="434"/>
      <c r="U177" s="426"/>
    </row>
    <row r="178" spans="1:21" x14ac:dyDescent="0.25">
      <c r="A178" s="520"/>
      <c r="B178" s="516" t="s">
        <v>658</v>
      </c>
      <c r="C178" s="475"/>
      <c r="D178" s="475"/>
      <c r="E178" s="434"/>
      <c r="F178" s="434"/>
      <c r="G178" s="434"/>
      <c r="H178" s="434"/>
      <c r="I178" s="434"/>
      <c r="J178" s="434"/>
      <c r="K178" s="434"/>
      <c r="L178" s="434"/>
      <c r="M178" s="434"/>
      <c r="N178" s="434"/>
      <c r="O178" s="434"/>
      <c r="P178" s="434"/>
      <c r="Q178" s="434"/>
      <c r="R178" s="434"/>
      <c r="S178" s="434"/>
      <c r="T178" s="434"/>
      <c r="U178" s="426"/>
    </row>
    <row r="179" spans="1:21" x14ac:dyDescent="0.25">
      <c r="A179" s="520"/>
      <c r="B179" s="434"/>
      <c r="C179" s="506"/>
      <c r="D179" s="506"/>
      <c r="E179" s="434"/>
      <c r="F179" s="434"/>
      <c r="G179" s="434"/>
      <c r="H179" s="434"/>
      <c r="I179" s="434"/>
      <c r="J179" s="434"/>
      <c r="K179" s="434"/>
      <c r="L179" s="434"/>
      <c r="M179" s="434"/>
      <c r="N179" s="434"/>
      <c r="O179" s="434"/>
      <c r="P179" s="434"/>
      <c r="Q179" s="434"/>
      <c r="R179" s="434"/>
      <c r="S179" s="434"/>
      <c r="T179" s="434"/>
      <c r="U179" s="426"/>
    </row>
    <row r="180" spans="1:21" ht="13.8" thickBot="1" x14ac:dyDescent="0.3">
      <c r="A180" s="520"/>
      <c r="B180" s="507" t="s">
        <v>158</v>
      </c>
      <c r="C180" s="509">
        <f>+C171+C172+C173+C177</f>
        <v>94288289.289999992</v>
      </c>
      <c r="D180" s="509"/>
      <c r="E180" s="434"/>
      <c r="F180" s="434"/>
      <c r="G180" s="434"/>
      <c r="H180" s="434"/>
      <c r="I180" s="434"/>
      <c r="J180" s="434"/>
      <c r="K180" s="434"/>
      <c r="L180" s="434"/>
      <c r="M180" s="434"/>
      <c r="N180" s="434"/>
      <c r="O180" s="434"/>
      <c r="P180" s="434"/>
      <c r="Q180" s="434"/>
      <c r="R180" s="434"/>
      <c r="S180" s="434"/>
      <c r="T180" s="434"/>
      <c r="U180" s="426"/>
    </row>
    <row r="181" spans="1:21" ht="13.8" thickTop="1" x14ac:dyDescent="0.25"/>
  </sheetData>
  <pageMargins left="0.25" right="0.25" top="0.75" bottom="0.75" header="0.3" footer="0.3"/>
  <pageSetup paperSize="9" scale="70" orientation="landscape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6">
    <pageSetUpPr fitToPage="1"/>
  </sheetPr>
  <dimension ref="A4:AB262"/>
  <sheetViews>
    <sheetView workbookViewId="0">
      <selection activeCell="B4" sqref="B4"/>
    </sheetView>
  </sheetViews>
  <sheetFormatPr defaultColWidth="8.88671875" defaultRowHeight="13.2" x14ac:dyDescent="0.25"/>
  <cols>
    <col min="1" max="1" width="8.88671875" style="615"/>
    <col min="2" max="2" width="61.33203125" style="615" customWidth="1"/>
    <col min="3" max="3" width="19.109375" style="615" hidden="1" customWidth="1"/>
    <col min="4" max="4" width="13.6640625" style="56" hidden="1" customWidth="1"/>
    <col min="5" max="10" width="9.109375" style="56" hidden="1" customWidth="1"/>
    <col min="11" max="11" width="9.109375" style="615" hidden="1" customWidth="1"/>
    <col min="12" max="12" width="11.33203125" style="615" hidden="1" customWidth="1"/>
    <col min="13" max="13" width="10.6640625" style="615" hidden="1" customWidth="1"/>
    <col min="14" max="14" width="10.33203125" style="615" hidden="1" customWidth="1"/>
    <col min="15" max="15" width="9.88671875" style="615" hidden="1" customWidth="1"/>
    <col min="16" max="16" width="16.5546875" style="615" hidden="1" customWidth="1"/>
    <col min="17" max="17" width="10.88671875" style="615" hidden="1" customWidth="1"/>
    <col min="18" max="19" width="15.33203125" style="615" hidden="1" customWidth="1"/>
    <col min="20" max="21" width="15.33203125" style="615" customWidth="1"/>
    <col min="22" max="22" width="8.88671875" style="613"/>
    <col min="23" max="16384" width="8.88671875" style="615"/>
  </cols>
  <sheetData>
    <row r="4" spans="1:22" s="57" customFormat="1" ht="23.4" thickBot="1" x14ac:dyDescent="0.45">
      <c r="B4" s="908" t="s">
        <v>1076</v>
      </c>
    </row>
    <row r="5" spans="1:22" x14ac:dyDescent="0.25">
      <c r="A5" s="961"/>
      <c r="B5" s="962"/>
      <c r="C5" s="962"/>
      <c r="D5" s="962"/>
      <c r="E5" s="962"/>
      <c r="F5" s="962"/>
      <c r="G5" s="962"/>
      <c r="H5" s="962"/>
      <c r="I5" s="964"/>
      <c r="J5" s="462" t="s">
        <v>378</v>
      </c>
      <c r="K5" s="462" t="s">
        <v>378</v>
      </c>
      <c r="L5" s="463" t="s">
        <v>378</v>
      </c>
      <c r="M5" s="462" t="s">
        <v>378</v>
      </c>
      <c r="N5" s="463" t="s">
        <v>378</v>
      </c>
      <c r="O5" s="532" t="s">
        <v>527</v>
      </c>
      <c r="P5" s="536" t="s">
        <v>527</v>
      </c>
      <c r="Q5" s="463" t="s">
        <v>527</v>
      </c>
      <c r="R5" s="463" t="s">
        <v>527</v>
      </c>
      <c r="S5" s="463" t="s">
        <v>527</v>
      </c>
      <c r="T5" s="463" t="s">
        <v>527</v>
      </c>
      <c r="U5" s="463" t="s">
        <v>527</v>
      </c>
      <c r="V5" s="789"/>
    </row>
    <row r="6" spans="1:22" x14ac:dyDescent="0.25">
      <c r="A6" s="517"/>
      <c r="B6" s="450"/>
      <c r="C6" s="450"/>
      <c r="D6" s="521"/>
      <c r="E6" s="521"/>
      <c r="F6" s="521"/>
      <c r="G6" s="521"/>
      <c r="H6" s="521"/>
      <c r="I6" s="521"/>
      <c r="J6" s="521"/>
      <c r="K6" s="450"/>
      <c r="L6" s="464"/>
      <c r="M6" s="451"/>
      <c r="N6" s="451"/>
      <c r="O6" s="533"/>
      <c r="P6" s="790" t="s">
        <v>947</v>
      </c>
      <c r="Q6" s="790" t="s">
        <v>947</v>
      </c>
      <c r="R6" s="790" t="s">
        <v>1038</v>
      </c>
      <c r="S6" s="790" t="s">
        <v>1038</v>
      </c>
      <c r="T6" s="790" t="s">
        <v>1038</v>
      </c>
      <c r="U6" s="790" t="s">
        <v>1038</v>
      </c>
      <c r="V6" s="791" t="s">
        <v>1025</v>
      </c>
    </row>
    <row r="7" spans="1:22" ht="13.8" x14ac:dyDescent="0.3">
      <c r="A7" s="517"/>
      <c r="B7" s="452"/>
      <c r="C7" s="452"/>
      <c r="D7" s="599"/>
      <c r="E7" s="453" t="s">
        <v>28</v>
      </c>
      <c r="F7" s="454"/>
      <c r="G7" s="453" t="s">
        <v>30</v>
      </c>
      <c r="H7" s="454"/>
      <c r="I7" s="453" t="s">
        <v>31</v>
      </c>
      <c r="J7" s="453" t="s">
        <v>32</v>
      </c>
      <c r="K7" s="453" t="s">
        <v>178</v>
      </c>
      <c r="L7" s="465" t="s">
        <v>179</v>
      </c>
      <c r="M7" s="455" t="s">
        <v>240</v>
      </c>
      <c r="N7" s="455" t="s">
        <v>245</v>
      </c>
      <c r="O7" s="534" t="s">
        <v>257</v>
      </c>
      <c r="P7" s="537" t="s">
        <v>382</v>
      </c>
      <c r="Q7" s="792" t="s">
        <v>407</v>
      </c>
      <c r="R7" s="793" t="s">
        <v>414</v>
      </c>
      <c r="S7" s="793" t="s">
        <v>530</v>
      </c>
      <c r="T7" s="793" t="s">
        <v>886</v>
      </c>
      <c r="U7" s="793" t="s">
        <v>1063</v>
      </c>
      <c r="V7" s="791"/>
    </row>
    <row r="8" spans="1:22" ht="14.4" thickBot="1" x14ac:dyDescent="0.35">
      <c r="A8" s="518"/>
      <c r="B8" s="456"/>
      <c r="C8" s="456"/>
      <c r="D8" s="600"/>
      <c r="E8" s="457" t="s">
        <v>201</v>
      </c>
      <c r="F8" s="457"/>
      <c r="G8" s="457" t="s">
        <v>201</v>
      </c>
      <c r="H8" s="457"/>
      <c r="I8" s="457" t="s">
        <v>201</v>
      </c>
      <c r="J8" s="457" t="s">
        <v>201</v>
      </c>
      <c r="K8" s="457" t="s">
        <v>201</v>
      </c>
      <c r="L8" s="466" t="s">
        <v>201</v>
      </c>
      <c r="M8" s="458" t="s">
        <v>201</v>
      </c>
      <c r="N8" s="458" t="s">
        <v>201</v>
      </c>
      <c r="O8" s="535" t="s">
        <v>201</v>
      </c>
      <c r="P8" s="538" t="s">
        <v>201</v>
      </c>
      <c r="Q8" s="612" t="s">
        <v>201</v>
      </c>
      <c r="R8" s="619" t="s">
        <v>201</v>
      </c>
      <c r="S8" s="619" t="s">
        <v>201</v>
      </c>
      <c r="T8" s="619" t="s">
        <v>201</v>
      </c>
      <c r="U8" s="619" t="s">
        <v>201</v>
      </c>
      <c r="V8" s="794"/>
    </row>
    <row r="9" spans="1:22" x14ac:dyDescent="0.25">
      <c r="A9" s="795">
        <v>1</v>
      </c>
      <c r="B9" s="796" t="s">
        <v>98</v>
      </c>
      <c r="C9" s="450"/>
      <c r="D9" s="521"/>
      <c r="E9" s="521"/>
      <c r="F9" s="521"/>
      <c r="G9" s="521"/>
      <c r="H9" s="521"/>
      <c r="I9" s="521"/>
      <c r="J9" s="521"/>
      <c r="K9" s="460"/>
      <c r="L9" s="467"/>
      <c r="M9" s="461"/>
      <c r="N9" s="461"/>
      <c r="O9" s="531"/>
      <c r="P9" s="617"/>
      <c r="Q9" s="617"/>
      <c r="R9" s="621"/>
      <c r="S9" s="621"/>
      <c r="T9" s="621"/>
      <c r="U9" s="621"/>
      <c r="V9" s="789"/>
    </row>
    <row r="10" spans="1:22" x14ac:dyDescent="0.25">
      <c r="A10" s="517"/>
      <c r="B10" s="797"/>
      <c r="C10" s="450"/>
      <c r="D10" s="521"/>
      <c r="E10" s="521"/>
      <c r="F10" s="521"/>
      <c r="G10" s="521"/>
      <c r="H10" s="521"/>
      <c r="I10" s="521"/>
      <c r="J10" s="521"/>
      <c r="K10" s="450"/>
      <c r="L10" s="464"/>
      <c r="M10" s="451"/>
      <c r="N10" s="451"/>
      <c r="O10" s="533"/>
      <c r="P10" s="464"/>
      <c r="Q10" s="798"/>
      <c r="R10" s="799"/>
      <c r="S10" s="799"/>
      <c r="T10" s="799"/>
      <c r="U10" s="799"/>
      <c r="V10" s="791"/>
    </row>
    <row r="11" spans="1:22" x14ac:dyDescent="0.25">
      <c r="A11" s="517"/>
      <c r="B11" s="800" t="s">
        <v>659</v>
      </c>
      <c r="C11" s="450"/>
      <c r="D11" s="521"/>
      <c r="E11" s="521"/>
      <c r="F11" s="521"/>
      <c r="G11" s="521"/>
      <c r="H11" s="521"/>
      <c r="I11" s="521"/>
      <c r="J11" s="801"/>
      <c r="K11" s="802"/>
      <c r="L11" s="464"/>
      <c r="M11" s="451"/>
      <c r="N11" s="451"/>
      <c r="O11" s="533"/>
      <c r="P11" s="464"/>
      <c r="Q11" s="798"/>
      <c r="R11" s="799"/>
      <c r="S11" s="799"/>
      <c r="T11" s="799"/>
      <c r="U11" s="799"/>
      <c r="V11" s="791"/>
    </row>
    <row r="12" spans="1:22" x14ac:dyDescent="0.25">
      <c r="A12" s="517"/>
      <c r="B12" s="797" t="s">
        <v>660</v>
      </c>
      <c r="C12" s="450"/>
      <c r="D12" s="521"/>
      <c r="E12" s="803" t="s">
        <v>661</v>
      </c>
      <c r="F12" s="599"/>
      <c r="G12" s="803" t="s">
        <v>662</v>
      </c>
      <c r="H12" s="599"/>
      <c r="I12" s="803" t="s">
        <v>663</v>
      </c>
      <c r="J12" s="804">
        <f>+I12*1.06</f>
        <v>0.318</v>
      </c>
      <c r="K12" s="805">
        <f>+J12*1.065</f>
        <v>0.33866999999999997</v>
      </c>
      <c r="L12" s="806">
        <v>1.2E-2</v>
      </c>
      <c r="M12" s="807">
        <v>1.2E-2</v>
      </c>
      <c r="N12" s="807">
        <v>1.2E-2</v>
      </c>
      <c r="O12" s="808">
        <v>1.2E-2</v>
      </c>
      <c r="P12" s="809">
        <v>1.272E-2</v>
      </c>
      <c r="Q12" s="809">
        <f>(P12*0.06)+P12</f>
        <v>1.3483200000000001E-2</v>
      </c>
      <c r="R12" s="808">
        <v>1.3483200000000001E-2</v>
      </c>
      <c r="S12" s="808">
        <f>+R12*1.066</f>
        <v>1.4373091200000002E-2</v>
      </c>
      <c r="T12" s="808">
        <f>+S12*1.064</f>
        <v>1.5292969036800002E-2</v>
      </c>
      <c r="U12" s="808">
        <f>+T12*1.053</f>
        <v>1.6103496395750403E-2</v>
      </c>
      <c r="V12" s="869">
        <v>5.2999999999999999E-2</v>
      </c>
    </row>
    <row r="13" spans="1:22" x14ac:dyDescent="0.25">
      <c r="A13" s="517"/>
      <c r="B13" s="797" t="s">
        <v>988</v>
      </c>
      <c r="C13" s="450"/>
      <c r="D13" s="521"/>
      <c r="E13" s="599"/>
      <c r="F13" s="599"/>
      <c r="G13" s="599"/>
      <c r="H13" s="599"/>
      <c r="I13" s="599"/>
      <c r="J13" s="599"/>
      <c r="K13" s="452"/>
      <c r="L13" s="810"/>
      <c r="M13" s="811"/>
      <c r="N13" s="811"/>
      <c r="O13" s="812"/>
      <c r="P13" s="813"/>
      <c r="Q13" s="813">
        <f>(P13*0.06)+P13</f>
        <v>0</v>
      </c>
      <c r="R13" s="808"/>
      <c r="S13" s="808"/>
      <c r="T13" s="808"/>
      <c r="U13" s="808">
        <f t="shared" ref="U13:U49" si="0">+T13*1.053</f>
        <v>0</v>
      </c>
      <c r="V13" s="869"/>
    </row>
    <row r="14" spans="1:22" x14ac:dyDescent="0.25">
      <c r="A14" s="517"/>
      <c r="B14" s="797" t="s">
        <v>1036</v>
      </c>
      <c r="C14" s="450"/>
      <c r="D14" s="521"/>
      <c r="E14" s="599"/>
      <c r="F14" s="599"/>
      <c r="G14" s="599"/>
      <c r="H14" s="599"/>
      <c r="I14" s="599"/>
      <c r="J14" s="599"/>
      <c r="K14" s="452"/>
      <c r="L14" s="810"/>
      <c r="M14" s="811"/>
      <c r="N14" s="811"/>
      <c r="O14" s="812"/>
      <c r="P14" s="813"/>
      <c r="Q14" s="813"/>
      <c r="R14" s="808"/>
      <c r="S14" s="808">
        <v>100</v>
      </c>
      <c r="T14" s="808">
        <f>+S14*1.064</f>
        <v>106.4</v>
      </c>
      <c r="U14" s="808">
        <f t="shared" si="0"/>
        <v>112.03919999999999</v>
      </c>
      <c r="V14" s="869">
        <v>5.2999999999999999E-2</v>
      </c>
    </row>
    <row r="15" spans="1:22" x14ac:dyDescent="0.25">
      <c r="A15" s="517"/>
      <c r="B15" s="797"/>
      <c r="C15" s="450"/>
      <c r="D15" s="521"/>
      <c r="E15" s="599"/>
      <c r="F15" s="599"/>
      <c r="G15" s="599"/>
      <c r="H15" s="599"/>
      <c r="I15" s="599"/>
      <c r="J15" s="599"/>
      <c r="K15" s="452"/>
      <c r="L15" s="810"/>
      <c r="M15" s="811"/>
      <c r="N15" s="811"/>
      <c r="O15" s="812"/>
      <c r="P15" s="813"/>
      <c r="Q15" s="813"/>
      <c r="R15" s="808"/>
      <c r="S15" s="808"/>
      <c r="T15" s="808"/>
      <c r="U15" s="808">
        <f t="shared" si="0"/>
        <v>0</v>
      </c>
      <c r="V15" s="869"/>
    </row>
    <row r="16" spans="1:22" x14ac:dyDescent="0.25">
      <c r="A16" s="517"/>
      <c r="B16" s="800" t="s">
        <v>664</v>
      </c>
      <c r="C16" s="450"/>
      <c r="D16" s="521"/>
      <c r="E16" s="599"/>
      <c r="F16" s="599"/>
      <c r="G16" s="599"/>
      <c r="H16" s="599"/>
      <c r="I16" s="599"/>
      <c r="J16" s="599"/>
      <c r="K16" s="452"/>
      <c r="L16" s="810"/>
      <c r="M16" s="811"/>
      <c r="N16" s="811"/>
      <c r="O16" s="812"/>
      <c r="P16" s="813"/>
      <c r="Q16" s="813">
        <f>(P16*0.06)+P16</f>
        <v>0</v>
      </c>
      <c r="R16" s="808">
        <v>0</v>
      </c>
      <c r="S16" s="808"/>
      <c r="T16" s="808"/>
      <c r="U16" s="808">
        <f t="shared" si="0"/>
        <v>0</v>
      </c>
      <c r="V16" s="869"/>
    </row>
    <row r="17" spans="1:23" x14ac:dyDescent="0.25">
      <c r="A17" s="517"/>
      <c r="B17" s="797" t="s">
        <v>660</v>
      </c>
      <c r="C17" s="450"/>
      <c r="D17" s="521"/>
      <c r="E17" s="599"/>
      <c r="F17" s="599"/>
      <c r="G17" s="599"/>
      <c r="H17" s="599"/>
      <c r="I17" s="599"/>
      <c r="J17" s="599"/>
      <c r="K17" s="452"/>
      <c r="L17" s="806">
        <v>1.2E-2</v>
      </c>
      <c r="M17" s="807">
        <v>1.2E-2</v>
      </c>
      <c r="N17" s="807">
        <v>1.2E-2</v>
      </c>
      <c r="O17" s="808">
        <v>1.2E-2</v>
      </c>
      <c r="P17" s="809">
        <v>1.272E-2</v>
      </c>
      <c r="Q17" s="809">
        <f>(P17*0.06)+P17</f>
        <v>1.3483200000000001E-2</v>
      </c>
      <c r="R17" s="808">
        <v>1.3483200000000001E-2</v>
      </c>
      <c r="S17" s="808">
        <f>+R17*1.066</f>
        <v>1.4373091200000002E-2</v>
      </c>
      <c r="T17" s="808">
        <f>+S17*1.064</f>
        <v>1.5292969036800002E-2</v>
      </c>
      <c r="U17" s="808">
        <f t="shared" si="0"/>
        <v>1.6103496395750403E-2</v>
      </c>
      <c r="V17" s="869">
        <v>5.2999999999999999E-2</v>
      </c>
    </row>
    <row r="18" spans="1:23" x14ac:dyDescent="0.25">
      <c r="A18" s="517"/>
      <c r="B18" s="797" t="s">
        <v>988</v>
      </c>
      <c r="C18" s="450"/>
      <c r="D18" s="521"/>
      <c r="E18" s="599"/>
      <c r="F18" s="599"/>
      <c r="G18" s="599"/>
      <c r="H18" s="599"/>
      <c r="I18" s="599"/>
      <c r="J18" s="599"/>
      <c r="K18" s="452"/>
      <c r="L18" s="810"/>
      <c r="M18" s="811"/>
      <c r="N18" s="811"/>
      <c r="O18" s="812"/>
      <c r="P18" s="813"/>
      <c r="Q18" s="813">
        <f>(P18*0.06)+P18</f>
        <v>0</v>
      </c>
      <c r="R18" s="808"/>
      <c r="S18" s="808"/>
      <c r="T18" s="808"/>
      <c r="U18" s="808">
        <f t="shared" si="0"/>
        <v>0</v>
      </c>
      <c r="V18" s="869"/>
    </row>
    <row r="19" spans="1:23" x14ac:dyDescent="0.25">
      <c r="A19" s="517"/>
      <c r="B19" s="797" t="s">
        <v>1037</v>
      </c>
      <c r="C19" s="450"/>
      <c r="D19" s="521"/>
      <c r="E19" s="599"/>
      <c r="F19" s="599"/>
      <c r="G19" s="599"/>
      <c r="H19" s="599"/>
      <c r="I19" s="599"/>
      <c r="J19" s="599"/>
      <c r="K19" s="452"/>
      <c r="L19" s="810"/>
      <c r="M19" s="811"/>
      <c r="N19" s="811"/>
      <c r="O19" s="812"/>
      <c r="P19" s="813"/>
      <c r="Q19" s="813"/>
      <c r="R19" s="808"/>
      <c r="S19" s="808">
        <v>100</v>
      </c>
      <c r="T19" s="808">
        <f>+S19*1.064</f>
        <v>106.4</v>
      </c>
      <c r="U19" s="808">
        <f t="shared" si="0"/>
        <v>112.03919999999999</v>
      </c>
      <c r="V19" s="869">
        <v>5.2999999999999999E-2</v>
      </c>
    </row>
    <row r="20" spans="1:23" x14ac:dyDescent="0.25">
      <c r="A20" s="517"/>
      <c r="B20" s="797"/>
      <c r="C20" s="450"/>
      <c r="D20" s="521"/>
      <c r="E20" s="599"/>
      <c r="F20" s="599"/>
      <c r="G20" s="599"/>
      <c r="H20" s="599"/>
      <c r="I20" s="599"/>
      <c r="J20" s="599"/>
      <c r="K20" s="452"/>
      <c r="L20" s="810"/>
      <c r="M20" s="811"/>
      <c r="N20" s="811"/>
      <c r="O20" s="812"/>
      <c r="P20" s="813"/>
      <c r="Q20" s="813"/>
      <c r="R20" s="808"/>
      <c r="S20" s="808"/>
      <c r="T20" s="808"/>
      <c r="U20" s="808">
        <f t="shared" si="0"/>
        <v>0</v>
      </c>
      <c r="V20" s="869"/>
    </row>
    <row r="21" spans="1:23" x14ac:dyDescent="0.25">
      <c r="A21" s="517"/>
      <c r="B21" s="800" t="s">
        <v>250</v>
      </c>
      <c r="C21" s="450"/>
      <c r="D21" s="521"/>
      <c r="E21" s="599"/>
      <c r="F21" s="599"/>
      <c r="G21" s="599"/>
      <c r="H21" s="599"/>
      <c r="I21" s="599"/>
      <c r="J21" s="599"/>
      <c r="K21" s="452"/>
      <c r="L21" s="810"/>
      <c r="M21" s="811"/>
      <c r="N21" s="811"/>
      <c r="O21" s="812"/>
      <c r="P21" s="813"/>
      <c r="Q21" s="813">
        <f>(P21*0.06)+P21</f>
        <v>0</v>
      </c>
      <c r="R21" s="808">
        <v>0</v>
      </c>
      <c r="S21" s="808"/>
      <c r="T21" s="808"/>
      <c r="U21" s="808">
        <f t="shared" si="0"/>
        <v>0</v>
      </c>
      <c r="V21" s="869"/>
    </row>
    <row r="22" spans="1:23" x14ac:dyDescent="0.25">
      <c r="A22" s="517"/>
      <c r="B22" s="797" t="s">
        <v>660</v>
      </c>
      <c r="C22" s="450"/>
      <c r="D22" s="521"/>
      <c r="E22" s="803" t="s">
        <v>665</v>
      </c>
      <c r="F22" s="599"/>
      <c r="G22" s="803" t="s">
        <v>666</v>
      </c>
      <c r="H22" s="599"/>
      <c r="I22" s="803" t="s">
        <v>667</v>
      </c>
      <c r="J22" s="804">
        <f>+I22*1.06</f>
        <v>0.10600000000000001</v>
      </c>
      <c r="K22" s="805">
        <f>+J22*1.065</f>
        <v>0.11289</v>
      </c>
      <c r="L22" s="806">
        <v>1.2E-2</v>
      </c>
      <c r="M22" s="807">
        <v>1.2E-2</v>
      </c>
      <c r="N22" s="807">
        <v>1.2E-2</v>
      </c>
      <c r="O22" s="808">
        <v>1.2E-2</v>
      </c>
      <c r="P22" s="809">
        <v>1.272E-2</v>
      </c>
      <c r="Q22" s="809">
        <f>(P22*0.06)+P22</f>
        <v>1.3483200000000001E-2</v>
      </c>
      <c r="R22" s="808">
        <v>1.3483200000000001E-2</v>
      </c>
      <c r="S22" s="808">
        <f>+R22*1.066</f>
        <v>1.4373091200000002E-2</v>
      </c>
      <c r="T22" s="808">
        <f>+S22*1.064</f>
        <v>1.5292969036800002E-2</v>
      </c>
      <c r="U22" s="808">
        <f t="shared" si="0"/>
        <v>1.6103496395750403E-2</v>
      </c>
      <c r="V22" s="869">
        <v>5.2999999999999999E-2</v>
      </c>
    </row>
    <row r="23" spans="1:23" x14ac:dyDescent="0.25">
      <c r="A23" s="517"/>
      <c r="B23" s="797" t="s">
        <v>988</v>
      </c>
      <c r="C23" s="450"/>
      <c r="D23" s="521"/>
      <c r="E23" s="599"/>
      <c r="F23" s="599"/>
      <c r="G23" s="599"/>
      <c r="H23" s="599"/>
      <c r="I23" s="599"/>
      <c r="J23" s="599"/>
      <c r="K23" s="452"/>
      <c r="L23" s="810"/>
      <c r="M23" s="811"/>
      <c r="N23" s="811"/>
      <c r="O23" s="812"/>
      <c r="P23" s="813"/>
      <c r="Q23" s="813">
        <f>(P23*0.06)+P23</f>
        <v>0</v>
      </c>
      <c r="R23" s="808"/>
      <c r="S23" s="808"/>
      <c r="T23" s="808"/>
      <c r="U23" s="808">
        <f t="shared" si="0"/>
        <v>0</v>
      </c>
      <c r="V23" s="869"/>
      <c r="W23" s="814"/>
    </row>
    <row r="24" spans="1:23" x14ac:dyDescent="0.25">
      <c r="A24" s="517"/>
      <c r="B24" s="797" t="s">
        <v>1036</v>
      </c>
      <c r="C24" s="450"/>
      <c r="D24" s="521"/>
      <c r="E24" s="599"/>
      <c r="F24" s="599"/>
      <c r="G24" s="599"/>
      <c r="H24" s="599"/>
      <c r="I24" s="599"/>
      <c r="J24" s="599"/>
      <c r="K24" s="452"/>
      <c r="L24" s="810"/>
      <c r="M24" s="811"/>
      <c r="N24" s="811"/>
      <c r="O24" s="812"/>
      <c r="P24" s="813"/>
      <c r="Q24" s="813"/>
      <c r="R24" s="808"/>
      <c r="S24" s="808">
        <v>100</v>
      </c>
      <c r="T24" s="808">
        <f>+S24*1.064</f>
        <v>106.4</v>
      </c>
      <c r="U24" s="808">
        <f t="shared" si="0"/>
        <v>112.03919999999999</v>
      </c>
      <c r="V24" s="869">
        <v>5.2999999999999999E-2</v>
      </c>
    </row>
    <row r="25" spans="1:23" x14ac:dyDescent="0.25">
      <c r="A25" s="517"/>
      <c r="B25" s="797"/>
      <c r="C25" s="450"/>
      <c r="D25" s="521"/>
      <c r="E25" s="599"/>
      <c r="F25" s="599"/>
      <c r="G25" s="599"/>
      <c r="H25" s="599"/>
      <c r="I25" s="599"/>
      <c r="J25" s="599"/>
      <c r="K25" s="452"/>
      <c r="L25" s="810"/>
      <c r="M25" s="811"/>
      <c r="N25" s="811"/>
      <c r="O25" s="812"/>
      <c r="P25" s="813"/>
      <c r="Q25" s="813"/>
      <c r="R25" s="808"/>
      <c r="S25" s="808"/>
      <c r="T25" s="808"/>
      <c r="U25" s="808">
        <f t="shared" si="0"/>
        <v>0</v>
      </c>
      <c r="V25" s="869"/>
    </row>
    <row r="26" spans="1:23" x14ac:dyDescent="0.25">
      <c r="A26" s="517"/>
      <c r="B26" s="800" t="s">
        <v>668</v>
      </c>
      <c r="C26" s="450"/>
      <c r="D26" s="521"/>
      <c r="E26" s="599"/>
      <c r="F26" s="599"/>
      <c r="G26" s="599"/>
      <c r="H26" s="599"/>
      <c r="I26" s="599"/>
      <c r="J26" s="599"/>
      <c r="K26" s="452"/>
      <c r="L26" s="810"/>
      <c r="M26" s="811"/>
      <c r="N26" s="811"/>
      <c r="O26" s="812"/>
      <c r="P26" s="813"/>
      <c r="Q26" s="813">
        <f>(P26*0.06)+P26</f>
        <v>0</v>
      </c>
      <c r="R26" s="808">
        <v>0</v>
      </c>
      <c r="S26" s="808"/>
      <c r="T26" s="808"/>
      <c r="U26" s="808">
        <f t="shared" si="0"/>
        <v>0</v>
      </c>
      <c r="V26" s="869"/>
    </row>
    <row r="27" spans="1:23" x14ac:dyDescent="0.25">
      <c r="A27" s="517"/>
      <c r="B27" s="797" t="s">
        <v>660</v>
      </c>
      <c r="C27" s="450"/>
      <c r="D27" s="521"/>
      <c r="E27" s="803" t="s">
        <v>669</v>
      </c>
      <c r="F27" s="599"/>
      <c r="G27" s="803" t="s">
        <v>670</v>
      </c>
      <c r="H27" s="599"/>
      <c r="I27" s="803" t="s">
        <v>671</v>
      </c>
      <c r="J27" s="804">
        <f>+I27*1.06</f>
        <v>0.13780000000000001</v>
      </c>
      <c r="K27" s="805">
        <f>+J27*1.065</f>
        <v>0.146757</v>
      </c>
      <c r="L27" s="806">
        <v>1.2E-2</v>
      </c>
      <c r="M27" s="807">
        <v>1.2E-2</v>
      </c>
      <c r="N27" s="807">
        <v>1.2E-2</v>
      </c>
      <c r="O27" s="808">
        <v>1.2E-2</v>
      </c>
      <c r="P27" s="809">
        <v>1.272E-2</v>
      </c>
      <c r="Q27" s="809">
        <f>(P27*0.06)+P27</f>
        <v>1.3483200000000001E-2</v>
      </c>
      <c r="R27" s="808">
        <v>1.3483200000000001E-2</v>
      </c>
      <c r="S27" s="808">
        <f>+R27*1.066</f>
        <v>1.4373091200000002E-2</v>
      </c>
      <c r="T27" s="808">
        <f>+S27*1.064</f>
        <v>1.5292969036800002E-2</v>
      </c>
      <c r="U27" s="808">
        <f t="shared" si="0"/>
        <v>1.6103496395750403E-2</v>
      </c>
      <c r="V27" s="869">
        <v>5.2999999999999999E-2</v>
      </c>
    </row>
    <row r="28" spans="1:23" x14ac:dyDescent="0.25">
      <c r="A28" s="517"/>
      <c r="B28" s="797" t="s">
        <v>988</v>
      </c>
      <c r="C28" s="450"/>
      <c r="D28" s="521"/>
      <c r="E28" s="599"/>
      <c r="F28" s="599"/>
      <c r="G28" s="599"/>
      <c r="H28" s="599"/>
      <c r="I28" s="599"/>
      <c r="J28" s="599"/>
      <c r="K28" s="452"/>
      <c r="L28" s="810"/>
      <c r="M28" s="811"/>
      <c r="N28" s="811"/>
      <c r="O28" s="812"/>
      <c r="P28" s="813"/>
      <c r="Q28" s="813">
        <f>(P28*0.06)+P28</f>
        <v>0</v>
      </c>
      <c r="R28" s="808"/>
      <c r="S28" s="808"/>
      <c r="T28" s="808"/>
      <c r="U28" s="808">
        <f t="shared" si="0"/>
        <v>0</v>
      </c>
      <c r="V28" s="869"/>
    </row>
    <row r="29" spans="1:23" x14ac:dyDescent="0.25">
      <c r="A29" s="517"/>
      <c r="B29" s="797" t="s">
        <v>1036</v>
      </c>
      <c r="C29" s="450"/>
      <c r="D29" s="521"/>
      <c r="E29" s="599"/>
      <c r="F29" s="599"/>
      <c r="G29" s="599"/>
      <c r="H29" s="599"/>
      <c r="I29" s="599"/>
      <c r="J29" s="599"/>
      <c r="K29" s="452"/>
      <c r="L29" s="810"/>
      <c r="M29" s="811"/>
      <c r="N29" s="811"/>
      <c r="O29" s="812"/>
      <c r="P29" s="813"/>
      <c r="Q29" s="813"/>
      <c r="R29" s="808"/>
      <c r="S29" s="808">
        <v>100</v>
      </c>
      <c r="T29" s="808">
        <f>+S29*1.064</f>
        <v>106.4</v>
      </c>
      <c r="U29" s="808">
        <f t="shared" si="0"/>
        <v>112.03919999999999</v>
      </c>
      <c r="V29" s="869">
        <v>5.2999999999999999E-2</v>
      </c>
    </row>
    <row r="30" spans="1:23" x14ac:dyDescent="0.25">
      <c r="A30" s="517"/>
      <c r="B30" s="797"/>
      <c r="C30" s="450"/>
      <c r="D30" s="521"/>
      <c r="E30" s="599"/>
      <c r="F30" s="599"/>
      <c r="G30" s="599"/>
      <c r="H30" s="599"/>
      <c r="I30" s="599"/>
      <c r="J30" s="599"/>
      <c r="K30" s="452"/>
      <c r="L30" s="810"/>
      <c r="M30" s="811"/>
      <c r="N30" s="811"/>
      <c r="O30" s="812"/>
      <c r="P30" s="813"/>
      <c r="Q30" s="813"/>
      <c r="R30" s="808"/>
      <c r="S30" s="808"/>
      <c r="T30" s="808"/>
      <c r="U30" s="808">
        <f t="shared" si="0"/>
        <v>0</v>
      </c>
      <c r="V30" s="869"/>
    </row>
    <row r="31" spans="1:23" x14ac:dyDescent="0.25">
      <c r="A31" s="517"/>
      <c r="B31" s="800" t="s">
        <v>672</v>
      </c>
      <c r="C31" s="450"/>
      <c r="D31" s="521"/>
      <c r="E31" s="599"/>
      <c r="F31" s="599"/>
      <c r="G31" s="599"/>
      <c r="H31" s="599"/>
      <c r="I31" s="599"/>
      <c r="J31" s="599"/>
      <c r="K31" s="452"/>
      <c r="L31" s="810"/>
      <c r="M31" s="811"/>
      <c r="N31" s="811"/>
      <c r="O31" s="812"/>
      <c r="P31" s="813"/>
      <c r="Q31" s="813">
        <f>(P31*0.06)+P31</f>
        <v>0</v>
      </c>
      <c r="R31" s="808">
        <v>0</v>
      </c>
      <c r="S31" s="808"/>
      <c r="T31" s="808"/>
      <c r="U31" s="808">
        <f t="shared" si="0"/>
        <v>0</v>
      </c>
      <c r="V31" s="869"/>
    </row>
    <row r="32" spans="1:23" x14ac:dyDescent="0.25">
      <c r="A32" s="517"/>
      <c r="B32" s="797" t="s">
        <v>660</v>
      </c>
      <c r="C32" s="450"/>
      <c r="D32" s="521"/>
      <c r="E32" s="803" t="s">
        <v>673</v>
      </c>
      <c r="F32" s="599"/>
      <c r="G32" s="803" t="s">
        <v>674</v>
      </c>
      <c r="H32" s="599"/>
      <c r="I32" s="803" t="s">
        <v>665</v>
      </c>
      <c r="J32" s="804">
        <f>+I32*1.06</f>
        <v>8.48E-2</v>
      </c>
      <c r="K32" s="805">
        <f>+J32*1.065</f>
        <v>9.031199999999999E-2</v>
      </c>
      <c r="L32" s="806">
        <v>1.2E-2</v>
      </c>
      <c r="M32" s="807">
        <v>1.2E-2</v>
      </c>
      <c r="N32" s="807">
        <v>1.2E-2</v>
      </c>
      <c r="O32" s="808">
        <v>1.2E-2</v>
      </c>
      <c r="P32" s="809">
        <v>1.272E-2</v>
      </c>
      <c r="Q32" s="809">
        <f>(P32*0.06)+P32</f>
        <v>1.3483200000000001E-2</v>
      </c>
      <c r="R32" s="808">
        <v>1.3483200000000001E-2</v>
      </c>
      <c r="S32" s="808">
        <f>+R32*1.066</f>
        <v>1.4373091200000002E-2</v>
      </c>
      <c r="T32" s="808">
        <f>+S32*1.064</f>
        <v>1.5292969036800002E-2</v>
      </c>
      <c r="U32" s="808">
        <f t="shared" si="0"/>
        <v>1.6103496395750403E-2</v>
      </c>
      <c r="V32" s="869">
        <v>5.2999999999999999E-2</v>
      </c>
    </row>
    <row r="33" spans="1:28" x14ac:dyDescent="0.25">
      <c r="A33" s="517"/>
      <c r="B33" s="797" t="s">
        <v>988</v>
      </c>
      <c r="C33" s="450"/>
      <c r="D33" s="521"/>
      <c r="E33" s="803"/>
      <c r="F33" s="599"/>
      <c r="G33" s="803"/>
      <c r="H33" s="599"/>
      <c r="I33" s="803"/>
      <c r="J33" s="804"/>
      <c r="K33" s="805"/>
      <c r="L33" s="806"/>
      <c r="M33" s="807"/>
      <c r="N33" s="807"/>
      <c r="O33" s="815"/>
      <c r="P33" s="806">
        <v>0</v>
      </c>
      <c r="Q33" s="806">
        <f>(P33*0.06)+P33</f>
        <v>0</v>
      </c>
      <c r="R33" s="808">
        <v>0</v>
      </c>
      <c r="S33" s="808"/>
      <c r="T33" s="808"/>
      <c r="U33" s="808">
        <f t="shared" si="0"/>
        <v>0</v>
      </c>
      <c r="V33" s="869"/>
    </row>
    <row r="34" spans="1:28" x14ac:dyDescent="0.25">
      <c r="A34" s="517"/>
      <c r="B34" s="797" t="s">
        <v>1036</v>
      </c>
      <c r="C34" s="450"/>
      <c r="D34" s="521"/>
      <c r="E34" s="599"/>
      <c r="F34" s="599"/>
      <c r="G34" s="599"/>
      <c r="H34" s="599"/>
      <c r="I34" s="599"/>
      <c r="J34" s="599"/>
      <c r="K34" s="452"/>
      <c r="L34" s="810"/>
      <c r="M34" s="811"/>
      <c r="N34" s="811"/>
      <c r="O34" s="812"/>
      <c r="P34" s="813"/>
      <c r="Q34" s="813"/>
      <c r="R34" s="808"/>
      <c r="S34" s="808">
        <v>100</v>
      </c>
      <c r="T34" s="808">
        <f>+S34*1.064</f>
        <v>106.4</v>
      </c>
      <c r="U34" s="808">
        <f t="shared" si="0"/>
        <v>112.03919999999999</v>
      </c>
      <c r="V34" s="869">
        <v>5.2999999999999999E-2</v>
      </c>
    </row>
    <row r="35" spans="1:28" x14ac:dyDescent="0.25">
      <c r="A35" s="517"/>
      <c r="B35" s="797"/>
      <c r="C35" s="450"/>
      <c r="D35" s="521"/>
      <c r="E35" s="599"/>
      <c r="F35" s="599"/>
      <c r="G35" s="599"/>
      <c r="H35" s="599"/>
      <c r="I35" s="599"/>
      <c r="J35" s="599"/>
      <c r="K35" s="452"/>
      <c r="L35" s="810"/>
      <c r="M35" s="811"/>
      <c r="N35" s="811"/>
      <c r="O35" s="812"/>
      <c r="P35" s="813"/>
      <c r="Q35" s="813"/>
      <c r="R35" s="808"/>
      <c r="S35" s="808"/>
      <c r="T35" s="808"/>
      <c r="U35" s="808">
        <f t="shared" si="0"/>
        <v>0</v>
      </c>
      <c r="V35" s="869"/>
    </row>
    <row r="36" spans="1:28" x14ac:dyDescent="0.25">
      <c r="A36" s="517"/>
      <c r="B36" s="797" t="s">
        <v>987</v>
      </c>
      <c r="C36" s="450"/>
      <c r="D36" s="521"/>
      <c r="E36" s="803"/>
      <c r="F36" s="599"/>
      <c r="G36" s="803"/>
      <c r="H36" s="599"/>
      <c r="I36" s="803"/>
      <c r="J36" s="804"/>
      <c r="K36" s="805"/>
      <c r="L36" s="806"/>
      <c r="M36" s="807"/>
      <c r="N36" s="807"/>
      <c r="O36" s="815"/>
      <c r="P36" s="806">
        <v>0</v>
      </c>
      <c r="Q36" s="806">
        <v>0</v>
      </c>
      <c r="R36" s="808">
        <v>0</v>
      </c>
      <c r="S36" s="808"/>
      <c r="T36" s="808"/>
      <c r="U36" s="808">
        <f t="shared" si="0"/>
        <v>0</v>
      </c>
      <c r="V36" s="869"/>
    </row>
    <row r="37" spans="1:28" x14ac:dyDescent="0.25">
      <c r="A37" s="517"/>
      <c r="B37" s="797"/>
      <c r="C37" s="450"/>
      <c r="D37" s="521"/>
      <c r="E37" s="803"/>
      <c r="F37" s="599"/>
      <c r="G37" s="803"/>
      <c r="H37" s="599"/>
      <c r="I37" s="803"/>
      <c r="J37" s="804"/>
      <c r="K37" s="805"/>
      <c r="L37" s="806"/>
      <c r="M37" s="807"/>
      <c r="N37" s="807"/>
      <c r="O37" s="815"/>
      <c r="P37" s="806"/>
      <c r="Q37" s="806"/>
      <c r="R37" s="808"/>
      <c r="S37" s="808"/>
      <c r="T37" s="808"/>
      <c r="U37" s="808">
        <f t="shared" si="0"/>
        <v>0</v>
      </c>
      <c r="V37" s="869"/>
    </row>
    <row r="38" spans="1:28" x14ac:dyDescent="0.25">
      <c r="A38" s="517"/>
      <c r="B38" s="800" t="s">
        <v>251</v>
      </c>
      <c r="C38" s="450"/>
      <c r="D38" s="521"/>
      <c r="E38" s="803"/>
      <c r="F38" s="599"/>
      <c r="G38" s="803"/>
      <c r="H38" s="599"/>
      <c r="I38" s="803"/>
      <c r="J38" s="804"/>
      <c r="K38" s="805"/>
      <c r="L38" s="806">
        <v>2.4E-2</v>
      </c>
      <c r="M38" s="806">
        <v>2.4E-2</v>
      </c>
      <c r="N38" s="806">
        <v>2.4E-2</v>
      </c>
      <c r="O38" s="808">
        <v>2.4E-2</v>
      </c>
      <c r="P38" s="809">
        <v>2.5440000000000001E-2</v>
      </c>
      <c r="Q38" s="809">
        <f>(P38*0.06)+P38</f>
        <v>2.6966400000000001E-2</v>
      </c>
      <c r="R38" s="808">
        <v>2.6966400000000001E-2</v>
      </c>
      <c r="S38" s="808">
        <f>+R38*1.066</f>
        <v>2.8746182400000004E-2</v>
      </c>
      <c r="T38" s="808">
        <f>+S38*1.064</f>
        <v>3.0585938073600005E-2</v>
      </c>
      <c r="U38" s="808">
        <f t="shared" si="0"/>
        <v>3.2206992791500806E-2</v>
      </c>
      <c r="V38" s="869">
        <v>5.2999999999999999E-2</v>
      </c>
    </row>
    <row r="39" spans="1:28" x14ac:dyDescent="0.25">
      <c r="A39" s="517"/>
      <c r="B39" s="797"/>
      <c r="C39" s="450"/>
      <c r="D39" s="521"/>
      <c r="E39" s="803"/>
      <c r="F39" s="599"/>
      <c r="G39" s="803"/>
      <c r="H39" s="599"/>
      <c r="I39" s="803"/>
      <c r="J39" s="804"/>
      <c r="K39" s="805"/>
      <c r="L39" s="806"/>
      <c r="M39" s="806"/>
      <c r="N39" s="806"/>
      <c r="O39" s="808"/>
      <c r="P39" s="809"/>
      <c r="Q39" s="809">
        <f>(P39*0.06)+P39</f>
        <v>0</v>
      </c>
      <c r="R39" s="808">
        <v>0</v>
      </c>
      <c r="S39" s="808"/>
      <c r="T39" s="808"/>
      <c r="U39" s="808">
        <f t="shared" si="0"/>
        <v>0</v>
      </c>
      <c r="V39" s="869"/>
    </row>
    <row r="40" spans="1:28" x14ac:dyDescent="0.25">
      <c r="A40" s="517"/>
      <c r="B40" s="800" t="s">
        <v>248</v>
      </c>
      <c r="C40" s="450"/>
      <c r="D40" s="521"/>
      <c r="E40" s="599"/>
      <c r="F40" s="599"/>
      <c r="G40" s="599"/>
      <c r="H40" s="599"/>
      <c r="I40" s="599"/>
      <c r="J40" s="599"/>
      <c r="K40" s="452"/>
      <c r="L40" s="810">
        <v>2.4E-2</v>
      </c>
      <c r="M40" s="810">
        <v>2.4E-2</v>
      </c>
      <c r="N40" s="810">
        <v>2.4E-2</v>
      </c>
      <c r="O40" s="812">
        <v>2.4E-2</v>
      </c>
      <c r="P40" s="813">
        <v>2.5440000000000001E-2</v>
      </c>
      <c r="Q40" s="813">
        <f>(P40*0.06)+P40</f>
        <v>2.6966400000000001E-2</v>
      </c>
      <c r="R40" s="808">
        <v>2.6966400000000001E-2</v>
      </c>
      <c r="S40" s="808">
        <f>+R40*1.066</f>
        <v>2.8746182400000004E-2</v>
      </c>
      <c r="T40" s="808">
        <f>+S40*1.064</f>
        <v>3.0585938073600005E-2</v>
      </c>
      <c r="U40" s="808">
        <f t="shared" si="0"/>
        <v>3.2206992791500806E-2</v>
      </c>
      <c r="V40" s="869">
        <v>5.2999999999999999E-2</v>
      </c>
    </row>
    <row r="41" spans="1:28" x14ac:dyDescent="0.25">
      <c r="A41" s="517"/>
      <c r="B41" s="797" t="s">
        <v>988</v>
      </c>
      <c r="C41" s="450"/>
      <c r="D41" s="521"/>
      <c r="E41" s="599"/>
      <c r="F41" s="599"/>
      <c r="G41" s="599"/>
      <c r="H41" s="599"/>
      <c r="I41" s="599"/>
      <c r="J41" s="599"/>
      <c r="K41" s="452"/>
      <c r="L41" s="810"/>
      <c r="M41" s="811"/>
      <c r="N41" s="811"/>
      <c r="O41" s="812"/>
      <c r="P41" s="813"/>
      <c r="Q41" s="813">
        <f>(P41*0.06)+P41</f>
        <v>0</v>
      </c>
      <c r="R41" s="808"/>
      <c r="S41" s="808"/>
      <c r="T41" s="808"/>
      <c r="U41" s="808">
        <f t="shared" si="0"/>
        <v>0</v>
      </c>
      <c r="V41" s="869"/>
    </row>
    <row r="42" spans="1:28" x14ac:dyDescent="0.25">
      <c r="A42" s="517"/>
      <c r="B42" s="797" t="s">
        <v>1036</v>
      </c>
      <c r="C42" s="450"/>
      <c r="D42" s="521"/>
      <c r="E42" s="599"/>
      <c r="F42" s="599"/>
      <c r="G42" s="599"/>
      <c r="H42" s="599"/>
      <c r="I42" s="599"/>
      <c r="J42" s="599"/>
      <c r="K42" s="452"/>
      <c r="L42" s="810"/>
      <c r="M42" s="811"/>
      <c r="N42" s="811"/>
      <c r="O42" s="812"/>
      <c r="P42" s="813"/>
      <c r="Q42" s="813"/>
      <c r="R42" s="808"/>
      <c r="S42" s="808">
        <v>100</v>
      </c>
      <c r="T42" s="808">
        <f>+S42*1.064</f>
        <v>106.4</v>
      </c>
      <c r="U42" s="808">
        <f t="shared" si="0"/>
        <v>112.03919999999999</v>
      </c>
      <c r="V42" s="869">
        <v>5.2999999999999999E-2</v>
      </c>
    </row>
    <row r="43" spans="1:28" x14ac:dyDescent="0.25">
      <c r="A43" s="517"/>
      <c r="B43" s="797"/>
      <c r="C43" s="450"/>
      <c r="D43" s="521"/>
      <c r="E43" s="599"/>
      <c r="F43" s="599"/>
      <c r="G43" s="599"/>
      <c r="H43" s="599"/>
      <c r="I43" s="599"/>
      <c r="J43" s="599"/>
      <c r="K43" s="452"/>
      <c r="L43" s="810"/>
      <c r="M43" s="811"/>
      <c r="N43" s="811"/>
      <c r="O43" s="812"/>
      <c r="P43" s="813"/>
      <c r="Q43" s="813"/>
      <c r="R43" s="808"/>
      <c r="S43" s="808"/>
      <c r="T43" s="808"/>
      <c r="U43" s="808">
        <f t="shared" si="0"/>
        <v>0</v>
      </c>
      <c r="V43" s="869"/>
    </row>
    <row r="44" spans="1:28" x14ac:dyDescent="0.25">
      <c r="A44" s="517"/>
      <c r="B44" s="800" t="s">
        <v>507</v>
      </c>
      <c r="C44" s="450"/>
      <c r="D44" s="521"/>
      <c r="E44" s="599"/>
      <c r="F44" s="599"/>
      <c r="G44" s="599"/>
      <c r="H44" s="599"/>
      <c r="I44" s="599"/>
      <c r="J44" s="599"/>
      <c r="K44" s="452"/>
      <c r="L44" s="810">
        <f>0.012/4</f>
        <v>3.0000000000000001E-3</v>
      </c>
      <c r="M44" s="811">
        <f>0.013/4</f>
        <v>3.2499999999999999E-3</v>
      </c>
      <c r="N44" s="811">
        <f>0.013/4</f>
        <v>3.2499999999999999E-3</v>
      </c>
      <c r="O44" s="812">
        <f>0.012/4</f>
        <v>3.0000000000000001E-3</v>
      </c>
      <c r="P44" s="813">
        <v>3.1800000000000001E-3</v>
      </c>
      <c r="Q44" s="813">
        <f>(P44*0.06)+P44</f>
        <v>3.3708000000000002E-3</v>
      </c>
      <c r="R44" s="808">
        <v>2.0100000000000001E-3</v>
      </c>
      <c r="S44" s="808">
        <f>+R44*1.066</f>
        <v>2.1426600000000002E-3</v>
      </c>
      <c r="T44" s="808">
        <f>+S44*1.064</f>
        <v>2.2797902400000002E-3</v>
      </c>
      <c r="U44" s="808">
        <f t="shared" si="0"/>
        <v>2.4006191227200001E-3</v>
      </c>
      <c r="V44" s="869">
        <v>5.2999999999999999E-2</v>
      </c>
    </row>
    <row r="45" spans="1:28" x14ac:dyDescent="0.25">
      <c r="A45" s="517"/>
      <c r="B45" s="797"/>
      <c r="C45" s="450"/>
      <c r="D45" s="521"/>
      <c r="E45" s="599"/>
      <c r="F45" s="599"/>
      <c r="G45" s="599"/>
      <c r="H45" s="599"/>
      <c r="I45" s="599"/>
      <c r="J45" s="599"/>
      <c r="K45" s="452"/>
      <c r="L45" s="810"/>
      <c r="M45" s="811"/>
      <c r="N45" s="811"/>
      <c r="O45" s="812"/>
      <c r="P45" s="813"/>
      <c r="Q45" s="813"/>
      <c r="R45" s="808"/>
      <c r="S45" s="808"/>
      <c r="T45" s="808"/>
      <c r="U45" s="808">
        <f t="shared" si="0"/>
        <v>0</v>
      </c>
      <c r="V45" s="869"/>
    </row>
    <row r="46" spans="1:28" x14ac:dyDescent="0.25">
      <c r="A46" s="517"/>
      <c r="B46" s="816"/>
      <c r="C46" s="450"/>
      <c r="D46" s="521"/>
      <c r="E46" s="599"/>
      <c r="F46" s="599"/>
      <c r="G46" s="599"/>
      <c r="H46" s="599"/>
      <c r="I46" s="599"/>
      <c r="J46" s="599"/>
      <c r="K46" s="452"/>
      <c r="L46" s="810"/>
      <c r="M46" s="811"/>
      <c r="N46" s="811"/>
      <c r="O46" s="812"/>
      <c r="P46" s="813"/>
      <c r="Q46" s="813"/>
      <c r="R46" s="808"/>
      <c r="S46" s="808"/>
      <c r="T46" s="808"/>
      <c r="U46" s="808">
        <f t="shared" si="0"/>
        <v>0</v>
      </c>
      <c r="V46" s="869"/>
    </row>
    <row r="47" spans="1:28" x14ac:dyDescent="0.25">
      <c r="A47" s="517"/>
      <c r="B47" s="800" t="s">
        <v>1020</v>
      </c>
      <c r="C47" s="450"/>
      <c r="D47" s="521"/>
      <c r="E47" s="599"/>
      <c r="F47" s="599"/>
      <c r="G47" s="599"/>
      <c r="H47" s="599"/>
      <c r="I47" s="599"/>
      <c r="J47" s="599"/>
      <c r="K47" s="452"/>
      <c r="L47" s="810">
        <v>2.4E-2</v>
      </c>
      <c r="M47" s="810">
        <v>2.4E-2</v>
      </c>
      <c r="N47" s="810">
        <v>2.4E-2</v>
      </c>
      <c r="O47" s="812">
        <v>0</v>
      </c>
      <c r="P47" s="817">
        <v>0</v>
      </c>
      <c r="Q47" s="817">
        <v>0</v>
      </c>
      <c r="R47" s="808">
        <v>2.6970000000000001E-2</v>
      </c>
      <c r="S47" s="808">
        <f>+S12*0.25</f>
        <v>3.5932728000000005E-3</v>
      </c>
      <c r="T47" s="808">
        <f>+S47*1.064</f>
        <v>3.8232422592000006E-3</v>
      </c>
      <c r="U47" s="808">
        <f t="shared" si="0"/>
        <v>4.0258740989376008E-3</v>
      </c>
      <c r="V47" s="869">
        <v>5.2999999999999999E-2</v>
      </c>
      <c r="AB47" s="814"/>
    </row>
    <row r="48" spans="1:28" x14ac:dyDescent="0.25">
      <c r="A48" s="517"/>
      <c r="B48" s="797"/>
      <c r="C48" s="450"/>
      <c r="D48" s="521"/>
      <c r="E48" s="599"/>
      <c r="F48" s="599"/>
      <c r="G48" s="599"/>
      <c r="H48" s="599"/>
      <c r="I48" s="599"/>
      <c r="J48" s="599"/>
      <c r="K48" s="452"/>
      <c r="L48" s="810"/>
      <c r="M48" s="811"/>
      <c r="N48" s="811"/>
      <c r="O48" s="812"/>
      <c r="P48" s="817"/>
      <c r="Q48" s="817"/>
      <c r="R48" s="808"/>
      <c r="S48" s="808"/>
      <c r="T48" s="808"/>
      <c r="U48" s="808">
        <f t="shared" si="0"/>
        <v>0</v>
      </c>
      <c r="V48" s="869"/>
    </row>
    <row r="49" spans="1:22" x14ac:dyDescent="0.25">
      <c r="A49" s="517"/>
      <c r="B49" s="800" t="s">
        <v>1018</v>
      </c>
      <c r="C49" s="450"/>
      <c r="D49" s="521"/>
      <c r="E49" s="803"/>
      <c r="F49" s="599"/>
      <c r="G49" s="803"/>
      <c r="H49" s="599"/>
      <c r="I49" s="803"/>
      <c r="J49" s="819"/>
      <c r="K49" s="820"/>
      <c r="L49" s="821"/>
      <c r="M49" s="822"/>
      <c r="N49" s="822"/>
      <c r="O49" s="823"/>
      <c r="P49" s="824">
        <v>0</v>
      </c>
      <c r="Q49" s="824">
        <v>0</v>
      </c>
      <c r="R49" s="808">
        <v>2.0100000000000001E-3</v>
      </c>
      <c r="S49" s="808">
        <f>+R49*1.066</f>
        <v>2.1426600000000002E-3</v>
      </c>
      <c r="T49" s="808">
        <v>3.0585938073600005E-2</v>
      </c>
      <c r="U49" s="808">
        <f t="shared" si="0"/>
        <v>3.2206992791500806E-2</v>
      </c>
      <c r="V49" s="869">
        <v>5.2999999999999999E-2</v>
      </c>
    </row>
    <row r="50" spans="1:22" x14ac:dyDescent="0.25">
      <c r="A50" s="517"/>
      <c r="B50" s="797"/>
      <c r="C50" s="450"/>
      <c r="D50" s="521"/>
      <c r="E50" s="803"/>
      <c r="F50" s="599"/>
      <c r="G50" s="803"/>
      <c r="H50" s="599"/>
      <c r="I50" s="803"/>
      <c r="J50" s="819"/>
      <c r="K50" s="820"/>
      <c r="L50" s="821"/>
      <c r="M50" s="822"/>
      <c r="N50" s="822"/>
      <c r="O50" s="823"/>
      <c r="P50" s="824"/>
      <c r="Q50" s="824"/>
      <c r="R50" s="808"/>
      <c r="S50" s="808"/>
      <c r="T50" s="808"/>
      <c r="U50" s="808"/>
      <c r="V50" s="869"/>
    </row>
    <row r="51" spans="1:22" x14ac:dyDescent="0.25">
      <c r="A51" s="517"/>
      <c r="B51" s="800"/>
      <c r="C51" s="450"/>
      <c r="D51" s="521"/>
      <c r="E51" s="599"/>
      <c r="F51" s="599"/>
      <c r="G51" s="599"/>
      <c r="H51" s="599"/>
      <c r="I51" s="599"/>
      <c r="J51" s="599"/>
      <c r="K51" s="452"/>
      <c r="L51" s="825"/>
      <c r="M51" s="825"/>
      <c r="N51" s="825"/>
      <c r="O51" s="825"/>
      <c r="P51" s="817"/>
      <c r="Q51" s="817"/>
      <c r="R51" s="818"/>
      <c r="S51" s="818"/>
      <c r="T51" s="818"/>
      <c r="U51" s="818"/>
      <c r="V51" s="869"/>
    </row>
    <row r="52" spans="1:22" s="56" customFormat="1" ht="16.2" thickBot="1" x14ac:dyDescent="0.35">
      <c r="A52" s="643" t="s">
        <v>1035</v>
      </c>
      <c r="B52" s="616"/>
      <c r="C52" s="57"/>
      <c r="D52" s="57"/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  <c r="P52" s="618"/>
      <c r="Q52" s="618"/>
      <c r="R52" s="620"/>
      <c r="S52" s="620"/>
      <c r="T52" s="620"/>
      <c r="U52" s="620"/>
      <c r="V52" s="870"/>
    </row>
    <row r="204" spans="1:22" s="614" customFormat="1" x14ac:dyDescent="0.25">
      <c r="A204" s="615"/>
      <c r="B204" s="615"/>
      <c r="C204" s="615"/>
      <c r="D204" s="56"/>
      <c r="E204" s="56"/>
      <c r="F204" s="56"/>
      <c r="G204" s="56"/>
      <c r="H204" s="56"/>
      <c r="I204" s="56"/>
      <c r="J204" s="56"/>
      <c r="K204" s="615"/>
      <c r="L204" s="615"/>
      <c r="M204" s="615"/>
      <c r="N204" s="615"/>
      <c r="O204" s="615"/>
      <c r="P204" s="615"/>
      <c r="Q204" s="615"/>
      <c r="R204" s="615"/>
      <c r="S204" s="615"/>
      <c r="T204" s="615"/>
      <c r="U204" s="615"/>
      <c r="V204" s="613"/>
    </row>
    <row r="205" spans="1:22" s="614" customFormat="1" x14ac:dyDescent="0.25">
      <c r="A205" s="615"/>
      <c r="B205" s="615"/>
      <c r="C205" s="615"/>
      <c r="D205" s="56"/>
      <c r="E205" s="56"/>
      <c r="F205" s="56"/>
      <c r="G205" s="56"/>
      <c r="H205" s="56"/>
      <c r="I205" s="56"/>
      <c r="J205" s="56"/>
      <c r="K205" s="615"/>
      <c r="L205" s="615"/>
      <c r="M205" s="615"/>
      <c r="N205" s="615"/>
      <c r="O205" s="615"/>
      <c r="P205" s="615"/>
      <c r="Q205" s="615"/>
      <c r="R205" s="615"/>
      <c r="S205" s="615"/>
      <c r="T205" s="615"/>
      <c r="U205" s="615"/>
      <c r="V205" s="613"/>
    </row>
    <row r="262" spans="23:24" x14ac:dyDescent="0.25">
      <c r="W262" s="613"/>
      <c r="X262" s="613"/>
    </row>
  </sheetData>
  <mergeCells count="1">
    <mergeCell ref="A5:I5"/>
  </mergeCells>
  <pageMargins left="0.25" right="0.25" top="0.75" bottom="0.75" header="0.3" footer="0.3"/>
  <pageSetup scale="95" fitToHeight="0" orientation="portrait" horizontalDpi="4294967293" verticalDpi="4294967293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8"/>
  <dimension ref="A1:U206"/>
  <sheetViews>
    <sheetView tabSelected="1" zoomScaleSheetLayoutView="100" workbookViewId="0">
      <selection activeCell="B1" sqref="B1"/>
    </sheetView>
  </sheetViews>
  <sheetFormatPr defaultColWidth="8.88671875" defaultRowHeight="15" x14ac:dyDescent="0.25"/>
  <cols>
    <col min="1" max="1" width="8.88671875" style="673"/>
    <col min="2" max="2" width="34.33203125" style="673" customWidth="1"/>
    <col min="3" max="3" width="9.33203125" style="673" bestFit="1" customWidth="1"/>
    <col min="4" max="4" width="15.88671875" style="673" customWidth="1"/>
    <col min="5" max="11" width="0" style="673" hidden="1" customWidth="1"/>
    <col min="12" max="12" width="17.88671875" style="673" hidden="1" customWidth="1"/>
    <col min="13" max="13" width="2.109375" style="673" hidden="1" customWidth="1"/>
    <col min="14" max="14" width="3.109375" style="673" hidden="1" customWidth="1"/>
    <col min="15" max="15" width="13.6640625" style="673" hidden="1" customWidth="1"/>
    <col min="16" max="16" width="17.6640625" style="673" hidden="1" customWidth="1"/>
    <col min="17" max="17" width="14.33203125" style="673" hidden="1" customWidth="1"/>
    <col min="18" max="18" width="13.6640625" style="673" hidden="1" customWidth="1"/>
    <col min="19" max="19" width="14.33203125" style="673" hidden="1" customWidth="1"/>
    <col min="20" max="20" width="15.33203125" style="673" customWidth="1"/>
    <col min="21" max="21" width="13.88671875" style="673" customWidth="1"/>
    <col min="22" max="16384" width="8.88671875" style="673"/>
  </cols>
  <sheetData>
    <row r="1" spans="1:21" s="622" customFormat="1" ht="16.2" thickBot="1" x14ac:dyDescent="0.35">
      <c r="B1" s="622" t="s">
        <v>1076</v>
      </c>
    </row>
    <row r="2" spans="1:21" ht="15.6" x14ac:dyDescent="0.3">
      <c r="A2" s="965"/>
      <c r="B2" s="966"/>
      <c r="C2" s="966"/>
      <c r="D2" s="966"/>
      <c r="E2" s="966"/>
      <c r="F2" s="966"/>
      <c r="G2" s="966"/>
      <c r="H2" s="966"/>
      <c r="I2" s="967"/>
      <c r="J2" s="623" t="s">
        <v>378</v>
      </c>
      <c r="K2" s="623" t="s">
        <v>378</v>
      </c>
      <c r="L2" s="624" t="s">
        <v>378</v>
      </c>
      <c r="M2" s="623" t="s">
        <v>378</v>
      </c>
      <c r="N2" s="624" t="s">
        <v>378</v>
      </c>
      <c r="O2" s="625" t="s">
        <v>527</v>
      </c>
      <c r="P2" s="624" t="s">
        <v>527</v>
      </c>
      <c r="Q2" s="624" t="s">
        <v>527</v>
      </c>
      <c r="R2" s="624" t="s">
        <v>527</v>
      </c>
      <c r="S2" s="624" t="s">
        <v>527</v>
      </c>
      <c r="T2" s="624" t="s">
        <v>527</v>
      </c>
      <c r="U2" s="624" t="s">
        <v>527</v>
      </c>
    </row>
    <row r="3" spans="1:21" ht="15.6" x14ac:dyDescent="0.3">
      <c r="A3" s="627"/>
      <c r="B3" s="628"/>
      <c r="C3" s="628"/>
      <c r="D3" s="629"/>
      <c r="E3" s="629"/>
      <c r="F3" s="629"/>
      <c r="G3" s="629"/>
      <c r="H3" s="629"/>
      <c r="I3" s="629"/>
      <c r="J3" s="629"/>
      <c r="K3" s="628"/>
      <c r="L3" s="630"/>
      <c r="M3" s="631"/>
      <c r="N3" s="631"/>
      <c r="O3" s="632"/>
      <c r="P3" s="633" t="s">
        <v>947</v>
      </c>
      <c r="Q3" s="633" t="s">
        <v>947</v>
      </c>
      <c r="R3" s="633" t="s">
        <v>1038</v>
      </c>
      <c r="S3" s="633" t="s">
        <v>1038</v>
      </c>
      <c r="T3" s="633" t="s">
        <v>1038</v>
      </c>
      <c r="U3" s="633" t="s">
        <v>1038</v>
      </c>
    </row>
    <row r="4" spans="1:21" ht="16.2" x14ac:dyDescent="0.35">
      <c r="A4" s="627"/>
      <c r="B4" s="634"/>
      <c r="C4" s="634"/>
      <c r="D4" s="635"/>
      <c r="E4" s="636" t="s">
        <v>28</v>
      </c>
      <c r="F4" s="637"/>
      <c r="G4" s="636" t="s">
        <v>30</v>
      </c>
      <c r="H4" s="637"/>
      <c r="I4" s="636" t="s">
        <v>31</v>
      </c>
      <c r="J4" s="636" t="s">
        <v>32</v>
      </c>
      <c r="K4" s="636" t="s">
        <v>178</v>
      </c>
      <c r="L4" s="638" t="s">
        <v>179</v>
      </c>
      <c r="M4" s="639" t="s">
        <v>240</v>
      </c>
      <c r="N4" s="639" t="s">
        <v>245</v>
      </c>
      <c r="O4" s="640" t="s">
        <v>257</v>
      </c>
      <c r="P4" s="638" t="s">
        <v>382</v>
      </c>
      <c r="Q4" s="641" t="s">
        <v>407</v>
      </c>
      <c r="R4" s="642" t="s">
        <v>414</v>
      </c>
      <c r="S4" s="642" t="s">
        <v>530</v>
      </c>
      <c r="T4" s="642" t="s">
        <v>886</v>
      </c>
      <c r="U4" s="642" t="s">
        <v>1063</v>
      </c>
    </row>
    <row r="5" spans="1:21" ht="16.8" thickBot="1" x14ac:dyDescent="0.4">
      <c r="A5" s="643"/>
      <c r="B5" s="644"/>
      <c r="C5" s="644"/>
      <c r="D5" s="645"/>
      <c r="E5" s="646" t="s">
        <v>201</v>
      </c>
      <c r="F5" s="646"/>
      <c r="G5" s="646" t="s">
        <v>201</v>
      </c>
      <c r="H5" s="646"/>
      <c r="I5" s="646" t="s">
        <v>201</v>
      </c>
      <c r="J5" s="646" t="s">
        <v>201</v>
      </c>
      <c r="K5" s="646" t="s">
        <v>201</v>
      </c>
      <c r="L5" s="647" t="s">
        <v>201</v>
      </c>
      <c r="M5" s="648" t="s">
        <v>201</v>
      </c>
      <c r="N5" s="648" t="s">
        <v>201</v>
      </c>
      <c r="O5" s="649" t="s">
        <v>201</v>
      </c>
      <c r="P5" s="647" t="s">
        <v>201</v>
      </c>
      <c r="Q5" s="650" t="s">
        <v>201</v>
      </c>
      <c r="R5" s="647" t="s">
        <v>201</v>
      </c>
      <c r="S5" s="647" t="s">
        <v>201</v>
      </c>
      <c r="T5" s="647" t="s">
        <v>201</v>
      </c>
      <c r="U5" s="647" t="s">
        <v>201</v>
      </c>
    </row>
    <row r="6" spans="1:21" ht="16.2" thickBot="1" x14ac:dyDescent="0.35">
      <c r="A6" s="744">
        <v>2</v>
      </c>
      <c r="B6" s="652" t="s">
        <v>962</v>
      </c>
      <c r="C6" s="653"/>
      <c r="D6" s="654"/>
      <c r="E6" s="675"/>
      <c r="F6" s="655"/>
      <c r="G6" s="675"/>
      <c r="H6" s="655"/>
      <c r="I6" s="675"/>
      <c r="J6" s="745"/>
      <c r="K6" s="746"/>
      <c r="L6" s="691"/>
      <c r="M6" s="692"/>
      <c r="N6" s="692"/>
      <c r="O6" s="693"/>
      <c r="P6" s="691"/>
      <c r="Q6" s="691"/>
      <c r="R6" s="660"/>
      <c r="S6" s="660"/>
      <c r="T6" s="660"/>
      <c r="U6" s="660"/>
    </row>
    <row r="7" spans="1:21" ht="15.6" x14ac:dyDescent="0.3">
      <c r="A7" s="627"/>
      <c r="B7" s="662"/>
      <c r="C7" s="628"/>
      <c r="D7" s="629"/>
      <c r="E7" s="667"/>
      <c r="F7" s="635"/>
      <c r="G7" s="667"/>
      <c r="H7" s="635"/>
      <c r="I7" s="667"/>
      <c r="J7" s="747"/>
      <c r="K7" s="748"/>
      <c r="L7" s="670"/>
      <c r="M7" s="671"/>
      <c r="N7" s="671"/>
      <c r="O7" s="672"/>
      <c r="P7" s="670"/>
      <c r="Q7" s="670"/>
      <c r="R7" s="666"/>
      <c r="S7" s="666"/>
      <c r="T7" s="666"/>
      <c r="U7" s="666"/>
    </row>
    <row r="8" spans="1:21" ht="15.6" x14ac:dyDescent="0.3">
      <c r="A8" s="627"/>
      <c r="B8" s="629" t="s">
        <v>952</v>
      </c>
      <c r="C8" s="628"/>
      <c r="D8" s="629"/>
      <c r="E8" s="635"/>
      <c r="F8" s="635"/>
      <c r="G8" s="635"/>
      <c r="H8" s="635"/>
      <c r="I8" s="635"/>
      <c r="J8" s="635"/>
      <c r="K8" s="634"/>
      <c r="L8" s="663"/>
      <c r="M8" s="664"/>
      <c r="N8" s="664"/>
      <c r="O8" s="665"/>
      <c r="P8" s="663"/>
      <c r="Q8" s="663">
        <f>(P8*0.06)+P8</f>
        <v>0</v>
      </c>
      <c r="R8" s="666"/>
      <c r="S8" s="666"/>
      <c r="T8" s="666"/>
      <c r="U8" s="666"/>
    </row>
    <row r="9" spans="1:21" ht="15.6" x14ac:dyDescent="0.3">
      <c r="B9" s="628" t="s">
        <v>943</v>
      </c>
      <c r="P9" s="720">
        <v>0</v>
      </c>
      <c r="Q9" s="720">
        <v>0</v>
      </c>
      <c r="R9" s="872">
        <v>72.010000000000005</v>
      </c>
      <c r="S9" s="724">
        <f>+R9*1.0764</f>
        <v>77.511564000000007</v>
      </c>
      <c r="T9" s="724">
        <v>78.290000000000006</v>
      </c>
      <c r="U9" s="724">
        <f>+T9*1.0684</f>
        <v>83.645036000000005</v>
      </c>
    </row>
    <row r="10" spans="1:21" ht="15.6" x14ac:dyDescent="0.3">
      <c r="B10" s="628" t="s">
        <v>1041</v>
      </c>
      <c r="P10" s="720"/>
      <c r="Q10" s="720"/>
      <c r="R10" s="872"/>
      <c r="S10" s="724"/>
      <c r="T10" s="724">
        <v>76.13</v>
      </c>
      <c r="U10" s="724">
        <v>81.62</v>
      </c>
    </row>
    <row r="11" spans="1:21" ht="15.6" x14ac:dyDescent="0.3">
      <c r="B11" s="626" t="s">
        <v>1065</v>
      </c>
      <c r="P11" s="720">
        <v>0</v>
      </c>
      <c r="Q11" s="720">
        <v>0</v>
      </c>
      <c r="R11" s="873">
        <v>79</v>
      </c>
      <c r="S11" s="724">
        <f>+R11*1.066</f>
        <v>84.213999999999999</v>
      </c>
      <c r="T11" s="724">
        <v>85.06</v>
      </c>
      <c r="U11" s="724">
        <f t="shared" ref="U11:U14" si="0">+T11*1.0684</f>
        <v>90.878104000000008</v>
      </c>
    </row>
    <row r="12" spans="1:21" ht="15.6" x14ac:dyDescent="0.3">
      <c r="B12" s="626" t="s">
        <v>1066</v>
      </c>
      <c r="P12" s="720">
        <v>0</v>
      </c>
      <c r="Q12" s="720">
        <v>0</v>
      </c>
      <c r="R12" s="873">
        <v>93</v>
      </c>
      <c r="S12" s="724">
        <f>+R12*1.076</f>
        <v>100.06800000000001</v>
      </c>
      <c r="T12" s="724">
        <v>101.07</v>
      </c>
      <c r="U12" s="724">
        <f t="shared" si="0"/>
        <v>107.983188</v>
      </c>
    </row>
    <row r="13" spans="1:21" ht="15.6" x14ac:dyDescent="0.3">
      <c r="B13" s="626" t="s">
        <v>1067</v>
      </c>
      <c r="P13" s="720">
        <v>0</v>
      </c>
      <c r="Q13" s="720">
        <v>0</v>
      </c>
      <c r="R13" s="873">
        <v>134</v>
      </c>
      <c r="S13" s="724">
        <f>+R13*1.076</f>
        <v>144.184</v>
      </c>
      <c r="T13" s="724">
        <v>145.68</v>
      </c>
      <c r="U13" s="724">
        <f t="shared" si="0"/>
        <v>155.64451200000002</v>
      </c>
    </row>
    <row r="14" spans="1:21" ht="15.6" x14ac:dyDescent="0.3">
      <c r="B14" s="626" t="s">
        <v>1068</v>
      </c>
      <c r="P14" s="674"/>
      <c r="Q14" s="674"/>
      <c r="R14" s="873">
        <v>160</v>
      </c>
      <c r="S14" s="724">
        <f>+R14*1.076</f>
        <v>172.16000000000003</v>
      </c>
      <c r="T14" s="724">
        <v>173.95</v>
      </c>
      <c r="U14" s="724">
        <f t="shared" si="0"/>
        <v>185.84817999999999</v>
      </c>
    </row>
    <row r="15" spans="1:21" ht="15.6" x14ac:dyDescent="0.3">
      <c r="B15" s="626"/>
      <c r="P15" s="674"/>
      <c r="Q15" s="674"/>
      <c r="R15" s="674"/>
      <c r="S15" s="674"/>
      <c r="T15" s="674"/>
      <c r="U15" s="674"/>
    </row>
    <row r="16" spans="1:21" ht="15.6" x14ac:dyDescent="0.3">
      <c r="B16" s="622" t="s">
        <v>953</v>
      </c>
      <c r="P16" s="674"/>
      <c r="Q16" s="674"/>
      <c r="R16" s="674"/>
      <c r="S16" s="674"/>
      <c r="T16" s="674"/>
      <c r="U16" s="674"/>
    </row>
    <row r="17" spans="2:21" ht="15.6" x14ac:dyDescent="0.3">
      <c r="B17" s="622"/>
      <c r="P17" s="674"/>
      <c r="Q17" s="674"/>
      <c r="R17" s="720"/>
      <c r="S17" s="720"/>
      <c r="T17" s="720"/>
      <c r="U17" s="720"/>
    </row>
    <row r="18" spans="2:21" ht="15.6" x14ac:dyDescent="0.3">
      <c r="B18" s="622" t="s">
        <v>943</v>
      </c>
      <c r="P18" s="674"/>
      <c r="Q18" s="674"/>
      <c r="R18" s="866">
        <v>96.93</v>
      </c>
      <c r="S18" s="866">
        <f>+R18*1.0764</f>
        <v>104.335452</v>
      </c>
      <c r="T18" s="866">
        <v>105.38</v>
      </c>
      <c r="U18" s="866">
        <f t="shared" ref="U18:U22" si="1">+T18*1.0684</f>
        <v>112.587992</v>
      </c>
    </row>
    <row r="19" spans="2:21" ht="15.6" x14ac:dyDescent="0.3">
      <c r="B19" s="626" t="s">
        <v>1065</v>
      </c>
      <c r="P19" s="720">
        <v>0</v>
      </c>
      <c r="Q19" s="720">
        <v>0</v>
      </c>
      <c r="R19" s="866">
        <v>72</v>
      </c>
      <c r="S19" s="866">
        <f>+R19*1.066</f>
        <v>76.75200000000001</v>
      </c>
      <c r="T19" s="866">
        <v>77.52</v>
      </c>
      <c r="U19" s="866">
        <f t="shared" si="1"/>
        <v>82.822367999999997</v>
      </c>
    </row>
    <row r="20" spans="2:21" ht="15.6" x14ac:dyDescent="0.3">
      <c r="B20" s="626" t="s">
        <v>1066</v>
      </c>
      <c r="P20" s="720">
        <v>0</v>
      </c>
      <c r="Q20" s="720">
        <v>0</v>
      </c>
      <c r="R20" s="866">
        <v>93</v>
      </c>
      <c r="S20" s="866">
        <f>+R20*1.076</f>
        <v>100.06800000000001</v>
      </c>
      <c r="T20" s="866">
        <v>101.07</v>
      </c>
      <c r="U20" s="866">
        <f t="shared" si="1"/>
        <v>107.983188</v>
      </c>
    </row>
    <row r="21" spans="2:21" ht="15.6" x14ac:dyDescent="0.3">
      <c r="B21" s="626" t="s">
        <v>1067</v>
      </c>
      <c r="P21" s="720">
        <v>0</v>
      </c>
      <c r="Q21" s="720">
        <v>0</v>
      </c>
      <c r="R21" s="866">
        <v>134</v>
      </c>
      <c r="S21" s="866">
        <f>+R21*1.076</f>
        <v>144.184</v>
      </c>
      <c r="T21" s="866">
        <v>145.68</v>
      </c>
      <c r="U21" s="866">
        <f t="shared" si="1"/>
        <v>155.64451200000002</v>
      </c>
    </row>
    <row r="22" spans="2:21" ht="15.6" x14ac:dyDescent="0.3">
      <c r="B22" s="626" t="s">
        <v>1068</v>
      </c>
      <c r="P22" s="720">
        <v>0</v>
      </c>
      <c r="Q22" s="720">
        <v>0</v>
      </c>
      <c r="R22" s="866">
        <v>160</v>
      </c>
      <c r="S22" s="866">
        <f>+R22*1.076</f>
        <v>172.16000000000003</v>
      </c>
      <c r="T22" s="866">
        <v>173.95</v>
      </c>
      <c r="U22" s="866">
        <f t="shared" si="1"/>
        <v>185.84817999999999</v>
      </c>
    </row>
    <row r="23" spans="2:21" ht="15.6" x14ac:dyDescent="0.3">
      <c r="P23" s="674"/>
      <c r="Q23" s="674"/>
      <c r="R23" s="720"/>
      <c r="S23" s="720"/>
      <c r="T23" s="720"/>
      <c r="U23" s="720"/>
    </row>
    <row r="24" spans="2:21" ht="15.6" x14ac:dyDescent="0.3">
      <c r="B24" s="622" t="s">
        <v>954</v>
      </c>
      <c r="P24" s="674"/>
      <c r="Q24" s="674"/>
      <c r="R24" s="720"/>
      <c r="S24" s="720"/>
      <c r="T24" s="720"/>
      <c r="U24" s="720"/>
    </row>
    <row r="25" spans="2:21" ht="15.6" x14ac:dyDescent="0.3">
      <c r="B25" s="626" t="s">
        <v>955</v>
      </c>
      <c r="P25" s="674"/>
      <c r="Q25" s="674"/>
      <c r="R25" s="720"/>
      <c r="S25" s="720"/>
      <c r="T25" s="720"/>
      <c r="U25" s="720"/>
    </row>
    <row r="26" spans="2:21" ht="15.6" x14ac:dyDescent="0.3">
      <c r="P26" s="674"/>
      <c r="Q26" s="674"/>
      <c r="R26" s="720"/>
      <c r="S26" s="720"/>
      <c r="T26" s="720"/>
      <c r="U26" s="720"/>
    </row>
    <row r="27" spans="2:21" ht="15.6" x14ac:dyDescent="0.3">
      <c r="B27" s="626" t="s">
        <v>943</v>
      </c>
      <c r="P27" s="720">
        <v>0</v>
      </c>
      <c r="Q27" s="720">
        <v>0</v>
      </c>
      <c r="R27" s="720">
        <v>269.26</v>
      </c>
      <c r="S27" s="866">
        <f>+R27*1.0764</f>
        <v>289.83146399999998</v>
      </c>
      <c r="T27" s="866">
        <v>292.73</v>
      </c>
      <c r="U27" s="866">
        <f t="shared" ref="U27:U28" si="2">+T27*1.0684</f>
        <v>312.75273200000004</v>
      </c>
    </row>
    <row r="28" spans="2:21" ht="15.6" x14ac:dyDescent="0.3">
      <c r="B28" s="626" t="s">
        <v>957</v>
      </c>
      <c r="P28" s="720">
        <v>0</v>
      </c>
      <c r="Q28" s="720">
        <v>0</v>
      </c>
      <c r="R28" s="724">
        <v>118.3</v>
      </c>
      <c r="S28" s="867">
        <f>+R28*1.0764</f>
        <v>127.33812</v>
      </c>
      <c r="T28" s="867">
        <v>128.61000000000001</v>
      </c>
      <c r="U28" s="867">
        <f t="shared" si="2"/>
        <v>137.406924</v>
      </c>
    </row>
    <row r="29" spans="2:21" ht="15.6" x14ac:dyDescent="0.3">
      <c r="P29" s="674"/>
      <c r="Q29" s="674"/>
      <c r="R29" s="720"/>
      <c r="S29" s="866"/>
      <c r="T29" s="866"/>
      <c r="U29" s="866"/>
    </row>
    <row r="30" spans="2:21" ht="15.6" x14ac:dyDescent="0.3">
      <c r="B30" s="622" t="s">
        <v>956</v>
      </c>
      <c r="P30" s="674"/>
      <c r="Q30" s="674"/>
      <c r="R30" s="720"/>
      <c r="S30" s="866"/>
      <c r="T30" s="866"/>
      <c r="U30" s="866"/>
    </row>
    <row r="31" spans="2:21" ht="15.6" x14ac:dyDescent="0.3">
      <c r="P31" s="674"/>
      <c r="Q31" s="674"/>
      <c r="R31" s="720"/>
      <c r="S31" s="866"/>
      <c r="T31" s="866"/>
      <c r="U31" s="866"/>
    </row>
    <row r="32" spans="2:21" ht="15.6" x14ac:dyDescent="0.3">
      <c r="B32" s="626" t="s">
        <v>943</v>
      </c>
      <c r="P32" s="720">
        <v>0</v>
      </c>
      <c r="Q32" s="720">
        <v>0</v>
      </c>
      <c r="R32" s="866">
        <v>134.11000000000001</v>
      </c>
      <c r="S32" s="866">
        <f>+R32*1.0764</f>
        <v>144.35600400000001</v>
      </c>
      <c r="T32" s="866">
        <v>145.80000000000001</v>
      </c>
      <c r="U32" s="866">
        <f t="shared" ref="U32:U33" si="3">+T32*1.0684</f>
        <v>155.77272000000002</v>
      </c>
    </row>
    <row r="33" spans="2:21" ht="15.6" x14ac:dyDescent="0.3">
      <c r="B33" s="626" t="s">
        <v>957</v>
      </c>
      <c r="P33" s="720">
        <v>0</v>
      </c>
      <c r="Q33" s="720">
        <v>0</v>
      </c>
      <c r="R33" s="866">
        <v>118.3</v>
      </c>
      <c r="S33" s="866">
        <f>+R33*1.0764</f>
        <v>127.33812</v>
      </c>
      <c r="T33" s="866">
        <v>128.61000000000001</v>
      </c>
      <c r="U33" s="866">
        <f t="shared" si="3"/>
        <v>137.406924</v>
      </c>
    </row>
    <row r="34" spans="2:21" x14ac:dyDescent="0.25">
      <c r="P34" s="674"/>
      <c r="Q34" s="674"/>
      <c r="R34" s="868"/>
      <c r="S34" s="868"/>
      <c r="T34" s="868"/>
      <c r="U34" s="868"/>
    </row>
    <row r="35" spans="2:21" ht="15.6" x14ac:dyDescent="0.3">
      <c r="B35" s="622" t="s">
        <v>958</v>
      </c>
      <c r="P35" s="674"/>
      <c r="Q35" s="674"/>
      <c r="R35" s="868"/>
      <c r="S35" s="868"/>
      <c r="T35" s="868"/>
      <c r="U35" s="868"/>
    </row>
    <row r="36" spans="2:21" ht="15.6" x14ac:dyDescent="0.3">
      <c r="B36" s="626"/>
      <c r="P36" s="674"/>
      <c r="Q36" s="674"/>
      <c r="R36" s="868"/>
      <c r="S36" s="868"/>
      <c r="T36" s="868"/>
      <c r="U36" s="868"/>
    </row>
    <row r="37" spans="2:21" ht="15.6" x14ac:dyDescent="0.3">
      <c r="B37" s="626" t="s">
        <v>943</v>
      </c>
      <c r="P37" s="720">
        <v>0</v>
      </c>
      <c r="Q37" s="720">
        <v>0</v>
      </c>
      <c r="R37" s="866">
        <v>280</v>
      </c>
      <c r="S37" s="866">
        <f>+R37*1.0764</f>
        <v>301.392</v>
      </c>
      <c r="T37" s="866">
        <v>304.41000000000003</v>
      </c>
      <c r="U37" s="866">
        <f t="shared" ref="U37:U38" si="4">+T37*1.0684</f>
        <v>325.23164400000002</v>
      </c>
    </row>
    <row r="38" spans="2:21" ht="15.6" x14ac:dyDescent="0.3">
      <c r="B38" s="626" t="s">
        <v>957</v>
      </c>
      <c r="P38" s="720">
        <v>0</v>
      </c>
      <c r="Q38" s="720">
        <v>0</v>
      </c>
      <c r="R38" s="866">
        <v>136</v>
      </c>
      <c r="S38" s="866">
        <f>+R38*1.0764</f>
        <v>146.3904</v>
      </c>
      <c r="T38" s="866">
        <v>147.85</v>
      </c>
      <c r="U38" s="866">
        <f t="shared" si="4"/>
        <v>157.96294</v>
      </c>
    </row>
    <row r="39" spans="2:21" ht="15.6" x14ac:dyDescent="0.3">
      <c r="B39" s="626"/>
      <c r="P39" s="674"/>
      <c r="Q39" s="674"/>
      <c r="R39" s="674"/>
      <c r="S39" s="868"/>
      <c r="T39" s="868"/>
      <c r="U39" s="868"/>
    </row>
    <row r="40" spans="2:21" ht="15.6" x14ac:dyDescent="0.3">
      <c r="B40" s="629" t="s">
        <v>1074</v>
      </c>
      <c r="P40" s="674"/>
      <c r="Q40" s="674"/>
      <c r="R40" s="674"/>
      <c r="S40" s="868"/>
      <c r="T40" s="868"/>
      <c r="U40" s="868"/>
    </row>
    <row r="41" spans="2:21" x14ac:dyDescent="0.25">
      <c r="P41" s="674"/>
      <c r="Q41" s="674"/>
      <c r="R41" s="674"/>
      <c r="S41" s="868"/>
      <c r="T41" s="868"/>
      <c r="U41" s="868"/>
    </row>
    <row r="42" spans="2:21" ht="15.6" x14ac:dyDescent="0.3">
      <c r="B42" s="626" t="s">
        <v>943</v>
      </c>
      <c r="P42" s="720">
        <v>0</v>
      </c>
      <c r="Q42" s="720">
        <v>0</v>
      </c>
      <c r="R42" s="866">
        <v>446.29</v>
      </c>
      <c r="S42" s="866">
        <f>+R42*1.0764</f>
        <v>480.38655600000004</v>
      </c>
      <c r="T42" s="866">
        <v>485.19</v>
      </c>
      <c r="U42" s="866">
        <f t="shared" ref="U42:U44" si="5">+T42*1.0684</f>
        <v>518.37699599999996</v>
      </c>
    </row>
    <row r="43" spans="2:21" ht="15.6" x14ac:dyDescent="0.3">
      <c r="B43" s="626" t="s">
        <v>959</v>
      </c>
      <c r="P43" s="720">
        <v>0</v>
      </c>
      <c r="Q43" s="720">
        <v>0</v>
      </c>
      <c r="R43" s="866">
        <v>75</v>
      </c>
      <c r="S43" s="866">
        <f>+R43*1.0764</f>
        <v>80.73</v>
      </c>
      <c r="T43" s="866">
        <v>81.540000000000006</v>
      </c>
      <c r="U43" s="866">
        <f t="shared" si="5"/>
        <v>87.117336000000009</v>
      </c>
    </row>
    <row r="44" spans="2:21" ht="15.6" x14ac:dyDescent="0.3">
      <c r="B44" s="626" t="s">
        <v>960</v>
      </c>
      <c r="P44" s="720">
        <v>0</v>
      </c>
      <c r="Q44" s="720">
        <v>0</v>
      </c>
      <c r="R44" s="866">
        <v>165</v>
      </c>
      <c r="S44" s="866">
        <f>+R44*1.0764</f>
        <v>177.60599999999999</v>
      </c>
      <c r="T44" s="866">
        <v>179.38</v>
      </c>
      <c r="U44" s="866">
        <f t="shared" si="5"/>
        <v>191.64959199999998</v>
      </c>
    </row>
    <row r="45" spans="2:21" x14ac:dyDescent="0.25">
      <c r="P45" s="674"/>
      <c r="Q45" s="674"/>
      <c r="R45" s="674"/>
      <c r="S45" s="868"/>
      <c r="T45" s="868"/>
      <c r="U45" s="868"/>
    </row>
    <row r="46" spans="2:21" ht="15.6" x14ac:dyDescent="0.3">
      <c r="B46" s="622" t="s">
        <v>961</v>
      </c>
      <c r="P46" s="674"/>
      <c r="Q46" s="674"/>
      <c r="R46" s="674"/>
      <c r="S46" s="868"/>
      <c r="T46" s="868"/>
      <c r="U46" s="868"/>
    </row>
    <row r="47" spans="2:21" x14ac:dyDescent="0.25">
      <c r="P47" s="674"/>
      <c r="Q47" s="674"/>
      <c r="R47" s="674"/>
      <c r="S47" s="868"/>
      <c r="T47" s="868"/>
      <c r="U47" s="868"/>
    </row>
    <row r="48" spans="2:21" ht="15.6" x14ac:dyDescent="0.3">
      <c r="B48" s="622" t="s">
        <v>963</v>
      </c>
      <c r="P48" s="674"/>
      <c r="Q48" s="674"/>
      <c r="R48" s="674"/>
      <c r="S48" s="868"/>
      <c r="T48" s="868"/>
      <c r="U48" s="868"/>
    </row>
    <row r="49" spans="2:21" x14ac:dyDescent="0.25">
      <c r="P49" s="674"/>
      <c r="Q49" s="674"/>
      <c r="R49" s="674"/>
      <c r="S49" s="868"/>
      <c r="T49" s="868"/>
      <c r="U49" s="868"/>
    </row>
    <row r="50" spans="2:21" ht="15.6" x14ac:dyDescent="0.3">
      <c r="B50" s="626" t="s">
        <v>1045</v>
      </c>
      <c r="C50" s="626"/>
      <c r="D50" s="626"/>
      <c r="E50" s="626"/>
      <c r="F50" s="626"/>
      <c r="G50" s="626"/>
      <c r="H50" s="626"/>
      <c r="I50" s="626"/>
      <c r="J50" s="626"/>
      <c r="K50" s="626"/>
      <c r="L50" s="626"/>
      <c r="M50" s="626"/>
      <c r="N50" s="626"/>
      <c r="O50" s="626"/>
      <c r="P50" s="720">
        <v>0</v>
      </c>
      <c r="Q50" s="720">
        <v>0</v>
      </c>
      <c r="R50" s="720">
        <v>1003.84</v>
      </c>
      <c r="S50" s="866">
        <f>+R50*1.0764</f>
        <v>1080.5333760000001</v>
      </c>
      <c r="T50" s="866">
        <v>1091.3399999999999</v>
      </c>
      <c r="U50" s="866">
        <f t="shared" ref="U50:U52" si="6">+T50*1.0684</f>
        <v>1165.987656</v>
      </c>
    </row>
    <row r="51" spans="2:21" ht="15.6" x14ac:dyDescent="0.3">
      <c r="B51" s="626" t="s">
        <v>964</v>
      </c>
      <c r="C51" s="626"/>
      <c r="D51" s="626"/>
      <c r="E51" s="626"/>
      <c r="F51" s="626"/>
      <c r="G51" s="626"/>
      <c r="H51" s="626"/>
      <c r="I51" s="626"/>
      <c r="J51" s="626"/>
      <c r="K51" s="626"/>
      <c r="L51" s="626"/>
      <c r="M51" s="626"/>
      <c r="N51" s="626"/>
      <c r="O51" s="626"/>
      <c r="P51" s="720">
        <v>0</v>
      </c>
      <c r="Q51" s="720">
        <v>0</v>
      </c>
      <c r="R51" s="720">
        <v>69.23</v>
      </c>
      <c r="S51" s="866">
        <f>+R51*1.0764</f>
        <v>74.519172000000012</v>
      </c>
      <c r="T51" s="866">
        <v>75.260000000000005</v>
      </c>
      <c r="U51" s="866">
        <f t="shared" si="6"/>
        <v>80.407784000000007</v>
      </c>
    </row>
    <row r="52" spans="2:21" ht="15.6" x14ac:dyDescent="0.3">
      <c r="B52" s="626" t="s">
        <v>960</v>
      </c>
      <c r="C52" s="626"/>
      <c r="D52" s="626"/>
      <c r="E52" s="626"/>
      <c r="F52" s="626"/>
      <c r="G52" s="626"/>
      <c r="H52" s="626"/>
      <c r="I52" s="626"/>
      <c r="J52" s="626"/>
      <c r="K52" s="626"/>
      <c r="L52" s="626"/>
      <c r="M52" s="626"/>
      <c r="N52" s="626"/>
      <c r="O52" s="626"/>
      <c r="P52" s="720">
        <v>0</v>
      </c>
      <c r="Q52" s="720">
        <v>0</v>
      </c>
      <c r="R52" s="720">
        <v>190.37</v>
      </c>
      <c r="S52" s="866">
        <f>+R52*1.0764</f>
        <v>204.91426800000002</v>
      </c>
      <c r="T52" s="866">
        <v>206.96</v>
      </c>
      <c r="U52" s="866">
        <f t="shared" si="6"/>
        <v>221.11606400000002</v>
      </c>
    </row>
    <row r="53" spans="2:21" ht="15.6" x14ac:dyDescent="0.3">
      <c r="B53" s="626"/>
      <c r="C53" s="626"/>
      <c r="D53" s="626"/>
      <c r="E53" s="626"/>
      <c r="F53" s="626"/>
      <c r="G53" s="626"/>
      <c r="H53" s="626"/>
      <c r="I53" s="626"/>
      <c r="J53" s="626"/>
      <c r="K53" s="626"/>
      <c r="L53" s="626"/>
      <c r="M53" s="626"/>
      <c r="N53" s="626"/>
      <c r="O53" s="626"/>
      <c r="P53" s="720"/>
      <c r="Q53" s="720"/>
      <c r="R53" s="720"/>
      <c r="S53" s="866"/>
      <c r="T53" s="866"/>
      <c r="U53" s="866"/>
    </row>
    <row r="54" spans="2:21" ht="15.6" x14ac:dyDescent="0.3">
      <c r="B54" s="622" t="s">
        <v>965</v>
      </c>
      <c r="P54" s="674"/>
      <c r="Q54" s="674"/>
      <c r="R54" s="674"/>
      <c r="S54" s="868"/>
      <c r="T54" s="868"/>
      <c r="U54" s="868"/>
    </row>
    <row r="55" spans="2:21" x14ac:dyDescent="0.25">
      <c r="P55" s="674"/>
      <c r="Q55" s="674"/>
      <c r="R55" s="674"/>
      <c r="S55" s="868"/>
      <c r="T55" s="868"/>
      <c r="U55" s="868"/>
    </row>
    <row r="56" spans="2:21" ht="15.6" x14ac:dyDescent="0.3">
      <c r="B56" s="626" t="s">
        <v>943</v>
      </c>
      <c r="P56" s="720">
        <v>0</v>
      </c>
      <c r="Q56" s="720">
        <v>0</v>
      </c>
      <c r="R56" s="866">
        <v>617.6</v>
      </c>
      <c r="S56" s="866">
        <f>+R56*1.0764</f>
        <v>664.78464000000008</v>
      </c>
      <c r="T56" s="866">
        <v>671.43</v>
      </c>
      <c r="U56" s="866">
        <f t="shared" ref="U56:U58" si="7">+T56*1.0684</f>
        <v>717.3558119999999</v>
      </c>
    </row>
    <row r="57" spans="2:21" ht="15.6" x14ac:dyDescent="0.3">
      <c r="B57" s="626" t="s">
        <v>964</v>
      </c>
      <c r="P57" s="720">
        <v>0</v>
      </c>
      <c r="Q57" s="720">
        <v>0</v>
      </c>
      <c r="R57" s="866">
        <v>60</v>
      </c>
      <c r="S57" s="866">
        <f>+R57*1.0764</f>
        <v>64.584000000000003</v>
      </c>
      <c r="T57" s="866">
        <v>65.23</v>
      </c>
      <c r="U57" s="866">
        <f t="shared" si="7"/>
        <v>69.691732000000002</v>
      </c>
    </row>
    <row r="58" spans="2:21" ht="15.6" x14ac:dyDescent="0.3">
      <c r="B58" s="626" t="s">
        <v>960</v>
      </c>
      <c r="P58" s="720">
        <v>0</v>
      </c>
      <c r="Q58" s="720">
        <v>0</v>
      </c>
      <c r="R58" s="866">
        <v>196</v>
      </c>
      <c r="S58" s="866">
        <f>+R58*1.0764</f>
        <v>210.9744</v>
      </c>
      <c r="T58" s="866">
        <v>213.08</v>
      </c>
      <c r="U58" s="866">
        <f t="shared" si="7"/>
        <v>227.65467200000001</v>
      </c>
    </row>
    <row r="59" spans="2:21" x14ac:dyDescent="0.25">
      <c r="P59" s="674"/>
      <c r="Q59" s="674"/>
      <c r="R59" s="674"/>
      <c r="S59" s="868"/>
      <c r="T59" s="868"/>
      <c r="U59" s="868"/>
    </row>
    <row r="60" spans="2:21" ht="15.6" x14ac:dyDescent="0.3">
      <c r="B60" s="622" t="s">
        <v>966</v>
      </c>
      <c r="P60" s="674"/>
      <c r="Q60" s="674"/>
      <c r="R60" s="674"/>
      <c r="S60" s="868"/>
      <c r="T60" s="868"/>
      <c r="U60" s="868"/>
    </row>
    <row r="61" spans="2:21" x14ac:dyDescent="0.25">
      <c r="P61" s="674"/>
      <c r="Q61" s="674"/>
      <c r="R61" s="674"/>
      <c r="S61" s="868"/>
      <c r="T61" s="868"/>
      <c r="U61" s="868"/>
    </row>
    <row r="62" spans="2:21" ht="15.6" x14ac:dyDescent="0.3">
      <c r="B62" s="622" t="s">
        <v>967</v>
      </c>
      <c r="P62" s="674"/>
      <c r="Q62" s="674"/>
      <c r="R62" s="674"/>
      <c r="S62" s="868"/>
      <c r="T62" s="868"/>
      <c r="U62" s="868"/>
    </row>
    <row r="63" spans="2:21" ht="15.6" x14ac:dyDescent="0.3">
      <c r="B63" s="622"/>
      <c r="P63" s="674"/>
      <c r="Q63" s="674"/>
      <c r="R63" s="674"/>
      <c r="S63" s="868"/>
      <c r="T63" s="868"/>
      <c r="U63" s="868"/>
    </row>
    <row r="64" spans="2:21" ht="15.6" x14ac:dyDescent="0.3">
      <c r="B64" s="622" t="s">
        <v>968</v>
      </c>
      <c r="P64" s="674"/>
      <c r="Q64" s="674"/>
      <c r="R64" s="674"/>
      <c r="S64" s="868"/>
      <c r="T64" s="868"/>
      <c r="U64" s="868"/>
    </row>
    <row r="65" spans="2:21" x14ac:dyDescent="0.25">
      <c r="P65" s="674"/>
      <c r="Q65" s="674"/>
      <c r="R65" s="674"/>
      <c r="S65" s="868"/>
      <c r="T65" s="868"/>
      <c r="U65" s="868"/>
    </row>
    <row r="66" spans="2:21" ht="15.6" x14ac:dyDescent="0.3">
      <c r="B66" s="626" t="s">
        <v>943</v>
      </c>
      <c r="P66" s="720">
        <v>0</v>
      </c>
      <c r="Q66" s="720">
        <v>0</v>
      </c>
      <c r="R66" s="866">
        <v>178.96</v>
      </c>
      <c r="S66" s="866">
        <f>+R66*1.0764</f>
        <v>192.63254400000002</v>
      </c>
      <c r="T66" s="866">
        <v>194.56</v>
      </c>
      <c r="U66" s="866">
        <f t="shared" ref="U66:U67" si="8">+T66*1.0684</f>
        <v>207.86790400000001</v>
      </c>
    </row>
    <row r="67" spans="2:21" ht="15.6" x14ac:dyDescent="0.3">
      <c r="B67" s="626" t="s">
        <v>969</v>
      </c>
      <c r="P67" s="720">
        <v>0</v>
      </c>
      <c r="Q67" s="720">
        <v>0</v>
      </c>
      <c r="R67" s="866">
        <v>120.4</v>
      </c>
      <c r="S67" s="866">
        <f>+R67*1.0764</f>
        <v>129.59856000000002</v>
      </c>
      <c r="T67" s="866">
        <v>130.88999999999999</v>
      </c>
      <c r="U67" s="866">
        <f t="shared" si="8"/>
        <v>139.84287599999999</v>
      </c>
    </row>
    <row r="68" spans="2:21" x14ac:dyDescent="0.25">
      <c r="P68" s="674"/>
      <c r="Q68" s="674"/>
      <c r="R68" s="674"/>
      <c r="S68" s="868"/>
      <c r="T68" s="868"/>
      <c r="U68" s="868"/>
    </row>
    <row r="69" spans="2:21" ht="15.6" x14ac:dyDescent="0.3">
      <c r="B69" s="622" t="s">
        <v>970</v>
      </c>
      <c r="C69" s="626"/>
      <c r="D69" s="626"/>
      <c r="E69" s="626"/>
      <c r="F69" s="626"/>
      <c r="G69" s="626"/>
      <c r="H69" s="626"/>
      <c r="I69" s="626"/>
      <c r="J69" s="626"/>
      <c r="K69" s="626"/>
      <c r="L69" s="626"/>
      <c r="M69" s="626"/>
      <c r="N69" s="626"/>
      <c r="O69" s="626"/>
      <c r="P69" s="720"/>
      <c r="Q69" s="720"/>
      <c r="R69" s="720"/>
      <c r="S69" s="866"/>
      <c r="T69" s="866"/>
      <c r="U69" s="866"/>
    </row>
    <row r="70" spans="2:21" ht="15.6" x14ac:dyDescent="0.3">
      <c r="B70" s="626"/>
      <c r="C70" s="626"/>
      <c r="D70" s="626"/>
      <c r="E70" s="626"/>
      <c r="F70" s="626"/>
      <c r="G70" s="626"/>
      <c r="H70" s="626"/>
      <c r="I70" s="626"/>
      <c r="J70" s="626"/>
      <c r="K70" s="626"/>
      <c r="L70" s="626"/>
      <c r="M70" s="626"/>
      <c r="N70" s="626"/>
      <c r="O70" s="626"/>
      <c r="P70" s="720"/>
      <c r="Q70" s="720"/>
      <c r="R70" s="720"/>
      <c r="S70" s="866"/>
      <c r="T70" s="866"/>
      <c r="U70" s="866"/>
    </row>
    <row r="71" spans="2:21" ht="15.6" x14ac:dyDescent="0.3">
      <c r="B71" s="626" t="s">
        <v>943</v>
      </c>
      <c r="C71" s="626"/>
      <c r="D71" s="626"/>
      <c r="E71" s="626"/>
      <c r="F71" s="626"/>
      <c r="G71" s="626"/>
      <c r="H71" s="626"/>
      <c r="I71" s="626"/>
      <c r="J71" s="626"/>
      <c r="K71" s="626"/>
      <c r="L71" s="626"/>
      <c r="M71" s="626"/>
      <c r="N71" s="626"/>
      <c r="O71" s="626"/>
      <c r="P71" s="720">
        <v>0</v>
      </c>
      <c r="Q71" s="720">
        <v>0</v>
      </c>
      <c r="R71" s="866">
        <v>178.96</v>
      </c>
      <c r="S71" s="866">
        <f>+R71*1.0764</f>
        <v>192.63254400000002</v>
      </c>
      <c r="T71" s="866">
        <v>194.56</v>
      </c>
      <c r="U71" s="866">
        <f t="shared" ref="U71:U72" si="9">+T71*1.0684</f>
        <v>207.86790400000001</v>
      </c>
    </row>
    <row r="72" spans="2:21" ht="15.6" x14ac:dyDescent="0.3">
      <c r="B72" s="626" t="s">
        <v>969</v>
      </c>
      <c r="C72" s="626"/>
      <c r="D72" s="626"/>
      <c r="E72" s="626"/>
      <c r="F72" s="626"/>
      <c r="G72" s="626"/>
      <c r="H72" s="626"/>
      <c r="I72" s="626"/>
      <c r="J72" s="626"/>
      <c r="K72" s="626"/>
      <c r="L72" s="626"/>
      <c r="M72" s="626"/>
      <c r="N72" s="626"/>
      <c r="O72" s="626"/>
      <c r="P72" s="720">
        <v>0</v>
      </c>
      <c r="Q72" s="720">
        <v>0</v>
      </c>
      <c r="R72" s="866">
        <v>141.6</v>
      </c>
      <c r="S72" s="866">
        <f>+R72*1.0764</f>
        <v>152.41824</v>
      </c>
      <c r="T72" s="866">
        <v>154.27000000000001</v>
      </c>
      <c r="U72" s="866">
        <f t="shared" si="9"/>
        <v>164.822068</v>
      </c>
    </row>
    <row r="73" spans="2:21" ht="15.6" x14ac:dyDescent="0.3">
      <c r="B73" s="626"/>
      <c r="C73" s="626"/>
      <c r="D73" s="626"/>
      <c r="E73" s="626"/>
      <c r="F73" s="626"/>
      <c r="G73" s="626"/>
      <c r="H73" s="626"/>
      <c r="I73" s="626"/>
      <c r="J73" s="626"/>
      <c r="K73" s="626"/>
      <c r="L73" s="626"/>
      <c r="M73" s="626"/>
      <c r="N73" s="626"/>
      <c r="O73" s="626"/>
      <c r="P73" s="720"/>
      <c r="Q73" s="720"/>
      <c r="R73" s="720"/>
      <c r="S73" s="866"/>
      <c r="T73" s="866"/>
      <c r="U73" s="866"/>
    </row>
    <row r="74" spans="2:21" ht="15.6" x14ac:dyDescent="0.3">
      <c r="B74" s="622" t="s">
        <v>971</v>
      </c>
      <c r="C74" s="626"/>
      <c r="D74" s="626"/>
      <c r="E74" s="626"/>
      <c r="F74" s="626"/>
      <c r="G74" s="626"/>
      <c r="H74" s="626"/>
      <c r="I74" s="626"/>
      <c r="J74" s="626"/>
      <c r="K74" s="626"/>
      <c r="L74" s="626"/>
      <c r="M74" s="626"/>
      <c r="N74" s="626"/>
      <c r="O74" s="626"/>
      <c r="P74" s="720"/>
      <c r="Q74" s="720"/>
      <c r="R74" s="720"/>
      <c r="S74" s="866"/>
      <c r="T74" s="866"/>
      <c r="U74" s="866"/>
    </row>
    <row r="75" spans="2:21" x14ac:dyDescent="0.25">
      <c r="P75" s="674"/>
      <c r="Q75" s="674"/>
      <c r="R75" s="674"/>
      <c r="S75" s="868"/>
      <c r="T75" s="868"/>
      <c r="U75" s="868"/>
    </row>
    <row r="76" spans="2:21" ht="15.6" x14ac:dyDescent="0.3">
      <c r="B76" s="622" t="s">
        <v>968</v>
      </c>
      <c r="P76" s="674"/>
      <c r="Q76" s="674"/>
      <c r="R76" s="674"/>
      <c r="S76" s="868"/>
      <c r="T76" s="868"/>
      <c r="U76" s="868"/>
    </row>
    <row r="77" spans="2:21" ht="15.6" x14ac:dyDescent="0.3">
      <c r="B77" s="626"/>
      <c r="P77" s="674"/>
      <c r="Q77" s="674"/>
      <c r="R77" s="674"/>
      <c r="S77" s="868"/>
      <c r="T77" s="868"/>
      <c r="U77" s="868"/>
    </row>
    <row r="78" spans="2:21" ht="15.6" x14ac:dyDescent="0.3">
      <c r="B78" s="626" t="s">
        <v>943</v>
      </c>
      <c r="P78" s="720">
        <v>0</v>
      </c>
      <c r="Q78" s="720">
        <v>0</v>
      </c>
      <c r="R78" s="866">
        <v>400</v>
      </c>
      <c r="S78" s="866">
        <f>+R78*1.0764</f>
        <v>430.56</v>
      </c>
      <c r="T78" s="866">
        <v>434.87</v>
      </c>
      <c r="U78" s="866">
        <f t="shared" ref="U78:U79" si="10">+T78*1.0684</f>
        <v>464.61510800000002</v>
      </c>
    </row>
    <row r="79" spans="2:21" ht="15.6" x14ac:dyDescent="0.3">
      <c r="B79" s="626" t="s">
        <v>969</v>
      </c>
      <c r="P79" s="720">
        <v>0</v>
      </c>
      <c r="Q79" s="720">
        <v>0</v>
      </c>
      <c r="R79" s="866">
        <v>160</v>
      </c>
      <c r="S79" s="866">
        <f>+R79*1.0764</f>
        <v>172.22399999999999</v>
      </c>
      <c r="T79" s="866">
        <v>173.95</v>
      </c>
      <c r="U79" s="866">
        <f t="shared" si="10"/>
        <v>185.84817999999999</v>
      </c>
    </row>
    <row r="80" spans="2:21" ht="15.6" x14ac:dyDescent="0.3">
      <c r="B80" s="626"/>
      <c r="P80" s="674"/>
      <c r="Q80" s="674"/>
      <c r="R80" s="868"/>
      <c r="S80" s="868"/>
      <c r="T80" s="868"/>
      <c r="U80" s="868"/>
    </row>
    <row r="81" spans="1:21" ht="15.6" x14ac:dyDescent="0.3">
      <c r="B81" s="622" t="s">
        <v>970</v>
      </c>
      <c r="P81" s="674"/>
      <c r="Q81" s="674"/>
      <c r="R81" s="868"/>
      <c r="S81" s="868"/>
      <c r="T81" s="868"/>
      <c r="U81" s="868"/>
    </row>
    <row r="82" spans="1:21" x14ac:dyDescent="0.25">
      <c r="P82" s="674"/>
      <c r="Q82" s="674"/>
      <c r="R82" s="868"/>
      <c r="S82" s="868"/>
      <c r="T82" s="868"/>
      <c r="U82" s="868"/>
    </row>
    <row r="83" spans="1:21" ht="15.6" x14ac:dyDescent="0.3">
      <c r="B83" s="626" t="s">
        <v>943</v>
      </c>
      <c r="P83" s="720">
        <v>0</v>
      </c>
      <c r="Q83" s="720">
        <v>0</v>
      </c>
      <c r="R83" s="866">
        <v>400</v>
      </c>
      <c r="S83" s="866">
        <f>+R83*1.0764</f>
        <v>430.56</v>
      </c>
      <c r="T83" s="866">
        <v>434.87</v>
      </c>
      <c r="U83" s="866">
        <f t="shared" ref="U83:U84" si="11">+T83*1.0684</f>
        <v>464.61510800000002</v>
      </c>
    </row>
    <row r="84" spans="1:21" ht="15.6" x14ac:dyDescent="0.3">
      <c r="B84" s="626" t="s">
        <v>969</v>
      </c>
      <c r="P84" s="720">
        <v>0</v>
      </c>
      <c r="Q84" s="720">
        <v>0</v>
      </c>
      <c r="R84" s="866">
        <v>160</v>
      </c>
      <c r="S84" s="866">
        <f>+R84*1.0764</f>
        <v>172.22399999999999</v>
      </c>
      <c r="T84" s="866">
        <v>173.95</v>
      </c>
      <c r="U84" s="866">
        <f t="shared" si="11"/>
        <v>185.84817999999999</v>
      </c>
    </row>
    <row r="85" spans="1:21" x14ac:dyDescent="0.25">
      <c r="P85" s="674"/>
      <c r="Q85" s="674"/>
      <c r="R85" s="674"/>
      <c r="S85" s="674"/>
      <c r="T85" s="674"/>
      <c r="U85" s="674"/>
    </row>
    <row r="86" spans="1:21" ht="15.6" x14ac:dyDescent="0.3">
      <c r="A86" s="886"/>
      <c r="B86" s="884" t="s">
        <v>992</v>
      </c>
      <c r="C86" s="886"/>
      <c r="D86" s="886"/>
      <c r="E86" s="886"/>
      <c r="F86" s="886"/>
      <c r="G86" s="886"/>
      <c r="H86" s="886"/>
      <c r="I86" s="886"/>
      <c r="J86" s="886"/>
      <c r="K86" s="886"/>
      <c r="L86" s="886"/>
      <c r="M86" s="886"/>
      <c r="N86" s="886"/>
      <c r="O86" s="886"/>
      <c r="P86" s="887"/>
      <c r="Q86" s="887"/>
      <c r="R86" s="887"/>
      <c r="S86" s="887"/>
      <c r="T86" s="887"/>
      <c r="U86" s="887"/>
    </row>
    <row r="87" spans="1:21" ht="15.6" x14ac:dyDescent="0.3">
      <c r="A87" s="886"/>
      <c r="B87" s="884"/>
      <c r="C87" s="886"/>
      <c r="D87" s="886"/>
      <c r="E87" s="886"/>
      <c r="F87" s="886"/>
      <c r="G87" s="886"/>
      <c r="H87" s="886"/>
      <c r="I87" s="886"/>
      <c r="J87" s="886"/>
      <c r="K87" s="886"/>
      <c r="L87" s="886"/>
      <c r="M87" s="886"/>
      <c r="N87" s="886"/>
      <c r="O87" s="886"/>
      <c r="P87" s="887"/>
      <c r="Q87" s="887"/>
      <c r="R87" s="887"/>
      <c r="S87" s="887"/>
      <c r="T87" s="887"/>
      <c r="U87" s="887"/>
    </row>
    <row r="88" spans="1:21" ht="15.6" x14ac:dyDescent="0.3">
      <c r="A88" s="886"/>
      <c r="B88" s="876" t="s">
        <v>734</v>
      </c>
      <c r="C88" s="886"/>
      <c r="D88" s="886"/>
      <c r="E88" s="886"/>
      <c r="F88" s="886"/>
      <c r="G88" s="886"/>
      <c r="H88" s="886"/>
      <c r="I88" s="886"/>
      <c r="J88" s="886"/>
      <c r="K88" s="886"/>
      <c r="L88" s="886"/>
      <c r="M88" s="886"/>
      <c r="N88" s="886"/>
      <c r="O88" s="886"/>
      <c r="P88" s="887"/>
      <c r="Q88" s="887"/>
      <c r="R88" s="881">
        <v>899</v>
      </c>
      <c r="S88" s="881">
        <f>+R88*1.0764</f>
        <v>967.68360000000007</v>
      </c>
      <c r="T88" s="881">
        <f>+S88*1.0188</f>
        <v>985.87605168000005</v>
      </c>
      <c r="U88" s="881">
        <f t="shared" ref="U88:U91" si="12">+T88*1.053</f>
        <v>1038.12748241904</v>
      </c>
    </row>
    <row r="89" spans="1:21" ht="15.6" x14ac:dyDescent="0.3">
      <c r="A89" s="886"/>
      <c r="B89" s="876" t="s">
        <v>993</v>
      </c>
      <c r="C89" s="886"/>
      <c r="D89" s="886"/>
      <c r="E89" s="886"/>
      <c r="F89" s="886"/>
      <c r="G89" s="886"/>
      <c r="H89" s="886"/>
      <c r="I89" s="886"/>
      <c r="J89" s="886"/>
      <c r="K89" s="886"/>
      <c r="L89" s="886"/>
      <c r="M89" s="886"/>
      <c r="N89" s="886"/>
      <c r="O89" s="886"/>
      <c r="P89" s="887"/>
      <c r="Q89" s="887"/>
      <c r="R89" s="881">
        <v>1500</v>
      </c>
      <c r="S89" s="881">
        <f>+R89*1.0764</f>
        <v>1614.6000000000001</v>
      </c>
      <c r="T89" s="881">
        <f>+S89*1.0188</f>
        <v>1644.9544800000001</v>
      </c>
      <c r="U89" s="881">
        <f t="shared" si="12"/>
        <v>1732.13706744</v>
      </c>
    </row>
    <row r="90" spans="1:21" ht="15.6" x14ac:dyDescent="0.3">
      <c r="A90" s="886"/>
      <c r="B90" s="876" t="s">
        <v>994</v>
      </c>
      <c r="C90" s="886"/>
      <c r="D90" s="886"/>
      <c r="E90" s="886"/>
      <c r="F90" s="886"/>
      <c r="G90" s="886"/>
      <c r="H90" s="886"/>
      <c r="I90" s="886"/>
      <c r="J90" s="886"/>
      <c r="K90" s="886"/>
      <c r="L90" s="886"/>
      <c r="M90" s="886"/>
      <c r="N90" s="886"/>
      <c r="O90" s="886"/>
      <c r="P90" s="887"/>
      <c r="Q90" s="887"/>
      <c r="R90" s="881">
        <v>3845</v>
      </c>
      <c r="S90" s="881">
        <f>+R90*1.0764</f>
        <v>4138.7579999999998</v>
      </c>
      <c r="T90" s="881">
        <f>+S90*1.0188</f>
        <v>4216.5666503999992</v>
      </c>
      <c r="U90" s="881">
        <f t="shared" si="12"/>
        <v>4440.0446828711993</v>
      </c>
    </row>
    <row r="91" spans="1:21" ht="15.6" x14ac:dyDescent="0.3">
      <c r="A91" s="886"/>
      <c r="B91" s="876" t="s">
        <v>995</v>
      </c>
      <c r="C91" s="886"/>
      <c r="D91" s="886"/>
      <c r="E91" s="886"/>
      <c r="F91" s="886"/>
      <c r="G91" s="886"/>
      <c r="H91" s="886"/>
      <c r="I91" s="886"/>
      <c r="J91" s="886"/>
      <c r="K91" s="886"/>
      <c r="L91" s="886"/>
      <c r="M91" s="886"/>
      <c r="N91" s="886"/>
      <c r="O91" s="886"/>
      <c r="P91" s="887"/>
      <c r="Q91" s="887"/>
      <c r="R91" s="881">
        <v>22000</v>
      </c>
      <c r="S91" s="881">
        <f>+R91*1.0764</f>
        <v>23680.799999999999</v>
      </c>
      <c r="T91" s="881">
        <f>+S91*1.0188</f>
        <v>24125.999039999999</v>
      </c>
      <c r="U91" s="881">
        <f t="shared" si="12"/>
        <v>25404.676989119998</v>
      </c>
    </row>
    <row r="92" spans="1:21" ht="15.6" x14ac:dyDescent="0.3">
      <c r="A92" s="886"/>
      <c r="B92" s="884"/>
      <c r="C92" s="886"/>
      <c r="D92" s="886"/>
      <c r="E92" s="886"/>
      <c r="F92" s="886"/>
      <c r="G92" s="886"/>
      <c r="H92" s="886"/>
      <c r="I92" s="886"/>
      <c r="J92" s="886"/>
      <c r="K92" s="886"/>
      <c r="L92" s="886"/>
      <c r="M92" s="886"/>
      <c r="N92" s="886"/>
      <c r="O92" s="886"/>
      <c r="P92" s="887"/>
      <c r="Q92" s="887"/>
      <c r="R92" s="881"/>
      <c r="S92" s="881"/>
      <c r="T92" s="881"/>
      <c r="U92" s="881"/>
    </row>
    <row r="93" spans="1:21" ht="15.6" x14ac:dyDescent="0.3">
      <c r="A93" s="886"/>
      <c r="B93" s="884" t="s">
        <v>946</v>
      </c>
      <c r="C93" s="886"/>
      <c r="D93" s="886"/>
      <c r="E93" s="886"/>
      <c r="F93" s="886"/>
      <c r="G93" s="886"/>
      <c r="H93" s="886"/>
      <c r="I93" s="886"/>
      <c r="J93" s="886"/>
      <c r="K93" s="886"/>
      <c r="L93" s="886"/>
      <c r="M93" s="886"/>
      <c r="N93" s="886"/>
      <c r="O93" s="886"/>
      <c r="P93" s="887"/>
      <c r="Q93" s="887"/>
      <c r="R93" s="881"/>
      <c r="S93" s="881"/>
      <c r="T93" s="881"/>
      <c r="U93" s="881"/>
    </row>
    <row r="94" spans="1:21" ht="15.6" x14ac:dyDescent="0.3">
      <c r="A94" s="886"/>
      <c r="B94" s="884"/>
      <c r="C94" s="886"/>
      <c r="D94" s="886"/>
      <c r="E94" s="886"/>
      <c r="F94" s="886"/>
      <c r="G94" s="886"/>
      <c r="H94" s="886"/>
      <c r="I94" s="886"/>
      <c r="J94" s="886"/>
      <c r="K94" s="886"/>
      <c r="L94" s="886"/>
      <c r="M94" s="886"/>
      <c r="N94" s="886"/>
      <c r="O94" s="886"/>
      <c r="P94" s="887"/>
      <c r="Q94" s="887"/>
      <c r="R94" s="881"/>
      <c r="S94" s="881"/>
      <c r="T94" s="881"/>
      <c r="U94" s="881"/>
    </row>
    <row r="95" spans="1:21" ht="15.6" x14ac:dyDescent="0.3">
      <c r="A95" s="886"/>
      <c r="B95" s="876" t="s">
        <v>998</v>
      </c>
      <c r="C95" s="886"/>
      <c r="D95" s="886"/>
      <c r="E95" s="886"/>
      <c r="F95" s="886"/>
      <c r="G95" s="886"/>
      <c r="H95" s="886"/>
      <c r="I95" s="886"/>
      <c r="J95" s="886"/>
      <c r="K95" s="886"/>
      <c r="L95" s="886"/>
      <c r="M95" s="886"/>
      <c r="N95" s="886"/>
      <c r="O95" s="886"/>
      <c r="P95" s="879">
        <v>0</v>
      </c>
      <c r="Q95" s="879">
        <v>0</v>
      </c>
      <c r="R95" s="881">
        <v>4560</v>
      </c>
      <c r="S95" s="881">
        <f>+R95*1.0764</f>
        <v>4908.384</v>
      </c>
      <c r="T95" s="881">
        <f>+S95*1.0188</f>
        <v>5000.6616191999992</v>
      </c>
      <c r="U95" s="881">
        <f t="shared" ref="U95:U97" si="13">+T95*1.053</f>
        <v>5265.6966850175986</v>
      </c>
    </row>
    <row r="96" spans="1:21" ht="15.6" x14ac:dyDescent="0.3">
      <c r="A96" s="886"/>
      <c r="B96" s="876" t="s">
        <v>999</v>
      </c>
      <c r="C96" s="886"/>
      <c r="D96" s="886"/>
      <c r="E96" s="886"/>
      <c r="F96" s="886"/>
      <c r="G96" s="886"/>
      <c r="H96" s="886"/>
      <c r="I96" s="886"/>
      <c r="J96" s="886"/>
      <c r="K96" s="886"/>
      <c r="L96" s="886"/>
      <c r="M96" s="886"/>
      <c r="N96" s="886"/>
      <c r="O96" s="886"/>
      <c r="P96" s="879"/>
      <c r="Q96" s="879"/>
      <c r="R96" s="881">
        <v>9500</v>
      </c>
      <c r="S96" s="881">
        <f>+R96*1.0764</f>
        <v>10225.800000000001</v>
      </c>
      <c r="T96" s="881">
        <f>+S96*1.0188</f>
        <v>10418.045040000001</v>
      </c>
      <c r="U96" s="881">
        <f t="shared" si="13"/>
        <v>10970.201427120001</v>
      </c>
    </row>
    <row r="97" spans="1:21" ht="15.6" x14ac:dyDescent="0.3">
      <c r="A97" s="886"/>
      <c r="B97" s="876" t="s">
        <v>1000</v>
      </c>
      <c r="C97" s="886"/>
      <c r="D97" s="886"/>
      <c r="E97" s="886"/>
      <c r="F97" s="886"/>
      <c r="G97" s="886"/>
      <c r="H97" s="886"/>
      <c r="I97" s="886"/>
      <c r="J97" s="886"/>
      <c r="K97" s="886"/>
      <c r="L97" s="886"/>
      <c r="M97" s="886"/>
      <c r="N97" s="886"/>
      <c r="O97" s="886"/>
      <c r="P97" s="879"/>
      <c r="Q97" s="879"/>
      <c r="R97" s="881">
        <v>52900</v>
      </c>
      <c r="S97" s="881">
        <f>+R97*1.0764</f>
        <v>56941.56</v>
      </c>
      <c r="T97" s="881">
        <f>+S97*1.0188</f>
        <v>58012.061327999996</v>
      </c>
      <c r="U97" s="881">
        <f t="shared" si="13"/>
        <v>61086.700578383992</v>
      </c>
    </row>
    <row r="98" spans="1:21" ht="15.6" x14ac:dyDescent="0.3">
      <c r="A98" s="888" t="s">
        <v>996</v>
      </c>
      <c r="B98" s="884" t="s">
        <v>997</v>
      </c>
      <c r="C98" s="886"/>
      <c r="D98" s="886"/>
      <c r="E98" s="886"/>
      <c r="F98" s="886"/>
      <c r="G98" s="886"/>
      <c r="H98" s="886"/>
      <c r="I98" s="886"/>
      <c r="J98" s="886"/>
      <c r="K98" s="886"/>
      <c r="L98" s="886"/>
      <c r="M98" s="886"/>
      <c r="N98" s="886"/>
      <c r="O98" s="886"/>
      <c r="P98" s="879">
        <v>0</v>
      </c>
      <c r="Q98" s="879">
        <v>0</v>
      </c>
      <c r="R98" s="881"/>
      <c r="S98" s="881"/>
      <c r="T98" s="881"/>
      <c r="U98" s="881"/>
    </row>
    <row r="99" spans="1:21" ht="15.6" x14ac:dyDescent="0.3">
      <c r="A99" s="886"/>
      <c r="B99" s="876"/>
      <c r="C99" s="886"/>
      <c r="D99" s="886"/>
      <c r="E99" s="886"/>
      <c r="F99" s="886"/>
      <c r="G99" s="886"/>
      <c r="H99" s="886"/>
      <c r="I99" s="886"/>
      <c r="J99" s="886"/>
      <c r="K99" s="886"/>
      <c r="L99" s="886"/>
      <c r="M99" s="886"/>
      <c r="N99" s="886"/>
      <c r="O99" s="886"/>
      <c r="P99" s="887"/>
      <c r="Q99" s="887"/>
      <c r="R99" s="881"/>
      <c r="S99" s="881"/>
      <c r="T99" s="881"/>
      <c r="U99" s="881"/>
    </row>
    <row r="100" spans="1:21" ht="15.6" x14ac:dyDescent="0.3">
      <c r="A100" s="886"/>
      <c r="B100" s="884" t="s">
        <v>991</v>
      </c>
      <c r="C100" s="886"/>
      <c r="D100" s="886"/>
      <c r="E100" s="886"/>
      <c r="F100" s="886"/>
      <c r="G100" s="886"/>
      <c r="H100" s="886"/>
      <c r="I100" s="886"/>
      <c r="J100" s="886"/>
      <c r="K100" s="886"/>
      <c r="L100" s="886"/>
      <c r="M100" s="886"/>
      <c r="N100" s="886"/>
      <c r="O100" s="886"/>
      <c r="P100" s="887"/>
      <c r="Q100" s="887"/>
      <c r="R100" s="881"/>
      <c r="S100" s="881"/>
      <c r="T100" s="881"/>
      <c r="U100" s="881"/>
    </row>
    <row r="101" spans="1:21" ht="15.6" x14ac:dyDescent="0.3">
      <c r="A101" s="886"/>
      <c r="B101" s="876"/>
      <c r="C101" s="886"/>
      <c r="D101" s="886"/>
      <c r="E101" s="886"/>
      <c r="F101" s="886"/>
      <c r="G101" s="886"/>
      <c r="H101" s="886"/>
      <c r="I101" s="886"/>
      <c r="J101" s="886"/>
      <c r="K101" s="886"/>
      <c r="L101" s="886"/>
      <c r="M101" s="886"/>
      <c r="N101" s="886"/>
      <c r="O101" s="886"/>
      <c r="P101" s="887"/>
      <c r="Q101" s="887"/>
      <c r="R101" s="881"/>
      <c r="S101" s="881"/>
      <c r="T101" s="881"/>
      <c r="U101" s="881"/>
    </row>
    <row r="102" spans="1:21" ht="15.6" x14ac:dyDescent="0.3">
      <c r="A102" s="886"/>
      <c r="B102" s="876" t="s">
        <v>1001</v>
      </c>
      <c r="C102" s="886"/>
      <c r="D102" s="886"/>
      <c r="E102" s="886"/>
      <c r="F102" s="886"/>
      <c r="G102" s="886"/>
      <c r="H102" s="886"/>
      <c r="I102" s="886"/>
      <c r="J102" s="886"/>
      <c r="K102" s="886"/>
      <c r="L102" s="886"/>
      <c r="M102" s="886"/>
      <c r="N102" s="886"/>
      <c r="O102" s="886"/>
      <c r="P102" s="887"/>
      <c r="Q102" s="887"/>
      <c r="R102" s="881">
        <v>1200</v>
      </c>
      <c r="S102" s="881">
        <f>+R102*1.0764</f>
        <v>1291.68</v>
      </c>
      <c r="T102" s="881">
        <f>+S102*1.0188</f>
        <v>1315.9635840000001</v>
      </c>
      <c r="U102" s="881">
        <f>+T102*1.053</f>
        <v>1385.7096539520001</v>
      </c>
    </row>
    <row r="103" spans="1:21" ht="15.6" thickBot="1" x14ac:dyDescent="0.3">
      <c r="A103" s="886"/>
      <c r="B103" s="886"/>
      <c r="C103" s="886"/>
      <c r="D103" s="886"/>
      <c r="E103" s="886"/>
      <c r="F103" s="886"/>
      <c r="G103" s="886"/>
      <c r="H103" s="886"/>
      <c r="I103" s="886"/>
      <c r="J103" s="886"/>
      <c r="K103" s="886"/>
      <c r="L103" s="886"/>
      <c r="M103" s="886"/>
      <c r="N103" s="886"/>
      <c r="O103" s="886"/>
      <c r="P103" s="887"/>
      <c r="Q103" s="887"/>
      <c r="R103" s="887"/>
      <c r="S103" s="887"/>
      <c r="T103" s="887"/>
      <c r="U103" s="887"/>
    </row>
    <row r="104" spans="1:21" ht="16.2" thickBot="1" x14ac:dyDescent="0.35">
      <c r="A104" s="651">
        <v>3</v>
      </c>
      <c r="B104" s="652" t="s">
        <v>219</v>
      </c>
      <c r="C104" s="653"/>
      <c r="D104" s="705"/>
      <c r="E104" s="655"/>
      <c r="F104" s="655"/>
      <c r="G104" s="655"/>
      <c r="H104" s="655"/>
      <c r="I104" s="655"/>
      <c r="J104" s="655"/>
      <c r="K104" s="749"/>
      <c r="L104" s="750"/>
      <c r="M104" s="751"/>
      <c r="N104" s="751"/>
      <c r="O104" s="752"/>
      <c r="P104" s="750"/>
      <c r="Q104" s="750">
        <f>(P104*0.06)+P104</f>
        <v>0</v>
      </c>
      <c r="R104" s="660"/>
      <c r="S104" s="660"/>
      <c r="T104" s="660"/>
      <c r="U104" s="660"/>
    </row>
    <row r="105" spans="1:21" ht="15.6" x14ac:dyDescent="0.3">
      <c r="A105" s="661"/>
      <c r="B105" s="662"/>
      <c r="C105" s="628"/>
      <c r="D105" s="700"/>
      <c r="E105" s="635"/>
      <c r="F105" s="635"/>
      <c r="G105" s="635"/>
      <c r="H105" s="635"/>
      <c r="I105" s="635"/>
      <c r="J105" s="635"/>
      <c r="K105" s="753"/>
      <c r="L105" s="754"/>
      <c r="M105" s="755"/>
      <c r="N105" s="755"/>
      <c r="O105" s="756"/>
      <c r="P105" s="754"/>
      <c r="Q105" s="754">
        <f>(P105*0.06)+P105</f>
        <v>0</v>
      </c>
      <c r="R105" s="666"/>
      <c r="S105" s="666"/>
      <c r="T105" s="666"/>
      <c r="U105" s="666"/>
    </row>
    <row r="106" spans="1:21" ht="15.6" x14ac:dyDescent="0.3">
      <c r="A106" s="627"/>
      <c r="B106" s="628" t="s">
        <v>220</v>
      </c>
      <c r="C106" s="730"/>
      <c r="D106" s="757"/>
      <c r="E106" s="667" t="s">
        <v>221</v>
      </c>
      <c r="F106" s="635"/>
      <c r="G106" s="667" t="s">
        <v>222</v>
      </c>
      <c r="H106" s="635"/>
      <c r="I106" s="667" t="s">
        <v>223</v>
      </c>
      <c r="J106" s="667">
        <f>+I106*1.06</f>
        <v>25.970000000000002</v>
      </c>
      <c r="K106" s="669">
        <f>+(J106*1.24)+0.07</f>
        <v>32.272800000000004</v>
      </c>
      <c r="L106" s="670">
        <f>+(K106*1.25)</f>
        <v>40.341000000000008</v>
      </c>
      <c r="M106" s="671">
        <f>+(L106*1.25)</f>
        <v>50.42625000000001</v>
      </c>
      <c r="N106" s="671">
        <f>+(M106*1.07)</f>
        <v>53.956087500000017</v>
      </c>
      <c r="O106" s="672">
        <f>+(N106*1.06)</f>
        <v>57.19345275000002</v>
      </c>
      <c r="P106" s="670">
        <v>60.6</v>
      </c>
      <c r="Q106" s="670">
        <f>(P106*0.06)+P106</f>
        <v>64.236000000000004</v>
      </c>
      <c r="R106" s="666">
        <f>+Q106*1.058</f>
        <v>67.961688000000009</v>
      </c>
      <c r="S106" s="666">
        <f>+R106*1.066</f>
        <v>72.447159408000019</v>
      </c>
      <c r="T106" s="666">
        <f>+S106*1.064</f>
        <v>77.083777610112023</v>
      </c>
      <c r="U106" s="666">
        <f t="shared" ref="U106:U114" si="14">+T106*1.053</f>
        <v>81.169217823447951</v>
      </c>
    </row>
    <row r="107" spans="1:21" ht="15.6" x14ac:dyDescent="0.3">
      <c r="A107" s="627"/>
      <c r="B107" s="628" t="s">
        <v>1042</v>
      </c>
      <c r="C107" s="730"/>
      <c r="D107" s="757" t="s">
        <v>508</v>
      </c>
      <c r="E107" s="667"/>
      <c r="F107" s="635"/>
      <c r="G107" s="667"/>
      <c r="H107" s="635"/>
      <c r="I107" s="667"/>
      <c r="J107" s="667"/>
      <c r="K107" s="669"/>
      <c r="L107" s="670"/>
      <c r="M107" s="671"/>
      <c r="N107" s="671"/>
      <c r="O107" s="672"/>
      <c r="P107" s="670"/>
      <c r="Q107" s="670"/>
      <c r="R107" s="666"/>
      <c r="S107" s="666"/>
      <c r="T107" s="666">
        <v>116.66</v>
      </c>
      <c r="U107" s="666">
        <v>125.45</v>
      </c>
    </row>
    <row r="108" spans="1:21" ht="15.6" x14ac:dyDescent="0.3">
      <c r="A108" s="627"/>
      <c r="B108" s="758" t="s">
        <v>934</v>
      </c>
      <c r="C108" s="628"/>
      <c r="D108" s="759" t="s">
        <v>508</v>
      </c>
      <c r="E108" s="667"/>
      <c r="F108" s="635"/>
      <c r="G108" s="667"/>
      <c r="H108" s="635"/>
      <c r="I108" s="635" t="s">
        <v>224</v>
      </c>
      <c r="J108" s="635" t="s">
        <v>224</v>
      </c>
      <c r="K108" s="635" t="s">
        <v>224</v>
      </c>
      <c r="L108" s="760" t="s">
        <v>252</v>
      </c>
      <c r="M108" s="757" t="s">
        <v>252</v>
      </c>
      <c r="N108" s="757" t="s">
        <v>252</v>
      </c>
      <c r="O108" s="761" t="s">
        <v>508</v>
      </c>
      <c r="P108" s="760">
        <v>0</v>
      </c>
      <c r="Q108" s="760">
        <v>0</v>
      </c>
      <c r="R108" s="666">
        <v>5.99</v>
      </c>
      <c r="S108" s="666">
        <f t="shared" ref="S108:S114" si="15">+R108*1.066</f>
        <v>6.3853400000000002</v>
      </c>
      <c r="T108" s="666">
        <f t="shared" ref="T108:T114" si="16">+S108*1.064</f>
        <v>6.7940017600000004</v>
      </c>
      <c r="U108" s="666">
        <f t="shared" si="14"/>
        <v>7.1540838532800004</v>
      </c>
    </row>
    <row r="109" spans="1:21" ht="15.6" x14ac:dyDescent="0.3">
      <c r="A109" s="627"/>
      <c r="B109" s="758" t="s">
        <v>934</v>
      </c>
      <c r="C109" s="628"/>
      <c r="D109" s="700"/>
      <c r="E109" s="635" t="s">
        <v>224</v>
      </c>
      <c r="F109" s="635"/>
      <c r="G109" s="635" t="s">
        <v>224</v>
      </c>
      <c r="H109" s="635"/>
      <c r="I109" s="635" t="s">
        <v>224</v>
      </c>
      <c r="J109" s="635" t="s">
        <v>224</v>
      </c>
      <c r="K109" s="635" t="s">
        <v>224</v>
      </c>
      <c r="L109" s="663">
        <v>3.75</v>
      </c>
      <c r="M109" s="664">
        <f>+L109*1.25</f>
        <v>4.6875</v>
      </c>
      <c r="N109" s="664">
        <f>+M109*1.07</f>
        <v>5.015625</v>
      </c>
      <c r="O109" s="665">
        <f>+N109*1.06</f>
        <v>5.3165624999999999</v>
      </c>
      <c r="P109" s="663">
        <v>5.65</v>
      </c>
      <c r="Q109" s="663">
        <f>(P109*0.06)+P109</f>
        <v>5.9890000000000008</v>
      </c>
      <c r="R109" s="666">
        <v>5.99</v>
      </c>
      <c r="S109" s="666">
        <f t="shared" si="15"/>
        <v>6.3853400000000002</v>
      </c>
      <c r="T109" s="666">
        <f t="shared" si="16"/>
        <v>6.7940017600000004</v>
      </c>
      <c r="U109" s="666">
        <f t="shared" si="14"/>
        <v>7.1540838532800004</v>
      </c>
    </row>
    <row r="110" spans="1:21" ht="15.6" x14ac:dyDescent="0.3">
      <c r="A110" s="627"/>
      <c r="B110" s="628" t="s">
        <v>933</v>
      </c>
      <c r="C110" s="628"/>
      <c r="D110" s="700"/>
      <c r="E110" s="667" t="s">
        <v>225</v>
      </c>
      <c r="F110" s="635"/>
      <c r="G110" s="667" t="s">
        <v>226</v>
      </c>
      <c r="H110" s="635"/>
      <c r="I110" s="667" t="s">
        <v>227</v>
      </c>
      <c r="J110" s="668">
        <f>+I110*1.06</f>
        <v>2.4167999999999998</v>
      </c>
      <c r="K110" s="669">
        <f>+J110*1.24</f>
        <v>2.9968319999999999</v>
      </c>
      <c r="L110" s="670">
        <v>4.9800000000000004</v>
      </c>
      <c r="M110" s="671">
        <f>4.98*1.25</f>
        <v>6.2250000000000005</v>
      </c>
      <c r="N110" s="664">
        <f>+M110*1.07</f>
        <v>6.6607500000000011</v>
      </c>
      <c r="O110" s="665">
        <f>+N110*1.06</f>
        <v>7.0603950000000015</v>
      </c>
      <c r="P110" s="663">
        <v>0</v>
      </c>
      <c r="Q110" s="663">
        <v>0</v>
      </c>
      <c r="R110" s="666">
        <v>8.7899999999999991</v>
      </c>
      <c r="S110" s="666">
        <f t="shared" si="15"/>
        <v>9.3701399999999992</v>
      </c>
      <c r="T110" s="666">
        <f t="shared" si="16"/>
        <v>9.9698289599999992</v>
      </c>
      <c r="U110" s="666">
        <f t="shared" si="14"/>
        <v>10.498229894879998</v>
      </c>
    </row>
    <row r="111" spans="1:21" ht="15.6" x14ac:dyDescent="0.3">
      <c r="A111" s="627"/>
      <c r="B111" s="762" t="s">
        <v>935</v>
      </c>
      <c r="C111" s="628"/>
      <c r="D111" s="700"/>
      <c r="E111" s="667"/>
      <c r="F111" s="635"/>
      <c r="G111" s="667"/>
      <c r="H111" s="635"/>
      <c r="I111" s="667"/>
      <c r="J111" s="668"/>
      <c r="K111" s="669"/>
      <c r="L111" s="670"/>
      <c r="M111" s="671"/>
      <c r="N111" s="664"/>
      <c r="O111" s="665"/>
      <c r="P111" s="663">
        <v>0</v>
      </c>
      <c r="Q111" s="663">
        <v>0</v>
      </c>
      <c r="R111" s="666">
        <v>11.59</v>
      </c>
      <c r="S111" s="666">
        <f t="shared" si="15"/>
        <v>12.354940000000001</v>
      </c>
      <c r="T111" s="666">
        <f t="shared" si="16"/>
        <v>13.145656160000001</v>
      </c>
      <c r="U111" s="666">
        <f t="shared" si="14"/>
        <v>13.84237593648</v>
      </c>
    </row>
    <row r="112" spans="1:21" ht="15.6" x14ac:dyDescent="0.3">
      <c r="A112" s="627"/>
      <c r="B112" s="758" t="s">
        <v>932</v>
      </c>
      <c r="C112" s="628"/>
      <c r="D112" s="700"/>
      <c r="E112" s="667" t="s">
        <v>229</v>
      </c>
      <c r="F112" s="635"/>
      <c r="G112" s="667" t="s">
        <v>230</v>
      </c>
      <c r="H112" s="635"/>
      <c r="I112" s="667" t="s">
        <v>231</v>
      </c>
      <c r="J112" s="668">
        <f>+I112*1.06</f>
        <v>2.6500000000000004</v>
      </c>
      <c r="K112" s="669">
        <f>+J112*1.24</f>
        <v>3.2860000000000005</v>
      </c>
      <c r="L112" s="670">
        <v>5.46</v>
      </c>
      <c r="M112" s="671">
        <f>5.46*1.25</f>
        <v>6.8250000000000002</v>
      </c>
      <c r="N112" s="664">
        <f>+M112*1.07</f>
        <v>7.3027500000000005</v>
      </c>
      <c r="O112" s="665">
        <f>+N112*1.06</f>
        <v>7.7409150000000011</v>
      </c>
      <c r="P112" s="663">
        <v>0</v>
      </c>
      <c r="Q112" s="663">
        <v>0</v>
      </c>
      <c r="R112" s="666">
        <v>14.5</v>
      </c>
      <c r="S112" s="666">
        <f t="shared" si="15"/>
        <v>15.457000000000001</v>
      </c>
      <c r="T112" s="666">
        <f t="shared" si="16"/>
        <v>16.446248000000001</v>
      </c>
      <c r="U112" s="666">
        <f t="shared" si="14"/>
        <v>17.317899143999998</v>
      </c>
    </row>
    <row r="113" spans="1:21" ht="15.6" x14ac:dyDescent="0.3">
      <c r="A113" s="627"/>
      <c r="B113" s="758" t="s">
        <v>936</v>
      </c>
      <c r="C113" s="628"/>
      <c r="D113" s="700"/>
      <c r="E113" s="667"/>
      <c r="F113" s="635"/>
      <c r="G113" s="667"/>
      <c r="H113" s="635"/>
      <c r="I113" s="667"/>
      <c r="J113" s="668"/>
      <c r="K113" s="669"/>
      <c r="L113" s="670"/>
      <c r="M113" s="671"/>
      <c r="N113" s="664"/>
      <c r="O113" s="665"/>
      <c r="P113" s="663"/>
      <c r="Q113" s="663">
        <v>0</v>
      </c>
      <c r="R113" s="666">
        <v>16.5</v>
      </c>
      <c r="S113" s="666">
        <f t="shared" si="15"/>
        <v>17.589000000000002</v>
      </c>
      <c r="T113" s="666">
        <f t="shared" si="16"/>
        <v>18.714696000000004</v>
      </c>
      <c r="U113" s="666">
        <f t="shared" si="14"/>
        <v>19.706574888000002</v>
      </c>
    </row>
    <row r="114" spans="1:21" ht="15.6" x14ac:dyDescent="0.3">
      <c r="A114" s="627"/>
      <c r="B114" s="758" t="s">
        <v>520</v>
      </c>
      <c r="C114" s="628"/>
      <c r="D114" s="700"/>
      <c r="E114" s="667"/>
      <c r="F114" s="635"/>
      <c r="G114" s="667"/>
      <c r="H114" s="635"/>
      <c r="I114" s="667"/>
      <c r="J114" s="668"/>
      <c r="K114" s="669"/>
      <c r="L114" s="670"/>
      <c r="M114" s="671"/>
      <c r="N114" s="664"/>
      <c r="O114" s="665"/>
      <c r="P114" s="663">
        <v>56.5</v>
      </c>
      <c r="Q114" s="663">
        <f t="shared" ref="Q114:Q120" si="17">(P114*0.06)+P114</f>
        <v>59.89</v>
      </c>
      <c r="R114" s="666">
        <v>152</v>
      </c>
      <c r="S114" s="666">
        <f t="shared" si="15"/>
        <v>162.03200000000001</v>
      </c>
      <c r="T114" s="666">
        <f t="shared" si="16"/>
        <v>172.40204800000001</v>
      </c>
      <c r="U114" s="666">
        <f t="shared" si="14"/>
        <v>181.53935654399999</v>
      </c>
    </row>
    <row r="115" spans="1:21" ht="15.6" x14ac:dyDescent="0.3">
      <c r="A115" s="627"/>
      <c r="B115" s="628"/>
      <c r="C115" s="628"/>
      <c r="D115" s="700"/>
      <c r="E115" s="635"/>
      <c r="F115" s="635"/>
      <c r="G115" s="635"/>
      <c r="H115" s="635"/>
      <c r="I115" s="635"/>
      <c r="J115" s="635"/>
      <c r="K115" s="634"/>
      <c r="L115" s="663"/>
      <c r="M115" s="664"/>
      <c r="N115" s="664"/>
      <c r="O115" s="665"/>
      <c r="P115" s="663"/>
      <c r="Q115" s="663">
        <f t="shared" si="17"/>
        <v>0</v>
      </c>
      <c r="R115" s="666"/>
      <c r="S115" s="666"/>
      <c r="T115" s="666"/>
      <c r="U115" s="666"/>
    </row>
    <row r="116" spans="1:21" ht="15.6" x14ac:dyDescent="0.3">
      <c r="A116" s="627"/>
      <c r="B116" s="629" t="s">
        <v>728</v>
      </c>
      <c r="C116" s="628"/>
      <c r="D116" s="700"/>
      <c r="E116" s="635"/>
      <c r="F116" s="635"/>
      <c r="G116" s="635"/>
      <c r="H116" s="635"/>
      <c r="I116" s="635"/>
      <c r="J116" s="635"/>
      <c r="K116" s="634"/>
      <c r="L116" s="663"/>
      <c r="M116" s="664"/>
      <c r="N116" s="664"/>
      <c r="O116" s="665"/>
      <c r="P116" s="663"/>
      <c r="Q116" s="663">
        <f t="shared" si="17"/>
        <v>0</v>
      </c>
      <c r="R116" s="666"/>
      <c r="S116" s="666"/>
      <c r="T116" s="666"/>
      <c r="U116" s="666"/>
    </row>
    <row r="117" spans="1:21" ht="15.6" x14ac:dyDescent="0.3">
      <c r="A117" s="627"/>
      <c r="B117" s="628" t="s">
        <v>729</v>
      </c>
      <c r="C117" s="628"/>
      <c r="D117" s="700"/>
      <c r="E117" s="635"/>
      <c r="F117" s="635"/>
      <c r="G117" s="635"/>
      <c r="H117" s="635"/>
      <c r="I117" s="635"/>
      <c r="J117" s="635"/>
      <c r="K117" s="634"/>
      <c r="L117" s="663"/>
      <c r="M117" s="664"/>
      <c r="N117" s="664"/>
      <c r="O117" s="665"/>
      <c r="P117" s="663"/>
      <c r="Q117" s="663">
        <f t="shared" si="17"/>
        <v>0</v>
      </c>
      <c r="R117" s="666"/>
      <c r="S117" s="666"/>
      <c r="T117" s="666"/>
      <c r="U117" s="666"/>
    </row>
    <row r="118" spans="1:21" ht="15.6" x14ac:dyDescent="0.3">
      <c r="A118" s="627"/>
      <c r="B118" s="628"/>
      <c r="C118" s="628"/>
      <c r="D118" s="700"/>
      <c r="E118" s="635"/>
      <c r="F118" s="635"/>
      <c r="G118" s="635"/>
      <c r="H118" s="635"/>
      <c r="I118" s="635"/>
      <c r="J118" s="763"/>
      <c r="K118" s="764"/>
      <c r="L118" s="663"/>
      <c r="M118" s="664"/>
      <c r="N118" s="664"/>
      <c r="O118" s="665"/>
      <c r="P118" s="663"/>
      <c r="Q118" s="663">
        <f t="shared" si="17"/>
        <v>0</v>
      </c>
      <c r="R118" s="666"/>
      <c r="S118" s="666"/>
      <c r="T118" s="666"/>
      <c r="U118" s="666"/>
    </row>
    <row r="119" spans="1:21" ht="15.6" x14ac:dyDescent="0.3">
      <c r="A119" s="627"/>
      <c r="B119" s="629" t="s">
        <v>730</v>
      </c>
      <c r="C119" s="628"/>
      <c r="D119" s="700"/>
      <c r="E119" s="635"/>
      <c r="F119" s="635"/>
      <c r="G119" s="635"/>
      <c r="H119" s="635"/>
      <c r="I119" s="635"/>
      <c r="J119" s="763"/>
      <c r="K119" s="764"/>
      <c r="L119" s="663"/>
      <c r="M119" s="664"/>
      <c r="N119" s="664"/>
      <c r="O119" s="665"/>
      <c r="P119" s="663"/>
      <c r="Q119" s="663">
        <f t="shared" si="17"/>
        <v>0</v>
      </c>
      <c r="R119" s="666"/>
      <c r="S119" s="666"/>
      <c r="T119" s="666"/>
      <c r="U119" s="666"/>
    </row>
    <row r="120" spans="1:21" ht="15.6" x14ac:dyDescent="0.3">
      <c r="A120" s="627"/>
      <c r="B120" s="628" t="s">
        <v>731</v>
      </c>
      <c r="C120" s="628"/>
      <c r="D120" s="700"/>
      <c r="E120" s="667" t="s">
        <v>732</v>
      </c>
      <c r="F120" s="635"/>
      <c r="G120" s="667" t="s">
        <v>732</v>
      </c>
      <c r="H120" s="635"/>
      <c r="I120" s="667" t="s">
        <v>733</v>
      </c>
      <c r="J120" s="668">
        <f>+I120*1.06</f>
        <v>90.736000000000004</v>
      </c>
      <c r="K120" s="669">
        <f>+J120*1.24</f>
        <v>112.51264</v>
      </c>
      <c r="L120" s="670">
        <v>186.77</v>
      </c>
      <c r="M120" s="671">
        <f>186.77*1.25</f>
        <v>233.46250000000001</v>
      </c>
      <c r="N120" s="671">
        <f>+M120*1.07</f>
        <v>249.80487500000001</v>
      </c>
      <c r="O120" s="672">
        <f>+N120*1.06</f>
        <v>264.79316750000004</v>
      </c>
      <c r="P120" s="670">
        <v>283</v>
      </c>
      <c r="Q120" s="670">
        <f t="shared" si="17"/>
        <v>299.98</v>
      </c>
      <c r="R120" s="666">
        <v>899</v>
      </c>
      <c r="S120" s="666">
        <f>+R120*1.066</f>
        <v>958.33400000000006</v>
      </c>
      <c r="T120" s="666">
        <f>+S120*1.064</f>
        <v>1019.6673760000001</v>
      </c>
      <c r="U120" s="666">
        <f>+T120*1.053</f>
        <v>1073.709746928</v>
      </c>
    </row>
    <row r="121" spans="1:21" ht="15.6" x14ac:dyDescent="0.3">
      <c r="A121" s="627"/>
      <c r="B121" s="628"/>
      <c r="C121" s="628"/>
      <c r="D121" s="700"/>
      <c r="E121" s="667"/>
      <c r="F121" s="635"/>
      <c r="G121" s="667"/>
      <c r="H121" s="635"/>
      <c r="I121" s="667"/>
      <c r="J121" s="668"/>
      <c r="K121" s="669"/>
      <c r="L121" s="765"/>
      <c r="M121" s="765"/>
      <c r="N121" s="765"/>
      <c r="O121" s="765"/>
      <c r="P121" s="670"/>
      <c r="Q121" s="670"/>
      <c r="R121" s="666"/>
      <c r="S121" s="666"/>
      <c r="T121" s="666"/>
      <c r="U121" s="666"/>
    </row>
    <row r="122" spans="1:21" ht="15.6" x14ac:dyDescent="0.3">
      <c r="A122" s="702"/>
      <c r="B122" s="703"/>
      <c r="C122" s="703"/>
      <c r="D122" s="704"/>
      <c r="E122" s="703"/>
      <c r="F122" s="703"/>
      <c r="G122" s="703"/>
      <c r="H122" s="703"/>
      <c r="I122" s="703"/>
      <c r="J122" s="703"/>
      <c r="K122" s="703"/>
      <c r="L122" s="703"/>
      <c r="M122" s="703"/>
      <c r="N122" s="703"/>
      <c r="O122" s="703"/>
      <c r="P122" s="766"/>
      <c r="Q122" s="766"/>
      <c r="R122" s="766"/>
      <c r="S122" s="766"/>
      <c r="T122" s="766"/>
      <c r="U122" s="766"/>
    </row>
    <row r="123" spans="1:21" ht="15.6" x14ac:dyDescent="0.3">
      <c r="A123" s="627"/>
      <c r="B123" s="662" t="s">
        <v>937</v>
      </c>
      <c r="C123" s="628"/>
      <c r="D123" s="700"/>
      <c r="E123" s="667"/>
      <c r="F123" s="635"/>
      <c r="G123" s="667"/>
      <c r="H123" s="635"/>
      <c r="I123" s="667"/>
      <c r="J123" s="668"/>
      <c r="K123" s="669"/>
      <c r="L123" s="670"/>
      <c r="M123" s="671"/>
      <c r="N123" s="671"/>
      <c r="O123" s="672"/>
      <c r="P123" s="670"/>
      <c r="Q123" s="670"/>
      <c r="R123" s="666"/>
      <c r="S123" s="666"/>
      <c r="T123" s="666"/>
      <c r="U123" s="666"/>
    </row>
    <row r="124" spans="1:21" ht="15.6" x14ac:dyDescent="0.3">
      <c r="A124" s="627"/>
      <c r="B124" s="628"/>
      <c r="C124" s="628"/>
      <c r="D124" s="700"/>
      <c r="E124" s="667"/>
      <c r="F124" s="635"/>
      <c r="G124" s="667"/>
      <c r="H124" s="635"/>
      <c r="I124" s="667"/>
      <c r="J124" s="668"/>
      <c r="K124" s="669"/>
      <c r="L124" s="670"/>
      <c r="M124" s="671"/>
      <c r="N124" s="671"/>
      <c r="O124" s="672"/>
      <c r="P124" s="670"/>
      <c r="Q124" s="670"/>
      <c r="R124" s="666"/>
      <c r="S124" s="666"/>
      <c r="T124" s="666"/>
      <c r="U124" s="666"/>
    </row>
    <row r="125" spans="1:21" ht="15.6" x14ac:dyDescent="0.3">
      <c r="A125" s="627"/>
      <c r="B125" s="628" t="s">
        <v>938</v>
      </c>
      <c r="C125" s="628"/>
      <c r="D125" s="700"/>
      <c r="E125" s="667"/>
      <c r="F125" s="635"/>
      <c r="G125" s="667"/>
      <c r="H125" s="635"/>
      <c r="I125" s="667"/>
      <c r="J125" s="668"/>
      <c r="K125" s="669"/>
      <c r="L125" s="670"/>
      <c r="M125" s="671"/>
      <c r="N125" s="671"/>
      <c r="O125" s="672"/>
      <c r="P125" s="720">
        <v>0</v>
      </c>
      <c r="Q125" s="720">
        <v>0</v>
      </c>
      <c r="R125" s="666">
        <v>14.5</v>
      </c>
      <c r="S125" s="666">
        <f>+R125*1.066</f>
        <v>15.457000000000001</v>
      </c>
      <c r="T125" s="666">
        <f>+S125*1.064</f>
        <v>16.446248000000001</v>
      </c>
      <c r="U125" s="666">
        <f t="shared" ref="U125:U126" si="18">+T125*1.053</f>
        <v>17.317899143999998</v>
      </c>
    </row>
    <row r="126" spans="1:21" ht="15.6" x14ac:dyDescent="0.3">
      <c r="A126" s="627"/>
      <c r="B126" s="628" t="s">
        <v>939</v>
      </c>
      <c r="C126" s="628"/>
      <c r="D126" s="700"/>
      <c r="E126" s="667"/>
      <c r="F126" s="635"/>
      <c r="G126" s="667"/>
      <c r="H126" s="635"/>
      <c r="I126" s="667"/>
      <c r="J126" s="668"/>
      <c r="K126" s="669"/>
      <c r="L126" s="670"/>
      <c r="M126" s="671"/>
      <c r="N126" s="671"/>
      <c r="O126" s="672"/>
      <c r="P126" s="720">
        <v>0</v>
      </c>
      <c r="Q126" s="720">
        <v>0</v>
      </c>
      <c r="R126" s="666">
        <v>16.5</v>
      </c>
      <c r="S126" s="666">
        <f>+R126*1.066</f>
        <v>17.589000000000002</v>
      </c>
      <c r="T126" s="666">
        <f>+S126*1.064</f>
        <v>18.714696000000004</v>
      </c>
      <c r="U126" s="666">
        <f t="shared" si="18"/>
        <v>19.706574888000002</v>
      </c>
    </row>
    <row r="127" spans="1:21" ht="15.6" x14ac:dyDescent="0.3">
      <c r="A127" s="627"/>
      <c r="B127" s="628"/>
      <c r="C127" s="628"/>
      <c r="D127" s="700"/>
      <c r="E127" s="667"/>
      <c r="F127" s="635"/>
      <c r="G127" s="667"/>
      <c r="H127" s="635"/>
      <c r="I127" s="667"/>
      <c r="J127" s="668"/>
      <c r="K127" s="669"/>
      <c r="L127" s="670"/>
      <c r="M127" s="671"/>
      <c r="N127" s="671"/>
      <c r="O127" s="672"/>
      <c r="P127" s="670"/>
      <c r="Q127" s="670"/>
      <c r="R127" s="666"/>
      <c r="S127" s="666"/>
      <c r="T127" s="666"/>
      <c r="U127" s="666"/>
    </row>
    <row r="128" spans="1:21" ht="15.6" x14ac:dyDescent="0.3">
      <c r="A128" s="627"/>
      <c r="B128" s="662" t="s">
        <v>940</v>
      </c>
      <c r="C128" s="628"/>
      <c r="D128" s="700"/>
      <c r="E128" s="667"/>
      <c r="F128" s="635"/>
      <c r="G128" s="667"/>
      <c r="H128" s="635"/>
      <c r="I128" s="667"/>
      <c r="J128" s="668"/>
      <c r="K128" s="669"/>
      <c r="L128" s="670"/>
      <c r="M128" s="671"/>
      <c r="N128" s="671"/>
      <c r="O128" s="672"/>
      <c r="P128" s="670"/>
      <c r="Q128" s="670"/>
      <c r="R128" s="666"/>
      <c r="S128" s="666"/>
      <c r="T128" s="666"/>
      <c r="U128" s="666"/>
    </row>
    <row r="129" spans="1:21" ht="15.6" x14ac:dyDescent="0.3">
      <c r="A129" s="627"/>
      <c r="B129" s="628"/>
      <c r="C129" s="628"/>
      <c r="D129" s="700"/>
      <c r="E129" s="667"/>
      <c r="F129" s="635"/>
      <c r="G129" s="667"/>
      <c r="H129" s="635"/>
      <c r="I129" s="667"/>
      <c r="J129" s="668"/>
      <c r="K129" s="669"/>
      <c r="L129" s="670"/>
      <c r="M129" s="671"/>
      <c r="N129" s="671"/>
      <c r="O129" s="672"/>
      <c r="P129" s="670"/>
      <c r="Q129" s="670"/>
      <c r="R129" s="666"/>
      <c r="S129" s="666"/>
      <c r="T129" s="666"/>
      <c r="U129" s="666"/>
    </row>
    <row r="130" spans="1:21" ht="15.6" x14ac:dyDescent="0.3">
      <c r="A130" s="627"/>
      <c r="B130" s="628" t="s">
        <v>938</v>
      </c>
      <c r="C130" s="628"/>
      <c r="D130" s="700"/>
      <c r="E130" s="667"/>
      <c r="F130" s="635"/>
      <c r="G130" s="667"/>
      <c r="H130" s="635"/>
      <c r="I130" s="667"/>
      <c r="J130" s="668"/>
      <c r="K130" s="669"/>
      <c r="L130" s="670"/>
      <c r="M130" s="671"/>
      <c r="N130" s="671"/>
      <c r="O130" s="672"/>
      <c r="P130" s="720">
        <v>0</v>
      </c>
      <c r="Q130" s="720">
        <v>0</v>
      </c>
      <c r="R130" s="666">
        <v>12.5</v>
      </c>
      <c r="S130" s="666">
        <f>+R130*1.066</f>
        <v>13.325000000000001</v>
      </c>
      <c r="T130" s="666">
        <f>+S130*1.064</f>
        <v>14.177800000000001</v>
      </c>
      <c r="U130" s="666">
        <f t="shared" ref="U130:U131" si="19">+T130*1.053</f>
        <v>14.9292234</v>
      </c>
    </row>
    <row r="131" spans="1:21" ht="15.6" x14ac:dyDescent="0.3">
      <c r="A131" s="627"/>
      <c r="B131" s="628" t="s">
        <v>939</v>
      </c>
      <c r="C131" s="628"/>
      <c r="D131" s="700"/>
      <c r="E131" s="667"/>
      <c r="F131" s="635"/>
      <c r="G131" s="667"/>
      <c r="H131" s="635"/>
      <c r="I131" s="667"/>
      <c r="J131" s="668"/>
      <c r="K131" s="669"/>
      <c r="L131" s="670"/>
      <c r="M131" s="671"/>
      <c r="N131" s="671"/>
      <c r="O131" s="672"/>
      <c r="P131" s="720">
        <v>0</v>
      </c>
      <c r="Q131" s="720">
        <v>0</v>
      </c>
      <c r="R131" s="666">
        <v>14.5</v>
      </c>
      <c r="S131" s="666">
        <f>+R131*1.066</f>
        <v>15.457000000000001</v>
      </c>
      <c r="T131" s="666">
        <f>+S131*1.064</f>
        <v>16.446248000000001</v>
      </c>
      <c r="U131" s="666">
        <f t="shared" si="19"/>
        <v>17.317899143999998</v>
      </c>
    </row>
    <row r="132" spans="1:21" ht="15.6" x14ac:dyDescent="0.3">
      <c r="A132" s="627"/>
      <c r="B132" s="628"/>
      <c r="C132" s="628"/>
      <c r="D132" s="700"/>
      <c r="E132" s="667"/>
      <c r="F132" s="635"/>
      <c r="G132" s="667"/>
      <c r="H132" s="635"/>
      <c r="I132" s="667"/>
      <c r="J132" s="668"/>
      <c r="K132" s="669"/>
      <c r="L132" s="670"/>
      <c r="M132" s="671"/>
      <c r="N132" s="671"/>
      <c r="O132" s="672"/>
      <c r="P132" s="670"/>
      <c r="Q132" s="670"/>
      <c r="R132" s="666"/>
      <c r="S132" s="666"/>
      <c r="T132" s="666"/>
      <c r="U132" s="666"/>
    </row>
    <row r="133" spans="1:21" ht="15.6" x14ac:dyDescent="0.3">
      <c r="A133" s="627"/>
      <c r="B133" s="628"/>
      <c r="C133" s="628"/>
      <c r="D133" s="700"/>
      <c r="E133" s="667"/>
      <c r="F133" s="635"/>
      <c r="G133" s="667"/>
      <c r="H133" s="635"/>
      <c r="I133" s="667"/>
      <c r="J133" s="668"/>
      <c r="K133" s="669"/>
      <c r="L133" s="670"/>
      <c r="M133" s="671"/>
      <c r="N133" s="671"/>
      <c r="O133" s="672"/>
      <c r="P133" s="670"/>
      <c r="Q133" s="670"/>
      <c r="R133" s="666"/>
      <c r="S133" s="666"/>
      <c r="T133" s="666"/>
      <c r="U133" s="666"/>
    </row>
    <row r="134" spans="1:21" ht="15.6" x14ac:dyDescent="0.3">
      <c r="A134" s="627"/>
      <c r="B134" s="662" t="s">
        <v>941</v>
      </c>
      <c r="C134" s="628"/>
      <c r="D134" s="700"/>
      <c r="E134" s="667"/>
      <c r="F134" s="635"/>
      <c r="G134" s="667"/>
      <c r="H134" s="635"/>
      <c r="I134" s="667"/>
      <c r="J134" s="668"/>
      <c r="K134" s="669"/>
      <c r="L134" s="670"/>
      <c r="M134" s="671"/>
      <c r="N134" s="671"/>
      <c r="O134" s="672"/>
      <c r="P134" s="670"/>
      <c r="Q134" s="670"/>
      <c r="R134" s="666"/>
      <c r="S134" s="666"/>
      <c r="T134" s="666"/>
      <c r="U134" s="666"/>
    </row>
    <row r="135" spans="1:21" ht="15.6" x14ac:dyDescent="0.3">
      <c r="A135" s="627"/>
      <c r="B135" s="628"/>
      <c r="C135" s="628"/>
      <c r="D135" s="700"/>
      <c r="E135" s="667"/>
      <c r="F135" s="635"/>
      <c r="G135" s="667"/>
      <c r="H135" s="635"/>
      <c r="I135" s="667"/>
      <c r="J135" s="668"/>
      <c r="K135" s="669"/>
      <c r="L135" s="670"/>
      <c r="M135" s="671"/>
      <c r="N135" s="671"/>
      <c r="O135" s="672"/>
      <c r="P135" s="670"/>
      <c r="Q135" s="670"/>
      <c r="R135" s="666"/>
      <c r="S135" s="666"/>
      <c r="T135" s="666"/>
      <c r="U135" s="666"/>
    </row>
    <row r="136" spans="1:21" ht="15.6" x14ac:dyDescent="0.3">
      <c r="A136" s="627"/>
      <c r="B136" s="628" t="s">
        <v>938</v>
      </c>
      <c r="C136" s="628"/>
      <c r="D136" s="700"/>
      <c r="E136" s="667"/>
      <c r="F136" s="635"/>
      <c r="G136" s="667"/>
      <c r="H136" s="635"/>
      <c r="I136" s="667"/>
      <c r="J136" s="668"/>
      <c r="K136" s="669"/>
      <c r="L136" s="670"/>
      <c r="M136" s="671"/>
      <c r="N136" s="671"/>
      <c r="O136" s="672"/>
      <c r="P136" s="720">
        <v>0</v>
      </c>
      <c r="Q136" s="720">
        <v>0</v>
      </c>
      <c r="R136" s="666">
        <v>14.5</v>
      </c>
      <c r="S136" s="666">
        <f>+R136*1.066</f>
        <v>15.457000000000001</v>
      </c>
      <c r="T136" s="666">
        <f>+S136*1.064</f>
        <v>16.446248000000001</v>
      </c>
      <c r="U136" s="666">
        <f t="shared" ref="U136:U137" si="20">+T136*1.053</f>
        <v>17.317899143999998</v>
      </c>
    </row>
    <row r="137" spans="1:21" ht="15.6" x14ac:dyDescent="0.3">
      <c r="A137" s="627"/>
      <c r="B137" s="628" t="s">
        <v>939</v>
      </c>
      <c r="C137" s="628"/>
      <c r="D137" s="700"/>
      <c r="E137" s="667"/>
      <c r="F137" s="635"/>
      <c r="G137" s="667"/>
      <c r="H137" s="635"/>
      <c r="I137" s="667"/>
      <c r="J137" s="668"/>
      <c r="K137" s="669"/>
      <c r="L137" s="670"/>
      <c r="M137" s="671"/>
      <c r="N137" s="671"/>
      <c r="O137" s="672"/>
      <c r="P137" s="720">
        <v>0</v>
      </c>
      <c r="Q137" s="720">
        <v>0</v>
      </c>
      <c r="R137" s="666">
        <v>17.5</v>
      </c>
      <c r="S137" s="666">
        <f>+R137*1.066</f>
        <v>18.655000000000001</v>
      </c>
      <c r="T137" s="666">
        <f>+S137*1.064</f>
        <v>19.848920000000003</v>
      </c>
      <c r="U137" s="666">
        <f t="shared" si="20"/>
        <v>20.900912760000001</v>
      </c>
    </row>
    <row r="138" spans="1:21" ht="15.6" x14ac:dyDescent="0.3">
      <c r="A138" s="627"/>
      <c r="B138" s="703"/>
      <c r="C138" s="628"/>
      <c r="D138" s="700"/>
      <c r="E138" s="635"/>
      <c r="F138" s="635"/>
      <c r="G138" s="635"/>
      <c r="H138" s="635"/>
      <c r="I138" s="635"/>
      <c r="J138" s="763"/>
      <c r="K138" s="764"/>
      <c r="L138" s="706"/>
      <c r="M138" s="706"/>
      <c r="N138" s="706"/>
      <c r="O138" s="706"/>
      <c r="P138" s="707"/>
      <c r="Q138" s="707"/>
      <c r="R138" s="674"/>
      <c r="S138" s="674"/>
      <c r="T138" s="674"/>
      <c r="U138" s="674"/>
    </row>
    <row r="139" spans="1:21" ht="15.6" x14ac:dyDescent="0.3">
      <c r="A139" s="661"/>
      <c r="B139" s="662" t="s">
        <v>942</v>
      </c>
      <c r="C139" s="628"/>
      <c r="D139" s="700"/>
      <c r="E139" s="635"/>
      <c r="F139" s="635"/>
      <c r="G139" s="635"/>
      <c r="H139" s="635"/>
      <c r="I139" s="635"/>
      <c r="J139" s="763"/>
      <c r="K139" s="764"/>
      <c r="L139" s="707"/>
      <c r="M139" s="708"/>
      <c r="N139" s="708"/>
      <c r="O139" s="709"/>
      <c r="P139" s="707"/>
      <c r="Q139" s="707"/>
      <c r="R139" s="732"/>
      <c r="S139" s="732"/>
      <c r="T139" s="732"/>
      <c r="U139" s="732"/>
    </row>
    <row r="140" spans="1:21" ht="15.6" x14ac:dyDescent="0.3">
      <c r="A140" s="627"/>
      <c r="B140" s="731"/>
      <c r="C140" s="628"/>
      <c r="D140" s="700"/>
      <c r="E140" s="635"/>
      <c r="F140" s="635"/>
      <c r="G140" s="635"/>
      <c r="H140" s="635"/>
      <c r="I140" s="635"/>
      <c r="J140" s="763"/>
      <c r="K140" s="764"/>
      <c r="L140" s="707"/>
      <c r="M140" s="708"/>
      <c r="N140" s="708"/>
      <c r="O140" s="709"/>
      <c r="P140" s="707"/>
      <c r="Q140" s="707"/>
      <c r="R140" s="674"/>
      <c r="S140" s="674"/>
      <c r="T140" s="674"/>
      <c r="U140" s="674"/>
    </row>
    <row r="141" spans="1:21" ht="15.6" x14ac:dyDescent="0.3">
      <c r="A141" s="627"/>
      <c r="B141" s="731" t="s">
        <v>943</v>
      </c>
      <c r="C141" s="628"/>
      <c r="D141" s="700"/>
      <c r="E141" s="635"/>
      <c r="F141" s="635"/>
      <c r="G141" s="635"/>
      <c r="H141" s="635"/>
      <c r="I141" s="635"/>
      <c r="J141" s="763"/>
      <c r="K141" s="764"/>
      <c r="L141" s="707"/>
      <c r="M141" s="708"/>
      <c r="N141" s="708"/>
      <c r="O141" s="709"/>
      <c r="P141" s="707"/>
      <c r="Q141" s="707"/>
      <c r="R141" s="674"/>
      <c r="S141" s="674"/>
      <c r="T141" s="674"/>
      <c r="U141" s="674"/>
    </row>
    <row r="142" spans="1:21" ht="15.6" x14ac:dyDescent="0.3">
      <c r="A142" s="627"/>
      <c r="B142" s="628" t="s">
        <v>944</v>
      </c>
      <c r="C142" s="628"/>
      <c r="D142" s="700"/>
      <c r="E142" s="635"/>
      <c r="F142" s="635"/>
      <c r="G142" s="635"/>
      <c r="H142" s="635"/>
      <c r="I142" s="635"/>
      <c r="J142" s="763"/>
      <c r="K142" s="764"/>
      <c r="L142" s="707"/>
      <c r="M142" s="708"/>
      <c r="N142" s="708"/>
      <c r="O142" s="709"/>
      <c r="P142" s="720">
        <v>0</v>
      </c>
      <c r="Q142" s="720">
        <v>0</v>
      </c>
      <c r="R142" s="767">
        <v>176</v>
      </c>
      <c r="S142" s="767">
        <f>+R142*1.066</f>
        <v>187.61600000000001</v>
      </c>
      <c r="T142" s="767">
        <f>+S142*1.064</f>
        <v>199.62342400000003</v>
      </c>
      <c r="U142" s="767">
        <f t="shared" ref="U142:U143" si="21">+T142*1.053</f>
        <v>210.203465472</v>
      </c>
    </row>
    <row r="143" spans="1:21" ht="15.6" x14ac:dyDescent="0.3">
      <c r="A143" s="627"/>
      <c r="B143" s="628" t="s">
        <v>945</v>
      </c>
      <c r="C143" s="628"/>
      <c r="D143" s="700"/>
      <c r="E143" s="635"/>
      <c r="F143" s="635"/>
      <c r="G143" s="635"/>
      <c r="H143" s="635"/>
      <c r="I143" s="635"/>
      <c r="J143" s="763"/>
      <c r="K143" s="764"/>
      <c r="L143" s="707"/>
      <c r="M143" s="708"/>
      <c r="N143" s="708"/>
      <c r="O143" s="709"/>
      <c r="P143" s="720">
        <v>0</v>
      </c>
      <c r="Q143" s="720">
        <v>0</v>
      </c>
      <c r="R143" s="767">
        <v>198</v>
      </c>
      <c r="S143" s="767">
        <f>+R143*1.066</f>
        <v>211.06800000000001</v>
      </c>
      <c r="T143" s="767">
        <f>+S143*1.064</f>
        <v>224.57635200000001</v>
      </c>
      <c r="U143" s="767">
        <f t="shared" si="21"/>
        <v>236.47889865600001</v>
      </c>
    </row>
    <row r="144" spans="1:21" ht="15.6" x14ac:dyDescent="0.3">
      <c r="A144" s="627"/>
      <c r="B144" s="628"/>
      <c r="C144" s="628"/>
      <c r="D144" s="700"/>
      <c r="E144" s="635"/>
      <c r="F144" s="635"/>
      <c r="G144" s="635"/>
      <c r="H144" s="635"/>
      <c r="I144" s="635"/>
      <c r="J144" s="763"/>
      <c r="K144" s="764"/>
      <c r="L144" s="707"/>
      <c r="M144" s="708"/>
      <c r="N144" s="708"/>
      <c r="O144" s="709"/>
      <c r="P144" s="707"/>
      <c r="Q144" s="707"/>
      <c r="R144" s="666">
        <f>+Q144*1.058</f>
        <v>0</v>
      </c>
      <c r="S144" s="666">
        <f>+R144*1.058</f>
        <v>0</v>
      </c>
      <c r="T144" s="666">
        <f>+S144*1.058</f>
        <v>0</v>
      </c>
      <c r="U144" s="666">
        <f>+T144*1.058</f>
        <v>0</v>
      </c>
    </row>
    <row r="145" spans="1:21" ht="16.2" thickBot="1" x14ac:dyDescent="0.35">
      <c r="A145" s="643"/>
      <c r="B145" s="644"/>
      <c r="C145" s="644"/>
      <c r="D145" s="768"/>
      <c r="E145" s="769"/>
      <c r="F145" s="770"/>
      <c r="G145" s="769"/>
      <c r="H145" s="770"/>
      <c r="I145" s="769"/>
      <c r="J145" s="771"/>
      <c r="K145" s="772"/>
      <c r="L145" s="773"/>
      <c r="M145" s="774"/>
      <c r="N145" s="774"/>
      <c r="O145" s="775"/>
      <c r="P145" s="773"/>
      <c r="Q145" s="773"/>
      <c r="R145" s="776"/>
      <c r="S145" s="776"/>
      <c r="T145" s="776"/>
      <c r="U145" s="776"/>
    </row>
    <row r="146" spans="1:21" ht="16.2" thickBot="1" x14ac:dyDescent="0.35">
      <c r="A146" s="651">
        <v>4</v>
      </c>
      <c r="B146" s="652" t="s">
        <v>202</v>
      </c>
      <c r="C146" s="653"/>
      <c r="D146" s="705"/>
      <c r="E146" s="770"/>
      <c r="F146" s="770"/>
      <c r="G146" s="770"/>
      <c r="H146" s="770"/>
      <c r="I146" s="770"/>
      <c r="J146" s="770"/>
      <c r="K146" s="777"/>
      <c r="L146" s="778"/>
      <c r="M146" s="779"/>
      <c r="N146" s="779"/>
      <c r="O146" s="780"/>
      <c r="P146" s="781"/>
      <c r="Q146" s="781"/>
      <c r="R146" s="781"/>
      <c r="S146" s="781"/>
      <c r="T146" s="781"/>
      <c r="U146" s="781"/>
    </row>
    <row r="147" spans="1:21" ht="15.6" x14ac:dyDescent="0.3">
      <c r="A147" s="627"/>
      <c r="B147" s="628"/>
      <c r="C147" s="628"/>
      <c r="D147" s="700"/>
      <c r="E147" s="635"/>
      <c r="F147" s="635"/>
      <c r="G147" s="635"/>
      <c r="H147" s="635"/>
      <c r="I147" s="635"/>
      <c r="J147" s="635"/>
      <c r="K147" s="634"/>
      <c r="L147" s="707"/>
      <c r="M147" s="708"/>
      <c r="N147" s="708"/>
      <c r="O147" s="709"/>
      <c r="P147" s="707"/>
      <c r="Q147" s="707">
        <f t="shared" ref="Q147:Q165" si="22">(P147*0.06)+P147</f>
        <v>0</v>
      </c>
      <c r="R147" s="782"/>
      <c r="S147" s="782"/>
      <c r="T147" s="782"/>
      <c r="U147" s="782"/>
    </row>
    <row r="148" spans="1:21" ht="15.6" x14ac:dyDescent="0.3">
      <c r="A148" s="627"/>
      <c r="B148" s="628" t="s">
        <v>519</v>
      </c>
      <c r="C148" s="628"/>
      <c r="D148" s="700"/>
      <c r="E148" s="667" t="s">
        <v>203</v>
      </c>
      <c r="F148" s="635"/>
      <c r="G148" s="667" t="s">
        <v>204</v>
      </c>
      <c r="H148" s="635"/>
      <c r="I148" s="667" t="s">
        <v>205</v>
      </c>
      <c r="J148" s="747">
        <f t="shared" ref="J148:J165" si="23">+I148*1.06</f>
        <v>52.660800000000002</v>
      </c>
      <c r="K148" s="748">
        <f t="shared" ref="K148:K165" si="24">+J148*1.065</f>
        <v>56.083751999999997</v>
      </c>
      <c r="L148" s="670">
        <f>+K148*1.083-0.01</f>
        <v>60.728703415999995</v>
      </c>
      <c r="M148" s="671">
        <f t="shared" ref="M148:M165" si="25">+L148*1.25</f>
        <v>75.910879269999995</v>
      </c>
      <c r="N148" s="671">
        <f t="shared" ref="N148:N165" si="26">+M148*1.07</f>
        <v>81.224640818899999</v>
      </c>
      <c r="O148" s="672">
        <f t="shared" ref="O148:O165" si="27">+N148*1.06</f>
        <v>86.098119268033997</v>
      </c>
      <c r="P148" s="670">
        <v>91.2</v>
      </c>
      <c r="Q148" s="670">
        <f t="shared" si="22"/>
        <v>96.671999999999997</v>
      </c>
      <c r="R148" s="666">
        <f t="shared" ref="R148:R165" si="28">+Q148*1.058</f>
        <v>102.278976</v>
      </c>
      <c r="S148" s="666">
        <f t="shared" ref="S148:S165" si="29">+R148*1.066</f>
        <v>109.029388416</v>
      </c>
      <c r="T148" s="666">
        <f t="shared" ref="T148:T165" si="30">+S148*1.064</f>
        <v>116.00726927462401</v>
      </c>
      <c r="U148" s="666">
        <f t="shared" ref="U148:U165" si="31">+T148*1.053</f>
        <v>122.15565454617908</v>
      </c>
    </row>
    <row r="149" spans="1:21" ht="15.6" x14ac:dyDescent="0.3">
      <c r="A149" s="627"/>
      <c r="B149" s="628" t="s">
        <v>206</v>
      </c>
      <c r="C149" s="628"/>
      <c r="D149" s="700"/>
      <c r="E149" s="667" t="s">
        <v>203</v>
      </c>
      <c r="F149" s="635"/>
      <c r="G149" s="667" t="s">
        <v>204</v>
      </c>
      <c r="H149" s="635"/>
      <c r="I149" s="667" t="s">
        <v>205</v>
      </c>
      <c r="J149" s="747">
        <f t="shared" si="23"/>
        <v>52.660800000000002</v>
      </c>
      <c r="K149" s="748">
        <f t="shared" si="24"/>
        <v>56.083751999999997</v>
      </c>
      <c r="L149" s="670">
        <f>+K149*1.083-0.01</f>
        <v>60.728703415999995</v>
      </c>
      <c r="M149" s="671">
        <f t="shared" si="25"/>
        <v>75.910879269999995</v>
      </c>
      <c r="N149" s="671">
        <f t="shared" si="26"/>
        <v>81.224640818899999</v>
      </c>
      <c r="O149" s="672">
        <f t="shared" si="27"/>
        <v>86.098119268033997</v>
      </c>
      <c r="P149" s="670">
        <v>91.2</v>
      </c>
      <c r="Q149" s="670">
        <f t="shared" si="22"/>
        <v>96.671999999999997</v>
      </c>
      <c r="R149" s="666">
        <f t="shared" si="28"/>
        <v>102.278976</v>
      </c>
      <c r="S149" s="666">
        <f t="shared" si="29"/>
        <v>109.029388416</v>
      </c>
      <c r="T149" s="666">
        <f t="shared" si="30"/>
        <v>116.00726927462401</v>
      </c>
      <c r="U149" s="666">
        <f t="shared" si="31"/>
        <v>122.15565454617908</v>
      </c>
    </row>
    <row r="150" spans="1:21" ht="15.6" x14ac:dyDescent="0.3">
      <c r="A150" s="627"/>
      <c r="B150" s="628" t="s">
        <v>1040</v>
      </c>
      <c r="C150" s="628"/>
      <c r="D150" s="700"/>
      <c r="E150" s="667"/>
      <c r="F150" s="635"/>
      <c r="G150" s="667"/>
      <c r="H150" s="635"/>
      <c r="I150" s="667"/>
      <c r="J150" s="747"/>
      <c r="K150" s="748"/>
      <c r="L150" s="670"/>
      <c r="M150" s="671"/>
      <c r="N150" s="671"/>
      <c r="O150" s="672"/>
      <c r="P150" s="670"/>
      <c r="Q150" s="670"/>
      <c r="R150" s="666"/>
      <c r="S150" s="666"/>
      <c r="T150" s="666">
        <v>90.43</v>
      </c>
      <c r="U150" s="666">
        <v>95.77</v>
      </c>
    </row>
    <row r="151" spans="1:21" ht="15.6" x14ac:dyDescent="0.3">
      <c r="A151" s="627"/>
      <c r="B151" s="628" t="s">
        <v>207</v>
      </c>
      <c r="C151" s="628"/>
      <c r="D151" s="700"/>
      <c r="E151" s="667" t="s">
        <v>208</v>
      </c>
      <c r="F151" s="635"/>
      <c r="G151" s="667" t="s">
        <v>209</v>
      </c>
      <c r="H151" s="635"/>
      <c r="I151" s="667" t="s">
        <v>210</v>
      </c>
      <c r="J151" s="747">
        <f t="shared" si="23"/>
        <v>184.334</v>
      </c>
      <c r="K151" s="748">
        <f t="shared" si="24"/>
        <v>196.31571</v>
      </c>
      <c r="L151" s="670">
        <f t="shared" ref="L151:L165" si="32">+K151*1.083</f>
        <v>212.60991392999998</v>
      </c>
      <c r="M151" s="671">
        <f t="shared" si="25"/>
        <v>265.76239241249999</v>
      </c>
      <c r="N151" s="671">
        <f t="shared" si="26"/>
        <v>284.36575988137503</v>
      </c>
      <c r="O151" s="672">
        <f t="shared" si="27"/>
        <v>301.42770547425755</v>
      </c>
      <c r="P151" s="670">
        <v>319.5</v>
      </c>
      <c r="Q151" s="670">
        <f t="shared" si="22"/>
        <v>338.67</v>
      </c>
      <c r="R151" s="666">
        <f t="shared" si="28"/>
        <v>358.31286000000006</v>
      </c>
      <c r="S151" s="666">
        <f t="shared" si="29"/>
        <v>381.96150876000007</v>
      </c>
      <c r="T151" s="666">
        <f t="shared" si="30"/>
        <v>406.40704532064012</v>
      </c>
      <c r="U151" s="666">
        <f t="shared" si="31"/>
        <v>427.94661872263401</v>
      </c>
    </row>
    <row r="152" spans="1:21" ht="15.6" x14ac:dyDescent="0.3">
      <c r="A152" s="627"/>
      <c r="B152" s="628" t="s">
        <v>675</v>
      </c>
      <c r="C152" s="628"/>
      <c r="D152" s="700"/>
      <c r="E152" s="667" t="s">
        <v>676</v>
      </c>
      <c r="F152" s="635"/>
      <c r="G152" s="667" t="s">
        <v>677</v>
      </c>
      <c r="H152" s="635"/>
      <c r="I152" s="667" t="s">
        <v>678</v>
      </c>
      <c r="J152" s="747">
        <f t="shared" si="23"/>
        <v>658.32359999999994</v>
      </c>
      <c r="K152" s="748">
        <f t="shared" si="24"/>
        <v>701.11463399999991</v>
      </c>
      <c r="L152" s="670">
        <f t="shared" si="32"/>
        <v>759.30714862199989</v>
      </c>
      <c r="M152" s="671">
        <f t="shared" si="25"/>
        <v>949.1339357774998</v>
      </c>
      <c r="N152" s="671">
        <f t="shared" si="26"/>
        <v>1015.5733112819248</v>
      </c>
      <c r="O152" s="672">
        <f t="shared" si="27"/>
        <v>1076.5077099588405</v>
      </c>
      <c r="P152" s="670">
        <v>1141.0999999999999</v>
      </c>
      <c r="Q152" s="670">
        <f t="shared" si="22"/>
        <v>1209.5659999999998</v>
      </c>
      <c r="R152" s="666">
        <f t="shared" si="28"/>
        <v>1279.7208279999998</v>
      </c>
      <c r="S152" s="666">
        <f t="shared" si="29"/>
        <v>1364.1824026479999</v>
      </c>
      <c r="T152" s="666">
        <f t="shared" si="30"/>
        <v>1451.490076417472</v>
      </c>
      <c r="U152" s="666">
        <f t="shared" si="31"/>
        <v>1528.4190504675978</v>
      </c>
    </row>
    <row r="153" spans="1:21" ht="15.6" x14ac:dyDescent="0.3">
      <c r="A153" s="627"/>
      <c r="B153" s="628" t="s">
        <v>679</v>
      </c>
      <c r="C153" s="628"/>
      <c r="D153" s="700"/>
      <c r="E153" s="667" t="s">
        <v>680</v>
      </c>
      <c r="F153" s="635"/>
      <c r="G153" s="667" t="s">
        <v>681</v>
      </c>
      <c r="H153" s="635"/>
      <c r="I153" s="667" t="s">
        <v>682</v>
      </c>
      <c r="J153" s="747">
        <f t="shared" si="23"/>
        <v>637.25080000000003</v>
      </c>
      <c r="K153" s="748">
        <f t="shared" si="24"/>
        <v>678.672102</v>
      </c>
      <c r="L153" s="670">
        <f t="shared" si="32"/>
        <v>735.00188646599997</v>
      </c>
      <c r="M153" s="671">
        <f t="shared" si="25"/>
        <v>918.7523580825</v>
      </c>
      <c r="N153" s="671">
        <f t="shared" si="26"/>
        <v>983.06502314827503</v>
      </c>
      <c r="O153" s="672">
        <f t="shared" si="27"/>
        <v>1042.0489245371716</v>
      </c>
      <c r="P153" s="670">
        <v>1104.5999999999999</v>
      </c>
      <c r="Q153" s="670">
        <f t="shared" si="22"/>
        <v>1170.876</v>
      </c>
      <c r="R153" s="666">
        <f t="shared" si="28"/>
        <v>1238.7868080000001</v>
      </c>
      <c r="S153" s="666">
        <f t="shared" si="29"/>
        <v>1320.5467373280001</v>
      </c>
      <c r="T153" s="666">
        <f t="shared" si="30"/>
        <v>1405.0617285169922</v>
      </c>
      <c r="U153" s="666">
        <f t="shared" si="31"/>
        <v>1479.5300001283927</v>
      </c>
    </row>
    <row r="154" spans="1:21" ht="15.6" x14ac:dyDescent="0.3">
      <c r="A154" s="627"/>
      <c r="B154" s="628" t="s">
        <v>683</v>
      </c>
      <c r="C154" s="628"/>
      <c r="D154" s="700"/>
      <c r="E154" s="667" t="s">
        <v>684</v>
      </c>
      <c r="F154" s="635"/>
      <c r="G154" s="667" t="s">
        <v>685</v>
      </c>
      <c r="H154" s="635"/>
      <c r="I154" s="667" t="s">
        <v>686</v>
      </c>
      <c r="J154" s="747">
        <f t="shared" si="23"/>
        <v>639.87959999999998</v>
      </c>
      <c r="K154" s="748">
        <f t="shared" si="24"/>
        <v>681.47177399999998</v>
      </c>
      <c r="L154" s="670">
        <f t="shared" si="32"/>
        <v>738.03393124199999</v>
      </c>
      <c r="M154" s="671">
        <f t="shared" si="25"/>
        <v>922.54241405250002</v>
      </c>
      <c r="N154" s="671">
        <f t="shared" si="26"/>
        <v>987.1203830361751</v>
      </c>
      <c r="O154" s="672">
        <f t="shared" si="27"/>
        <v>1046.3476060183457</v>
      </c>
      <c r="P154" s="670">
        <v>1109.0999999999999</v>
      </c>
      <c r="Q154" s="670">
        <f t="shared" si="22"/>
        <v>1175.646</v>
      </c>
      <c r="R154" s="666">
        <f t="shared" si="28"/>
        <v>1243.833468</v>
      </c>
      <c r="S154" s="666">
        <f t="shared" si="29"/>
        <v>1325.926476888</v>
      </c>
      <c r="T154" s="666">
        <f t="shared" si="30"/>
        <v>1410.785771408832</v>
      </c>
      <c r="U154" s="666">
        <f t="shared" si="31"/>
        <v>1485.5574172935001</v>
      </c>
    </row>
    <row r="155" spans="1:21" ht="15.6" x14ac:dyDescent="0.3">
      <c r="A155" s="627"/>
      <c r="B155" s="628" t="s">
        <v>687</v>
      </c>
      <c r="C155" s="628"/>
      <c r="D155" s="700"/>
      <c r="E155" s="667" t="s">
        <v>684</v>
      </c>
      <c r="F155" s="635"/>
      <c r="G155" s="667" t="s">
        <v>685</v>
      </c>
      <c r="H155" s="635"/>
      <c r="I155" s="667" t="s">
        <v>686</v>
      </c>
      <c r="J155" s="747">
        <f t="shared" si="23"/>
        <v>639.87959999999998</v>
      </c>
      <c r="K155" s="748">
        <f t="shared" si="24"/>
        <v>681.47177399999998</v>
      </c>
      <c r="L155" s="670">
        <f t="shared" si="32"/>
        <v>738.03393124199999</v>
      </c>
      <c r="M155" s="671">
        <f t="shared" si="25"/>
        <v>922.54241405250002</v>
      </c>
      <c r="N155" s="671">
        <f t="shared" si="26"/>
        <v>987.1203830361751</v>
      </c>
      <c r="O155" s="672">
        <f t="shared" si="27"/>
        <v>1046.3476060183457</v>
      </c>
      <c r="P155" s="670">
        <v>1109.0999999999999</v>
      </c>
      <c r="Q155" s="670">
        <f t="shared" si="22"/>
        <v>1175.646</v>
      </c>
      <c r="R155" s="666">
        <f t="shared" si="28"/>
        <v>1243.833468</v>
      </c>
      <c r="S155" s="666">
        <f t="shared" si="29"/>
        <v>1325.926476888</v>
      </c>
      <c r="T155" s="666">
        <f t="shared" si="30"/>
        <v>1410.785771408832</v>
      </c>
      <c r="U155" s="666">
        <f t="shared" si="31"/>
        <v>1485.5574172935001</v>
      </c>
    </row>
    <row r="156" spans="1:21" ht="15.6" x14ac:dyDescent="0.3">
      <c r="A156" s="627"/>
      <c r="B156" s="628" t="s">
        <v>688</v>
      </c>
      <c r="C156" s="628"/>
      <c r="D156" s="700"/>
      <c r="E156" s="667" t="s">
        <v>689</v>
      </c>
      <c r="F156" s="635"/>
      <c r="G156" s="667" t="s">
        <v>690</v>
      </c>
      <c r="H156" s="635"/>
      <c r="I156" s="667" t="s">
        <v>691</v>
      </c>
      <c r="J156" s="747">
        <f t="shared" si="23"/>
        <v>6945.2471999999998</v>
      </c>
      <c r="K156" s="748">
        <f t="shared" si="24"/>
        <v>7396.688267999999</v>
      </c>
      <c r="L156" s="670">
        <f t="shared" si="32"/>
        <v>8010.6133942439983</v>
      </c>
      <c r="M156" s="671">
        <f t="shared" si="25"/>
        <v>10013.266742804997</v>
      </c>
      <c r="N156" s="671">
        <f t="shared" si="26"/>
        <v>10714.195414801348</v>
      </c>
      <c r="O156" s="672">
        <f t="shared" si="27"/>
        <v>11357.04713968943</v>
      </c>
      <c r="P156" s="670">
        <v>12040</v>
      </c>
      <c r="Q156" s="670">
        <f t="shared" si="22"/>
        <v>12762.4</v>
      </c>
      <c r="R156" s="666">
        <f t="shared" si="28"/>
        <v>13502.619200000001</v>
      </c>
      <c r="S156" s="666">
        <f t="shared" si="29"/>
        <v>14393.792067200002</v>
      </c>
      <c r="T156" s="666">
        <f t="shared" si="30"/>
        <v>15314.994759500803</v>
      </c>
      <c r="U156" s="666">
        <f t="shared" si="31"/>
        <v>16126.689481754345</v>
      </c>
    </row>
    <row r="157" spans="1:21" ht="15.6" x14ac:dyDescent="0.3">
      <c r="A157" s="627"/>
      <c r="B157" s="628" t="s">
        <v>692</v>
      </c>
      <c r="C157" s="628"/>
      <c r="D157" s="700"/>
      <c r="E157" s="667" t="s">
        <v>693</v>
      </c>
      <c r="F157" s="635"/>
      <c r="G157" s="667" t="s">
        <v>694</v>
      </c>
      <c r="H157" s="635"/>
      <c r="I157" s="667" t="s">
        <v>695</v>
      </c>
      <c r="J157" s="747">
        <f t="shared" si="23"/>
        <v>190.90600000000001</v>
      </c>
      <c r="K157" s="748">
        <f t="shared" si="24"/>
        <v>203.31488999999999</v>
      </c>
      <c r="L157" s="670">
        <f t="shared" si="32"/>
        <v>220.19002586999997</v>
      </c>
      <c r="M157" s="671">
        <f t="shared" si="25"/>
        <v>275.23753233749994</v>
      </c>
      <c r="N157" s="671">
        <f t="shared" si="26"/>
        <v>294.50415960112497</v>
      </c>
      <c r="O157" s="672">
        <f t="shared" si="27"/>
        <v>312.1744091771925</v>
      </c>
      <c r="P157" s="670">
        <v>330.9</v>
      </c>
      <c r="Q157" s="670">
        <f t="shared" si="22"/>
        <v>350.75399999999996</v>
      </c>
      <c r="R157" s="666">
        <f t="shared" si="28"/>
        <v>371.09773199999995</v>
      </c>
      <c r="S157" s="666">
        <f t="shared" si="29"/>
        <v>395.59018231199997</v>
      </c>
      <c r="T157" s="666">
        <f t="shared" si="30"/>
        <v>420.907953979968</v>
      </c>
      <c r="U157" s="666">
        <f t="shared" si="31"/>
        <v>443.21607554090627</v>
      </c>
    </row>
    <row r="158" spans="1:21" ht="15.6" x14ac:dyDescent="0.3">
      <c r="A158" s="627"/>
      <c r="B158" s="628" t="s">
        <v>696</v>
      </c>
      <c r="C158" s="628"/>
      <c r="D158" s="700"/>
      <c r="E158" s="667" t="s">
        <v>697</v>
      </c>
      <c r="F158" s="635"/>
      <c r="G158" s="667" t="s">
        <v>698</v>
      </c>
      <c r="H158" s="635"/>
      <c r="I158" s="667" t="s">
        <v>699</v>
      </c>
      <c r="J158" s="747">
        <f t="shared" si="23"/>
        <v>215.93260000000001</v>
      </c>
      <c r="K158" s="748">
        <f t="shared" si="24"/>
        <v>229.968219</v>
      </c>
      <c r="L158" s="670">
        <f t="shared" si="32"/>
        <v>249.05558117699999</v>
      </c>
      <c r="M158" s="671">
        <f t="shared" si="25"/>
        <v>311.31947647124997</v>
      </c>
      <c r="N158" s="671">
        <f t="shared" si="26"/>
        <v>333.11183982423751</v>
      </c>
      <c r="O158" s="672">
        <f t="shared" si="27"/>
        <v>353.09855021369179</v>
      </c>
      <c r="P158" s="670">
        <v>374.3</v>
      </c>
      <c r="Q158" s="670">
        <f t="shared" si="22"/>
        <v>396.75800000000004</v>
      </c>
      <c r="R158" s="666">
        <f t="shared" si="28"/>
        <v>419.76996400000007</v>
      </c>
      <c r="S158" s="666">
        <f t="shared" si="29"/>
        <v>447.47478162400012</v>
      </c>
      <c r="T158" s="666">
        <f t="shared" si="30"/>
        <v>476.11316764793617</v>
      </c>
      <c r="U158" s="666">
        <f t="shared" si="31"/>
        <v>501.34716553327678</v>
      </c>
    </row>
    <row r="159" spans="1:21" ht="15.6" x14ac:dyDescent="0.3">
      <c r="A159" s="627"/>
      <c r="B159" s="628" t="s">
        <v>700</v>
      </c>
      <c r="C159" s="628"/>
      <c r="D159" s="700"/>
      <c r="E159" s="667" t="s">
        <v>701</v>
      </c>
      <c r="F159" s="635"/>
      <c r="G159" s="667" t="s">
        <v>702</v>
      </c>
      <c r="H159" s="635"/>
      <c r="I159" s="667" t="s">
        <v>703</v>
      </c>
      <c r="J159" s="747">
        <f t="shared" si="23"/>
        <v>1217.8976</v>
      </c>
      <c r="K159" s="748">
        <f t="shared" si="24"/>
        <v>1297.0609439999998</v>
      </c>
      <c r="L159" s="670">
        <f t="shared" si="32"/>
        <v>1404.7170023519998</v>
      </c>
      <c r="M159" s="671">
        <f t="shared" si="25"/>
        <v>1755.8962529399996</v>
      </c>
      <c r="N159" s="671">
        <f t="shared" si="26"/>
        <v>1878.8089906457997</v>
      </c>
      <c r="O159" s="672">
        <f t="shared" si="27"/>
        <v>1991.5375300845478</v>
      </c>
      <c r="P159" s="670">
        <v>2111</v>
      </c>
      <c r="Q159" s="670">
        <f t="shared" si="22"/>
        <v>2237.66</v>
      </c>
      <c r="R159" s="666">
        <f t="shared" si="28"/>
        <v>2367.4442800000002</v>
      </c>
      <c r="S159" s="666">
        <f t="shared" si="29"/>
        <v>2523.6956024800002</v>
      </c>
      <c r="T159" s="666">
        <f t="shared" si="30"/>
        <v>2685.2121210387204</v>
      </c>
      <c r="U159" s="666">
        <f t="shared" si="31"/>
        <v>2827.5283634537723</v>
      </c>
    </row>
    <row r="160" spans="1:21" ht="15.6" x14ac:dyDescent="0.3">
      <c r="A160" s="627"/>
      <c r="B160" s="628" t="s">
        <v>704</v>
      </c>
      <c r="C160" s="628"/>
      <c r="D160" s="700"/>
      <c r="E160" s="667" t="s">
        <v>705</v>
      </c>
      <c r="F160" s="667"/>
      <c r="G160" s="667" t="s">
        <v>706</v>
      </c>
      <c r="H160" s="635"/>
      <c r="I160" s="667" t="s">
        <v>707</v>
      </c>
      <c r="J160" s="747">
        <f t="shared" si="23"/>
        <v>9407.3622000000014</v>
      </c>
      <c r="K160" s="748">
        <f t="shared" si="24"/>
        <v>10018.840743000001</v>
      </c>
      <c r="L160" s="670">
        <f t="shared" si="32"/>
        <v>10850.404524669</v>
      </c>
      <c r="M160" s="671">
        <f t="shared" si="25"/>
        <v>13563.00565583625</v>
      </c>
      <c r="N160" s="671">
        <f t="shared" si="26"/>
        <v>14512.416051744789</v>
      </c>
      <c r="O160" s="672">
        <f t="shared" si="27"/>
        <v>15383.161014849476</v>
      </c>
      <c r="P160" s="670">
        <v>16306.1</v>
      </c>
      <c r="Q160" s="670">
        <f t="shared" si="22"/>
        <v>17284.466</v>
      </c>
      <c r="R160" s="666">
        <f t="shared" si="28"/>
        <v>18286.965028000002</v>
      </c>
      <c r="S160" s="666">
        <f t="shared" si="29"/>
        <v>19493.904719848004</v>
      </c>
      <c r="T160" s="666">
        <f t="shared" si="30"/>
        <v>20741.514621918279</v>
      </c>
      <c r="U160" s="666">
        <f t="shared" si="31"/>
        <v>21840.814896879947</v>
      </c>
    </row>
    <row r="161" spans="1:21" ht="15.6" x14ac:dyDescent="0.3">
      <c r="A161" s="627"/>
      <c r="B161" s="628" t="s">
        <v>708</v>
      </c>
      <c r="C161" s="628"/>
      <c r="D161" s="700"/>
      <c r="E161" s="667" t="s">
        <v>709</v>
      </c>
      <c r="F161" s="635"/>
      <c r="G161" s="667" t="s">
        <v>710</v>
      </c>
      <c r="H161" s="635"/>
      <c r="I161" s="667" t="s">
        <v>711</v>
      </c>
      <c r="J161" s="747">
        <f t="shared" si="23"/>
        <v>217.24699999999999</v>
      </c>
      <c r="K161" s="748">
        <f t="shared" si="24"/>
        <v>231.36805499999997</v>
      </c>
      <c r="L161" s="670">
        <f t="shared" si="32"/>
        <v>250.57160356499995</v>
      </c>
      <c r="M161" s="671">
        <f t="shared" si="25"/>
        <v>313.21450445624993</v>
      </c>
      <c r="N161" s="671">
        <f t="shared" si="26"/>
        <v>335.13951976818743</v>
      </c>
      <c r="O161" s="672">
        <f t="shared" si="27"/>
        <v>355.24789095427872</v>
      </c>
      <c r="P161" s="670">
        <v>376.5</v>
      </c>
      <c r="Q161" s="670">
        <f t="shared" si="22"/>
        <v>399.09</v>
      </c>
      <c r="R161" s="666">
        <f t="shared" si="28"/>
        <v>422.23721999999998</v>
      </c>
      <c r="S161" s="666">
        <f t="shared" si="29"/>
        <v>450.10487652</v>
      </c>
      <c r="T161" s="666">
        <f t="shared" si="30"/>
        <v>478.91158861728002</v>
      </c>
      <c r="U161" s="666">
        <f t="shared" si="31"/>
        <v>504.29390281399583</v>
      </c>
    </row>
    <row r="162" spans="1:21" ht="15.6" x14ac:dyDescent="0.3">
      <c r="A162" s="627"/>
      <c r="B162" s="628" t="s">
        <v>712</v>
      </c>
      <c r="C162" s="628"/>
      <c r="D162" s="700"/>
      <c r="E162" s="667" t="s">
        <v>713</v>
      </c>
      <c r="F162" s="635"/>
      <c r="G162" s="667" t="s">
        <v>714</v>
      </c>
      <c r="H162" s="635"/>
      <c r="I162" s="667" t="s">
        <v>715</v>
      </c>
      <c r="J162" s="747">
        <f t="shared" si="23"/>
        <v>434.49399999999997</v>
      </c>
      <c r="K162" s="748">
        <f t="shared" si="24"/>
        <v>462.73610999999994</v>
      </c>
      <c r="L162" s="670">
        <f t="shared" si="32"/>
        <v>501.14320712999989</v>
      </c>
      <c r="M162" s="671">
        <f t="shared" si="25"/>
        <v>626.42900891249985</v>
      </c>
      <c r="N162" s="671">
        <f t="shared" si="26"/>
        <v>670.27903953637485</v>
      </c>
      <c r="O162" s="672">
        <f t="shared" si="27"/>
        <v>710.49578190855743</v>
      </c>
      <c r="P162" s="670">
        <v>753.1</v>
      </c>
      <c r="Q162" s="670">
        <f t="shared" si="22"/>
        <v>798.28600000000006</v>
      </c>
      <c r="R162" s="666">
        <f t="shared" si="28"/>
        <v>844.58658800000012</v>
      </c>
      <c r="S162" s="666">
        <f t="shared" si="29"/>
        <v>900.32930280800019</v>
      </c>
      <c r="T162" s="666">
        <f t="shared" si="30"/>
        <v>957.9503781877122</v>
      </c>
      <c r="U162" s="666">
        <f t="shared" si="31"/>
        <v>1008.7217482316609</v>
      </c>
    </row>
    <row r="163" spans="1:21" ht="15.6" x14ac:dyDescent="0.3">
      <c r="A163" s="627"/>
      <c r="B163" s="628" t="s">
        <v>716</v>
      </c>
      <c r="C163" s="628"/>
      <c r="D163" s="700"/>
      <c r="E163" s="667" t="s">
        <v>717</v>
      </c>
      <c r="F163" s="635"/>
      <c r="G163" s="667" t="s">
        <v>718</v>
      </c>
      <c r="H163" s="635"/>
      <c r="I163" s="667" t="s">
        <v>719</v>
      </c>
      <c r="J163" s="747">
        <f t="shared" si="23"/>
        <v>77.6768</v>
      </c>
      <c r="K163" s="748">
        <f t="shared" si="24"/>
        <v>82.725791999999998</v>
      </c>
      <c r="L163" s="670">
        <f t="shared" si="32"/>
        <v>89.592032735999993</v>
      </c>
      <c r="M163" s="671">
        <f t="shared" si="25"/>
        <v>111.99004091999998</v>
      </c>
      <c r="N163" s="671">
        <f t="shared" si="26"/>
        <v>119.8293437844</v>
      </c>
      <c r="O163" s="672">
        <f t="shared" si="27"/>
        <v>127.019104411464</v>
      </c>
      <c r="P163" s="670">
        <v>134.6</v>
      </c>
      <c r="Q163" s="670">
        <f t="shared" si="22"/>
        <v>142.67599999999999</v>
      </c>
      <c r="R163" s="666">
        <f t="shared" si="28"/>
        <v>150.95120800000001</v>
      </c>
      <c r="S163" s="666">
        <f t="shared" si="29"/>
        <v>160.91398772800002</v>
      </c>
      <c r="T163" s="666">
        <f t="shared" si="30"/>
        <v>171.21248294259203</v>
      </c>
      <c r="U163" s="666">
        <f t="shared" si="31"/>
        <v>180.28674453854939</v>
      </c>
    </row>
    <row r="164" spans="1:21" ht="15.6" x14ac:dyDescent="0.3">
      <c r="A164" s="627"/>
      <c r="B164" s="628" t="s">
        <v>720</v>
      </c>
      <c r="C164" s="628"/>
      <c r="D164" s="700"/>
      <c r="E164" s="667" t="s">
        <v>721</v>
      </c>
      <c r="F164" s="635"/>
      <c r="G164" s="667" t="s">
        <v>722</v>
      </c>
      <c r="H164" s="635"/>
      <c r="I164" s="667" t="s">
        <v>723</v>
      </c>
      <c r="J164" s="747">
        <f t="shared" si="23"/>
        <v>169.11240000000001</v>
      </c>
      <c r="K164" s="748">
        <f t="shared" si="24"/>
        <v>180.10470599999999</v>
      </c>
      <c r="L164" s="670">
        <f t="shared" si="32"/>
        <v>195.05339659799998</v>
      </c>
      <c r="M164" s="671">
        <f t="shared" si="25"/>
        <v>243.81674574749997</v>
      </c>
      <c r="N164" s="671">
        <f t="shared" si="26"/>
        <v>260.88391794982499</v>
      </c>
      <c r="O164" s="672">
        <f t="shared" si="27"/>
        <v>276.5369530268145</v>
      </c>
      <c r="P164" s="670">
        <v>293.10000000000002</v>
      </c>
      <c r="Q164" s="670">
        <f t="shared" si="22"/>
        <v>310.68600000000004</v>
      </c>
      <c r="R164" s="666">
        <f t="shared" si="28"/>
        <v>328.70578800000004</v>
      </c>
      <c r="S164" s="666">
        <f t="shared" si="29"/>
        <v>350.40037000800004</v>
      </c>
      <c r="T164" s="666">
        <f t="shared" si="30"/>
        <v>372.82599368851209</v>
      </c>
      <c r="U164" s="666">
        <f t="shared" si="31"/>
        <v>392.58577135400321</v>
      </c>
    </row>
    <row r="165" spans="1:21" ht="15.6" x14ac:dyDescent="0.3">
      <c r="A165" s="627"/>
      <c r="B165" s="628" t="s">
        <v>724</v>
      </c>
      <c r="C165" s="628"/>
      <c r="D165" s="700"/>
      <c r="E165" s="667" t="s">
        <v>725</v>
      </c>
      <c r="F165" s="635"/>
      <c r="G165" s="667" t="s">
        <v>726</v>
      </c>
      <c r="H165" s="635"/>
      <c r="I165" s="667" t="s">
        <v>727</v>
      </c>
      <c r="J165" s="747">
        <f t="shared" si="23"/>
        <v>181.18580000000003</v>
      </c>
      <c r="K165" s="748">
        <f t="shared" si="24"/>
        <v>192.96287700000002</v>
      </c>
      <c r="L165" s="670">
        <f t="shared" si="32"/>
        <v>208.97879579100001</v>
      </c>
      <c r="M165" s="671">
        <f t="shared" si="25"/>
        <v>261.22349473874999</v>
      </c>
      <c r="N165" s="671">
        <f t="shared" si="26"/>
        <v>279.50913937046249</v>
      </c>
      <c r="O165" s="672">
        <f t="shared" si="27"/>
        <v>296.27968773269026</v>
      </c>
      <c r="P165" s="670">
        <v>314.10000000000002</v>
      </c>
      <c r="Q165" s="670">
        <f t="shared" si="22"/>
        <v>332.94600000000003</v>
      </c>
      <c r="R165" s="666">
        <f t="shared" si="28"/>
        <v>352.25686800000005</v>
      </c>
      <c r="S165" s="666">
        <f t="shared" si="29"/>
        <v>375.50582128800011</v>
      </c>
      <c r="T165" s="666">
        <f t="shared" si="30"/>
        <v>399.53819385043215</v>
      </c>
      <c r="U165" s="666">
        <f t="shared" si="31"/>
        <v>420.71371812450502</v>
      </c>
    </row>
    <row r="166" spans="1:21" ht="15.6" x14ac:dyDescent="0.3">
      <c r="A166" s="627"/>
      <c r="B166" s="628"/>
      <c r="C166" s="628"/>
      <c r="D166" s="700"/>
      <c r="E166" s="667"/>
      <c r="F166" s="635"/>
      <c r="G166" s="667"/>
      <c r="H166" s="635"/>
      <c r="I166" s="667"/>
      <c r="J166" s="747"/>
      <c r="K166" s="748"/>
      <c r="L166" s="670"/>
      <c r="M166" s="671"/>
      <c r="N166" s="671"/>
      <c r="O166" s="672"/>
      <c r="P166" s="670"/>
      <c r="Q166" s="670"/>
      <c r="R166" s="666"/>
      <c r="S166" s="666"/>
      <c r="T166" s="666"/>
      <c r="U166" s="666"/>
    </row>
    <row r="167" spans="1:21" ht="15.6" x14ac:dyDescent="0.3">
      <c r="A167" s="627"/>
      <c r="B167" s="629" t="s">
        <v>949</v>
      </c>
      <c r="C167" s="628"/>
      <c r="D167" s="700"/>
      <c r="E167" s="667"/>
      <c r="F167" s="635"/>
      <c r="G167" s="667"/>
      <c r="H167" s="635"/>
      <c r="I167" s="667"/>
      <c r="J167" s="747"/>
      <c r="K167" s="748"/>
      <c r="L167" s="670"/>
      <c r="M167" s="671"/>
      <c r="N167" s="671"/>
      <c r="O167" s="672"/>
      <c r="P167" s="670"/>
      <c r="Q167" s="670"/>
      <c r="R167" s="666"/>
      <c r="S167" s="666"/>
      <c r="T167" s="666"/>
      <c r="U167" s="666"/>
    </row>
    <row r="168" spans="1:21" ht="15.6" x14ac:dyDescent="0.3">
      <c r="A168" s="627"/>
      <c r="B168" s="628"/>
      <c r="C168" s="628"/>
      <c r="D168" s="700"/>
      <c r="E168" s="667"/>
      <c r="F168" s="635"/>
      <c r="G168" s="667"/>
      <c r="H168" s="635"/>
      <c r="I168" s="667"/>
      <c r="J168" s="747"/>
      <c r="K168" s="748"/>
      <c r="L168" s="670"/>
      <c r="M168" s="671"/>
      <c r="N168" s="671"/>
      <c r="O168" s="672"/>
      <c r="P168" s="670"/>
      <c r="Q168" s="670"/>
      <c r="R168" s="666"/>
      <c r="S168" s="666"/>
      <c r="T168" s="666"/>
      <c r="U168" s="666"/>
    </row>
    <row r="169" spans="1:21" ht="15.6" x14ac:dyDescent="0.3">
      <c r="A169" s="627"/>
      <c r="B169" s="628" t="s">
        <v>950</v>
      </c>
      <c r="C169" s="628"/>
      <c r="D169" s="700"/>
      <c r="E169" s="667"/>
      <c r="F169" s="635"/>
      <c r="G169" s="667"/>
      <c r="H169" s="635"/>
      <c r="I169" s="667"/>
      <c r="J169" s="747"/>
      <c r="K169" s="748"/>
      <c r="L169" s="670"/>
      <c r="M169" s="671"/>
      <c r="N169" s="671"/>
      <c r="O169" s="672"/>
      <c r="P169" s="670"/>
      <c r="Q169" s="670"/>
      <c r="R169" s="666"/>
      <c r="S169" s="666"/>
      <c r="T169" s="666"/>
      <c r="U169" s="666"/>
    </row>
    <row r="170" spans="1:21" ht="15.6" x14ac:dyDescent="0.3">
      <c r="A170" s="627"/>
      <c r="B170" s="628" t="s">
        <v>951</v>
      </c>
      <c r="C170" s="628"/>
      <c r="D170" s="700"/>
      <c r="E170" s="667"/>
      <c r="F170" s="635"/>
      <c r="G170" s="667"/>
      <c r="H170" s="635"/>
      <c r="I170" s="667"/>
      <c r="J170" s="747"/>
      <c r="K170" s="748"/>
      <c r="L170" s="670"/>
      <c r="M170" s="671"/>
      <c r="N170" s="671"/>
      <c r="O170" s="672"/>
      <c r="P170" s="720">
        <v>0</v>
      </c>
      <c r="Q170" s="720">
        <v>0</v>
      </c>
      <c r="R170" s="666">
        <v>123.99</v>
      </c>
      <c r="S170" s="666">
        <f>+R170*1.066</f>
        <v>132.17334</v>
      </c>
      <c r="T170" s="666">
        <f>+S170*1.064</f>
        <v>140.63243376</v>
      </c>
      <c r="U170" s="666">
        <f>+T170*1.053</f>
        <v>148.08595274927998</v>
      </c>
    </row>
    <row r="171" spans="1:21" ht="15.6" x14ac:dyDescent="0.3">
      <c r="A171" s="627"/>
      <c r="B171" s="628"/>
      <c r="C171" s="628"/>
      <c r="D171" s="700"/>
      <c r="E171" s="667"/>
      <c r="F171" s="635"/>
      <c r="G171" s="667"/>
      <c r="H171" s="635"/>
      <c r="I171" s="667"/>
      <c r="J171" s="747"/>
      <c r="K171" s="748"/>
      <c r="L171" s="670"/>
      <c r="M171" s="671"/>
      <c r="N171" s="671"/>
      <c r="O171" s="672"/>
      <c r="P171" s="720"/>
      <c r="Q171" s="720"/>
      <c r="R171" s="666"/>
      <c r="S171" s="666"/>
      <c r="T171" s="666"/>
      <c r="U171" s="666"/>
    </row>
    <row r="172" spans="1:21" ht="15.6" x14ac:dyDescent="0.3">
      <c r="A172" s="702"/>
      <c r="B172" s="629" t="s">
        <v>977</v>
      </c>
      <c r="C172" s="718"/>
      <c r="D172" s="719"/>
      <c r="E172" s="626"/>
      <c r="F172" s="626"/>
      <c r="G172" s="626"/>
      <c r="H172" s="626"/>
      <c r="I172" s="626"/>
      <c r="J172" s="626"/>
      <c r="K172" s="626"/>
      <c r="L172" s="626"/>
      <c r="M172" s="626"/>
      <c r="N172" s="626"/>
      <c r="O172" s="626"/>
      <c r="P172" s="720"/>
      <c r="Q172" s="720"/>
      <c r="R172" s="720"/>
      <c r="S172" s="720"/>
      <c r="T172" s="720"/>
      <c r="U172" s="720"/>
    </row>
    <row r="173" spans="1:21" ht="15.6" x14ac:dyDescent="0.3">
      <c r="A173" s="702"/>
      <c r="B173" s="718"/>
      <c r="C173" s="718"/>
      <c r="D173" s="719"/>
      <c r="E173" s="626"/>
      <c r="F173" s="626"/>
      <c r="G173" s="626"/>
      <c r="H173" s="626"/>
      <c r="I173" s="626"/>
      <c r="J173" s="626"/>
      <c r="K173" s="626"/>
      <c r="L173" s="626"/>
      <c r="M173" s="626"/>
      <c r="N173" s="626"/>
      <c r="O173" s="626"/>
      <c r="P173" s="720"/>
      <c r="Q173" s="720"/>
      <c r="R173" s="720"/>
      <c r="S173" s="720"/>
      <c r="T173" s="720"/>
      <c r="U173" s="720"/>
    </row>
    <row r="174" spans="1:21" ht="15.6" x14ac:dyDescent="0.3">
      <c r="A174" s="702"/>
      <c r="B174" s="628" t="s">
        <v>972</v>
      </c>
      <c r="C174" s="718"/>
      <c r="D174" s="719"/>
      <c r="E174" s="626"/>
      <c r="F174" s="626"/>
      <c r="G174" s="626"/>
      <c r="H174" s="626"/>
      <c r="I174" s="626"/>
      <c r="J174" s="626"/>
      <c r="K174" s="626"/>
      <c r="L174" s="626"/>
      <c r="M174" s="626"/>
      <c r="N174" s="626"/>
      <c r="O174" s="626"/>
      <c r="P174" s="720">
        <v>0</v>
      </c>
      <c r="Q174" s="720">
        <v>0</v>
      </c>
      <c r="R174" s="724">
        <v>45</v>
      </c>
      <c r="S174" s="724">
        <f>+R174*1.066</f>
        <v>47.970000000000006</v>
      </c>
      <c r="T174" s="724">
        <f>+S174*1.064</f>
        <v>51.04008000000001</v>
      </c>
      <c r="U174" s="724">
        <f>+T174*1.053</f>
        <v>53.745204240000007</v>
      </c>
    </row>
    <row r="175" spans="1:21" ht="15.6" x14ac:dyDescent="0.3">
      <c r="A175" s="702"/>
      <c r="B175" s="718"/>
      <c r="C175" s="718"/>
      <c r="D175" s="719"/>
      <c r="E175" s="626"/>
      <c r="F175" s="626"/>
      <c r="G175" s="626"/>
      <c r="H175" s="626"/>
      <c r="I175" s="626"/>
      <c r="J175" s="626"/>
      <c r="K175" s="626"/>
      <c r="L175" s="626"/>
      <c r="M175" s="626"/>
      <c r="N175" s="626"/>
      <c r="O175" s="626"/>
      <c r="P175" s="720"/>
      <c r="Q175" s="720"/>
      <c r="R175" s="720"/>
      <c r="S175" s="720"/>
      <c r="T175" s="720"/>
      <c r="U175" s="720"/>
    </row>
    <row r="176" spans="1:21" ht="15.6" x14ac:dyDescent="0.3">
      <c r="A176" s="702"/>
      <c r="B176" s="783" t="s">
        <v>973</v>
      </c>
      <c r="C176" s="718"/>
      <c r="D176" s="719"/>
      <c r="E176" s="626"/>
      <c r="F176" s="626"/>
      <c r="G176" s="626"/>
      <c r="H176" s="626"/>
      <c r="I176" s="626"/>
      <c r="J176" s="626"/>
      <c r="K176" s="626"/>
      <c r="L176" s="626"/>
      <c r="M176" s="626"/>
      <c r="N176" s="626"/>
      <c r="O176" s="626"/>
      <c r="P176" s="720"/>
      <c r="Q176" s="720"/>
      <c r="R176" s="720"/>
      <c r="S176" s="720"/>
      <c r="T176" s="720"/>
      <c r="U176" s="720"/>
    </row>
    <row r="177" spans="1:21" ht="15.6" x14ac:dyDescent="0.3">
      <c r="A177" s="702"/>
      <c r="B177" s="718"/>
      <c r="C177" s="718"/>
      <c r="D177" s="719"/>
      <c r="E177" s="626"/>
      <c r="F177" s="626"/>
      <c r="G177" s="626"/>
      <c r="H177" s="626"/>
      <c r="I177" s="626"/>
      <c r="J177" s="626"/>
      <c r="K177" s="626"/>
      <c r="L177" s="626"/>
      <c r="M177" s="626"/>
      <c r="N177" s="626"/>
      <c r="O177" s="626"/>
      <c r="P177" s="720"/>
      <c r="Q177" s="720"/>
      <c r="R177" s="720"/>
      <c r="S177" s="720"/>
      <c r="T177" s="720"/>
      <c r="U177" s="720"/>
    </row>
    <row r="178" spans="1:21" ht="15.6" x14ac:dyDescent="0.3">
      <c r="A178" s="702"/>
      <c r="B178" s="718" t="s">
        <v>974</v>
      </c>
      <c r="C178" s="718"/>
      <c r="D178" s="719"/>
      <c r="E178" s="626"/>
      <c r="F178" s="626"/>
      <c r="G178" s="626"/>
      <c r="H178" s="626"/>
      <c r="I178" s="626"/>
      <c r="J178" s="626"/>
      <c r="K178" s="626"/>
      <c r="L178" s="626"/>
      <c r="M178" s="626"/>
      <c r="N178" s="626"/>
      <c r="O178" s="626"/>
      <c r="P178" s="720">
        <v>0</v>
      </c>
      <c r="Q178" s="720">
        <v>0</v>
      </c>
      <c r="R178" s="720">
        <v>14.55</v>
      </c>
      <c r="S178" s="866">
        <f>+R178*1.066</f>
        <v>15.510300000000001</v>
      </c>
      <c r="T178" s="866">
        <f>+S178*1.064</f>
        <v>16.502959200000003</v>
      </c>
      <c r="U178" s="866">
        <f>+T178*1.053</f>
        <v>17.377616037600003</v>
      </c>
    </row>
    <row r="179" spans="1:21" ht="15.6" x14ac:dyDescent="0.3">
      <c r="A179" s="702"/>
      <c r="B179" s="718"/>
      <c r="C179" s="718"/>
      <c r="D179" s="719"/>
      <c r="E179" s="626"/>
      <c r="F179" s="626"/>
      <c r="G179" s="626"/>
      <c r="H179" s="626"/>
      <c r="I179" s="626"/>
      <c r="J179" s="626"/>
      <c r="K179" s="626"/>
      <c r="L179" s="626"/>
      <c r="M179" s="626"/>
      <c r="N179" s="626"/>
      <c r="O179" s="626"/>
      <c r="P179" s="720"/>
      <c r="Q179" s="720"/>
      <c r="R179" s="720"/>
      <c r="S179" s="720"/>
      <c r="T179" s="720"/>
      <c r="U179" s="720"/>
    </row>
    <row r="180" spans="1:21" ht="15.6" x14ac:dyDescent="0.3">
      <c r="A180" s="702"/>
      <c r="B180" s="783" t="s">
        <v>975</v>
      </c>
      <c r="C180" s="718"/>
      <c r="D180" s="719"/>
      <c r="E180" s="626"/>
      <c r="F180" s="626"/>
      <c r="G180" s="626"/>
      <c r="H180" s="626"/>
      <c r="I180" s="626"/>
      <c r="J180" s="626"/>
      <c r="K180" s="626"/>
      <c r="L180" s="626"/>
      <c r="M180" s="626"/>
      <c r="N180" s="626"/>
      <c r="O180" s="626"/>
      <c r="P180" s="720"/>
      <c r="Q180" s="720"/>
      <c r="R180" s="720"/>
      <c r="S180" s="720"/>
      <c r="T180" s="720"/>
      <c r="U180" s="720"/>
    </row>
    <row r="181" spans="1:21" ht="15.6" x14ac:dyDescent="0.3">
      <c r="A181" s="702"/>
      <c r="B181" s="783"/>
      <c r="C181" s="718"/>
      <c r="D181" s="719"/>
      <c r="E181" s="626"/>
      <c r="F181" s="626"/>
      <c r="G181" s="626"/>
      <c r="H181" s="626"/>
      <c r="I181" s="626"/>
      <c r="J181" s="626"/>
      <c r="K181" s="626"/>
      <c r="L181" s="626"/>
      <c r="M181" s="626"/>
      <c r="N181" s="626"/>
      <c r="O181" s="626"/>
      <c r="P181" s="720"/>
      <c r="Q181" s="720"/>
      <c r="R181" s="720"/>
      <c r="S181" s="720"/>
      <c r="T181" s="720"/>
      <c r="U181" s="720"/>
    </row>
    <row r="182" spans="1:21" ht="15.6" x14ac:dyDescent="0.3">
      <c r="A182" s="702"/>
      <c r="B182" s="718" t="s">
        <v>984</v>
      </c>
      <c r="C182" s="703"/>
      <c r="D182" s="704"/>
      <c r="P182" s="720">
        <v>0</v>
      </c>
      <c r="Q182" s="720">
        <v>0</v>
      </c>
      <c r="R182" s="720">
        <v>149.41999999999999</v>
      </c>
      <c r="S182" s="866">
        <f>+R182*1.066</f>
        <v>159.28172000000001</v>
      </c>
      <c r="T182" s="866">
        <f>+S182*1.064</f>
        <v>169.47575008000001</v>
      </c>
      <c r="U182" s="866">
        <f t="shared" ref="U182:U183" si="33">+T182*1.053</f>
        <v>178.45796483423999</v>
      </c>
    </row>
    <row r="183" spans="1:21" ht="15.6" x14ac:dyDescent="0.3">
      <c r="A183" s="702"/>
      <c r="B183" s="718" t="s">
        <v>976</v>
      </c>
      <c r="C183" s="703"/>
      <c r="D183" s="704"/>
      <c r="P183" s="720">
        <v>0</v>
      </c>
      <c r="Q183" s="720">
        <v>0</v>
      </c>
      <c r="R183" s="720">
        <v>207.94</v>
      </c>
      <c r="S183" s="866">
        <f>+R183*1.066</f>
        <v>221.66404</v>
      </c>
      <c r="T183" s="866">
        <f>+S183*1.064</f>
        <v>235.85053856000002</v>
      </c>
      <c r="U183" s="866">
        <f t="shared" si="33"/>
        <v>248.35061710368001</v>
      </c>
    </row>
    <row r="184" spans="1:21" ht="15.6" thickBot="1" x14ac:dyDescent="0.3">
      <c r="A184" s="702"/>
      <c r="B184" s="703"/>
      <c r="C184" s="703"/>
      <c r="D184" s="704"/>
      <c r="P184" s="674"/>
      <c r="Q184" s="674"/>
      <c r="R184" s="674"/>
      <c r="S184" s="674"/>
      <c r="T184" s="674"/>
      <c r="U184" s="674"/>
    </row>
    <row r="185" spans="1:21" ht="16.2" thickBot="1" x14ac:dyDescent="0.35">
      <c r="A185" s="651">
        <v>5</v>
      </c>
      <c r="B185" s="652" t="s">
        <v>819</v>
      </c>
      <c r="C185" s="653"/>
      <c r="D185" s="705"/>
      <c r="E185" s="675"/>
      <c r="F185" s="655"/>
      <c r="G185" s="675"/>
      <c r="H185" s="655"/>
      <c r="I185" s="675"/>
      <c r="J185" s="675"/>
      <c r="K185" s="690"/>
      <c r="L185" s="697"/>
      <c r="M185" s="698"/>
      <c r="N185" s="698"/>
      <c r="O185" s="699"/>
      <c r="P185" s="697"/>
      <c r="Q185" s="697">
        <f t="shared" ref="Q185:Q190" si="34">(P185*0.06)+P185</f>
        <v>0</v>
      </c>
      <c r="R185" s="660"/>
      <c r="S185" s="660"/>
      <c r="T185" s="660"/>
      <c r="U185" s="660"/>
    </row>
    <row r="186" spans="1:21" ht="15.6" x14ac:dyDescent="0.3">
      <c r="A186" s="702"/>
      <c r="B186" s="662"/>
      <c r="C186" s="628"/>
      <c r="D186" s="700"/>
      <c r="E186" s="667"/>
      <c r="F186" s="635"/>
      <c r="G186" s="667"/>
      <c r="H186" s="635"/>
      <c r="I186" s="667"/>
      <c r="J186" s="667"/>
      <c r="K186" s="689"/>
      <c r="L186" s="694"/>
      <c r="M186" s="695"/>
      <c r="N186" s="695"/>
      <c r="O186" s="696"/>
      <c r="P186" s="694"/>
      <c r="Q186" s="694">
        <f t="shared" si="34"/>
        <v>0</v>
      </c>
      <c r="R186" s="666"/>
      <c r="S186" s="666"/>
      <c r="T186" s="666"/>
      <c r="U186" s="666"/>
    </row>
    <row r="187" spans="1:21" ht="15.6" x14ac:dyDescent="0.3">
      <c r="A187" s="702"/>
      <c r="B187" s="628" t="s">
        <v>820</v>
      </c>
      <c r="C187" s="628"/>
      <c r="D187" s="700"/>
      <c r="E187" s="667"/>
      <c r="F187" s="635"/>
      <c r="G187" s="667"/>
      <c r="H187" s="635"/>
      <c r="I187" s="667"/>
      <c r="J187" s="667"/>
      <c r="K187" s="689"/>
      <c r="L187" s="694"/>
      <c r="M187" s="695"/>
      <c r="N187" s="695"/>
      <c r="O187" s="696"/>
      <c r="P187" s="694"/>
      <c r="Q187" s="694">
        <f t="shared" si="34"/>
        <v>0</v>
      </c>
      <c r="R187" s="666"/>
      <c r="S187" s="666"/>
      <c r="T187" s="666"/>
      <c r="U187" s="666"/>
    </row>
    <row r="188" spans="1:21" ht="16.2" thickBot="1" x14ac:dyDescent="0.35">
      <c r="A188" s="702"/>
      <c r="B188" s="628"/>
      <c r="C188" s="628"/>
      <c r="D188" s="700"/>
      <c r="E188" s="667"/>
      <c r="F188" s="635"/>
      <c r="G188" s="667"/>
      <c r="H188" s="635"/>
      <c r="I188" s="667"/>
      <c r="J188" s="667"/>
      <c r="K188" s="689"/>
      <c r="L188" s="694"/>
      <c r="M188" s="695"/>
      <c r="N188" s="695"/>
      <c r="O188" s="696"/>
      <c r="P188" s="694"/>
      <c r="Q188" s="694">
        <f t="shared" si="34"/>
        <v>0</v>
      </c>
      <c r="R188" s="666"/>
      <c r="S188" s="666"/>
      <c r="T188" s="666"/>
      <c r="U188" s="666"/>
    </row>
    <row r="189" spans="1:21" ht="16.2" thickBot="1" x14ac:dyDescent="0.35">
      <c r="A189" s="651">
        <v>6</v>
      </c>
      <c r="B189" s="652" t="s">
        <v>821</v>
      </c>
      <c r="C189" s="653"/>
      <c r="D189" s="654"/>
      <c r="E189" s="675"/>
      <c r="F189" s="655"/>
      <c r="G189" s="675"/>
      <c r="H189" s="655"/>
      <c r="I189" s="675"/>
      <c r="J189" s="675"/>
      <c r="K189" s="690"/>
      <c r="L189" s="697"/>
      <c r="M189" s="698"/>
      <c r="N189" s="698"/>
      <c r="O189" s="699"/>
      <c r="P189" s="697"/>
      <c r="Q189" s="697">
        <f t="shared" si="34"/>
        <v>0</v>
      </c>
      <c r="R189" s="660"/>
      <c r="S189" s="660"/>
      <c r="T189" s="660"/>
      <c r="U189" s="660"/>
    </row>
    <row r="190" spans="1:21" ht="15.6" x14ac:dyDescent="0.3">
      <c r="A190" s="661"/>
      <c r="B190" s="662"/>
      <c r="C190" s="628"/>
      <c r="D190" s="629"/>
      <c r="E190" s="667"/>
      <c r="F190" s="635"/>
      <c r="G190" s="667"/>
      <c r="H190" s="635"/>
      <c r="I190" s="667"/>
      <c r="J190" s="667"/>
      <c r="K190" s="689"/>
      <c r="L190" s="694"/>
      <c r="M190" s="695"/>
      <c r="N190" s="695"/>
      <c r="O190" s="696"/>
      <c r="P190" s="694"/>
      <c r="Q190" s="694">
        <f t="shared" si="34"/>
        <v>0</v>
      </c>
      <c r="R190" s="666"/>
      <c r="S190" s="666"/>
      <c r="T190" s="666"/>
      <c r="U190" s="666"/>
    </row>
    <row r="191" spans="1:21" ht="15.6" x14ac:dyDescent="0.3">
      <c r="A191" s="661"/>
      <c r="B191" s="662" t="s">
        <v>729</v>
      </c>
      <c r="C191" s="628"/>
      <c r="D191" s="629"/>
      <c r="E191" s="667"/>
      <c r="F191" s="635"/>
      <c r="G191" s="667"/>
      <c r="H191" s="635"/>
      <c r="I191" s="667"/>
      <c r="J191" s="667"/>
      <c r="K191" s="689"/>
      <c r="L191" s="694"/>
      <c r="M191" s="695"/>
      <c r="N191" s="695"/>
      <c r="O191" s="696"/>
      <c r="P191" s="694"/>
      <c r="Q191" s="694"/>
      <c r="R191" s="666"/>
      <c r="S191" s="666"/>
      <c r="T191" s="666"/>
      <c r="U191" s="666"/>
    </row>
    <row r="192" spans="1:21" ht="15.6" x14ac:dyDescent="0.3">
      <c r="A192" s="661"/>
      <c r="B192" s="628" t="s">
        <v>822</v>
      </c>
      <c r="C192" s="628" t="s">
        <v>823</v>
      </c>
      <c r="D192" s="629"/>
      <c r="E192" s="667"/>
      <c r="F192" s="635"/>
      <c r="G192" s="667"/>
      <c r="H192" s="635"/>
      <c r="I192" s="667"/>
      <c r="J192" s="667"/>
      <c r="K192" s="689"/>
      <c r="L192" s="670">
        <v>60</v>
      </c>
      <c r="M192" s="671">
        <f t="shared" ref="M192:M201" si="35">+L192*1.07</f>
        <v>64.2</v>
      </c>
      <c r="N192" s="671">
        <f>+M192*1.07-0.09</f>
        <v>68.603999999999999</v>
      </c>
      <c r="O192" s="672">
        <v>84.8</v>
      </c>
      <c r="P192" s="670">
        <v>90</v>
      </c>
      <c r="Q192" s="670">
        <f t="shared" ref="Q192:Q203" si="36">(P192*0.06)+P192</f>
        <v>95.4</v>
      </c>
      <c r="R192" s="666">
        <f t="shared" ref="R192:R201" si="37">Q192*1.058</f>
        <v>100.93320000000001</v>
      </c>
      <c r="S192" s="666">
        <f t="shared" ref="S192:S203" si="38">+R192*1.066</f>
        <v>107.59479120000002</v>
      </c>
      <c r="T192" s="666">
        <f t="shared" ref="T192:T203" si="39">+S192*1.064</f>
        <v>114.48085783680003</v>
      </c>
      <c r="U192" s="666">
        <f>+T192*1.053</f>
        <v>120.54834330215041</v>
      </c>
    </row>
    <row r="193" spans="1:21" ht="15.6" x14ac:dyDescent="0.3">
      <c r="A193" s="661"/>
      <c r="B193" s="628" t="s">
        <v>571</v>
      </c>
      <c r="C193" s="628" t="s">
        <v>823</v>
      </c>
      <c r="D193" s="629"/>
      <c r="E193" s="667"/>
      <c r="F193" s="635"/>
      <c r="G193" s="667"/>
      <c r="H193" s="635"/>
      <c r="I193" s="667"/>
      <c r="J193" s="667"/>
      <c r="K193" s="689"/>
      <c r="L193" s="670">
        <v>220</v>
      </c>
      <c r="M193" s="671">
        <f t="shared" si="35"/>
        <v>235.4</v>
      </c>
      <c r="N193" s="671">
        <f>+M193*1.07-0.08</f>
        <v>251.798</v>
      </c>
      <c r="O193" s="672">
        <v>311.2</v>
      </c>
      <c r="P193" s="670">
        <v>330</v>
      </c>
      <c r="Q193" s="670">
        <f t="shared" si="36"/>
        <v>349.8</v>
      </c>
      <c r="R193" s="666">
        <f t="shared" si="37"/>
        <v>370.08840000000004</v>
      </c>
      <c r="S193" s="666">
        <f t="shared" si="38"/>
        <v>394.51423440000008</v>
      </c>
      <c r="T193" s="666">
        <f t="shared" si="39"/>
        <v>419.76314540160013</v>
      </c>
      <c r="U193" s="666">
        <f t="shared" ref="U193:U203" si="40">+T193*1.053</f>
        <v>442.01059210788492</v>
      </c>
    </row>
    <row r="194" spans="1:21" ht="15.6" x14ac:dyDescent="0.3">
      <c r="A194" s="661"/>
      <c r="B194" s="628" t="s">
        <v>824</v>
      </c>
      <c r="C194" s="628" t="s">
        <v>823</v>
      </c>
      <c r="D194" s="629"/>
      <c r="E194" s="667"/>
      <c r="F194" s="635"/>
      <c r="G194" s="667"/>
      <c r="H194" s="635"/>
      <c r="I194" s="667"/>
      <c r="J194" s="667"/>
      <c r="K194" s="689"/>
      <c r="L194" s="670">
        <v>160</v>
      </c>
      <c r="M194" s="671">
        <f t="shared" si="35"/>
        <v>171.20000000000002</v>
      </c>
      <c r="N194" s="671">
        <f>+M194*1.07-0.08</f>
        <v>183.10400000000001</v>
      </c>
      <c r="O194" s="672">
        <v>226.3</v>
      </c>
      <c r="P194" s="670">
        <v>240</v>
      </c>
      <c r="Q194" s="670">
        <f t="shared" si="36"/>
        <v>254.4</v>
      </c>
      <c r="R194" s="666">
        <f t="shared" si="37"/>
        <v>269.15520000000004</v>
      </c>
      <c r="S194" s="666">
        <f t="shared" si="38"/>
        <v>286.91944320000005</v>
      </c>
      <c r="T194" s="666">
        <f t="shared" si="39"/>
        <v>305.28228756480007</v>
      </c>
      <c r="U194" s="666">
        <f t="shared" si="40"/>
        <v>321.46224880573448</v>
      </c>
    </row>
    <row r="195" spans="1:21" ht="15.6" x14ac:dyDescent="0.3">
      <c r="A195" s="661"/>
      <c r="B195" s="628" t="s">
        <v>825</v>
      </c>
      <c r="C195" s="628" t="s">
        <v>823</v>
      </c>
      <c r="D195" s="629"/>
      <c r="E195" s="667"/>
      <c r="F195" s="635"/>
      <c r="G195" s="667"/>
      <c r="H195" s="635"/>
      <c r="I195" s="667"/>
      <c r="J195" s="667"/>
      <c r="K195" s="689"/>
      <c r="L195" s="670">
        <v>150</v>
      </c>
      <c r="M195" s="671">
        <f t="shared" si="35"/>
        <v>160.5</v>
      </c>
      <c r="N195" s="671">
        <f>+M195*1.07-0.04</f>
        <v>171.69500000000002</v>
      </c>
      <c r="O195" s="672">
        <v>212.2</v>
      </c>
      <c r="P195" s="670">
        <v>225</v>
      </c>
      <c r="Q195" s="670">
        <f t="shared" si="36"/>
        <v>238.5</v>
      </c>
      <c r="R195" s="666">
        <f t="shared" si="37"/>
        <v>252.333</v>
      </c>
      <c r="S195" s="666">
        <f t="shared" si="38"/>
        <v>268.98697800000002</v>
      </c>
      <c r="T195" s="666">
        <f t="shared" si="39"/>
        <v>286.20214459200002</v>
      </c>
      <c r="U195" s="666">
        <f t="shared" si="40"/>
        <v>301.37085825537599</v>
      </c>
    </row>
    <row r="196" spans="1:21" ht="15.6" x14ac:dyDescent="0.3">
      <c r="A196" s="661"/>
      <c r="B196" s="628" t="s">
        <v>826</v>
      </c>
      <c r="C196" s="628" t="s">
        <v>823</v>
      </c>
      <c r="D196" s="629"/>
      <c r="E196" s="667"/>
      <c r="F196" s="635"/>
      <c r="G196" s="667"/>
      <c r="H196" s="635"/>
      <c r="I196" s="667"/>
      <c r="J196" s="667"/>
      <c r="K196" s="689"/>
      <c r="L196" s="670">
        <v>45</v>
      </c>
      <c r="M196" s="671">
        <f t="shared" si="35"/>
        <v>48.150000000000006</v>
      </c>
      <c r="N196" s="671">
        <f>+M196*1.07-0.02</f>
        <v>51.500500000000009</v>
      </c>
      <c r="O196" s="672">
        <v>63.6</v>
      </c>
      <c r="P196" s="670">
        <v>67</v>
      </c>
      <c r="Q196" s="670">
        <f t="shared" si="36"/>
        <v>71.02</v>
      </c>
      <c r="R196" s="666">
        <f t="shared" si="37"/>
        <v>75.139160000000004</v>
      </c>
      <c r="S196" s="666">
        <f t="shared" si="38"/>
        <v>80.098344560000015</v>
      </c>
      <c r="T196" s="666">
        <f t="shared" si="39"/>
        <v>85.224638611840021</v>
      </c>
      <c r="U196" s="666">
        <f t="shared" si="40"/>
        <v>89.741544458267541</v>
      </c>
    </row>
    <row r="197" spans="1:21" ht="15.6" x14ac:dyDescent="0.3">
      <c r="A197" s="661"/>
      <c r="B197" s="628" t="s">
        <v>827</v>
      </c>
      <c r="C197" s="628" t="s">
        <v>823</v>
      </c>
      <c r="D197" s="629"/>
      <c r="E197" s="667"/>
      <c r="F197" s="635"/>
      <c r="G197" s="667"/>
      <c r="H197" s="635"/>
      <c r="I197" s="667"/>
      <c r="J197" s="667"/>
      <c r="K197" s="689"/>
      <c r="L197" s="670">
        <v>40</v>
      </c>
      <c r="M197" s="671">
        <f t="shared" si="35"/>
        <v>42.800000000000004</v>
      </c>
      <c r="N197" s="671">
        <f>+M197*1.07</f>
        <v>45.796000000000006</v>
      </c>
      <c r="O197" s="672">
        <v>56.6</v>
      </c>
      <c r="P197" s="670">
        <f>+O197*1.06</f>
        <v>59.996000000000002</v>
      </c>
      <c r="Q197" s="670">
        <f t="shared" si="36"/>
        <v>63.595759999999999</v>
      </c>
      <c r="R197" s="666">
        <f t="shared" si="37"/>
        <v>67.284314080000001</v>
      </c>
      <c r="S197" s="666">
        <f t="shared" si="38"/>
        <v>71.725078809280006</v>
      </c>
      <c r="T197" s="666">
        <f t="shared" si="39"/>
        <v>76.315483853073928</v>
      </c>
      <c r="U197" s="666">
        <f t="shared" si="40"/>
        <v>80.360204497286844</v>
      </c>
    </row>
    <row r="198" spans="1:21" ht="15.6" x14ac:dyDescent="0.3">
      <c r="A198" s="661"/>
      <c r="B198" s="628" t="s">
        <v>828</v>
      </c>
      <c r="C198" s="628" t="s">
        <v>823</v>
      </c>
      <c r="D198" s="629"/>
      <c r="E198" s="667"/>
      <c r="F198" s="635"/>
      <c r="G198" s="667"/>
      <c r="H198" s="635"/>
      <c r="I198" s="667"/>
      <c r="J198" s="667"/>
      <c r="K198" s="689"/>
      <c r="L198" s="670">
        <v>45</v>
      </c>
      <c r="M198" s="671">
        <f t="shared" si="35"/>
        <v>48.150000000000006</v>
      </c>
      <c r="N198" s="671">
        <f>+M198*1.07-0.02</f>
        <v>51.500500000000009</v>
      </c>
      <c r="O198" s="672">
        <v>63.6</v>
      </c>
      <c r="P198" s="670">
        <v>67</v>
      </c>
      <c r="Q198" s="670">
        <f t="shared" si="36"/>
        <v>71.02</v>
      </c>
      <c r="R198" s="666">
        <f t="shared" si="37"/>
        <v>75.139160000000004</v>
      </c>
      <c r="S198" s="666">
        <f t="shared" si="38"/>
        <v>80.098344560000015</v>
      </c>
      <c r="T198" s="666">
        <f t="shared" si="39"/>
        <v>85.224638611840021</v>
      </c>
      <c r="U198" s="666">
        <f t="shared" si="40"/>
        <v>89.741544458267541</v>
      </c>
    </row>
    <row r="199" spans="1:21" ht="15.6" x14ac:dyDescent="0.3">
      <c r="A199" s="661"/>
      <c r="B199" s="628" t="s">
        <v>829</v>
      </c>
      <c r="C199" s="628" t="s">
        <v>823</v>
      </c>
      <c r="D199" s="629"/>
      <c r="E199" s="667"/>
      <c r="F199" s="635"/>
      <c r="G199" s="667"/>
      <c r="H199" s="635"/>
      <c r="I199" s="667"/>
      <c r="J199" s="667"/>
      <c r="K199" s="689"/>
      <c r="L199" s="670">
        <v>90</v>
      </c>
      <c r="M199" s="671">
        <f t="shared" si="35"/>
        <v>96.300000000000011</v>
      </c>
      <c r="N199" s="671">
        <f>+M199*1.07-0.04</f>
        <v>103.00100000000002</v>
      </c>
      <c r="O199" s="672">
        <v>127.3</v>
      </c>
      <c r="P199" s="670">
        <v>135</v>
      </c>
      <c r="Q199" s="670">
        <f t="shared" si="36"/>
        <v>143.1</v>
      </c>
      <c r="R199" s="666">
        <f t="shared" si="37"/>
        <v>151.3998</v>
      </c>
      <c r="S199" s="666">
        <f t="shared" si="38"/>
        <v>161.39218680000002</v>
      </c>
      <c r="T199" s="666">
        <f t="shared" si="39"/>
        <v>171.72128675520003</v>
      </c>
      <c r="U199" s="666">
        <f t="shared" si="40"/>
        <v>180.82251495322561</v>
      </c>
    </row>
    <row r="200" spans="1:21" ht="15.6" x14ac:dyDescent="0.3">
      <c r="A200" s="661"/>
      <c r="B200" s="628" t="s">
        <v>830</v>
      </c>
      <c r="C200" s="628" t="s">
        <v>823</v>
      </c>
      <c r="D200" s="629"/>
      <c r="E200" s="667"/>
      <c r="F200" s="635"/>
      <c r="G200" s="667"/>
      <c r="H200" s="635"/>
      <c r="I200" s="667"/>
      <c r="J200" s="667"/>
      <c r="K200" s="689"/>
      <c r="L200" s="670">
        <v>280</v>
      </c>
      <c r="M200" s="671">
        <f t="shared" si="35"/>
        <v>299.60000000000002</v>
      </c>
      <c r="N200" s="671">
        <f>+M200*1.07-0.07</f>
        <v>320.50200000000007</v>
      </c>
      <c r="O200" s="672">
        <v>396.1</v>
      </c>
      <c r="P200" s="670">
        <v>420</v>
      </c>
      <c r="Q200" s="670">
        <f t="shared" si="36"/>
        <v>445.2</v>
      </c>
      <c r="R200" s="666">
        <f t="shared" si="37"/>
        <v>471.02160000000003</v>
      </c>
      <c r="S200" s="666">
        <f t="shared" si="38"/>
        <v>502.10902560000005</v>
      </c>
      <c r="T200" s="666">
        <f t="shared" si="39"/>
        <v>534.24400323840007</v>
      </c>
      <c r="U200" s="666">
        <f t="shared" si="40"/>
        <v>562.55893541003525</v>
      </c>
    </row>
    <row r="201" spans="1:21" ht="15.6" x14ac:dyDescent="0.3">
      <c r="A201" s="661"/>
      <c r="B201" s="628" t="s">
        <v>831</v>
      </c>
      <c r="C201" s="628" t="s">
        <v>823</v>
      </c>
      <c r="D201" s="629"/>
      <c r="E201" s="667"/>
      <c r="F201" s="635"/>
      <c r="G201" s="667"/>
      <c r="H201" s="635"/>
      <c r="I201" s="667"/>
      <c r="J201" s="667"/>
      <c r="K201" s="689"/>
      <c r="L201" s="670">
        <v>131</v>
      </c>
      <c r="M201" s="671">
        <f t="shared" si="35"/>
        <v>140.17000000000002</v>
      </c>
      <c r="N201" s="671">
        <f>+M201*1.07+0.02</f>
        <v>150.00190000000003</v>
      </c>
      <c r="O201" s="672">
        <v>185.4</v>
      </c>
      <c r="P201" s="670">
        <v>195</v>
      </c>
      <c r="Q201" s="670">
        <f t="shared" si="36"/>
        <v>206.7</v>
      </c>
      <c r="R201" s="666">
        <f t="shared" si="37"/>
        <v>218.68860000000001</v>
      </c>
      <c r="S201" s="666">
        <f t="shared" si="38"/>
        <v>233.12204760000003</v>
      </c>
      <c r="T201" s="666">
        <f t="shared" si="39"/>
        <v>248.04185864640004</v>
      </c>
      <c r="U201" s="666">
        <f t="shared" si="40"/>
        <v>261.18807715465925</v>
      </c>
    </row>
    <row r="202" spans="1:21" ht="15.6" x14ac:dyDescent="0.3">
      <c r="A202" s="661"/>
      <c r="B202" s="628" t="s">
        <v>832</v>
      </c>
      <c r="C202" s="628"/>
      <c r="D202" s="629"/>
      <c r="E202" s="667"/>
      <c r="F202" s="635"/>
      <c r="G202" s="667"/>
      <c r="H202" s="635"/>
      <c r="I202" s="667"/>
      <c r="J202" s="667"/>
      <c r="K202" s="689"/>
      <c r="L202" s="670"/>
      <c r="M202" s="671"/>
      <c r="N202" s="671"/>
      <c r="O202" s="672">
        <v>500</v>
      </c>
      <c r="P202" s="670">
        <v>535</v>
      </c>
      <c r="Q202" s="670">
        <f t="shared" si="36"/>
        <v>567.1</v>
      </c>
      <c r="R202" s="666">
        <f>+Q202*1.058</f>
        <v>599.99180000000001</v>
      </c>
      <c r="S202" s="666">
        <f t="shared" si="38"/>
        <v>639.59125879999999</v>
      </c>
      <c r="T202" s="666">
        <f t="shared" si="39"/>
        <v>680.52509936320007</v>
      </c>
      <c r="U202" s="666">
        <f t="shared" si="40"/>
        <v>716.5929296294496</v>
      </c>
    </row>
    <row r="203" spans="1:21" ht="15.6" x14ac:dyDescent="0.3">
      <c r="A203" s="661"/>
      <c r="B203" s="628" t="s">
        <v>833</v>
      </c>
      <c r="C203" s="628"/>
      <c r="D203" s="629"/>
      <c r="E203" s="667"/>
      <c r="F203" s="635"/>
      <c r="G203" s="667"/>
      <c r="H203" s="635"/>
      <c r="I203" s="667"/>
      <c r="J203" s="667"/>
      <c r="K203" s="689"/>
      <c r="L203" s="670"/>
      <c r="M203" s="671"/>
      <c r="N203" s="671"/>
      <c r="O203" s="672">
        <v>300</v>
      </c>
      <c r="P203" s="670">
        <v>320</v>
      </c>
      <c r="Q203" s="670">
        <f t="shared" si="36"/>
        <v>339.2</v>
      </c>
      <c r="R203" s="666">
        <f>+Q203*1.058</f>
        <v>358.87360000000001</v>
      </c>
      <c r="S203" s="666">
        <f t="shared" si="38"/>
        <v>382.55925760000002</v>
      </c>
      <c r="T203" s="666">
        <f t="shared" si="39"/>
        <v>407.04305008640006</v>
      </c>
      <c r="U203" s="666">
        <f t="shared" si="40"/>
        <v>428.61633174097926</v>
      </c>
    </row>
    <row r="204" spans="1:21" x14ac:dyDescent="0.25">
      <c r="A204" s="702"/>
      <c r="B204" s="703"/>
      <c r="C204" s="703"/>
      <c r="D204" s="703"/>
      <c r="E204" s="703"/>
      <c r="F204" s="703"/>
      <c r="G204" s="703"/>
      <c r="H204" s="703"/>
      <c r="I204" s="703"/>
      <c r="J204" s="703"/>
      <c r="K204" s="703"/>
      <c r="L204" s="703"/>
      <c r="M204" s="703"/>
      <c r="N204" s="703"/>
      <c r="O204" s="703"/>
      <c r="P204" s="674"/>
      <c r="Q204" s="674"/>
      <c r="R204" s="674"/>
      <c r="S204" s="674"/>
      <c r="T204" s="674"/>
      <c r="U204" s="674"/>
    </row>
    <row r="205" spans="1:21" x14ac:dyDescent="0.25">
      <c r="A205" s="702"/>
      <c r="B205" s="703"/>
      <c r="C205" s="703"/>
      <c r="D205" s="703"/>
      <c r="E205" s="703"/>
      <c r="F205" s="703"/>
      <c r="G205" s="703"/>
      <c r="H205" s="703"/>
      <c r="I205" s="703"/>
      <c r="J205" s="703"/>
      <c r="K205" s="703"/>
      <c r="L205" s="703"/>
      <c r="M205" s="703"/>
      <c r="N205" s="703"/>
      <c r="O205" s="703"/>
      <c r="P205" s="674"/>
      <c r="Q205" s="674"/>
      <c r="R205" s="674"/>
      <c r="S205" s="674"/>
      <c r="T205" s="674"/>
      <c r="U205" s="674"/>
    </row>
    <row r="206" spans="1:21" ht="16.2" thickBot="1" x14ac:dyDescent="0.35">
      <c r="A206" s="643" t="s">
        <v>1035</v>
      </c>
      <c r="B206" s="726"/>
      <c r="C206" s="726"/>
      <c r="D206" s="726"/>
      <c r="E206" s="726"/>
      <c r="F206" s="726"/>
      <c r="G206" s="726"/>
      <c r="H206" s="726"/>
      <c r="I206" s="726"/>
      <c r="J206" s="726"/>
      <c r="K206" s="726"/>
      <c r="L206" s="726"/>
      <c r="M206" s="726"/>
      <c r="N206" s="726"/>
      <c r="O206" s="726"/>
      <c r="P206" s="728"/>
      <c r="Q206" s="728"/>
      <c r="R206" s="728"/>
      <c r="S206" s="728"/>
    </row>
  </sheetData>
  <mergeCells count="1">
    <mergeCell ref="A2:I2"/>
  </mergeCells>
  <pageMargins left="0.25" right="0.25" top="0.75" bottom="0.75" header="0.3" footer="0.3"/>
  <pageSetup scale="60" orientation="portrait" horizontalDpi="4294967293" verticalDpi="4294967293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9"/>
  <dimension ref="A1:V170"/>
  <sheetViews>
    <sheetView view="pageBreakPreview" topLeftCell="A142" zoomScaleSheetLayoutView="100" workbookViewId="0">
      <selection activeCell="AE61" sqref="AE61"/>
    </sheetView>
  </sheetViews>
  <sheetFormatPr defaultRowHeight="13.2" x14ac:dyDescent="0.25"/>
  <cols>
    <col min="2" max="2" width="62.33203125" customWidth="1"/>
    <col min="3" max="3" width="8.6640625" customWidth="1"/>
    <col min="4" max="4" width="48" hidden="1" customWidth="1"/>
    <col min="5" max="15" width="0" hidden="1" customWidth="1"/>
    <col min="16" max="16" width="19.33203125" hidden="1" customWidth="1"/>
    <col min="17" max="17" width="27.5546875" hidden="1" customWidth="1"/>
    <col min="18" max="18" width="17.6640625" hidden="1" customWidth="1"/>
    <col min="19" max="19" width="14.6640625" hidden="1" customWidth="1"/>
    <col min="20" max="20" width="17" customWidth="1"/>
    <col min="21" max="21" width="16.5546875" customWidth="1"/>
  </cols>
  <sheetData>
    <row r="1" spans="1:21" s="57" customFormat="1" ht="16.2" thickBot="1" x14ac:dyDescent="0.35">
      <c r="A1" s="622"/>
      <c r="B1" s="622" t="s">
        <v>1076</v>
      </c>
      <c r="C1" s="622"/>
      <c r="D1" s="622"/>
      <c r="E1" s="622"/>
      <c r="F1" s="622"/>
      <c r="G1" s="622"/>
      <c r="H1" s="622"/>
      <c r="I1" s="622"/>
      <c r="J1" s="622"/>
      <c r="K1" s="622"/>
      <c r="L1" s="622"/>
      <c r="M1" s="622"/>
      <c r="N1" s="622"/>
      <c r="O1" s="622"/>
      <c r="P1" s="622"/>
      <c r="Q1" s="622"/>
      <c r="R1" s="622"/>
      <c r="S1" s="622"/>
    </row>
    <row r="2" spans="1:21" s="426" customFormat="1" ht="15.6" x14ac:dyDescent="0.3">
      <c r="A2" s="965"/>
      <c r="B2" s="966"/>
      <c r="C2" s="966"/>
      <c r="D2" s="966"/>
      <c r="E2" s="966"/>
      <c r="F2" s="966"/>
      <c r="G2" s="966"/>
      <c r="H2" s="966"/>
      <c r="I2" s="967"/>
      <c r="J2" s="623" t="s">
        <v>378</v>
      </c>
      <c r="K2" s="623" t="s">
        <v>378</v>
      </c>
      <c r="L2" s="624" t="s">
        <v>378</v>
      </c>
      <c r="M2" s="623" t="s">
        <v>378</v>
      </c>
      <c r="N2" s="624" t="s">
        <v>378</v>
      </c>
      <c r="O2" s="625" t="s">
        <v>527</v>
      </c>
      <c r="P2" s="624" t="s">
        <v>527</v>
      </c>
      <c r="Q2" s="624" t="s">
        <v>527</v>
      </c>
      <c r="R2" s="624" t="s">
        <v>527</v>
      </c>
      <c r="S2" s="624" t="s">
        <v>527</v>
      </c>
      <c r="T2" s="624" t="s">
        <v>527</v>
      </c>
      <c r="U2" s="624" t="s">
        <v>527</v>
      </c>
    </row>
    <row r="3" spans="1:21" s="426" customFormat="1" ht="15.6" x14ac:dyDescent="0.3">
      <c r="A3" s="627"/>
      <c r="B3" s="628"/>
      <c r="C3" s="628"/>
      <c r="D3" s="629"/>
      <c r="E3" s="629"/>
      <c r="F3" s="629"/>
      <c r="G3" s="629"/>
      <c r="H3" s="629"/>
      <c r="I3" s="629"/>
      <c r="J3" s="629"/>
      <c r="K3" s="628"/>
      <c r="L3" s="630"/>
      <c r="M3" s="631"/>
      <c r="N3" s="631"/>
      <c r="O3" s="632"/>
      <c r="P3" s="633" t="s">
        <v>947</v>
      </c>
      <c r="Q3" s="633" t="s">
        <v>947</v>
      </c>
      <c r="R3" s="633" t="s">
        <v>886</v>
      </c>
      <c r="S3" s="633" t="s">
        <v>886</v>
      </c>
      <c r="T3" s="633" t="s">
        <v>886</v>
      </c>
      <c r="U3" s="633" t="s">
        <v>1063</v>
      </c>
    </row>
    <row r="4" spans="1:21" s="426" customFormat="1" ht="16.2" x14ac:dyDescent="0.35">
      <c r="A4" s="627"/>
      <c r="B4" s="634"/>
      <c r="C4" s="634"/>
      <c r="D4" s="635"/>
      <c r="E4" s="636" t="s">
        <v>28</v>
      </c>
      <c r="F4" s="637"/>
      <c r="G4" s="636" t="s">
        <v>30</v>
      </c>
      <c r="H4" s="637"/>
      <c r="I4" s="636" t="s">
        <v>31</v>
      </c>
      <c r="J4" s="636" t="s">
        <v>32</v>
      </c>
      <c r="K4" s="636" t="s">
        <v>178</v>
      </c>
      <c r="L4" s="638" t="s">
        <v>179</v>
      </c>
      <c r="M4" s="639" t="s">
        <v>240</v>
      </c>
      <c r="N4" s="639" t="s">
        <v>245</v>
      </c>
      <c r="O4" s="640" t="s">
        <v>257</v>
      </c>
      <c r="P4" s="638" t="s">
        <v>382</v>
      </c>
      <c r="Q4" s="641" t="s">
        <v>407</v>
      </c>
      <c r="R4" s="642" t="s">
        <v>1038</v>
      </c>
      <c r="S4" s="642" t="s">
        <v>1038</v>
      </c>
      <c r="T4" s="642" t="s">
        <v>1038</v>
      </c>
      <c r="U4" s="642" t="s">
        <v>1038</v>
      </c>
    </row>
    <row r="5" spans="1:21" s="426" customFormat="1" ht="16.8" thickBot="1" x14ac:dyDescent="0.4">
      <c r="A5" s="643"/>
      <c r="B5" s="644"/>
      <c r="C5" s="644"/>
      <c r="D5" s="645"/>
      <c r="E5" s="646" t="s">
        <v>201</v>
      </c>
      <c r="F5" s="646"/>
      <c r="G5" s="646" t="s">
        <v>201</v>
      </c>
      <c r="H5" s="646"/>
      <c r="I5" s="646" t="s">
        <v>201</v>
      </c>
      <c r="J5" s="646" t="s">
        <v>201</v>
      </c>
      <c r="K5" s="646" t="s">
        <v>201</v>
      </c>
      <c r="L5" s="647" t="s">
        <v>201</v>
      </c>
      <c r="M5" s="648" t="s">
        <v>201</v>
      </c>
      <c r="N5" s="648" t="s">
        <v>201</v>
      </c>
      <c r="O5" s="649" t="s">
        <v>201</v>
      </c>
      <c r="P5" s="647" t="s">
        <v>201</v>
      </c>
      <c r="Q5" s="650" t="s">
        <v>201</v>
      </c>
      <c r="R5" s="647" t="s">
        <v>201</v>
      </c>
      <c r="S5" s="647" t="s">
        <v>201</v>
      </c>
      <c r="T5" s="647" t="s">
        <v>201</v>
      </c>
      <c r="U5" s="647" t="s">
        <v>201</v>
      </c>
    </row>
    <row r="6" spans="1:21" ht="16.2" thickBot="1" x14ac:dyDescent="0.35">
      <c r="A6" s="651">
        <v>7</v>
      </c>
      <c r="B6" s="652" t="s">
        <v>211</v>
      </c>
      <c r="C6" s="653"/>
      <c r="D6" s="654"/>
      <c r="E6" s="655"/>
      <c r="F6" s="655"/>
      <c r="G6" s="655"/>
      <c r="H6" s="655"/>
      <c r="I6" s="655"/>
      <c r="J6" s="655"/>
      <c r="K6" s="656"/>
      <c r="L6" s="657"/>
      <c r="M6" s="658"/>
      <c r="N6" s="658"/>
      <c r="O6" s="659"/>
      <c r="P6" s="657"/>
      <c r="Q6" s="657">
        <f t="shared" ref="Q6:Q12" si="0">(P6*0.06)+P6</f>
        <v>0</v>
      </c>
      <c r="R6" s="660"/>
      <c r="S6" s="660"/>
      <c r="T6" s="660"/>
      <c r="U6" s="660"/>
    </row>
    <row r="7" spans="1:21" ht="15.6" x14ac:dyDescent="0.3">
      <c r="A7" s="661"/>
      <c r="B7" s="662"/>
      <c r="C7" s="628"/>
      <c r="D7" s="629"/>
      <c r="E7" s="635"/>
      <c r="F7" s="635"/>
      <c r="G7" s="635"/>
      <c r="H7" s="635"/>
      <c r="I7" s="635"/>
      <c r="J7" s="635"/>
      <c r="K7" s="634"/>
      <c r="L7" s="663"/>
      <c r="M7" s="664"/>
      <c r="N7" s="664"/>
      <c r="O7" s="665"/>
      <c r="P7" s="663"/>
      <c r="Q7" s="663">
        <f t="shared" si="0"/>
        <v>0</v>
      </c>
      <c r="R7" s="666"/>
      <c r="S7" s="666"/>
      <c r="T7" s="666"/>
      <c r="U7" s="666"/>
    </row>
    <row r="8" spans="1:21" ht="15.6" x14ac:dyDescent="0.3">
      <c r="A8" s="627"/>
      <c r="B8" s="628" t="s">
        <v>206</v>
      </c>
      <c r="C8" s="628"/>
      <c r="D8" s="629"/>
      <c r="E8" s="667" t="s">
        <v>212</v>
      </c>
      <c r="F8" s="635"/>
      <c r="G8" s="667" t="s">
        <v>213</v>
      </c>
      <c r="H8" s="635"/>
      <c r="I8" s="667" t="s">
        <v>214</v>
      </c>
      <c r="J8" s="668">
        <f>+I8*1.06</f>
        <v>36.241399999999999</v>
      </c>
      <c r="K8" s="669">
        <f>+J8*1.065</f>
        <v>38.597090999999999</v>
      </c>
      <c r="L8" s="670">
        <f>+K8*1.083</f>
        <v>41.800649553</v>
      </c>
      <c r="M8" s="671">
        <f t="shared" ref="M8:N12" si="1">+L8*1.07</f>
        <v>44.72669502171</v>
      </c>
      <c r="N8" s="671">
        <f t="shared" si="1"/>
        <v>47.857563673229706</v>
      </c>
      <c r="O8" s="672">
        <f>+N8*1.06</f>
        <v>50.729017493623488</v>
      </c>
      <c r="P8" s="670">
        <v>53.7</v>
      </c>
      <c r="Q8" s="670">
        <f t="shared" si="0"/>
        <v>56.922000000000004</v>
      </c>
      <c r="R8" s="666">
        <f>+Q8*1.058</f>
        <v>60.223476000000005</v>
      </c>
      <c r="S8" s="666">
        <f>+R8*1.066</f>
        <v>64.198225416000014</v>
      </c>
      <c r="T8" s="666">
        <f>+S8*1.064</f>
        <v>68.306911842624018</v>
      </c>
      <c r="U8" s="666">
        <f t="shared" ref="U8:U13" si="2">+T8*1.053</f>
        <v>71.927178170283085</v>
      </c>
    </row>
    <row r="9" spans="1:21" s="426" customFormat="1" ht="15.6" x14ac:dyDescent="0.3">
      <c r="A9" s="627"/>
      <c r="B9" s="628" t="s">
        <v>1040</v>
      </c>
      <c r="C9" s="628"/>
      <c r="D9" s="629"/>
      <c r="E9" s="667"/>
      <c r="F9" s="635"/>
      <c r="G9" s="667"/>
      <c r="H9" s="635"/>
      <c r="I9" s="667"/>
      <c r="J9" s="668"/>
      <c r="K9" s="669"/>
      <c r="L9" s="670"/>
      <c r="M9" s="671"/>
      <c r="N9" s="671"/>
      <c r="O9" s="672"/>
      <c r="P9" s="670"/>
      <c r="Q9" s="670"/>
      <c r="R9" s="666"/>
      <c r="S9" s="666"/>
      <c r="T9" s="666">
        <v>78.81</v>
      </c>
      <c r="U9" s="666">
        <v>80.28</v>
      </c>
    </row>
    <row r="10" spans="1:21" ht="15.6" x14ac:dyDescent="0.3">
      <c r="A10" s="627"/>
      <c r="B10" s="628" t="s">
        <v>1075</v>
      </c>
      <c r="C10" s="628"/>
      <c r="D10" s="629"/>
      <c r="E10" s="667" t="s">
        <v>216</v>
      </c>
      <c r="F10" s="635"/>
      <c r="G10" s="667" t="s">
        <v>217</v>
      </c>
      <c r="H10" s="635"/>
      <c r="I10" s="667" t="s">
        <v>218</v>
      </c>
      <c r="J10" s="668">
        <f>+I10*1.06</f>
        <v>44.700200000000002</v>
      </c>
      <c r="K10" s="669">
        <f>+J10*1.065</f>
        <v>47.605713000000002</v>
      </c>
      <c r="L10" s="670">
        <f>+K10*1.083</f>
        <v>51.556987178999997</v>
      </c>
      <c r="M10" s="671">
        <f t="shared" si="1"/>
        <v>55.16597628153</v>
      </c>
      <c r="N10" s="671">
        <f t="shared" si="1"/>
        <v>59.027594621237107</v>
      </c>
      <c r="O10" s="672">
        <f>+N10*1.06</f>
        <v>62.569250298511335</v>
      </c>
      <c r="P10" s="670">
        <v>66.3</v>
      </c>
      <c r="Q10" s="670">
        <f t="shared" si="0"/>
        <v>70.277999999999992</v>
      </c>
      <c r="R10" s="666">
        <v>174.36</v>
      </c>
      <c r="S10" s="666">
        <f>+R10*1.066</f>
        <v>185.86776000000003</v>
      </c>
      <c r="T10" s="666">
        <f>+S10*1.064</f>
        <v>197.76329664000005</v>
      </c>
      <c r="U10" s="666">
        <f t="shared" si="2"/>
        <v>208.24475136192004</v>
      </c>
    </row>
    <row r="11" spans="1:21" ht="15.6" x14ac:dyDescent="0.3">
      <c r="A11" s="627"/>
      <c r="B11" s="628" t="s">
        <v>244</v>
      </c>
      <c r="C11" s="628"/>
      <c r="D11" s="629"/>
      <c r="E11" s="635"/>
      <c r="F11" s="635"/>
      <c r="G11" s="635"/>
      <c r="H11" s="635"/>
      <c r="I11" s="635"/>
      <c r="J11" s="635"/>
      <c r="K11" s="634">
        <v>150</v>
      </c>
      <c r="L11" s="663">
        <f>150*1.083</f>
        <v>162.44999999999999</v>
      </c>
      <c r="M11" s="664">
        <f t="shared" si="1"/>
        <v>173.82149999999999</v>
      </c>
      <c r="N11" s="664">
        <f t="shared" si="1"/>
        <v>185.98900499999999</v>
      </c>
      <c r="O11" s="672">
        <f>+N11*1.06</f>
        <v>197.14834529999999</v>
      </c>
      <c r="P11" s="670">
        <v>209</v>
      </c>
      <c r="Q11" s="670">
        <f t="shared" si="0"/>
        <v>221.54</v>
      </c>
      <c r="R11" s="666">
        <f>+Q11*1.058</f>
        <v>234.38932</v>
      </c>
      <c r="S11" s="666">
        <f>+R11*1.066</f>
        <v>249.85901512000001</v>
      </c>
      <c r="T11" s="666">
        <f>+S11*1.064</f>
        <v>265.84999208768005</v>
      </c>
      <c r="U11" s="666">
        <f t="shared" si="2"/>
        <v>279.94004166832707</v>
      </c>
    </row>
    <row r="12" spans="1:21" ht="15.6" x14ac:dyDescent="0.3">
      <c r="A12" s="627"/>
      <c r="B12" s="628" t="s">
        <v>254</v>
      </c>
      <c r="C12" s="628"/>
      <c r="D12" s="629"/>
      <c r="E12" s="635"/>
      <c r="F12" s="635"/>
      <c r="G12" s="635"/>
      <c r="H12" s="635"/>
      <c r="I12" s="635"/>
      <c r="J12" s="635"/>
      <c r="K12" s="634"/>
      <c r="L12" s="663">
        <v>160.5</v>
      </c>
      <c r="M12" s="664">
        <f t="shared" si="1"/>
        <v>171.73500000000001</v>
      </c>
      <c r="N12" s="664">
        <f t="shared" si="1"/>
        <v>183.75645000000003</v>
      </c>
      <c r="O12" s="672">
        <f>+N12*1.06</f>
        <v>194.78183700000005</v>
      </c>
      <c r="P12" s="670">
        <v>206.5</v>
      </c>
      <c r="Q12" s="670">
        <f t="shared" si="0"/>
        <v>218.89</v>
      </c>
      <c r="R12" s="666">
        <v>428.2</v>
      </c>
      <c r="S12" s="666">
        <f>+R12*1.066</f>
        <v>456.46120000000002</v>
      </c>
      <c r="T12" s="666">
        <f>+S12*1.064</f>
        <v>485.67471680000006</v>
      </c>
      <c r="U12" s="666">
        <f t="shared" si="2"/>
        <v>511.41547679040002</v>
      </c>
    </row>
    <row r="13" spans="1:21" ht="15.6" x14ac:dyDescent="0.3">
      <c r="A13" s="627"/>
      <c r="B13" s="628" t="s">
        <v>931</v>
      </c>
      <c r="C13" s="628"/>
      <c r="D13" s="629"/>
      <c r="E13" s="635"/>
      <c r="F13" s="635"/>
      <c r="G13" s="635"/>
      <c r="H13" s="635"/>
      <c r="I13" s="635"/>
      <c r="J13" s="635"/>
      <c r="K13" s="634"/>
      <c r="L13" s="663"/>
      <c r="M13" s="664"/>
      <c r="N13" s="664"/>
      <c r="O13" s="672"/>
      <c r="P13" s="670"/>
      <c r="Q13" s="670">
        <v>0</v>
      </c>
      <c r="R13" s="666">
        <v>578.54999999999995</v>
      </c>
      <c r="S13" s="666">
        <f>+R13*1.066</f>
        <v>616.73429999999996</v>
      </c>
      <c r="T13" s="666">
        <f>+S13*1.064</f>
        <v>656.20529520000002</v>
      </c>
      <c r="U13" s="666">
        <f t="shared" si="2"/>
        <v>690.98417584560002</v>
      </c>
    </row>
    <row r="14" spans="1:21" ht="15.6" x14ac:dyDescent="0.3">
      <c r="A14" s="627"/>
      <c r="B14" s="628"/>
      <c r="C14" s="628"/>
      <c r="D14" s="629"/>
      <c r="E14" s="635"/>
      <c r="F14" s="635"/>
      <c r="G14" s="635"/>
      <c r="H14" s="635"/>
      <c r="I14" s="635"/>
      <c r="J14" s="635"/>
      <c r="K14" s="634"/>
      <c r="L14" s="663"/>
      <c r="M14" s="664"/>
      <c r="N14" s="664"/>
      <c r="O14" s="672"/>
      <c r="P14" s="670"/>
      <c r="Q14" s="670">
        <f>(P14*0.06)+P14</f>
        <v>0</v>
      </c>
      <c r="R14" s="666"/>
      <c r="S14" s="666"/>
      <c r="T14" s="666"/>
      <c r="U14" s="666"/>
    </row>
    <row r="15" spans="1:21" s="426" customFormat="1" ht="15.6" x14ac:dyDescent="0.3">
      <c r="A15" s="841"/>
      <c r="B15" s="628"/>
      <c r="C15" s="628"/>
      <c r="D15" s="629"/>
      <c r="E15" s="635"/>
      <c r="F15" s="635"/>
      <c r="G15" s="635"/>
      <c r="H15" s="635"/>
      <c r="I15" s="635"/>
      <c r="J15" s="635"/>
      <c r="K15" s="634"/>
      <c r="L15" s="893"/>
      <c r="M15" s="893"/>
      <c r="N15" s="893"/>
      <c r="O15" s="765"/>
      <c r="P15" s="670"/>
      <c r="Q15" s="670"/>
      <c r="R15" s="666"/>
      <c r="S15" s="666"/>
      <c r="T15" s="666"/>
      <c r="U15" s="666"/>
    </row>
    <row r="16" spans="1:21" s="894" customFormat="1" ht="15.6" x14ac:dyDescent="0.3">
      <c r="A16" s="896"/>
      <c r="B16" s="897" t="s">
        <v>1062</v>
      </c>
      <c r="C16" s="898"/>
      <c r="D16" s="899"/>
      <c r="E16" s="900"/>
      <c r="F16" s="900"/>
      <c r="G16" s="900"/>
      <c r="H16" s="900"/>
      <c r="I16" s="900"/>
      <c r="J16" s="900"/>
      <c r="K16" s="901"/>
      <c r="L16" s="902"/>
      <c r="M16" s="902"/>
      <c r="N16" s="902"/>
      <c r="O16" s="903"/>
      <c r="P16" s="904"/>
      <c r="Q16" s="904"/>
      <c r="R16" s="905"/>
      <c r="S16" s="905"/>
      <c r="T16" s="905"/>
      <c r="U16" s="905"/>
    </row>
    <row r="17" spans="1:21" s="894" customFormat="1" ht="15.6" x14ac:dyDescent="0.3">
      <c r="A17" s="896"/>
      <c r="B17" s="898" t="s">
        <v>1046</v>
      </c>
      <c r="C17" s="898"/>
      <c r="D17" s="899"/>
      <c r="E17" s="900"/>
      <c r="F17" s="900"/>
      <c r="G17" s="900"/>
      <c r="H17" s="900"/>
      <c r="I17" s="900"/>
      <c r="J17" s="900"/>
      <c r="K17" s="901"/>
      <c r="L17" s="902"/>
      <c r="M17" s="902"/>
      <c r="N17" s="902"/>
      <c r="O17" s="903"/>
      <c r="P17" s="904"/>
      <c r="Q17" s="904"/>
      <c r="R17" s="905"/>
      <c r="S17" s="905"/>
      <c r="T17" s="905" t="s">
        <v>1059</v>
      </c>
      <c r="U17" s="905" t="s">
        <v>1059</v>
      </c>
    </row>
    <row r="18" spans="1:21" s="894" customFormat="1" ht="31.2" x14ac:dyDescent="0.3">
      <c r="A18" s="896"/>
      <c r="B18" s="906" t="s">
        <v>1060</v>
      </c>
      <c r="C18" s="898"/>
      <c r="D18" s="899"/>
      <c r="E18" s="900"/>
      <c r="F18" s="900"/>
      <c r="G18" s="900"/>
      <c r="H18" s="900"/>
      <c r="I18" s="900"/>
      <c r="J18" s="900"/>
      <c r="K18" s="901"/>
      <c r="L18" s="902"/>
      <c r="M18" s="902"/>
      <c r="N18" s="902"/>
      <c r="O18" s="903"/>
      <c r="P18" s="904"/>
      <c r="Q18" s="904"/>
      <c r="R18" s="905"/>
      <c r="S18" s="905"/>
      <c r="T18" s="905">
        <v>180</v>
      </c>
      <c r="U18" s="905">
        <v>180</v>
      </c>
    </row>
    <row r="19" spans="1:21" s="894" customFormat="1" ht="31.2" x14ac:dyDescent="0.3">
      <c r="A19" s="896"/>
      <c r="B19" s="906" t="s">
        <v>1054</v>
      </c>
      <c r="C19" s="898"/>
      <c r="D19" s="899"/>
      <c r="E19" s="900"/>
      <c r="F19" s="900"/>
      <c r="G19" s="900"/>
      <c r="H19" s="900"/>
      <c r="I19" s="900"/>
      <c r="J19" s="900"/>
      <c r="K19" s="901"/>
      <c r="L19" s="902"/>
      <c r="M19" s="902"/>
      <c r="N19" s="902"/>
      <c r="O19" s="903"/>
      <c r="P19" s="904"/>
      <c r="Q19" s="904"/>
      <c r="R19" s="905"/>
      <c r="S19" s="905"/>
      <c r="T19" s="905">
        <v>93</v>
      </c>
      <c r="U19" s="905">
        <v>93</v>
      </c>
    </row>
    <row r="20" spans="1:21" s="894" customFormat="1" ht="15.6" x14ac:dyDescent="0.3">
      <c r="A20" s="896"/>
      <c r="B20" s="898" t="s">
        <v>1047</v>
      </c>
      <c r="C20" s="898"/>
      <c r="D20" s="899"/>
      <c r="E20" s="900"/>
      <c r="F20" s="900"/>
      <c r="G20" s="900"/>
      <c r="H20" s="900"/>
      <c r="I20" s="900"/>
      <c r="J20" s="900"/>
      <c r="K20" s="901"/>
      <c r="L20" s="902"/>
      <c r="M20" s="902"/>
      <c r="N20" s="902"/>
      <c r="O20" s="903"/>
      <c r="P20" s="904"/>
      <c r="Q20" s="904"/>
      <c r="R20" s="905"/>
      <c r="S20" s="905"/>
      <c r="T20" s="905">
        <v>280</v>
      </c>
      <c r="U20" s="905">
        <v>280</v>
      </c>
    </row>
    <row r="21" spans="1:21" s="894" customFormat="1" ht="15.6" x14ac:dyDescent="0.3">
      <c r="A21" s="896"/>
      <c r="B21" s="898" t="s">
        <v>1048</v>
      </c>
      <c r="C21" s="898"/>
      <c r="D21" s="899"/>
      <c r="E21" s="900"/>
      <c r="F21" s="900"/>
      <c r="G21" s="900"/>
      <c r="H21" s="900"/>
      <c r="I21" s="900"/>
      <c r="J21" s="900"/>
      <c r="K21" s="901"/>
      <c r="L21" s="902"/>
      <c r="M21" s="902"/>
      <c r="N21" s="902"/>
      <c r="O21" s="903"/>
      <c r="P21" s="904"/>
      <c r="Q21" s="904"/>
      <c r="R21" s="905"/>
      <c r="S21" s="905"/>
      <c r="T21" s="905" t="s">
        <v>1059</v>
      </c>
      <c r="U21" s="905" t="s">
        <v>1059</v>
      </c>
    </row>
    <row r="22" spans="1:21" s="894" customFormat="1" ht="15.6" x14ac:dyDescent="0.3">
      <c r="A22" s="896"/>
      <c r="B22" s="898" t="s">
        <v>1049</v>
      </c>
      <c r="C22" s="898"/>
      <c r="D22" s="899"/>
      <c r="E22" s="900"/>
      <c r="F22" s="900"/>
      <c r="G22" s="900"/>
      <c r="H22" s="900"/>
      <c r="I22" s="900"/>
      <c r="J22" s="900"/>
      <c r="K22" s="901"/>
      <c r="L22" s="902"/>
      <c r="M22" s="902"/>
      <c r="N22" s="902"/>
      <c r="O22" s="903"/>
      <c r="P22" s="904"/>
      <c r="Q22" s="904"/>
      <c r="R22" s="905"/>
      <c r="S22" s="905"/>
      <c r="T22" s="905" t="s">
        <v>1059</v>
      </c>
      <c r="U22" s="905" t="s">
        <v>1059</v>
      </c>
    </row>
    <row r="23" spans="1:21" s="894" customFormat="1" ht="15.6" x14ac:dyDescent="0.3">
      <c r="A23" s="896"/>
      <c r="B23" s="898" t="s">
        <v>1050</v>
      </c>
      <c r="C23" s="898"/>
      <c r="D23" s="899"/>
      <c r="E23" s="900"/>
      <c r="F23" s="900"/>
      <c r="G23" s="900"/>
      <c r="H23" s="900"/>
      <c r="I23" s="900"/>
      <c r="J23" s="900"/>
      <c r="K23" s="901"/>
      <c r="L23" s="902"/>
      <c r="M23" s="902"/>
      <c r="N23" s="902"/>
      <c r="O23" s="903"/>
      <c r="P23" s="904"/>
      <c r="Q23" s="904"/>
      <c r="R23" s="905"/>
      <c r="S23" s="905"/>
      <c r="T23" s="905">
        <v>300</v>
      </c>
      <c r="U23" s="905">
        <v>300</v>
      </c>
    </row>
    <row r="24" spans="1:21" s="894" customFormat="1" ht="15.6" x14ac:dyDescent="0.3">
      <c r="A24" s="896"/>
      <c r="B24" s="898" t="s">
        <v>1051</v>
      </c>
      <c r="C24" s="898"/>
      <c r="D24" s="899"/>
      <c r="E24" s="900"/>
      <c r="F24" s="900"/>
      <c r="G24" s="900"/>
      <c r="H24" s="900"/>
      <c r="I24" s="900"/>
      <c r="J24" s="900"/>
      <c r="K24" s="901"/>
      <c r="L24" s="902"/>
      <c r="M24" s="902"/>
      <c r="N24" s="902"/>
      <c r="O24" s="903"/>
      <c r="P24" s="904"/>
      <c r="Q24" s="904"/>
      <c r="R24" s="905"/>
      <c r="S24" s="905"/>
      <c r="T24" s="905">
        <v>980</v>
      </c>
      <c r="U24" s="905">
        <v>980</v>
      </c>
    </row>
    <row r="25" spans="1:21" s="894" customFormat="1" ht="15.6" x14ac:dyDescent="0.3">
      <c r="A25" s="896"/>
      <c r="B25" s="898" t="s">
        <v>1052</v>
      </c>
      <c r="C25" s="898"/>
      <c r="D25" s="899"/>
      <c r="E25" s="900"/>
      <c r="F25" s="900"/>
      <c r="G25" s="900"/>
      <c r="H25" s="900"/>
      <c r="I25" s="900"/>
      <c r="J25" s="900"/>
      <c r="K25" s="901"/>
      <c r="L25" s="902"/>
      <c r="M25" s="902"/>
      <c r="N25" s="902"/>
      <c r="O25" s="903"/>
      <c r="P25" s="904"/>
      <c r="Q25" s="904"/>
      <c r="R25" s="905"/>
      <c r="S25" s="905"/>
      <c r="T25" s="905">
        <v>1200</v>
      </c>
      <c r="U25" s="905">
        <v>1200</v>
      </c>
    </row>
    <row r="26" spans="1:21" s="894" customFormat="1" ht="15.6" x14ac:dyDescent="0.3">
      <c r="A26" s="896"/>
      <c r="B26" s="898" t="s">
        <v>1053</v>
      </c>
      <c r="C26" s="898"/>
      <c r="D26" s="899"/>
      <c r="E26" s="900"/>
      <c r="F26" s="900"/>
      <c r="G26" s="900"/>
      <c r="H26" s="900"/>
      <c r="I26" s="900"/>
      <c r="J26" s="900"/>
      <c r="K26" s="901"/>
      <c r="L26" s="902"/>
      <c r="M26" s="902"/>
      <c r="N26" s="902"/>
      <c r="O26" s="903"/>
      <c r="P26" s="904"/>
      <c r="Q26" s="904"/>
      <c r="R26" s="905"/>
      <c r="S26" s="905"/>
      <c r="T26" s="905">
        <v>280</v>
      </c>
      <c r="U26" s="905">
        <v>280</v>
      </c>
    </row>
    <row r="27" spans="1:21" s="894" customFormat="1" ht="93.6" x14ac:dyDescent="0.3">
      <c r="A27" s="896"/>
      <c r="B27" s="906" t="s">
        <v>1055</v>
      </c>
      <c r="C27" s="898"/>
      <c r="D27" s="899"/>
      <c r="E27" s="900"/>
      <c r="F27" s="900"/>
      <c r="G27" s="900"/>
      <c r="H27" s="900"/>
      <c r="I27" s="900"/>
      <c r="J27" s="900"/>
      <c r="K27" s="901"/>
      <c r="L27" s="902"/>
      <c r="M27" s="902"/>
      <c r="N27" s="902"/>
      <c r="O27" s="903"/>
      <c r="P27" s="904"/>
      <c r="Q27" s="904"/>
      <c r="R27" s="905"/>
      <c r="S27" s="905"/>
      <c r="T27" s="907" t="s">
        <v>1061</v>
      </c>
      <c r="U27" s="907" t="s">
        <v>1061</v>
      </c>
    </row>
    <row r="28" spans="1:21" s="894" customFormat="1" ht="15.6" x14ac:dyDescent="0.3">
      <c r="A28" s="896"/>
      <c r="B28" s="906" t="s">
        <v>1056</v>
      </c>
      <c r="C28" s="898"/>
      <c r="D28" s="899"/>
      <c r="E28" s="900"/>
      <c r="F28" s="900"/>
      <c r="G28" s="900"/>
      <c r="H28" s="900"/>
      <c r="I28" s="900"/>
      <c r="J28" s="900"/>
      <c r="K28" s="901"/>
      <c r="L28" s="902"/>
      <c r="M28" s="902"/>
      <c r="N28" s="902"/>
      <c r="O28" s="903"/>
      <c r="P28" s="904"/>
      <c r="Q28" s="904"/>
      <c r="R28" s="905"/>
      <c r="S28" s="905"/>
      <c r="T28" s="905"/>
      <c r="U28" s="905"/>
    </row>
    <row r="29" spans="1:21" s="894" customFormat="1" ht="15.6" x14ac:dyDescent="0.3">
      <c r="A29" s="896"/>
      <c r="B29" s="906" t="s">
        <v>1057</v>
      </c>
      <c r="C29" s="898"/>
      <c r="D29" s="899"/>
      <c r="E29" s="900"/>
      <c r="F29" s="900"/>
      <c r="G29" s="900"/>
      <c r="H29" s="900"/>
      <c r="I29" s="900"/>
      <c r="J29" s="900"/>
      <c r="K29" s="901"/>
      <c r="L29" s="902"/>
      <c r="M29" s="902"/>
      <c r="N29" s="902"/>
      <c r="O29" s="903"/>
      <c r="P29" s="904"/>
      <c r="Q29" s="904"/>
      <c r="R29" s="905"/>
      <c r="S29" s="905"/>
      <c r="T29" s="905">
        <v>490</v>
      </c>
      <c r="U29" s="905">
        <v>490</v>
      </c>
    </row>
    <row r="30" spans="1:21" s="894" customFormat="1" ht="31.2" x14ac:dyDescent="0.3">
      <c r="A30" s="896"/>
      <c r="B30" s="906" t="s">
        <v>1058</v>
      </c>
      <c r="C30" s="898"/>
      <c r="D30" s="899"/>
      <c r="E30" s="900"/>
      <c r="F30" s="900"/>
      <c r="G30" s="900"/>
      <c r="H30" s="900"/>
      <c r="I30" s="900"/>
      <c r="J30" s="900"/>
      <c r="K30" s="901"/>
      <c r="L30" s="902"/>
      <c r="M30" s="902"/>
      <c r="N30" s="902"/>
      <c r="O30" s="903"/>
      <c r="P30" s="904"/>
      <c r="Q30" s="904"/>
      <c r="R30" s="905"/>
      <c r="S30" s="905"/>
      <c r="T30" s="905">
        <v>1000</v>
      </c>
      <c r="U30" s="905">
        <v>1000</v>
      </c>
    </row>
    <row r="31" spans="1:21" s="426" customFormat="1" ht="15.6" x14ac:dyDescent="0.3">
      <c r="A31" s="841"/>
      <c r="B31" s="892"/>
      <c r="C31" s="628"/>
      <c r="D31" s="629"/>
      <c r="E31" s="635"/>
      <c r="F31" s="635"/>
      <c r="G31" s="635"/>
      <c r="H31" s="635"/>
      <c r="I31" s="635"/>
      <c r="J31" s="635"/>
      <c r="K31" s="634"/>
      <c r="L31" s="893"/>
      <c r="M31" s="893"/>
      <c r="N31" s="893"/>
      <c r="O31" s="765"/>
      <c r="P31" s="670"/>
      <c r="Q31" s="670"/>
      <c r="R31" s="666"/>
      <c r="S31" s="666"/>
      <c r="T31" s="666"/>
      <c r="U31" s="666"/>
    </row>
    <row r="32" spans="1:21" s="426" customFormat="1" ht="15.6" x14ac:dyDescent="0.3">
      <c r="A32" s="841"/>
      <c r="B32" s="628"/>
      <c r="C32" s="628"/>
      <c r="D32" s="629"/>
      <c r="E32" s="635"/>
      <c r="F32" s="635"/>
      <c r="G32" s="635"/>
      <c r="H32" s="635"/>
      <c r="I32" s="635"/>
      <c r="J32" s="635"/>
      <c r="K32" s="634"/>
      <c r="L32" s="893"/>
      <c r="M32" s="893"/>
      <c r="N32" s="893"/>
      <c r="O32" s="765"/>
      <c r="P32" s="670"/>
      <c r="Q32" s="670"/>
      <c r="R32" s="666"/>
      <c r="S32" s="666"/>
      <c r="T32" s="666"/>
      <c r="U32" s="666"/>
    </row>
    <row r="33" spans="1:21" ht="16.2" thickBot="1" x14ac:dyDescent="0.35">
      <c r="A33" s="626"/>
      <c r="B33" s="626"/>
      <c r="C33" s="626"/>
      <c r="D33" s="626"/>
      <c r="E33" s="626"/>
      <c r="F33" s="626"/>
      <c r="G33" s="626"/>
      <c r="H33" s="626"/>
      <c r="I33" s="626"/>
      <c r="J33" s="626"/>
      <c r="K33" s="626"/>
      <c r="L33" s="626"/>
      <c r="M33" s="626"/>
      <c r="N33" s="626"/>
      <c r="O33" s="626"/>
      <c r="P33" s="720"/>
      <c r="Q33" s="720"/>
      <c r="R33" s="720"/>
      <c r="S33" s="720"/>
      <c r="T33" s="720"/>
      <c r="U33" s="720"/>
    </row>
    <row r="34" spans="1:21" ht="16.2" thickBot="1" x14ac:dyDescent="0.35">
      <c r="A34" s="651" t="s">
        <v>740</v>
      </c>
      <c r="B34" s="652" t="s">
        <v>741</v>
      </c>
      <c r="C34" s="653"/>
      <c r="D34" s="654"/>
      <c r="E34" s="675"/>
      <c r="F34" s="655"/>
      <c r="G34" s="675"/>
      <c r="H34" s="655"/>
      <c r="I34" s="675"/>
      <c r="J34" s="675"/>
      <c r="K34" s="676"/>
      <c r="L34" s="677"/>
      <c r="M34" s="678"/>
      <c r="N34" s="678"/>
      <c r="O34" s="679"/>
      <c r="P34" s="677"/>
      <c r="Q34" s="677"/>
      <c r="R34" s="735"/>
      <c r="S34" s="735"/>
      <c r="T34" s="735"/>
      <c r="U34" s="735"/>
    </row>
    <row r="35" spans="1:21" ht="15.6" x14ac:dyDescent="0.3">
      <c r="A35" s="661"/>
      <c r="B35" s="662"/>
      <c r="C35" s="628"/>
      <c r="D35" s="629"/>
      <c r="E35" s="667"/>
      <c r="F35" s="635"/>
      <c r="G35" s="667"/>
      <c r="H35" s="635"/>
      <c r="I35" s="667"/>
      <c r="J35" s="667"/>
      <c r="K35" s="680"/>
      <c r="L35" s="681"/>
      <c r="M35" s="682"/>
      <c r="N35" s="682"/>
      <c r="O35" s="683"/>
      <c r="P35" s="681"/>
      <c r="Q35" s="681">
        <f t="shared" ref="Q35:Q41" si="3">(P35*0.06)+P35</f>
        <v>0</v>
      </c>
      <c r="R35" s="720"/>
      <c r="S35" s="720"/>
      <c r="T35" s="720"/>
      <c r="U35" s="720"/>
    </row>
    <row r="36" spans="1:21" ht="15.6" x14ac:dyDescent="0.3">
      <c r="A36" s="627"/>
      <c r="B36" s="628" t="s">
        <v>101</v>
      </c>
      <c r="C36" s="628"/>
      <c r="D36" s="629"/>
      <c r="E36" s="667" t="s">
        <v>736</v>
      </c>
      <c r="F36" s="635"/>
      <c r="G36" s="667" t="s">
        <v>736</v>
      </c>
      <c r="H36" s="635"/>
      <c r="I36" s="667">
        <f>G36*1.07</f>
        <v>53.5</v>
      </c>
      <c r="J36" s="668">
        <f>+I36*1.06</f>
        <v>56.71</v>
      </c>
      <c r="K36" s="669">
        <f>+(J36*1.065)+0.6</f>
        <v>60.99615</v>
      </c>
      <c r="L36" s="670">
        <f>+(K36*1.083)</f>
        <v>66.058830450000002</v>
      </c>
      <c r="M36" s="671">
        <f>+(L36*1.07)</f>
        <v>70.6829485815</v>
      </c>
      <c r="N36" s="671">
        <f>+(M36*1.07)-0.03</f>
        <v>75.600754982205004</v>
      </c>
      <c r="O36" s="672">
        <f>+(N36*1.06)</f>
        <v>80.136800281137312</v>
      </c>
      <c r="P36" s="670">
        <v>85</v>
      </c>
      <c r="Q36" s="670">
        <f t="shared" si="3"/>
        <v>90.1</v>
      </c>
      <c r="R36" s="666">
        <f>+Q36*1.058</f>
        <v>95.325800000000001</v>
      </c>
      <c r="S36" s="666">
        <f>+R36*1.066</f>
        <v>101.6173028</v>
      </c>
      <c r="T36" s="666">
        <f>+S36*1.064</f>
        <v>108.12081017920001</v>
      </c>
      <c r="U36" s="666">
        <f>+T36*1.053</f>
        <v>113.8512131186976</v>
      </c>
    </row>
    <row r="37" spans="1:21" ht="15.6" x14ac:dyDescent="0.3">
      <c r="A37" s="627"/>
      <c r="B37" s="628" t="s">
        <v>742</v>
      </c>
      <c r="C37" s="628"/>
      <c r="D37" s="629"/>
      <c r="E37" s="667" t="s">
        <v>743</v>
      </c>
      <c r="F37" s="635"/>
      <c r="G37" s="667" t="s">
        <v>743</v>
      </c>
      <c r="H37" s="635"/>
      <c r="I37" s="667">
        <f>G37*1.07</f>
        <v>10.700000000000001</v>
      </c>
      <c r="J37" s="668">
        <f>+I37*1.06</f>
        <v>11.342000000000002</v>
      </c>
      <c r="K37" s="669">
        <f>+(J37*1.065)+0.42</f>
        <v>12.499230000000003</v>
      </c>
      <c r="L37" s="670">
        <f>+(K37*1.083)</f>
        <v>13.536666090000002</v>
      </c>
      <c r="M37" s="671">
        <f>+(L37*1.07)</f>
        <v>14.484232716300003</v>
      </c>
      <c r="N37" s="671">
        <f>+(M37*1.07)</f>
        <v>15.498129006441005</v>
      </c>
      <c r="O37" s="672">
        <f>+(N37*1.06)</f>
        <v>16.428016746827467</v>
      </c>
      <c r="P37" s="670">
        <v>17</v>
      </c>
      <c r="Q37" s="670">
        <f t="shared" si="3"/>
        <v>18.02</v>
      </c>
      <c r="R37" s="666">
        <f>+Q37*1.058</f>
        <v>19.065159999999999</v>
      </c>
      <c r="S37" s="666">
        <f>+R37*1.066</f>
        <v>20.323460560000001</v>
      </c>
      <c r="T37" s="666">
        <f>+S37*1.064</f>
        <v>21.624162035840001</v>
      </c>
      <c r="U37" s="666">
        <f t="shared" ref="U37:U40" si="4">+T37*1.053</f>
        <v>22.77024262373952</v>
      </c>
    </row>
    <row r="38" spans="1:21" ht="15.6" x14ac:dyDescent="0.3">
      <c r="A38" s="627"/>
      <c r="B38" s="628" t="s">
        <v>744</v>
      </c>
      <c r="C38" s="628"/>
      <c r="D38" s="629"/>
      <c r="E38" s="667" t="s">
        <v>739</v>
      </c>
      <c r="F38" s="635"/>
      <c r="G38" s="667" t="s">
        <v>739</v>
      </c>
      <c r="H38" s="635"/>
      <c r="I38" s="667">
        <f>G38*1.07</f>
        <v>5.3500000000000005</v>
      </c>
      <c r="J38" s="668">
        <f>+I38*1.06</f>
        <v>5.6710000000000012</v>
      </c>
      <c r="K38" s="669">
        <f>+(J38*1.065)-0.04</f>
        <v>5.9996150000000013</v>
      </c>
      <c r="L38" s="670">
        <f>+(K38*1.083)</f>
        <v>6.4975830450000007</v>
      </c>
      <c r="M38" s="671">
        <f>+(L38*1.07)</f>
        <v>6.9524138581500008</v>
      </c>
      <c r="N38" s="671">
        <f>+(M38*1.07)-0.04</f>
        <v>7.399082828220501</v>
      </c>
      <c r="O38" s="672">
        <f>+(N38*1.06)</f>
        <v>7.8430277979137317</v>
      </c>
      <c r="P38" s="670">
        <v>8</v>
      </c>
      <c r="Q38" s="670">
        <f t="shared" si="3"/>
        <v>8.48</v>
      </c>
      <c r="R38" s="666">
        <f>+Q38*1.058</f>
        <v>8.9718400000000003</v>
      </c>
      <c r="S38" s="666">
        <f>+R38*1.066</f>
        <v>9.5639814400000009</v>
      </c>
      <c r="T38" s="666">
        <f>+S38*1.064</f>
        <v>10.176076252160001</v>
      </c>
      <c r="U38" s="666">
        <f t="shared" si="4"/>
        <v>10.715408293524481</v>
      </c>
    </row>
    <row r="39" spans="1:21" ht="15.6" x14ac:dyDescent="0.3">
      <c r="A39" s="627"/>
      <c r="B39" s="628" t="s">
        <v>745</v>
      </c>
      <c r="C39" s="628"/>
      <c r="D39" s="629"/>
      <c r="E39" s="667" t="s">
        <v>225</v>
      </c>
      <c r="F39" s="635"/>
      <c r="G39" s="667" t="s">
        <v>225</v>
      </c>
      <c r="H39" s="635"/>
      <c r="I39" s="667">
        <f>G39*1.07</f>
        <v>2.14</v>
      </c>
      <c r="J39" s="668">
        <f>+I39*1.06</f>
        <v>2.2684000000000002</v>
      </c>
      <c r="K39" s="669">
        <f>+(J39*1.065)+0.08</f>
        <v>2.4958460000000002</v>
      </c>
      <c r="L39" s="670">
        <f>+(K39*1.083)</f>
        <v>2.7030012180000003</v>
      </c>
      <c r="M39" s="671">
        <f>+(L39*1.07)</f>
        <v>2.8922113032600003</v>
      </c>
      <c r="N39" s="671">
        <f>+(M39*1.07)+0.01</f>
        <v>3.1046660944882003</v>
      </c>
      <c r="O39" s="672">
        <f>+(N39*1.06)</f>
        <v>3.2909460601574927</v>
      </c>
      <c r="P39" s="670">
        <v>3.5</v>
      </c>
      <c r="Q39" s="670">
        <f t="shared" si="3"/>
        <v>3.71</v>
      </c>
      <c r="R39" s="666">
        <f>+Q39*1.058</f>
        <v>3.9251800000000001</v>
      </c>
      <c r="S39" s="666">
        <f>+R39*1.066</f>
        <v>4.1842418800000001</v>
      </c>
      <c r="T39" s="666">
        <f>+S39*1.064</f>
        <v>4.4520333603200006</v>
      </c>
      <c r="U39" s="666">
        <f t="shared" si="4"/>
        <v>4.68799112841696</v>
      </c>
    </row>
    <row r="40" spans="1:21" ht="15.6" x14ac:dyDescent="0.3">
      <c r="A40" s="627"/>
      <c r="B40" s="628" t="s">
        <v>746</v>
      </c>
      <c r="C40" s="628"/>
      <c r="D40" s="629"/>
      <c r="E40" s="667" t="s">
        <v>747</v>
      </c>
      <c r="F40" s="635"/>
      <c r="G40" s="667" t="s">
        <v>747</v>
      </c>
      <c r="H40" s="635"/>
      <c r="I40" s="684">
        <v>0.1</v>
      </c>
      <c r="J40" s="684">
        <v>0.1</v>
      </c>
      <c r="K40" s="685">
        <v>0.1</v>
      </c>
      <c r="L40" s="686">
        <v>0.1</v>
      </c>
      <c r="M40" s="687">
        <v>0.1</v>
      </c>
      <c r="N40" s="687">
        <v>0.1</v>
      </c>
      <c r="O40" s="688">
        <v>0.1</v>
      </c>
      <c r="P40" s="686">
        <v>0.1</v>
      </c>
      <c r="Q40" s="686">
        <f t="shared" si="3"/>
        <v>0.10600000000000001</v>
      </c>
      <c r="R40" s="666">
        <f>+Q40*1.058</f>
        <v>0.11214800000000001</v>
      </c>
      <c r="S40" s="666">
        <f>+R40*1.066</f>
        <v>0.11954976800000001</v>
      </c>
      <c r="T40" s="666">
        <f>+S40*1.064</f>
        <v>0.12720095315200003</v>
      </c>
      <c r="U40" s="666">
        <f t="shared" si="4"/>
        <v>0.13394260366905603</v>
      </c>
    </row>
    <row r="41" spans="1:21" ht="15.6" x14ac:dyDescent="0.3">
      <c r="A41" s="627"/>
      <c r="B41" s="626"/>
      <c r="C41" s="628"/>
      <c r="D41" s="629"/>
      <c r="E41" s="667"/>
      <c r="F41" s="635"/>
      <c r="G41" s="667"/>
      <c r="H41" s="635"/>
      <c r="I41" s="667"/>
      <c r="J41" s="667"/>
      <c r="K41" s="689"/>
      <c r="L41" s="670"/>
      <c r="M41" s="671"/>
      <c r="N41" s="671"/>
      <c r="O41" s="672"/>
      <c r="P41" s="670"/>
      <c r="Q41" s="670">
        <f t="shared" si="3"/>
        <v>0</v>
      </c>
      <c r="R41" s="666"/>
      <c r="S41" s="666"/>
      <c r="T41" s="666"/>
      <c r="U41" s="666"/>
    </row>
    <row r="42" spans="1:21" s="426" customFormat="1" ht="16.2" thickBot="1" x14ac:dyDescent="0.35">
      <c r="A42" s="627"/>
      <c r="B42" s="628"/>
      <c r="C42" s="628"/>
      <c r="D42" s="629"/>
      <c r="E42" s="667"/>
      <c r="F42" s="635"/>
      <c r="G42" s="667"/>
      <c r="H42" s="635"/>
      <c r="I42" s="667"/>
      <c r="J42" s="667"/>
      <c r="K42" s="689"/>
      <c r="L42" s="670"/>
      <c r="M42" s="671"/>
      <c r="N42" s="671"/>
      <c r="O42" s="672"/>
      <c r="P42" s="670"/>
      <c r="Q42" s="670"/>
      <c r="R42" s="666"/>
      <c r="S42" s="666"/>
      <c r="T42" s="666"/>
      <c r="U42" s="666"/>
    </row>
    <row r="43" spans="1:21" ht="16.2" thickBot="1" x14ac:dyDescent="0.35">
      <c r="A43" s="651">
        <v>9</v>
      </c>
      <c r="B43" s="652" t="s">
        <v>565</v>
      </c>
      <c r="C43" s="653"/>
      <c r="D43" s="654"/>
      <c r="E43" s="675"/>
      <c r="F43" s="655"/>
      <c r="G43" s="675"/>
      <c r="H43" s="655"/>
      <c r="I43" s="675"/>
      <c r="J43" s="675"/>
      <c r="K43" s="690"/>
      <c r="L43" s="691"/>
      <c r="M43" s="692"/>
      <c r="N43" s="692"/>
      <c r="O43" s="693"/>
      <c r="P43" s="691"/>
      <c r="Q43" s="691">
        <f>(P43*0.06)+P43</f>
        <v>0</v>
      </c>
      <c r="R43" s="660"/>
      <c r="S43" s="660"/>
      <c r="T43" s="660"/>
      <c r="U43" s="660"/>
    </row>
    <row r="44" spans="1:21" ht="15.6" x14ac:dyDescent="0.3">
      <c r="A44" s="661"/>
      <c r="B44" s="662"/>
      <c r="C44" s="628"/>
      <c r="D44" s="629"/>
      <c r="E44" s="667"/>
      <c r="F44" s="635"/>
      <c r="G44" s="667"/>
      <c r="H44" s="635"/>
      <c r="I44" s="667"/>
      <c r="J44" s="667"/>
      <c r="K44" s="689"/>
      <c r="L44" s="670"/>
      <c r="M44" s="671"/>
      <c r="N44" s="671"/>
      <c r="O44" s="672"/>
      <c r="P44" s="670"/>
      <c r="Q44" s="670">
        <f>(P44*0.06)+P44</f>
        <v>0</v>
      </c>
      <c r="R44" s="666"/>
      <c r="S44" s="666"/>
      <c r="T44" s="666"/>
      <c r="U44" s="666"/>
    </row>
    <row r="45" spans="1:21" ht="15.6" x14ac:dyDescent="0.3">
      <c r="A45" s="627"/>
      <c r="B45" s="629" t="s">
        <v>1044</v>
      </c>
      <c r="C45" s="628"/>
      <c r="D45" s="629"/>
      <c r="E45" s="667"/>
      <c r="F45" s="635"/>
      <c r="G45" s="667"/>
      <c r="H45" s="635"/>
      <c r="I45" s="667"/>
      <c r="J45" s="667"/>
      <c r="K45" s="689"/>
      <c r="L45" s="670"/>
      <c r="M45" s="671"/>
      <c r="N45" s="671"/>
      <c r="O45" s="672"/>
      <c r="P45" s="670"/>
      <c r="Q45" s="670">
        <f>(P45*0.06)+P45</f>
        <v>0</v>
      </c>
      <c r="R45" s="666"/>
      <c r="S45" s="666"/>
      <c r="T45" s="666"/>
      <c r="U45" s="666"/>
    </row>
    <row r="46" spans="1:21" s="426" customFormat="1" ht="15.6" x14ac:dyDescent="0.3">
      <c r="A46" s="627"/>
      <c r="B46" s="628" t="s">
        <v>978</v>
      </c>
      <c r="C46" s="628"/>
      <c r="D46" s="629"/>
      <c r="E46" s="667"/>
      <c r="F46" s="635"/>
      <c r="G46" s="667"/>
      <c r="H46" s="635"/>
      <c r="I46" s="667"/>
      <c r="J46" s="667"/>
      <c r="K46" s="689"/>
      <c r="L46" s="670"/>
      <c r="M46" s="671"/>
      <c r="N46" s="671"/>
      <c r="O46" s="672"/>
      <c r="P46" s="670">
        <v>0</v>
      </c>
      <c r="Q46" s="670">
        <v>0</v>
      </c>
      <c r="R46" s="666">
        <v>188.4</v>
      </c>
      <c r="S46" s="666">
        <f>+R46*1.066</f>
        <v>200.83440000000002</v>
      </c>
      <c r="T46" s="666">
        <f t="shared" ref="T46:T56" si="5">+S46*1.064</f>
        <v>213.68780160000003</v>
      </c>
      <c r="U46" s="666">
        <f t="shared" ref="U46:U56" si="6">+T46*1.053</f>
        <v>225.01325508480002</v>
      </c>
    </row>
    <row r="47" spans="1:21" s="426" customFormat="1" ht="15.6" x14ac:dyDescent="0.3">
      <c r="A47" s="627"/>
      <c r="B47" s="628" t="s">
        <v>979</v>
      </c>
      <c r="C47" s="628"/>
      <c r="D47" s="629"/>
      <c r="E47" s="667"/>
      <c r="F47" s="635"/>
      <c r="G47" s="667"/>
      <c r="H47" s="635"/>
      <c r="I47" s="667"/>
      <c r="J47" s="667"/>
      <c r="K47" s="689"/>
      <c r="L47" s="670"/>
      <c r="M47" s="671"/>
      <c r="N47" s="671"/>
      <c r="O47" s="672"/>
      <c r="P47" s="670">
        <v>0</v>
      </c>
      <c r="Q47" s="670">
        <v>178.08</v>
      </c>
      <c r="R47" s="666">
        <v>204.2</v>
      </c>
      <c r="S47" s="666">
        <f t="shared" ref="S47:S56" si="7">+R47*1.066</f>
        <v>217.6772</v>
      </c>
      <c r="T47" s="666">
        <f t="shared" si="5"/>
        <v>231.60854080000001</v>
      </c>
      <c r="U47" s="666">
        <f t="shared" si="6"/>
        <v>243.88379346240001</v>
      </c>
    </row>
    <row r="48" spans="1:21" ht="15.6" x14ac:dyDescent="0.3">
      <c r="A48" s="627"/>
      <c r="B48" s="628" t="s">
        <v>980</v>
      </c>
      <c r="C48" s="628"/>
      <c r="D48" s="629"/>
      <c r="E48" s="667" t="s">
        <v>748</v>
      </c>
      <c r="F48" s="635"/>
      <c r="G48" s="667" t="s">
        <v>748</v>
      </c>
      <c r="H48" s="635"/>
      <c r="I48" s="667">
        <f>G48*1.07</f>
        <v>267.5</v>
      </c>
      <c r="J48" s="668">
        <f>+I48*1.06</f>
        <v>283.55</v>
      </c>
      <c r="K48" s="669">
        <f>+(J48*1.065)+0.02</f>
        <v>302.00074999999998</v>
      </c>
      <c r="L48" s="670">
        <f>+(K48*1.083)</f>
        <v>327.06681224999994</v>
      </c>
      <c r="M48" s="671">
        <f>+(L48*1.07)</f>
        <v>349.96148910749997</v>
      </c>
      <c r="N48" s="671">
        <f>+(M48*1.07)-0.06</f>
        <v>374.39879334502501</v>
      </c>
      <c r="O48" s="672">
        <f>+(N48*1.06)</f>
        <v>396.86272094572655</v>
      </c>
      <c r="P48" s="670">
        <v>420</v>
      </c>
      <c r="Q48" s="670">
        <f>(P48*0.06)+P48</f>
        <v>445.2</v>
      </c>
      <c r="R48" s="666">
        <f>+Q48*1.058</f>
        <v>471.02160000000003</v>
      </c>
      <c r="S48" s="666">
        <f t="shared" si="7"/>
        <v>502.10902560000005</v>
      </c>
      <c r="T48" s="666">
        <f t="shared" si="5"/>
        <v>534.24400323840007</v>
      </c>
      <c r="U48" s="666">
        <f t="shared" si="6"/>
        <v>562.55893541003525</v>
      </c>
    </row>
    <row r="49" spans="1:21" s="426" customFormat="1" ht="15.6" x14ac:dyDescent="0.3">
      <c r="A49" s="627"/>
      <c r="B49" s="628" t="s">
        <v>981</v>
      </c>
      <c r="C49" s="628"/>
      <c r="D49" s="629"/>
      <c r="E49" s="667"/>
      <c r="F49" s="635"/>
      <c r="G49" s="667"/>
      <c r="H49" s="635"/>
      <c r="I49" s="667"/>
      <c r="J49" s="668"/>
      <c r="K49" s="669"/>
      <c r="L49" s="670"/>
      <c r="M49" s="671"/>
      <c r="N49" s="671"/>
      <c r="O49" s="672"/>
      <c r="P49" s="670">
        <v>0</v>
      </c>
      <c r="Q49" s="670">
        <v>0</v>
      </c>
      <c r="R49" s="666">
        <v>1475.84</v>
      </c>
      <c r="S49" s="666">
        <f t="shared" si="7"/>
        <v>1573.2454399999999</v>
      </c>
      <c r="T49" s="666">
        <f t="shared" si="5"/>
        <v>1673.93314816</v>
      </c>
      <c r="U49" s="666">
        <f t="shared" si="6"/>
        <v>1762.6516050124799</v>
      </c>
    </row>
    <row r="50" spans="1:21" ht="15.6" x14ac:dyDescent="0.3">
      <c r="A50" s="627"/>
      <c r="B50" s="628" t="s">
        <v>749</v>
      </c>
      <c r="C50" s="628"/>
      <c r="D50" s="629"/>
      <c r="E50" s="667" t="s">
        <v>750</v>
      </c>
      <c r="F50" s="635"/>
      <c r="G50" s="667" t="s">
        <v>750</v>
      </c>
      <c r="H50" s="635"/>
      <c r="I50" s="667">
        <f>G50*1.07</f>
        <v>428</v>
      </c>
      <c r="J50" s="668">
        <f>+I50*1.06</f>
        <v>453.68</v>
      </c>
      <c r="K50" s="669">
        <f>+(J50*1.065)+1.83</f>
        <v>484.99919999999997</v>
      </c>
      <c r="L50" s="670">
        <f>+(K50*1.083)</f>
        <v>525.25413359999993</v>
      </c>
      <c r="M50" s="671">
        <f>+(L50*1.07)</f>
        <v>562.02192295199995</v>
      </c>
      <c r="N50" s="671">
        <f>+(M50*1.07)-0.06</f>
        <v>601.30345755864005</v>
      </c>
      <c r="O50" s="672">
        <f>+(N50*1.06)</f>
        <v>637.38166501215846</v>
      </c>
      <c r="P50" s="670">
        <v>675</v>
      </c>
      <c r="Q50" s="670">
        <f>(P50*0.06)+P50</f>
        <v>715.5</v>
      </c>
      <c r="R50" s="666">
        <f>+Q50*1.058</f>
        <v>756.99900000000002</v>
      </c>
      <c r="S50" s="666">
        <f t="shared" si="7"/>
        <v>806.96093400000007</v>
      </c>
      <c r="T50" s="666">
        <f t="shared" si="5"/>
        <v>858.60643377600013</v>
      </c>
      <c r="U50" s="666">
        <f t="shared" si="6"/>
        <v>904.11257476612809</v>
      </c>
    </row>
    <row r="51" spans="1:21" s="426" customFormat="1" ht="15.6" x14ac:dyDescent="0.3">
      <c r="A51" s="627"/>
      <c r="B51" s="628" t="s">
        <v>1039</v>
      </c>
      <c r="C51" s="628"/>
      <c r="D51" s="629"/>
      <c r="E51" s="667" t="s">
        <v>736</v>
      </c>
      <c r="F51" s="635"/>
      <c r="G51" s="667" t="s">
        <v>736</v>
      </c>
      <c r="H51" s="635"/>
      <c r="I51" s="667">
        <f>G51*1.07</f>
        <v>53.5</v>
      </c>
      <c r="J51" s="668">
        <f>+I51*1.06</f>
        <v>56.71</v>
      </c>
      <c r="K51" s="669">
        <f>(+J51*1.065)+0.1</f>
        <v>60.49615</v>
      </c>
      <c r="L51" s="670">
        <f>(+K51*1.083)</f>
        <v>65.517330450000003</v>
      </c>
      <c r="M51" s="671">
        <f>(+L51*1.07)</f>
        <v>70.103543581500006</v>
      </c>
      <c r="N51" s="671">
        <f>(+M51*1.07)-0.01</f>
        <v>75.000791632205008</v>
      </c>
      <c r="O51" s="672">
        <f>+(N51*1.06)</f>
        <v>79.500839130137308</v>
      </c>
      <c r="P51" s="670">
        <v>85</v>
      </c>
      <c r="Q51" s="670">
        <f>(P51*0.06)+P51</f>
        <v>90.1</v>
      </c>
      <c r="R51" s="666" t="s">
        <v>948</v>
      </c>
      <c r="S51" s="666">
        <v>102.6</v>
      </c>
      <c r="T51" s="666">
        <f t="shared" si="5"/>
        <v>109.1664</v>
      </c>
      <c r="U51" s="666">
        <f t="shared" si="6"/>
        <v>114.95221919999999</v>
      </c>
    </row>
    <row r="52" spans="1:21" ht="15.6" x14ac:dyDescent="0.3">
      <c r="A52" s="627"/>
      <c r="B52" s="628" t="s">
        <v>1019</v>
      </c>
      <c r="C52" s="628"/>
      <c r="D52" s="629"/>
      <c r="E52" s="667" t="s">
        <v>751</v>
      </c>
      <c r="F52" s="635"/>
      <c r="G52" s="667" t="s">
        <v>751</v>
      </c>
      <c r="H52" s="635"/>
      <c r="I52" s="667">
        <f>G52*1.07</f>
        <v>240.75</v>
      </c>
      <c r="J52" s="668">
        <f>+I52*1.06</f>
        <v>255.19500000000002</v>
      </c>
      <c r="K52" s="669">
        <f>+(J52*1.065)+0.22</f>
        <v>272.00267500000001</v>
      </c>
      <c r="L52" s="670">
        <f>+(K52*1.083)</f>
        <v>294.578897025</v>
      </c>
      <c r="M52" s="671">
        <f>+(L52*1.07)</f>
        <v>315.19941981675004</v>
      </c>
      <c r="N52" s="671">
        <f>+(M52*1.07)-0.06</f>
        <v>337.20337920392257</v>
      </c>
      <c r="O52" s="672">
        <f>+(N52*1.06)</f>
        <v>357.43558195615793</v>
      </c>
      <c r="P52" s="670">
        <v>380</v>
      </c>
      <c r="Q52" s="670">
        <f>(P52*0.06)+P52</f>
        <v>402.8</v>
      </c>
      <c r="R52" s="666">
        <f>R48*3</f>
        <v>1413.0648000000001</v>
      </c>
      <c r="S52" s="666">
        <f t="shared" si="7"/>
        <v>1506.3270768000002</v>
      </c>
      <c r="T52" s="666">
        <f t="shared" si="5"/>
        <v>1602.7320097152003</v>
      </c>
      <c r="U52" s="666">
        <v>950</v>
      </c>
    </row>
    <row r="53" spans="1:21" s="426" customFormat="1" ht="15.6" x14ac:dyDescent="0.3">
      <c r="A53" s="627"/>
      <c r="B53" s="628" t="s">
        <v>755</v>
      </c>
      <c r="C53" s="628"/>
      <c r="D53" s="629"/>
      <c r="E53" s="667"/>
      <c r="F53" s="635"/>
      <c r="G53" s="667"/>
      <c r="H53" s="635"/>
      <c r="I53" s="667"/>
      <c r="J53" s="668"/>
      <c r="K53" s="669"/>
      <c r="L53" s="670"/>
      <c r="M53" s="671"/>
      <c r="N53" s="671"/>
      <c r="O53" s="672"/>
      <c r="P53" s="670"/>
      <c r="Q53" s="670"/>
      <c r="R53" s="666"/>
      <c r="S53" s="666"/>
      <c r="T53" s="666">
        <v>504.24</v>
      </c>
      <c r="U53" s="666">
        <f t="shared" si="6"/>
        <v>530.96471999999994</v>
      </c>
    </row>
    <row r="54" spans="1:21" s="426" customFormat="1" ht="15.6" x14ac:dyDescent="0.3">
      <c r="A54" s="627"/>
      <c r="B54" s="628" t="s">
        <v>757</v>
      </c>
      <c r="C54" s="628"/>
      <c r="D54" s="629"/>
      <c r="E54" s="667"/>
      <c r="F54" s="635"/>
      <c r="G54" s="667"/>
      <c r="H54" s="635"/>
      <c r="I54" s="667"/>
      <c r="J54" s="668"/>
      <c r="K54" s="669"/>
      <c r="L54" s="670"/>
      <c r="M54" s="671"/>
      <c r="N54" s="671"/>
      <c r="O54" s="672"/>
      <c r="P54" s="670"/>
      <c r="Q54" s="670"/>
      <c r="R54" s="666"/>
      <c r="S54" s="666"/>
      <c r="T54" s="666">
        <v>634.24</v>
      </c>
      <c r="U54" s="666">
        <f t="shared" si="6"/>
        <v>667.85471999999993</v>
      </c>
    </row>
    <row r="55" spans="1:21" s="426" customFormat="1" ht="15.6" x14ac:dyDescent="0.3">
      <c r="A55" s="627"/>
      <c r="B55" s="628" t="s">
        <v>982</v>
      </c>
      <c r="C55" s="628"/>
      <c r="D55" s="629"/>
      <c r="E55" s="667"/>
      <c r="F55" s="635"/>
      <c r="G55" s="667"/>
      <c r="H55" s="635"/>
      <c r="I55" s="667"/>
      <c r="J55" s="668"/>
      <c r="K55" s="669"/>
      <c r="L55" s="670"/>
      <c r="M55" s="671"/>
      <c r="N55" s="671"/>
      <c r="O55" s="672"/>
      <c r="P55" s="670">
        <v>0</v>
      </c>
      <c r="Q55" s="670">
        <v>0</v>
      </c>
      <c r="R55" s="666">
        <v>669.69</v>
      </c>
      <c r="S55" s="666">
        <f t="shared" si="7"/>
        <v>713.88954000000012</v>
      </c>
      <c r="T55" s="666">
        <f t="shared" si="5"/>
        <v>759.57847056000014</v>
      </c>
      <c r="U55" s="666">
        <f t="shared" si="6"/>
        <v>799.83612949968006</v>
      </c>
    </row>
    <row r="56" spans="1:21" s="426" customFormat="1" ht="15.6" x14ac:dyDescent="0.3">
      <c r="A56" s="627"/>
      <c r="B56" s="628" t="s">
        <v>760</v>
      </c>
      <c r="C56" s="628"/>
      <c r="D56" s="629"/>
      <c r="E56" s="667"/>
      <c r="F56" s="635"/>
      <c r="G56" s="667"/>
      <c r="H56" s="635"/>
      <c r="I56" s="667"/>
      <c r="J56" s="668"/>
      <c r="K56" s="669"/>
      <c r="L56" s="670"/>
      <c r="M56" s="671"/>
      <c r="N56" s="671"/>
      <c r="O56" s="672"/>
      <c r="P56" s="670">
        <v>0</v>
      </c>
      <c r="Q56" s="670">
        <v>0</v>
      </c>
      <c r="R56" s="666">
        <v>1339.38</v>
      </c>
      <c r="S56" s="666">
        <f t="shared" si="7"/>
        <v>1427.7790800000002</v>
      </c>
      <c r="T56" s="666">
        <f t="shared" si="5"/>
        <v>1519.1569411200003</v>
      </c>
      <c r="U56" s="666">
        <f t="shared" si="6"/>
        <v>1599.6722589993601</v>
      </c>
    </row>
    <row r="57" spans="1:21" s="426" customFormat="1" ht="15.6" x14ac:dyDescent="0.3">
      <c r="A57" s="627"/>
      <c r="B57" s="628"/>
      <c r="C57" s="628"/>
      <c r="D57" s="629"/>
      <c r="E57" s="667"/>
      <c r="F57" s="635"/>
      <c r="G57" s="667"/>
      <c r="H57" s="635"/>
      <c r="I57" s="667"/>
      <c r="J57" s="668"/>
      <c r="K57" s="669"/>
      <c r="L57" s="670"/>
      <c r="M57" s="671"/>
      <c r="N57" s="671"/>
      <c r="O57" s="672"/>
      <c r="P57" s="670"/>
      <c r="Q57" s="670"/>
      <c r="R57" s="666"/>
      <c r="S57" s="666"/>
      <c r="T57" s="666"/>
      <c r="U57" s="666"/>
    </row>
    <row r="58" spans="1:21" ht="15.6" x14ac:dyDescent="0.3">
      <c r="A58" s="627"/>
      <c r="B58" s="628"/>
      <c r="C58" s="628"/>
      <c r="D58" s="629"/>
      <c r="E58" s="667"/>
      <c r="F58" s="635"/>
      <c r="G58" s="667"/>
      <c r="H58" s="635"/>
      <c r="I58" s="667"/>
      <c r="J58" s="668"/>
      <c r="K58" s="669"/>
      <c r="L58" s="670"/>
      <c r="M58" s="671"/>
      <c r="N58" s="671"/>
      <c r="O58" s="672"/>
      <c r="P58" s="670"/>
      <c r="Q58" s="670"/>
      <c r="R58" s="666"/>
      <c r="S58" s="666"/>
      <c r="T58" s="666"/>
      <c r="U58" s="666"/>
    </row>
    <row r="59" spans="1:21" ht="15.6" x14ac:dyDescent="0.3">
      <c r="A59" s="627"/>
      <c r="B59" s="629" t="s">
        <v>1043</v>
      </c>
      <c r="C59" s="628"/>
      <c r="D59" s="629"/>
      <c r="E59" s="667"/>
      <c r="F59" s="635"/>
      <c r="G59" s="667"/>
      <c r="H59" s="635"/>
      <c r="I59" s="667"/>
      <c r="J59" s="667"/>
      <c r="K59" s="689"/>
      <c r="L59" s="670"/>
      <c r="M59" s="671"/>
      <c r="N59" s="671"/>
      <c r="O59" s="672"/>
      <c r="P59" s="670"/>
      <c r="Q59" s="670"/>
      <c r="R59" s="666"/>
      <c r="S59" s="666"/>
      <c r="T59" s="666"/>
      <c r="U59" s="666"/>
    </row>
    <row r="60" spans="1:21" s="426" customFormat="1" ht="15.6" x14ac:dyDescent="0.3">
      <c r="A60" s="627"/>
      <c r="B60" s="628" t="s">
        <v>978</v>
      </c>
      <c r="C60" s="628"/>
      <c r="D60" s="629"/>
      <c r="E60" s="667"/>
      <c r="F60" s="635"/>
      <c r="G60" s="667"/>
      <c r="H60" s="635"/>
      <c r="I60" s="667"/>
      <c r="J60" s="667"/>
      <c r="K60" s="689"/>
      <c r="L60" s="670"/>
      <c r="M60" s="671"/>
      <c r="N60" s="671"/>
      <c r="O60" s="672"/>
      <c r="P60" s="670">
        <v>0</v>
      </c>
      <c r="Q60" s="670">
        <v>0</v>
      </c>
      <c r="R60" s="666">
        <v>124.5</v>
      </c>
      <c r="S60" s="666">
        <f>+R60*1.066</f>
        <v>132.71700000000001</v>
      </c>
      <c r="T60" s="666">
        <f t="shared" ref="T60:T72" si="8">+S60*1.064</f>
        <v>141.21088800000001</v>
      </c>
      <c r="U60" s="666">
        <f t="shared" ref="U60:U72" si="9">+T60*1.053</f>
        <v>148.695065064</v>
      </c>
    </row>
    <row r="61" spans="1:21" s="426" customFormat="1" ht="15.6" x14ac:dyDescent="0.3">
      <c r="A61" s="627"/>
      <c r="B61" s="628" t="s">
        <v>979</v>
      </c>
      <c r="C61" s="628"/>
      <c r="D61" s="629"/>
      <c r="E61" s="667"/>
      <c r="F61" s="635"/>
      <c r="G61" s="667"/>
      <c r="H61" s="635"/>
      <c r="I61" s="667"/>
      <c r="J61" s="667"/>
      <c r="K61" s="689"/>
      <c r="L61" s="670"/>
      <c r="M61" s="671"/>
      <c r="N61" s="671"/>
      <c r="O61" s="672"/>
      <c r="P61" s="670">
        <v>0</v>
      </c>
      <c r="Q61" s="670">
        <v>178.08</v>
      </c>
      <c r="R61" s="666">
        <v>204.2</v>
      </c>
      <c r="S61" s="666">
        <f t="shared" ref="S61:S72" si="10">+R61*1.066</f>
        <v>217.6772</v>
      </c>
      <c r="T61" s="666">
        <f t="shared" si="8"/>
        <v>231.60854080000001</v>
      </c>
      <c r="U61" s="666">
        <f t="shared" si="9"/>
        <v>243.88379346240001</v>
      </c>
    </row>
    <row r="62" spans="1:21" s="426" customFormat="1" ht="15.6" x14ac:dyDescent="0.3">
      <c r="A62" s="627"/>
      <c r="B62" s="628" t="s">
        <v>980</v>
      </c>
      <c r="C62" s="628"/>
      <c r="D62" s="629"/>
      <c r="E62" s="667" t="s">
        <v>748</v>
      </c>
      <c r="F62" s="635"/>
      <c r="G62" s="667" t="s">
        <v>748</v>
      </c>
      <c r="H62" s="635"/>
      <c r="I62" s="667">
        <f>G62*1.07</f>
        <v>267.5</v>
      </c>
      <c r="J62" s="668">
        <f>+I62*1.06</f>
        <v>283.55</v>
      </c>
      <c r="K62" s="669">
        <f>+(J62*1.065)+0.02</f>
        <v>302.00074999999998</v>
      </c>
      <c r="L62" s="670">
        <f>+(K62*1.083)</f>
        <v>327.06681224999994</v>
      </c>
      <c r="M62" s="671">
        <f>+(L62*1.07)</f>
        <v>349.96148910749997</v>
      </c>
      <c r="N62" s="671">
        <f>+(M62*1.07)-0.06</f>
        <v>374.39879334502501</v>
      </c>
      <c r="O62" s="672">
        <f>+(N62*1.06)</f>
        <v>396.86272094572655</v>
      </c>
      <c r="P62" s="670">
        <v>168</v>
      </c>
      <c r="Q62" s="670">
        <f>(P62*0.06)+P62</f>
        <v>178.08</v>
      </c>
      <c r="R62" s="666">
        <v>188.4</v>
      </c>
      <c r="S62" s="666">
        <f t="shared" si="10"/>
        <v>200.83440000000002</v>
      </c>
      <c r="T62" s="666">
        <f t="shared" si="8"/>
        <v>213.68780160000003</v>
      </c>
      <c r="U62" s="666">
        <f t="shared" si="9"/>
        <v>225.01325508480002</v>
      </c>
    </row>
    <row r="63" spans="1:21" s="426" customFormat="1" ht="15.6" x14ac:dyDescent="0.3">
      <c r="A63" s="627"/>
      <c r="B63" s="628" t="s">
        <v>981</v>
      </c>
      <c r="C63" s="628"/>
      <c r="D63" s="629"/>
      <c r="E63" s="667"/>
      <c r="F63" s="635"/>
      <c r="G63" s="667"/>
      <c r="H63" s="635"/>
      <c r="I63" s="667"/>
      <c r="J63" s="668"/>
      <c r="K63" s="669"/>
      <c r="L63" s="670"/>
      <c r="M63" s="671"/>
      <c r="N63" s="671"/>
      <c r="O63" s="672"/>
      <c r="P63" s="670">
        <v>0</v>
      </c>
      <c r="Q63" s="670">
        <v>0</v>
      </c>
      <c r="R63" s="666">
        <v>597.46</v>
      </c>
      <c r="S63" s="666">
        <f t="shared" si="10"/>
        <v>636.89236000000005</v>
      </c>
      <c r="T63" s="666">
        <f t="shared" si="8"/>
        <v>677.65347104000011</v>
      </c>
      <c r="U63" s="666">
        <f t="shared" si="9"/>
        <v>713.56910500512004</v>
      </c>
    </row>
    <row r="64" spans="1:21" ht="15.6" x14ac:dyDescent="0.3">
      <c r="A64" s="627"/>
      <c r="B64" s="628" t="s">
        <v>749</v>
      </c>
      <c r="C64" s="628"/>
      <c r="D64" s="629"/>
      <c r="E64" s="667" t="s">
        <v>725</v>
      </c>
      <c r="F64" s="635"/>
      <c r="G64" s="667" t="s">
        <v>725</v>
      </c>
      <c r="H64" s="635"/>
      <c r="I64" s="667">
        <f t="shared" ref="I64:I70" si="11">G64*1.07</f>
        <v>160.5</v>
      </c>
      <c r="J64" s="668">
        <f t="shared" ref="J64:J70" si="12">+I64*1.06</f>
        <v>170.13</v>
      </c>
      <c r="K64" s="669">
        <f>+(J64*1.065)+0.81</f>
        <v>181.99844999999999</v>
      </c>
      <c r="L64" s="670">
        <f>+(K64*1.083)</f>
        <v>197.10432134999999</v>
      </c>
      <c r="M64" s="671">
        <f>+(L64*1.07)</f>
        <v>210.90162384449999</v>
      </c>
      <c r="N64" s="671">
        <f>+(M64*1.07)-0.06</f>
        <v>225.60473751361499</v>
      </c>
      <c r="O64" s="672">
        <f t="shared" ref="O64:O69" si="13">+(N64*1.06)</f>
        <v>239.14102176443191</v>
      </c>
      <c r="P64" s="670">
        <v>250</v>
      </c>
      <c r="Q64" s="670">
        <f t="shared" ref="Q64:Q72" si="14">(P64*0.06)+P64</f>
        <v>265</v>
      </c>
      <c r="R64" s="666">
        <f>+Q64*1.058</f>
        <v>280.37</v>
      </c>
      <c r="S64" s="666">
        <f t="shared" si="10"/>
        <v>298.87442000000004</v>
      </c>
      <c r="T64" s="666">
        <f t="shared" si="8"/>
        <v>318.00238288000008</v>
      </c>
      <c r="U64" s="666">
        <f t="shared" si="9"/>
        <v>334.85650917264007</v>
      </c>
    </row>
    <row r="65" spans="1:21" ht="15.6" x14ac:dyDescent="0.3">
      <c r="A65" s="627"/>
      <c r="B65" s="628" t="s">
        <v>1039</v>
      </c>
      <c r="C65" s="628"/>
      <c r="D65" s="629"/>
      <c r="E65" s="667" t="s">
        <v>736</v>
      </c>
      <c r="F65" s="635"/>
      <c r="G65" s="667" t="s">
        <v>736</v>
      </c>
      <c r="H65" s="635"/>
      <c r="I65" s="667">
        <f t="shared" si="11"/>
        <v>53.5</v>
      </c>
      <c r="J65" s="668">
        <f t="shared" si="12"/>
        <v>56.71</v>
      </c>
      <c r="K65" s="669">
        <f>(+J65*1.065)+0.1</f>
        <v>60.49615</v>
      </c>
      <c r="L65" s="670">
        <f>(+K65*1.083)</f>
        <v>65.517330450000003</v>
      </c>
      <c r="M65" s="671">
        <f>(+L65*1.07)</f>
        <v>70.103543581500006</v>
      </c>
      <c r="N65" s="671">
        <f>(+M65*1.07)-0.01</f>
        <v>75.000791632205008</v>
      </c>
      <c r="O65" s="672">
        <f t="shared" si="13"/>
        <v>79.500839130137308</v>
      </c>
      <c r="P65" s="670">
        <v>85</v>
      </c>
      <c r="Q65" s="670">
        <f t="shared" si="14"/>
        <v>90.1</v>
      </c>
      <c r="R65" s="666" t="s">
        <v>948</v>
      </c>
      <c r="S65" s="666">
        <v>102.6</v>
      </c>
      <c r="T65" s="666">
        <f t="shared" si="8"/>
        <v>109.1664</v>
      </c>
      <c r="U65" s="666">
        <f t="shared" si="9"/>
        <v>114.95221919999999</v>
      </c>
    </row>
    <row r="66" spans="1:21" ht="15.6" x14ac:dyDescent="0.3">
      <c r="A66" s="627"/>
      <c r="B66" s="628" t="s">
        <v>1071</v>
      </c>
      <c r="C66" s="628"/>
      <c r="D66" s="629"/>
      <c r="E66" s="667" t="s">
        <v>725</v>
      </c>
      <c r="F66" s="635"/>
      <c r="G66" s="667" t="s">
        <v>725</v>
      </c>
      <c r="H66" s="635"/>
      <c r="I66" s="667">
        <f t="shared" si="11"/>
        <v>160.5</v>
      </c>
      <c r="J66" s="668">
        <f t="shared" si="12"/>
        <v>170.13</v>
      </c>
      <c r="K66" s="669">
        <f>+(J66*1.065)+0.81</f>
        <v>181.99844999999999</v>
      </c>
      <c r="L66" s="670">
        <f>+(K66*1.083)</f>
        <v>197.10432134999999</v>
      </c>
      <c r="M66" s="671">
        <f>+(L66*1.07)</f>
        <v>210.90162384449999</v>
      </c>
      <c r="N66" s="671">
        <f>+(M66*1.07)-0.06</f>
        <v>225.60473751361499</v>
      </c>
      <c r="O66" s="672">
        <f t="shared" si="13"/>
        <v>239.14102176443191</v>
      </c>
      <c r="P66" s="670">
        <v>255</v>
      </c>
      <c r="Q66" s="670">
        <f t="shared" si="14"/>
        <v>270.3</v>
      </c>
      <c r="R66" s="666">
        <f>+Q66*1.058</f>
        <v>285.97740000000005</v>
      </c>
      <c r="S66" s="666">
        <f t="shared" si="10"/>
        <v>304.85190840000007</v>
      </c>
      <c r="T66" s="666">
        <f t="shared" si="8"/>
        <v>324.36243053760012</v>
      </c>
      <c r="U66" s="666">
        <v>500</v>
      </c>
    </row>
    <row r="67" spans="1:21" ht="15.6" x14ac:dyDescent="0.3">
      <c r="A67" s="627"/>
      <c r="B67" s="628" t="s">
        <v>753</v>
      </c>
      <c r="C67" s="628"/>
      <c r="D67" s="629"/>
      <c r="E67" s="667" t="s">
        <v>754</v>
      </c>
      <c r="F67" s="635"/>
      <c r="G67" s="667" t="s">
        <v>754</v>
      </c>
      <c r="H67" s="635"/>
      <c r="I67" s="667">
        <f t="shared" si="11"/>
        <v>187.25</v>
      </c>
      <c r="J67" s="668">
        <f t="shared" si="12"/>
        <v>198.48500000000001</v>
      </c>
      <c r="K67" s="669">
        <f>+(J67*1.065)+0.61</f>
        <v>211.99652500000002</v>
      </c>
      <c r="L67" s="670">
        <f>+(K67*1.083)</f>
        <v>229.59223657500002</v>
      </c>
      <c r="M67" s="671">
        <f>+(L67*1.07)</f>
        <v>245.66369313525004</v>
      </c>
      <c r="N67" s="671">
        <f>+(M67*1.07)-0.06</f>
        <v>262.80015165471758</v>
      </c>
      <c r="O67" s="672">
        <f t="shared" si="13"/>
        <v>278.56816075400064</v>
      </c>
      <c r="P67" s="670">
        <v>295</v>
      </c>
      <c r="Q67" s="670">
        <f t="shared" si="14"/>
        <v>312.7</v>
      </c>
      <c r="R67" s="666">
        <f>+Q67*1.058</f>
        <v>330.83659999999998</v>
      </c>
      <c r="S67" s="666">
        <f t="shared" si="10"/>
        <v>352.6718156</v>
      </c>
      <c r="T67" s="666">
        <f t="shared" si="8"/>
        <v>375.2428117984</v>
      </c>
      <c r="U67" s="666">
        <f t="shared" si="9"/>
        <v>395.13068082371518</v>
      </c>
    </row>
    <row r="68" spans="1:21" ht="15.6" x14ac:dyDescent="0.3">
      <c r="A68" s="627"/>
      <c r="B68" s="628" t="s">
        <v>755</v>
      </c>
      <c r="C68" s="628"/>
      <c r="D68" s="629"/>
      <c r="E68" s="667" t="s">
        <v>756</v>
      </c>
      <c r="F68" s="635"/>
      <c r="G68" s="667" t="s">
        <v>756</v>
      </c>
      <c r="H68" s="635"/>
      <c r="I68" s="667">
        <f t="shared" si="11"/>
        <v>90.95</v>
      </c>
      <c r="J68" s="668">
        <f t="shared" si="12"/>
        <v>96.407000000000011</v>
      </c>
      <c r="K68" s="669">
        <f>+(J68*1.065)+0.33</f>
        <v>103.003455</v>
      </c>
      <c r="L68" s="670">
        <f>+(K68*1.083)</f>
        <v>111.55274176499999</v>
      </c>
      <c r="M68" s="671">
        <f>+(L68*1.07)</f>
        <v>119.36143368854999</v>
      </c>
      <c r="N68" s="671">
        <f>+(M68*1.07)-0.02</f>
        <v>127.6967340467485</v>
      </c>
      <c r="O68" s="672">
        <f t="shared" si="13"/>
        <v>135.35853808955341</v>
      </c>
      <c r="P68" s="670">
        <v>144</v>
      </c>
      <c r="Q68" s="670">
        <f t="shared" si="14"/>
        <v>152.63999999999999</v>
      </c>
      <c r="R68" s="666">
        <f>+Q68*1.058</f>
        <v>161.49312</v>
      </c>
      <c r="S68" s="666">
        <f t="shared" si="10"/>
        <v>172.15166592000003</v>
      </c>
      <c r="T68" s="666">
        <f t="shared" si="8"/>
        <v>183.16937253888003</v>
      </c>
      <c r="U68" s="666">
        <f t="shared" si="9"/>
        <v>192.87734928344065</v>
      </c>
    </row>
    <row r="69" spans="1:21" ht="15.6" x14ac:dyDescent="0.3">
      <c r="A69" s="627"/>
      <c r="B69" s="628" t="s">
        <v>757</v>
      </c>
      <c r="C69" s="628"/>
      <c r="D69" s="629"/>
      <c r="E69" s="667" t="s">
        <v>758</v>
      </c>
      <c r="F69" s="635"/>
      <c r="G69" s="667" t="s">
        <v>758</v>
      </c>
      <c r="H69" s="635"/>
      <c r="I69" s="667">
        <f t="shared" si="11"/>
        <v>214</v>
      </c>
      <c r="J69" s="668">
        <f t="shared" si="12"/>
        <v>226.84</v>
      </c>
      <c r="K69" s="669">
        <f>+(J69*1.065)+0.42</f>
        <v>242.00459999999998</v>
      </c>
      <c r="L69" s="670">
        <f>+(K69*1.083)</f>
        <v>262.09098179999995</v>
      </c>
      <c r="M69" s="671">
        <f>+(L69*1.07)</f>
        <v>280.43735052599999</v>
      </c>
      <c r="N69" s="671">
        <f>+(M69*1.07)-0.07</f>
        <v>299.99796506282001</v>
      </c>
      <c r="O69" s="672">
        <f t="shared" si="13"/>
        <v>317.99784296658925</v>
      </c>
      <c r="P69" s="670">
        <v>120</v>
      </c>
      <c r="Q69" s="670">
        <f t="shared" si="14"/>
        <v>127.2</v>
      </c>
      <c r="R69" s="666">
        <f>+Q69*1.058</f>
        <v>134.57760000000002</v>
      </c>
      <c r="S69" s="666">
        <f t="shared" si="10"/>
        <v>143.45972160000002</v>
      </c>
      <c r="T69" s="666">
        <f t="shared" si="8"/>
        <v>152.64114378240004</v>
      </c>
      <c r="U69" s="666">
        <f t="shared" si="9"/>
        <v>160.73112440286724</v>
      </c>
    </row>
    <row r="70" spans="1:21" ht="15.6" x14ac:dyDescent="0.3">
      <c r="A70" s="627"/>
      <c r="B70" s="628" t="s">
        <v>982</v>
      </c>
      <c r="C70" s="628"/>
      <c r="D70" s="629"/>
      <c r="E70" s="667" t="s">
        <v>759</v>
      </c>
      <c r="F70" s="635"/>
      <c r="G70" s="667" t="s">
        <v>759</v>
      </c>
      <c r="H70" s="635"/>
      <c r="I70" s="667">
        <f t="shared" si="11"/>
        <v>321</v>
      </c>
      <c r="J70" s="668">
        <f t="shared" si="12"/>
        <v>340.26</v>
      </c>
      <c r="K70" s="669">
        <f>+(J70*1.065)+0.62</f>
        <v>362.99689999999998</v>
      </c>
      <c r="L70" s="670"/>
      <c r="M70" s="671"/>
      <c r="N70" s="671"/>
      <c r="O70" s="672"/>
      <c r="P70" s="670"/>
      <c r="Q70" s="670">
        <f t="shared" si="14"/>
        <v>0</v>
      </c>
      <c r="R70" s="666">
        <v>668.47</v>
      </c>
      <c r="S70" s="666">
        <f t="shared" si="10"/>
        <v>712.58902000000012</v>
      </c>
      <c r="T70" s="666">
        <f t="shared" si="8"/>
        <v>758.19471728000019</v>
      </c>
      <c r="U70" s="666">
        <f t="shared" si="9"/>
        <v>798.37903729584013</v>
      </c>
    </row>
    <row r="71" spans="1:21" ht="15.6" x14ac:dyDescent="0.3">
      <c r="A71" s="627"/>
      <c r="B71" s="628" t="s">
        <v>760</v>
      </c>
      <c r="C71" s="628"/>
      <c r="D71" s="629"/>
      <c r="E71" s="667"/>
      <c r="F71" s="635"/>
      <c r="G71" s="667"/>
      <c r="H71" s="635"/>
      <c r="I71" s="667"/>
      <c r="J71" s="667"/>
      <c r="K71" s="689"/>
      <c r="L71" s="670"/>
      <c r="M71" s="671"/>
      <c r="N71" s="671"/>
      <c r="O71" s="672">
        <f>+(N73*1.06)</f>
        <v>0</v>
      </c>
      <c r="P71" s="670">
        <v>220</v>
      </c>
      <c r="Q71" s="670">
        <f t="shared" si="14"/>
        <v>233.2</v>
      </c>
      <c r="R71" s="666">
        <v>1336.94</v>
      </c>
      <c r="S71" s="666">
        <f t="shared" si="10"/>
        <v>1425.1780400000002</v>
      </c>
      <c r="T71" s="666">
        <f t="shared" si="8"/>
        <v>1516.3894345600004</v>
      </c>
      <c r="U71" s="666">
        <f t="shared" si="9"/>
        <v>1596.7580745916803</v>
      </c>
    </row>
    <row r="72" spans="1:21" s="426" customFormat="1" ht="15.6" x14ac:dyDescent="0.3">
      <c r="A72" s="627"/>
      <c r="B72" s="628" t="s">
        <v>1019</v>
      </c>
      <c r="C72" s="628"/>
      <c r="D72" s="629"/>
      <c r="E72" s="667" t="s">
        <v>751</v>
      </c>
      <c r="F72" s="635"/>
      <c r="G72" s="667" t="s">
        <v>751</v>
      </c>
      <c r="H72" s="635"/>
      <c r="I72" s="667">
        <f>G72*1.07</f>
        <v>240.75</v>
      </c>
      <c r="J72" s="668">
        <f>+I72*1.06</f>
        <v>255.19500000000002</v>
      </c>
      <c r="K72" s="669">
        <f>+(J72*1.065)+0.22</f>
        <v>272.00267500000001</v>
      </c>
      <c r="L72" s="670">
        <f>+(K72*1.083)</f>
        <v>294.578897025</v>
      </c>
      <c r="M72" s="671">
        <f>+(L72*1.07)</f>
        <v>315.19941981675004</v>
      </c>
      <c r="N72" s="671">
        <f>+(M72*1.07)-0.06</f>
        <v>337.20337920392257</v>
      </c>
      <c r="O72" s="672">
        <f>+(N72*1.06)</f>
        <v>357.43558195615793</v>
      </c>
      <c r="P72" s="670">
        <v>380</v>
      </c>
      <c r="Q72" s="670">
        <f t="shared" si="14"/>
        <v>402.8</v>
      </c>
      <c r="R72" s="666">
        <f>R62*3</f>
        <v>565.20000000000005</v>
      </c>
      <c r="S72" s="666">
        <f t="shared" si="10"/>
        <v>602.50320000000011</v>
      </c>
      <c r="T72" s="666">
        <f t="shared" si="8"/>
        <v>641.06340480000017</v>
      </c>
      <c r="U72" s="666">
        <f t="shared" si="9"/>
        <v>675.03976525440009</v>
      </c>
    </row>
    <row r="73" spans="1:21" ht="15.6" x14ac:dyDescent="0.3">
      <c r="A73" s="627"/>
      <c r="B73" s="628"/>
      <c r="C73" s="628"/>
      <c r="D73" s="629"/>
      <c r="E73" s="667"/>
      <c r="F73" s="635"/>
      <c r="G73" s="667"/>
      <c r="H73" s="635"/>
      <c r="I73" s="667"/>
      <c r="J73" s="667"/>
      <c r="K73" s="689"/>
      <c r="L73" s="670"/>
      <c r="M73" s="671"/>
      <c r="N73" s="671"/>
      <c r="O73" s="672"/>
      <c r="P73" s="670"/>
      <c r="Q73" s="670"/>
      <c r="R73" s="666"/>
      <c r="S73" s="666"/>
      <c r="T73" s="666"/>
      <c r="U73" s="666"/>
    </row>
    <row r="74" spans="1:21" ht="16.2" thickBot="1" x14ac:dyDescent="0.35">
      <c r="A74" s="627"/>
      <c r="B74" s="628"/>
      <c r="C74" s="628"/>
      <c r="D74" s="629"/>
      <c r="E74" s="667"/>
      <c r="F74" s="635"/>
      <c r="G74" s="667"/>
      <c r="H74" s="635"/>
      <c r="I74" s="667"/>
      <c r="J74" s="667"/>
      <c r="K74" s="689"/>
      <c r="L74" s="694"/>
      <c r="M74" s="695"/>
      <c r="N74" s="695"/>
      <c r="O74" s="696"/>
      <c r="P74" s="694"/>
      <c r="Q74" s="694">
        <f t="shared" ref="Q74:Q79" si="15">(P74*0.06)+P74</f>
        <v>0</v>
      </c>
      <c r="R74" s="666"/>
      <c r="S74" s="666"/>
      <c r="T74" s="666"/>
      <c r="U74" s="666"/>
    </row>
    <row r="75" spans="1:21" ht="16.2" thickBot="1" x14ac:dyDescent="0.35">
      <c r="A75" s="651">
        <v>10</v>
      </c>
      <c r="B75" s="652" t="s">
        <v>761</v>
      </c>
      <c r="C75" s="653"/>
      <c r="D75" s="654"/>
      <c r="E75" s="675"/>
      <c r="F75" s="655"/>
      <c r="G75" s="675"/>
      <c r="H75" s="655"/>
      <c r="I75" s="675"/>
      <c r="J75" s="675"/>
      <c r="K75" s="690"/>
      <c r="L75" s="697"/>
      <c r="M75" s="698"/>
      <c r="N75" s="698"/>
      <c r="O75" s="699"/>
      <c r="P75" s="697"/>
      <c r="Q75" s="697">
        <f t="shared" si="15"/>
        <v>0</v>
      </c>
      <c r="R75" s="660"/>
      <c r="S75" s="660"/>
      <c r="T75" s="660"/>
      <c r="U75" s="660"/>
    </row>
    <row r="76" spans="1:21" ht="15.6" x14ac:dyDescent="0.3">
      <c r="A76" s="661"/>
      <c r="B76" s="662"/>
      <c r="C76" s="628"/>
      <c r="D76" s="700"/>
      <c r="E76" s="667"/>
      <c r="F76" s="635"/>
      <c r="G76" s="667"/>
      <c r="H76" s="635"/>
      <c r="I76" s="667"/>
      <c r="J76" s="667"/>
      <c r="K76" s="689"/>
      <c r="L76" s="694"/>
      <c r="M76" s="695"/>
      <c r="N76" s="695"/>
      <c r="O76" s="696"/>
      <c r="P76" s="694"/>
      <c r="Q76" s="694">
        <f t="shared" si="15"/>
        <v>0</v>
      </c>
      <c r="R76" s="666"/>
      <c r="S76" s="666"/>
      <c r="T76" s="666"/>
      <c r="U76" s="666"/>
    </row>
    <row r="77" spans="1:21" ht="15.6" x14ac:dyDescent="0.3">
      <c r="A77" s="627"/>
      <c r="B77" s="628" t="s">
        <v>762</v>
      </c>
      <c r="C77" s="628"/>
      <c r="D77" s="700"/>
      <c r="E77" s="667" t="s">
        <v>748</v>
      </c>
      <c r="F77" s="635"/>
      <c r="G77" s="667" t="s">
        <v>748</v>
      </c>
      <c r="H77" s="635"/>
      <c r="I77" s="667">
        <f>G77*1.07</f>
        <v>267.5</v>
      </c>
      <c r="J77" s="668">
        <f>+I77*1.06</f>
        <v>283.55</v>
      </c>
      <c r="K77" s="669">
        <f>+(J77*1.065)+0.02</f>
        <v>302.00074999999998</v>
      </c>
      <c r="L77" s="670">
        <f>+(K77*1.083)</f>
        <v>327.06681224999994</v>
      </c>
      <c r="M77" s="671">
        <f>+(L77*1.07)</f>
        <v>349.96148910749997</v>
      </c>
      <c r="N77" s="671">
        <f>+(M77*1.07)-0.06</f>
        <v>374.39879334502501</v>
      </c>
      <c r="O77" s="672">
        <f>+(N77*1.06)*1.06</f>
        <v>420.67448420247018</v>
      </c>
      <c r="P77" s="670">
        <v>445</v>
      </c>
      <c r="Q77" s="670">
        <f t="shared" si="15"/>
        <v>471.7</v>
      </c>
      <c r="R77" s="666">
        <f>+Q77*1.058</f>
        <v>499.05860000000001</v>
      </c>
      <c r="S77" s="666">
        <f>+R77*1.066</f>
        <v>531.99646760000007</v>
      </c>
      <c r="T77" s="666">
        <f>+S77*1.064</f>
        <v>566.04424152640013</v>
      </c>
      <c r="U77" s="666">
        <f t="shared" ref="U77:U79" si="16">+T77*1.053</f>
        <v>596.04458632729927</v>
      </c>
    </row>
    <row r="78" spans="1:21" ht="15.6" x14ac:dyDescent="0.3">
      <c r="A78" s="627"/>
      <c r="B78" s="628" t="s">
        <v>763</v>
      </c>
      <c r="C78" s="628"/>
      <c r="D78" s="700"/>
      <c r="E78" s="667" t="s">
        <v>758</v>
      </c>
      <c r="F78" s="635"/>
      <c r="G78" s="667" t="s">
        <v>758</v>
      </c>
      <c r="H78" s="635"/>
      <c r="I78" s="667">
        <f>G78*1.07</f>
        <v>214</v>
      </c>
      <c r="J78" s="668">
        <v>250</v>
      </c>
      <c r="K78" s="669">
        <v>250</v>
      </c>
      <c r="L78" s="670">
        <f>+K78*1.083-0.75</f>
        <v>270</v>
      </c>
      <c r="M78" s="671">
        <f>+L78*1.07</f>
        <v>288.90000000000003</v>
      </c>
      <c r="N78" s="671">
        <v>309.10000000000002</v>
      </c>
      <c r="O78" s="672">
        <f>+(N78*1.06)</f>
        <v>327.64600000000002</v>
      </c>
      <c r="P78" s="670">
        <v>347</v>
      </c>
      <c r="Q78" s="670">
        <f t="shared" si="15"/>
        <v>367.82</v>
      </c>
      <c r="R78" s="666">
        <f>+Q78*1.058</f>
        <v>389.15356000000003</v>
      </c>
      <c r="S78" s="666">
        <f>+R78*1.066</f>
        <v>414.83769496000008</v>
      </c>
      <c r="T78" s="666">
        <f>+S78*1.064</f>
        <v>441.38730743744009</v>
      </c>
      <c r="U78" s="666">
        <f t="shared" si="16"/>
        <v>464.7808347316244</v>
      </c>
    </row>
    <row r="79" spans="1:21" ht="15.6" x14ac:dyDescent="0.3">
      <c r="A79" s="627"/>
      <c r="B79" s="628" t="s">
        <v>764</v>
      </c>
      <c r="C79" s="628"/>
      <c r="D79" s="700"/>
      <c r="E79" s="667"/>
      <c r="F79" s="635"/>
      <c r="G79" s="667"/>
      <c r="H79" s="635"/>
      <c r="I79" s="667"/>
      <c r="J79" s="668">
        <v>250</v>
      </c>
      <c r="K79" s="669">
        <v>250</v>
      </c>
      <c r="L79" s="670">
        <f>+K79*1.083-0.75</f>
        <v>270</v>
      </c>
      <c r="M79" s="671">
        <f>+L79*1.07</f>
        <v>288.90000000000003</v>
      </c>
      <c r="N79" s="671">
        <v>400</v>
      </c>
      <c r="O79" s="672">
        <f>+(N79*1.06)</f>
        <v>424</v>
      </c>
      <c r="P79" s="670">
        <v>450</v>
      </c>
      <c r="Q79" s="670">
        <f t="shared" si="15"/>
        <v>477</v>
      </c>
      <c r="R79" s="666">
        <f>+Q79*1.058</f>
        <v>504.666</v>
      </c>
      <c r="S79" s="666">
        <f>+R79*1.066</f>
        <v>537.97395600000004</v>
      </c>
      <c r="T79" s="666">
        <f>+S79*1.064</f>
        <v>572.40428918400005</v>
      </c>
      <c r="U79" s="666">
        <f t="shared" si="16"/>
        <v>602.74171651075198</v>
      </c>
    </row>
    <row r="80" spans="1:21" ht="15.6" x14ac:dyDescent="0.3">
      <c r="A80" s="627"/>
      <c r="B80" s="628"/>
      <c r="C80" s="628"/>
      <c r="D80" s="700"/>
      <c r="E80" s="667"/>
      <c r="F80" s="635"/>
      <c r="G80" s="667"/>
      <c r="H80" s="635"/>
      <c r="I80" s="667"/>
      <c r="J80" s="668"/>
      <c r="K80" s="669"/>
      <c r="L80" s="670"/>
      <c r="M80" s="671"/>
      <c r="N80" s="671"/>
      <c r="O80" s="672"/>
      <c r="P80" s="670"/>
      <c r="Q80" s="670"/>
      <c r="R80" s="666"/>
      <c r="S80" s="666"/>
      <c r="T80" s="666"/>
      <c r="U80" s="666"/>
    </row>
    <row r="81" spans="1:21" ht="15.6" x14ac:dyDescent="0.3">
      <c r="A81" s="627"/>
      <c r="B81" s="628" t="s">
        <v>765</v>
      </c>
      <c r="C81" s="628"/>
      <c r="D81" s="700"/>
      <c r="E81" s="667" t="s">
        <v>725</v>
      </c>
      <c r="F81" s="635"/>
      <c r="G81" s="667" t="s">
        <v>725</v>
      </c>
      <c r="H81" s="635"/>
      <c r="I81" s="667">
        <f>G81*1.07</f>
        <v>160.5</v>
      </c>
      <c r="J81" s="668">
        <f>+I81*1.06</f>
        <v>170.13</v>
      </c>
      <c r="K81" s="669">
        <f>+(J81*1.065)+0.81</f>
        <v>181.99844999999999</v>
      </c>
      <c r="L81" s="670">
        <f>+(K81*1.083)</f>
        <v>197.10432134999999</v>
      </c>
      <c r="M81" s="671">
        <f>+(L81*1.07)</f>
        <v>210.90162384449999</v>
      </c>
      <c r="N81" s="671">
        <f>+(M81*1.07)-0.06</f>
        <v>225.60473751361499</v>
      </c>
      <c r="O81" s="672">
        <f>+(N81*1.06)*1.06</f>
        <v>253.48948307029784</v>
      </c>
      <c r="P81" s="670">
        <v>268</v>
      </c>
      <c r="Q81" s="670">
        <f>(P81*0.06)+P81</f>
        <v>284.08</v>
      </c>
      <c r="R81" s="666">
        <f>+Q81*1.058</f>
        <v>300.55664000000002</v>
      </c>
      <c r="S81" s="666">
        <f>+R81*1.066</f>
        <v>320.39337824000006</v>
      </c>
      <c r="T81" s="666">
        <f>+S81*1.064</f>
        <v>340.89855444736008</v>
      </c>
      <c r="U81" s="666">
        <f t="shared" ref="U81:U83" si="17">+T81*1.053</f>
        <v>358.96617783307016</v>
      </c>
    </row>
    <row r="82" spans="1:21" ht="15.6" x14ac:dyDescent="0.3">
      <c r="A82" s="627"/>
      <c r="B82" s="628" t="s">
        <v>766</v>
      </c>
      <c r="C82" s="628"/>
      <c r="D82" s="700"/>
      <c r="E82" s="667" t="s">
        <v>752</v>
      </c>
      <c r="F82" s="635"/>
      <c r="G82" s="667" t="s">
        <v>752</v>
      </c>
      <c r="H82" s="635"/>
      <c r="I82" s="667">
        <f>G82*1.07</f>
        <v>107</v>
      </c>
      <c r="J82" s="668">
        <f>+I82*1.06</f>
        <v>113.42</v>
      </c>
      <c r="K82" s="669">
        <f>+(J82*1.065)+0.21</f>
        <v>121.00229999999999</v>
      </c>
      <c r="L82" s="670">
        <f>+(K82*1.083)</f>
        <v>131.04549089999998</v>
      </c>
      <c r="M82" s="671">
        <f>+(L82*1.07)</f>
        <v>140.21867526299999</v>
      </c>
      <c r="N82" s="671">
        <f>+(M82*1.07)-0.03</f>
        <v>150.00398253141</v>
      </c>
      <c r="O82" s="672">
        <f>+(N82*1.06)</f>
        <v>159.0042214832946</v>
      </c>
      <c r="P82" s="670">
        <v>170</v>
      </c>
      <c r="Q82" s="670">
        <f>(P82*0.06)+P82</f>
        <v>180.2</v>
      </c>
      <c r="R82" s="666">
        <f>+Q82*1.058</f>
        <v>190.6516</v>
      </c>
      <c r="S82" s="666">
        <f>+R82*1.066</f>
        <v>203.23460560000001</v>
      </c>
      <c r="T82" s="666">
        <f>+S82*1.064</f>
        <v>216.24162035840001</v>
      </c>
      <c r="U82" s="666">
        <f t="shared" si="17"/>
        <v>227.7024262373952</v>
      </c>
    </row>
    <row r="83" spans="1:21" ht="15.6" x14ac:dyDescent="0.3">
      <c r="A83" s="627"/>
      <c r="B83" s="628" t="s">
        <v>767</v>
      </c>
      <c r="C83" s="628"/>
      <c r="D83" s="700"/>
      <c r="E83" s="667" t="s">
        <v>752</v>
      </c>
      <c r="F83" s="635"/>
      <c r="G83" s="667" t="s">
        <v>752</v>
      </c>
      <c r="H83" s="635"/>
      <c r="I83" s="667">
        <f>G83*1.07</f>
        <v>107</v>
      </c>
      <c r="J83" s="668">
        <f>+I83*1.06</f>
        <v>113.42</v>
      </c>
      <c r="K83" s="669">
        <f>+(J83*1.065)+0.21</f>
        <v>121.00229999999999</v>
      </c>
      <c r="L83" s="670">
        <f>+(K83*1.083)</f>
        <v>131.04549089999998</v>
      </c>
      <c r="M83" s="671">
        <f>+(L83*1.07)</f>
        <v>140.21867526299999</v>
      </c>
      <c r="N83" s="671">
        <f>+(M83*1.07)-0.03</f>
        <v>150.00398253141</v>
      </c>
      <c r="O83" s="672">
        <f>+(N83*1.06)*1.06</f>
        <v>168.54447477229229</v>
      </c>
      <c r="P83" s="670">
        <v>170</v>
      </c>
      <c r="Q83" s="670">
        <f>(P83*0.06)+P83</f>
        <v>180.2</v>
      </c>
      <c r="R83" s="666">
        <f>+Q83*1.058</f>
        <v>190.6516</v>
      </c>
      <c r="S83" s="666">
        <f>+R83*1.066</f>
        <v>203.23460560000001</v>
      </c>
      <c r="T83" s="666">
        <f>+S83*1.064</f>
        <v>216.24162035840001</v>
      </c>
      <c r="U83" s="666">
        <f t="shared" si="17"/>
        <v>227.7024262373952</v>
      </c>
    </row>
    <row r="84" spans="1:21" ht="15.6" x14ac:dyDescent="0.3">
      <c r="A84" s="627"/>
      <c r="B84" s="628"/>
      <c r="C84" s="628"/>
      <c r="D84" s="700"/>
      <c r="E84" s="667"/>
      <c r="F84" s="635"/>
      <c r="G84" s="667"/>
      <c r="H84" s="635"/>
      <c r="I84" s="667"/>
      <c r="J84" s="668"/>
      <c r="K84" s="669"/>
      <c r="L84" s="670"/>
      <c r="M84" s="671"/>
      <c r="N84" s="671"/>
      <c r="O84" s="672"/>
      <c r="P84" s="670"/>
      <c r="Q84" s="670"/>
      <c r="R84" s="666"/>
      <c r="S84" s="666"/>
      <c r="T84" s="666"/>
      <c r="U84" s="666"/>
    </row>
    <row r="85" spans="1:21" ht="15.6" x14ac:dyDescent="0.3">
      <c r="A85" s="627"/>
      <c r="B85" s="628" t="s">
        <v>768</v>
      </c>
      <c r="C85" s="628"/>
      <c r="D85" s="700"/>
      <c r="E85" s="667" t="s">
        <v>758</v>
      </c>
      <c r="F85" s="635"/>
      <c r="G85" s="667" t="s">
        <v>758</v>
      </c>
      <c r="H85" s="635"/>
      <c r="I85" s="667">
        <f>G85*1.07</f>
        <v>214</v>
      </c>
      <c r="J85" s="668">
        <f>+I85*1.06</f>
        <v>226.84</v>
      </c>
      <c r="K85" s="669">
        <f>+(J85*1.065)+0.42</f>
        <v>242.00459999999998</v>
      </c>
      <c r="L85" s="670">
        <f>+(K85*1.083)</f>
        <v>262.09098179999995</v>
      </c>
      <c r="M85" s="671">
        <f>+(L85*1.07)</f>
        <v>280.43735052599999</v>
      </c>
      <c r="N85" s="671">
        <f>+(M85*1.07)-0.07</f>
        <v>299.99796506282001</v>
      </c>
      <c r="O85" s="672">
        <f>+(N85*1.06)*1.06</f>
        <v>337.07771354458464</v>
      </c>
      <c r="P85" s="670">
        <v>360</v>
      </c>
      <c r="Q85" s="670">
        <f>(P85*0.06)+P85</f>
        <v>381.6</v>
      </c>
      <c r="R85" s="666">
        <f>+Q85*1.058</f>
        <v>403.73280000000005</v>
      </c>
      <c r="S85" s="666">
        <f>+R85*1.066</f>
        <v>430.37916480000007</v>
      </c>
      <c r="T85" s="666">
        <f>+S85*1.064</f>
        <v>457.92343134720011</v>
      </c>
      <c r="U85" s="666">
        <f t="shared" ref="U85:U86" si="18">+T85*1.053</f>
        <v>482.19337320860166</v>
      </c>
    </row>
    <row r="86" spans="1:21" ht="15.6" x14ac:dyDescent="0.3">
      <c r="A86" s="627"/>
      <c r="B86" s="628" t="s">
        <v>766</v>
      </c>
      <c r="C86" s="628"/>
      <c r="D86" s="700"/>
      <c r="E86" s="667" t="s">
        <v>725</v>
      </c>
      <c r="F86" s="635"/>
      <c r="G86" s="667" t="s">
        <v>725</v>
      </c>
      <c r="H86" s="635"/>
      <c r="I86" s="667">
        <f>G86*1.07</f>
        <v>160.5</v>
      </c>
      <c r="J86" s="668">
        <f>+I86*1.06</f>
        <v>170.13</v>
      </c>
      <c r="K86" s="669">
        <f>+(J86*1.065)+0.81</f>
        <v>181.99844999999999</v>
      </c>
      <c r="L86" s="670">
        <f>+(K86*1.083)</f>
        <v>197.10432134999999</v>
      </c>
      <c r="M86" s="671">
        <f>+(L86*1.07)</f>
        <v>210.90162384449999</v>
      </c>
      <c r="N86" s="671">
        <f>+(M86*1.07)-0.06</f>
        <v>225.60473751361499</v>
      </c>
      <c r="O86" s="672">
        <f>+(N86*1.06)</f>
        <v>239.14102176443191</v>
      </c>
      <c r="P86" s="670">
        <v>250</v>
      </c>
      <c r="Q86" s="670">
        <f>(P86*0.06)+P86</f>
        <v>265</v>
      </c>
      <c r="R86" s="666">
        <f>+Q86*1.058</f>
        <v>280.37</v>
      </c>
      <c r="S86" s="666">
        <f>+R86*1.066</f>
        <v>298.87442000000004</v>
      </c>
      <c r="T86" s="666">
        <f>+S86*1.064</f>
        <v>318.00238288000008</v>
      </c>
      <c r="U86" s="666">
        <f t="shared" si="18"/>
        <v>334.85650917264007</v>
      </c>
    </row>
    <row r="87" spans="1:21" ht="15.6" x14ac:dyDescent="0.3">
      <c r="A87" s="627"/>
      <c r="B87" s="628"/>
      <c r="C87" s="628"/>
      <c r="D87" s="700"/>
      <c r="E87" s="667"/>
      <c r="F87" s="635"/>
      <c r="G87" s="667"/>
      <c r="H87" s="635"/>
      <c r="I87" s="667"/>
      <c r="J87" s="668"/>
      <c r="K87" s="669"/>
      <c r="L87" s="670"/>
      <c r="M87" s="671"/>
      <c r="N87" s="671"/>
      <c r="O87" s="672"/>
      <c r="P87" s="670"/>
      <c r="Q87" s="670"/>
      <c r="R87" s="666"/>
      <c r="S87" s="666"/>
      <c r="T87" s="666"/>
      <c r="U87" s="666"/>
    </row>
    <row r="88" spans="1:21" ht="15.6" x14ac:dyDescent="0.3">
      <c r="A88" s="627"/>
      <c r="B88" s="628" t="s">
        <v>769</v>
      </c>
      <c r="C88" s="628"/>
      <c r="D88" s="700"/>
      <c r="E88" s="667" t="s">
        <v>725</v>
      </c>
      <c r="F88" s="635"/>
      <c r="G88" s="667" t="s">
        <v>725</v>
      </c>
      <c r="H88" s="635"/>
      <c r="I88" s="667">
        <f>G88*1.07</f>
        <v>160.5</v>
      </c>
      <c r="J88" s="668">
        <f>+I88*1.06</f>
        <v>170.13</v>
      </c>
      <c r="K88" s="669">
        <f>+(J88*1.065)+0.81</f>
        <v>181.99844999999999</v>
      </c>
      <c r="L88" s="670">
        <f>+(K88*1.083)</f>
        <v>197.10432134999999</v>
      </c>
      <c r="M88" s="671">
        <f>+(L88*1.07)</f>
        <v>210.90162384449999</v>
      </c>
      <c r="N88" s="671">
        <f>+(M88*1.07)-0.06</f>
        <v>225.60473751361499</v>
      </c>
      <c r="O88" s="672">
        <f>+(N88*1.06)*1.06</f>
        <v>253.48948307029784</v>
      </c>
      <c r="P88" s="670">
        <v>270</v>
      </c>
      <c r="Q88" s="670">
        <f>(P88*0.06)+P88</f>
        <v>286.2</v>
      </c>
      <c r="R88" s="666" t="s">
        <v>948</v>
      </c>
      <c r="S88" s="666" t="s">
        <v>948</v>
      </c>
      <c r="T88" s="666" t="s">
        <v>948</v>
      </c>
      <c r="U88" s="666" t="s">
        <v>948</v>
      </c>
    </row>
    <row r="89" spans="1:21" ht="15.6" x14ac:dyDescent="0.3">
      <c r="A89" s="627"/>
      <c r="B89" s="628" t="s">
        <v>766</v>
      </c>
      <c r="C89" s="628"/>
      <c r="D89" s="700"/>
      <c r="E89" s="667" t="s">
        <v>752</v>
      </c>
      <c r="F89" s="635"/>
      <c r="G89" s="667" t="s">
        <v>752</v>
      </c>
      <c r="H89" s="635"/>
      <c r="I89" s="667">
        <f>G89*1.07</f>
        <v>107</v>
      </c>
      <c r="J89" s="668">
        <f>+I89*1.06</f>
        <v>113.42</v>
      </c>
      <c r="K89" s="669">
        <f>+(J89*1.065)+0.21</f>
        <v>121.00229999999999</v>
      </c>
      <c r="L89" s="670">
        <f>+(K89*1.083)</f>
        <v>131.04549089999998</v>
      </c>
      <c r="M89" s="671">
        <f>+(L89*1.07)</f>
        <v>140.21867526299999</v>
      </c>
      <c r="N89" s="671">
        <f>+(M89*1.07)-0.03</f>
        <v>150.00398253141</v>
      </c>
      <c r="O89" s="672">
        <f>+(N89*1.06)</f>
        <v>159.0042214832946</v>
      </c>
      <c r="P89" s="670">
        <v>170</v>
      </c>
      <c r="Q89" s="670">
        <f>(P89*0.06)+P89</f>
        <v>180.2</v>
      </c>
      <c r="R89" s="666" t="s">
        <v>948</v>
      </c>
      <c r="S89" s="666" t="s">
        <v>948</v>
      </c>
      <c r="T89" s="666" t="s">
        <v>948</v>
      </c>
      <c r="U89" s="666" t="s">
        <v>948</v>
      </c>
    </row>
    <row r="90" spans="1:21" s="426" customFormat="1" ht="15.6" x14ac:dyDescent="0.3">
      <c r="A90" s="627"/>
      <c r="B90" s="628"/>
      <c r="C90" s="628"/>
      <c r="D90" s="700"/>
      <c r="E90" s="667"/>
      <c r="F90" s="635"/>
      <c r="G90" s="667"/>
      <c r="H90" s="635"/>
      <c r="I90" s="667"/>
      <c r="J90" s="668"/>
      <c r="K90" s="669"/>
      <c r="L90" s="670"/>
      <c r="M90" s="671"/>
      <c r="N90" s="671"/>
      <c r="O90" s="672"/>
      <c r="P90" s="670"/>
      <c r="Q90" s="670"/>
      <c r="R90" s="666"/>
      <c r="S90" s="666"/>
      <c r="T90" s="666"/>
      <c r="U90" s="666"/>
    </row>
    <row r="91" spans="1:21" ht="15.6" x14ac:dyDescent="0.3">
      <c r="A91" s="627"/>
      <c r="B91" s="628" t="s">
        <v>1010</v>
      </c>
      <c r="C91" s="628"/>
      <c r="D91" s="700"/>
      <c r="E91" s="667"/>
      <c r="F91" s="635"/>
      <c r="G91" s="667"/>
      <c r="H91" s="635"/>
      <c r="I91" s="667"/>
      <c r="J91" s="668"/>
      <c r="K91" s="669"/>
      <c r="L91" s="670">
        <v>350</v>
      </c>
      <c r="M91" s="671">
        <v>370</v>
      </c>
      <c r="N91" s="671">
        <v>370</v>
      </c>
      <c r="O91" s="672">
        <f>+(N91*1.06)</f>
        <v>392.20000000000005</v>
      </c>
      <c r="P91" s="670">
        <v>420</v>
      </c>
      <c r="Q91" s="670">
        <f>(P91*0.06)+P91</f>
        <v>445.2</v>
      </c>
      <c r="R91" s="666">
        <f>+Q91*1.058</f>
        <v>471.02160000000003</v>
      </c>
      <c r="S91" s="666">
        <f>+R91*1.066</f>
        <v>502.10902560000005</v>
      </c>
      <c r="T91" s="666">
        <f t="shared" ref="T91:T93" si="19">+S91*1.064</f>
        <v>534.24400323840007</v>
      </c>
      <c r="U91" s="666">
        <f t="shared" ref="U91:U93" si="20">+T91*1.053</f>
        <v>562.55893541003525</v>
      </c>
    </row>
    <row r="92" spans="1:21" s="426" customFormat="1" ht="15.6" x14ac:dyDescent="0.3">
      <c r="A92" s="627"/>
      <c r="B92" s="628" t="s">
        <v>1011</v>
      </c>
      <c r="C92" s="628"/>
      <c r="D92" s="700"/>
      <c r="E92" s="667"/>
      <c r="F92" s="635"/>
      <c r="G92" s="667"/>
      <c r="H92" s="635"/>
      <c r="I92" s="667"/>
      <c r="J92" s="668"/>
      <c r="K92" s="669"/>
      <c r="L92" s="670"/>
      <c r="M92" s="671"/>
      <c r="N92" s="671"/>
      <c r="O92" s="672"/>
      <c r="P92" s="670">
        <v>0</v>
      </c>
      <c r="Q92" s="670">
        <v>0</v>
      </c>
      <c r="R92" s="701">
        <v>989</v>
      </c>
      <c r="S92" s="701">
        <f>+R92*1.066</f>
        <v>1054.2740000000001</v>
      </c>
      <c r="T92" s="701">
        <f t="shared" si="19"/>
        <v>1121.7475360000001</v>
      </c>
      <c r="U92" s="666">
        <f t="shared" si="20"/>
        <v>1181.200155408</v>
      </c>
    </row>
    <row r="93" spans="1:21" ht="15.6" x14ac:dyDescent="0.3">
      <c r="A93" s="627"/>
      <c r="B93" s="628" t="s">
        <v>770</v>
      </c>
      <c r="C93" s="628"/>
      <c r="D93" s="700"/>
      <c r="E93" s="667"/>
      <c r="F93" s="635"/>
      <c r="G93" s="667"/>
      <c r="H93" s="635"/>
      <c r="I93" s="667"/>
      <c r="J93" s="667"/>
      <c r="K93" s="689"/>
      <c r="L93" s="670">
        <v>300</v>
      </c>
      <c r="M93" s="671">
        <v>320</v>
      </c>
      <c r="N93" s="671">
        <v>320</v>
      </c>
      <c r="O93" s="672">
        <f>+(N93*1.06)</f>
        <v>339.20000000000005</v>
      </c>
      <c r="P93" s="670">
        <v>360</v>
      </c>
      <c r="Q93" s="670">
        <f>(P93*0.06)+P93</f>
        <v>381.6</v>
      </c>
      <c r="R93" s="666">
        <f>+Q93*1.058</f>
        <v>403.73280000000005</v>
      </c>
      <c r="S93" s="666">
        <f>+R93*1.066</f>
        <v>430.37916480000007</v>
      </c>
      <c r="T93" s="666">
        <f t="shared" si="19"/>
        <v>457.92343134720011</v>
      </c>
      <c r="U93" s="666">
        <f t="shared" si="20"/>
        <v>482.19337320860166</v>
      </c>
    </row>
    <row r="94" spans="1:21" s="426" customFormat="1" ht="15.6" x14ac:dyDescent="0.3">
      <c r="A94" s="627"/>
      <c r="B94" s="628"/>
      <c r="C94" s="628"/>
      <c r="D94" s="700"/>
      <c r="E94" s="667"/>
      <c r="F94" s="635"/>
      <c r="G94" s="667"/>
      <c r="H94" s="635"/>
      <c r="I94" s="667"/>
      <c r="J94" s="667"/>
      <c r="K94" s="689"/>
      <c r="L94" s="670"/>
      <c r="M94" s="671"/>
      <c r="N94" s="671"/>
      <c r="O94" s="672"/>
      <c r="P94" s="670"/>
      <c r="Q94" s="670"/>
      <c r="R94" s="666"/>
      <c r="S94" s="666"/>
      <c r="T94" s="666"/>
      <c r="U94" s="666"/>
    </row>
    <row r="95" spans="1:21" s="426" customFormat="1" ht="15.6" x14ac:dyDescent="0.3">
      <c r="A95" s="627"/>
      <c r="B95" s="628"/>
      <c r="C95" s="628"/>
      <c r="D95" s="700"/>
      <c r="E95" s="667"/>
      <c r="F95" s="635"/>
      <c r="G95" s="667"/>
      <c r="H95" s="635"/>
      <c r="I95" s="667"/>
      <c r="J95" s="667"/>
      <c r="K95" s="689"/>
      <c r="L95" s="670"/>
      <c r="M95" s="671"/>
      <c r="N95" s="671"/>
      <c r="O95" s="672"/>
      <c r="P95" s="670"/>
      <c r="Q95" s="670"/>
      <c r="R95" s="666"/>
      <c r="S95" s="666"/>
      <c r="T95" s="666"/>
      <c r="U95" s="666"/>
    </row>
    <row r="96" spans="1:21" ht="15.6" x14ac:dyDescent="0.3">
      <c r="A96" s="627"/>
      <c r="B96" s="628" t="s">
        <v>771</v>
      </c>
      <c r="C96" s="628"/>
      <c r="D96" s="700"/>
      <c r="E96" s="667"/>
      <c r="F96" s="635" t="s">
        <v>772</v>
      </c>
      <c r="G96" s="667"/>
      <c r="H96" s="635"/>
      <c r="I96" s="667"/>
      <c r="J96" s="667"/>
      <c r="K96" s="634" t="s">
        <v>773</v>
      </c>
      <c r="L96" s="663" t="s">
        <v>774</v>
      </c>
      <c r="M96" s="671"/>
      <c r="N96" s="671">
        <v>100</v>
      </c>
      <c r="O96" s="672">
        <f>+(N96*1.06)</f>
        <v>106</v>
      </c>
      <c r="P96" s="670">
        <v>120</v>
      </c>
      <c r="Q96" s="670">
        <f>(P96*0.06)+P96</f>
        <v>127.2</v>
      </c>
      <c r="R96" s="666">
        <f>+Q96*1.058</f>
        <v>134.57760000000002</v>
      </c>
      <c r="S96" s="666">
        <f>+R96*1.066</f>
        <v>143.45972160000002</v>
      </c>
      <c r="T96" s="666">
        <f>+S96*1.064</f>
        <v>152.64114378240004</v>
      </c>
      <c r="U96" s="666">
        <f t="shared" ref="U96" si="21">+T96*1.053</f>
        <v>160.73112440286724</v>
      </c>
    </row>
    <row r="97" spans="1:21" ht="15.6" x14ac:dyDescent="0.3">
      <c r="A97" s="627"/>
      <c r="B97" s="628"/>
      <c r="C97" s="628"/>
      <c r="D97" s="700"/>
      <c r="E97" s="667"/>
      <c r="F97" s="635"/>
      <c r="G97" s="667"/>
      <c r="H97" s="635"/>
      <c r="I97" s="667"/>
      <c r="J97" s="667"/>
      <c r="K97" s="689"/>
      <c r="L97" s="694"/>
      <c r="M97" s="695"/>
      <c r="N97" s="695"/>
      <c r="O97" s="696"/>
      <c r="P97" s="694"/>
      <c r="Q97" s="694">
        <f>(P97*0.06)+P97</f>
        <v>0</v>
      </c>
      <c r="R97" s="666"/>
      <c r="S97" s="666"/>
      <c r="T97" s="666"/>
      <c r="U97" s="666"/>
    </row>
    <row r="98" spans="1:21" ht="16.2" thickBot="1" x14ac:dyDescent="0.35">
      <c r="A98" s="736"/>
      <c r="B98" s="718"/>
      <c r="C98" s="718"/>
      <c r="D98" s="719"/>
      <c r="E98" s="626"/>
      <c r="F98" s="626"/>
      <c r="G98" s="626"/>
      <c r="H98" s="626"/>
      <c r="I98" s="626"/>
      <c r="J98" s="626"/>
      <c r="K98" s="626"/>
      <c r="L98" s="626"/>
      <c r="M98" s="626"/>
      <c r="N98" s="626"/>
      <c r="O98" s="626"/>
      <c r="P98" s="720"/>
      <c r="Q98" s="720"/>
      <c r="R98" s="720"/>
      <c r="S98" s="720"/>
      <c r="T98" s="720"/>
      <c r="U98" s="720"/>
    </row>
    <row r="99" spans="1:21" ht="16.2" thickBot="1" x14ac:dyDescent="0.35">
      <c r="A99" s="651">
        <v>11</v>
      </c>
      <c r="B99" s="652" t="s">
        <v>834</v>
      </c>
      <c r="C99" s="652"/>
      <c r="D99" s="705"/>
      <c r="E99" s="675"/>
      <c r="F99" s="655"/>
      <c r="G99" s="675"/>
      <c r="H99" s="655"/>
      <c r="I99" s="675"/>
      <c r="J99" s="675"/>
      <c r="K99" s="690"/>
      <c r="L99" s="691"/>
      <c r="M99" s="678"/>
      <c r="N99" s="678"/>
      <c r="O99" s="679"/>
      <c r="P99" s="677"/>
      <c r="Q99" s="677">
        <f t="shared" ref="Q99:Q105" si="22">(P99*0.06)+P99</f>
        <v>0</v>
      </c>
      <c r="R99" s="660"/>
      <c r="S99" s="660"/>
      <c r="T99" s="660"/>
      <c r="U99" s="660"/>
    </row>
    <row r="100" spans="1:21" ht="15.6" x14ac:dyDescent="0.3">
      <c r="A100" s="661"/>
      <c r="B100" s="628"/>
      <c r="C100" s="628"/>
      <c r="D100" s="700"/>
      <c r="E100" s="667"/>
      <c r="F100" s="635"/>
      <c r="G100" s="667"/>
      <c r="H100" s="635"/>
      <c r="I100" s="667"/>
      <c r="J100" s="667"/>
      <c r="K100" s="689"/>
      <c r="L100" s="670"/>
      <c r="M100" s="671"/>
      <c r="N100" s="671"/>
      <c r="O100" s="672"/>
      <c r="P100" s="670"/>
      <c r="Q100" s="670">
        <f t="shared" si="22"/>
        <v>0</v>
      </c>
      <c r="R100" s="666"/>
      <c r="S100" s="666"/>
      <c r="T100" s="666"/>
      <c r="U100" s="666"/>
    </row>
    <row r="101" spans="1:21" ht="15.6" x14ac:dyDescent="0.3">
      <c r="A101" s="661"/>
      <c r="B101" s="628" t="s">
        <v>835</v>
      </c>
      <c r="C101" s="628"/>
      <c r="D101" s="700"/>
      <c r="E101" s="667"/>
      <c r="F101" s="635"/>
      <c r="G101" s="667"/>
      <c r="H101" s="635"/>
      <c r="I101" s="667"/>
      <c r="J101" s="667"/>
      <c r="K101" s="689"/>
      <c r="L101" s="670">
        <v>40</v>
      </c>
      <c r="M101" s="671">
        <f t="shared" ref="M101:N104" si="23">+L101*1.07</f>
        <v>42.800000000000004</v>
      </c>
      <c r="N101" s="671">
        <f t="shared" si="23"/>
        <v>45.796000000000006</v>
      </c>
      <c r="O101" s="672">
        <f>+N101*1.06</f>
        <v>48.543760000000006</v>
      </c>
      <c r="P101" s="670">
        <v>52</v>
      </c>
      <c r="Q101" s="670">
        <f t="shared" si="22"/>
        <v>55.12</v>
      </c>
      <c r="R101" s="666">
        <f>+Q101*1.058</f>
        <v>58.316960000000002</v>
      </c>
      <c r="S101" s="666">
        <f>+R101*1.066</f>
        <v>62.165879360000005</v>
      </c>
      <c r="T101" s="666">
        <f t="shared" ref="T101:U119" si="24">+S101*1.064</f>
        <v>66.144495639040002</v>
      </c>
      <c r="U101" s="666">
        <f t="shared" ref="U101:U105" si="25">+T101*1.053</f>
        <v>69.650153907909115</v>
      </c>
    </row>
    <row r="102" spans="1:21" ht="15.6" x14ac:dyDescent="0.3">
      <c r="A102" s="661"/>
      <c r="B102" s="628" t="s">
        <v>836</v>
      </c>
      <c r="C102" s="628"/>
      <c r="D102" s="700"/>
      <c r="E102" s="667"/>
      <c r="F102" s="635"/>
      <c r="G102" s="667"/>
      <c r="H102" s="635"/>
      <c r="I102" s="667"/>
      <c r="J102" s="667"/>
      <c r="K102" s="689"/>
      <c r="L102" s="670">
        <v>30</v>
      </c>
      <c r="M102" s="671">
        <f t="shared" si="23"/>
        <v>32.1</v>
      </c>
      <c r="N102" s="671">
        <f>+M102*1.07-0.05</f>
        <v>34.297000000000004</v>
      </c>
      <c r="O102" s="672">
        <f>+N102*1.06</f>
        <v>36.354820000000004</v>
      </c>
      <c r="P102" s="670">
        <v>39</v>
      </c>
      <c r="Q102" s="670">
        <f t="shared" si="22"/>
        <v>41.34</v>
      </c>
      <c r="R102" s="666">
        <f>+Q102*1.058</f>
        <v>43.737720000000003</v>
      </c>
      <c r="S102" s="666">
        <f>+R102*1.066</f>
        <v>46.624409520000007</v>
      </c>
      <c r="T102" s="666">
        <f t="shared" si="24"/>
        <v>49.608371729280009</v>
      </c>
      <c r="U102" s="666">
        <f t="shared" si="25"/>
        <v>52.237615430931847</v>
      </c>
    </row>
    <row r="103" spans="1:21" ht="15.6" x14ac:dyDescent="0.3">
      <c r="A103" s="661"/>
      <c r="B103" s="628" t="s">
        <v>837</v>
      </c>
      <c r="C103" s="628"/>
      <c r="D103" s="700"/>
      <c r="E103" s="667"/>
      <c r="F103" s="635"/>
      <c r="G103" s="667"/>
      <c r="H103" s="635"/>
      <c r="I103" s="667"/>
      <c r="J103" s="667"/>
      <c r="K103" s="689"/>
      <c r="L103" s="670">
        <v>30</v>
      </c>
      <c r="M103" s="671">
        <f t="shared" si="23"/>
        <v>32.1</v>
      </c>
      <c r="N103" s="671">
        <f>+M103*1.07-0.05</f>
        <v>34.297000000000004</v>
      </c>
      <c r="O103" s="672">
        <f>+N103*1.06</f>
        <v>36.354820000000004</v>
      </c>
      <c r="P103" s="670">
        <v>39</v>
      </c>
      <c r="Q103" s="670">
        <f t="shared" si="22"/>
        <v>41.34</v>
      </c>
      <c r="R103" s="666">
        <f>+Q103*1.058</f>
        <v>43.737720000000003</v>
      </c>
      <c r="S103" s="666">
        <f>+R103*1.066</f>
        <v>46.624409520000007</v>
      </c>
      <c r="T103" s="666">
        <f t="shared" si="24"/>
        <v>49.608371729280009</v>
      </c>
      <c r="U103" s="666">
        <f t="shared" si="25"/>
        <v>52.237615430931847</v>
      </c>
    </row>
    <row r="104" spans="1:21" ht="15.6" x14ac:dyDescent="0.3">
      <c r="A104" s="661"/>
      <c r="B104" s="628" t="s">
        <v>838</v>
      </c>
      <c r="C104" s="628"/>
      <c r="D104" s="700"/>
      <c r="E104" s="667"/>
      <c r="F104" s="635"/>
      <c r="G104" s="667"/>
      <c r="H104" s="635"/>
      <c r="I104" s="667"/>
      <c r="J104" s="667"/>
      <c r="K104" s="689"/>
      <c r="L104" s="670">
        <v>60</v>
      </c>
      <c r="M104" s="671">
        <f t="shared" si="23"/>
        <v>64.2</v>
      </c>
      <c r="N104" s="671">
        <f>+M104*1.07-0.09</f>
        <v>68.603999999999999</v>
      </c>
      <c r="O104" s="672">
        <f>+N104*1.06</f>
        <v>72.720240000000004</v>
      </c>
      <c r="P104" s="670">
        <v>77</v>
      </c>
      <c r="Q104" s="670">
        <f t="shared" si="22"/>
        <v>81.62</v>
      </c>
      <c r="R104" s="666">
        <f>+Q104*1.058</f>
        <v>86.353960000000015</v>
      </c>
      <c r="S104" s="666">
        <f>+R104*1.066</f>
        <v>92.053321360000027</v>
      </c>
      <c r="T104" s="666">
        <f t="shared" si="24"/>
        <v>97.944733927040033</v>
      </c>
      <c r="U104" s="666">
        <f t="shared" si="25"/>
        <v>103.13580482517315</v>
      </c>
    </row>
    <row r="105" spans="1:21" ht="15.6" x14ac:dyDescent="0.3">
      <c r="A105" s="661"/>
      <c r="B105" s="628" t="s">
        <v>983</v>
      </c>
      <c r="C105" s="628"/>
      <c r="D105" s="700"/>
      <c r="E105" s="667"/>
      <c r="F105" s="635"/>
      <c r="G105" s="667"/>
      <c r="H105" s="635"/>
      <c r="I105" s="667"/>
      <c r="J105" s="667"/>
      <c r="K105" s="689"/>
      <c r="L105" s="694"/>
      <c r="M105" s="695"/>
      <c r="N105" s="695"/>
      <c r="O105" s="696"/>
      <c r="P105" s="694"/>
      <c r="Q105" s="694">
        <f t="shared" si="22"/>
        <v>0</v>
      </c>
      <c r="R105" s="666">
        <v>2000</v>
      </c>
      <c r="S105" s="666">
        <f>+R105*1.066</f>
        <v>2132</v>
      </c>
      <c r="T105" s="666">
        <f t="shared" si="24"/>
        <v>2268.4480000000003</v>
      </c>
      <c r="U105" s="666">
        <f t="shared" si="25"/>
        <v>2388.6757440000001</v>
      </c>
    </row>
    <row r="106" spans="1:21" s="426" customFormat="1" ht="15.6" x14ac:dyDescent="0.3">
      <c r="A106" s="661"/>
      <c r="B106" s="628"/>
      <c r="C106" s="628"/>
      <c r="D106" s="700"/>
      <c r="E106" s="667"/>
      <c r="F106" s="635"/>
      <c r="G106" s="667"/>
      <c r="H106" s="635"/>
      <c r="I106" s="667"/>
      <c r="J106" s="667"/>
      <c r="K106" s="689"/>
      <c r="L106" s="694"/>
      <c r="M106" s="695"/>
      <c r="N106" s="695"/>
      <c r="O106" s="696"/>
      <c r="P106" s="694"/>
      <c r="Q106" s="694"/>
      <c r="R106" s="666"/>
      <c r="S106" s="666">
        <f t="shared" ref="S106:S113" si="26">+R106*1.06</f>
        <v>0</v>
      </c>
      <c r="T106" s="666">
        <f t="shared" si="24"/>
        <v>0</v>
      </c>
      <c r="U106" s="666">
        <f t="shared" si="24"/>
        <v>0</v>
      </c>
    </row>
    <row r="107" spans="1:21" ht="15.6" x14ac:dyDescent="0.3">
      <c r="A107" s="627"/>
      <c r="B107" s="628" t="s">
        <v>839</v>
      </c>
      <c r="C107" s="628"/>
      <c r="D107" s="700"/>
      <c r="E107" s="667" t="s">
        <v>840</v>
      </c>
      <c r="F107" s="635"/>
      <c r="G107" s="667" t="s">
        <v>840</v>
      </c>
      <c r="H107" s="635"/>
      <c r="I107" s="667" t="s">
        <v>840</v>
      </c>
      <c r="J107" s="667" t="s">
        <v>840</v>
      </c>
      <c r="K107" s="689" t="s">
        <v>840</v>
      </c>
      <c r="L107" s="694" t="s">
        <v>840</v>
      </c>
      <c r="M107" s="695" t="s">
        <v>840</v>
      </c>
      <c r="N107" s="695" t="s">
        <v>840</v>
      </c>
      <c r="O107" s="696" t="s">
        <v>840</v>
      </c>
      <c r="P107" s="694" t="s">
        <v>840</v>
      </c>
      <c r="Q107" s="694" t="s">
        <v>840</v>
      </c>
      <c r="R107" s="666">
        <f>5*1.058</f>
        <v>5.29</v>
      </c>
      <c r="S107" s="666">
        <f>+R107*1.066</f>
        <v>5.6391400000000003</v>
      </c>
      <c r="T107" s="666">
        <f t="shared" si="24"/>
        <v>6.0000449600000003</v>
      </c>
      <c r="U107" s="666">
        <f t="shared" si="24"/>
        <v>6.3840478374400007</v>
      </c>
    </row>
    <row r="108" spans="1:21" ht="15.6" x14ac:dyDescent="0.3">
      <c r="A108" s="627"/>
      <c r="B108" s="628"/>
      <c r="C108" s="628"/>
      <c r="D108" s="700"/>
      <c r="E108" s="635" t="s">
        <v>220</v>
      </c>
      <c r="F108" s="635"/>
      <c r="G108" s="635" t="s">
        <v>220</v>
      </c>
      <c r="H108" s="635"/>
      <c r="I108" s="635" t="s">
        <v>220</v>
      </c>
      <c r="J108" s="635" t="s">
        <v>220</v>
      </c>
      <c r="K108" s="634" t="s">
        <v>220</v>
      </c>
      <c r="L108" s="707" t="s">
        <v>220</v>
      </c>
      <c r="M108" s="708" t="s">
        <v>220</v>
      </c>
      <c r="N108" s="708" t="s">
        <v>220</v>
      </c>
      <c r="O108" s="709" t="s">
        <v>220</v>
      </c>
      <c r="P108" s="707" t="s">
        <v>220</v>
      </c>
      <c r="Q108" s="707" t="s">
        <v>220</v>
      </c>
      <c r="R108" s="666"/>
      <c r="S108" s="666">
        <f t="shared" si="26"/>
        <v>0</v>
      </c>
      <c r="T108" s="666">
        <f t="shared" si="24"/>
        <v>0</v>
      </c>
      <c r="U108" s="666">
        <f t="shared" si="24"/>
        <v>0</v>
      </c>
    </row>
    <row r="109" spans="1:21" ht="15.6" x14ac:dyDescent="0.3">
      <c r="A109" s="627"/>
      <c r="B109" s="628"/>
      <c r="C109" s="628"/>
      <c r="D109" s="700"/>
      <c r="E109" s="667" t="s">
        <v>759</v>
      </c>
      <c r="F109" s="635"/>
      <c r="G109" s="667" t="s">
        <v>759</v>
      </c>
      <c r="H109" s="635"/>
      <c r="I109" s="667">
        <f>G109*1.07</f>
        <v>321</v>
      </c>
      <c r="J109" s="667">
        <v>340</v>
      </c>
      <c r="K109" s="689">
        <v>340</v>
      </c>
      <c r="L109" s="710">
        <v>340</v>
      </c>
      <c r="M109" s="711">
        <v>340</v>
      </c>
      <c r="N109" s="711">
        <v>340</v>
      </c>
      <c r="O109" s="712">
        <v>340</v>
      </c>
      <c r="P109" s="713">
        <v>363</v>
      </c>
      <c r="Q109" s="713">
        <f>(P109*0.06)+P109</f>
        <v>384.78</v>
      </c>
      <c r="R109" s="666">
        <f>+Q109*1.058</f>
        <v>407.09724</v>
      </c>
      <c r="S109" s="666">
        <f>+R109*1.066</f>
        <v>433.96565784000001</v>
      </c>
      <c r="T109" s="666">
        <f t="shared" si="24"/>
        <v>461.73945994176</v>
      </c>
      <c r="U109" s="666">
        <f t="shared" si="24"/>
        <v>491.29078537803269</v>
      </c>
    </row>
    <row r="110" spans="1:21" ht="15.6" x14ac:dyDescent="0.3">
      <c r="A110" s="627"/>
      <c r="B110" s="628"/>
      <c r="C110" s="628"/>
      <c r="D110" s="700"/>
      <c r="E110" s="635" t="s">
        <v>841</v>
      </c>
      <c r="F110" s="635"/>
      <c r="G110" s="635" t="s">
        <v>841</v>
      </c>
      <c r="H110" s="635"/>
      <c r="I110" s="635" t="s">
        <v>841</v>
      </c>
      <c r="J110" s="635" t="s">
        <v>841</v>
      </c>
      <c r="K110" s="634" t="s">
        <v>841</v>
      </c>
      <c r="L110" s="714" t="s">
        <v>841</v>
      </c>
      <c r="M110" s="715" t="s">
        <v>841</v>
      </c>
      <c r="N110" s="715" t="s">
        <v>841</v>
      </c>
      <c r="O110" s="716" t="s">
        <v>841</v>
      </c>
      <c r="P110" s="714" t="s">
        <v>841</v>
      </c>
      <c r="Q110" s="714" t="s">
        <v>841</v>
      </c>
      <c r="R110" s="666"/>
      <c r="S110" s="666">
        <f t="shared" si="26"/>
        <v>0</v>
      </c>
      <c r="T110" s="666">
        <f t="shared" si="24"/>
        <v>0</v>
      </c>
      <c r="U110" s="666">
        <f t="shared" si="24"/>
        <v>0</v>
      </c>
    </row>
    <row r="111" spans="1:21" ht="15.6" x14ac:dyDescent="0.3">
      <c r="A111" s="627"/>
      <c r="B111" s="628"/>
      <c r="C111" s="628"/>
      <c r="D111" s="700"/>
      <c r="E111" s="667" t="s">
        <v>750</v>
      </c>
      <c r="F111" s="635"/>
      <c r="G111" s="667" t="s">
        <v>750</v>
      </c>
      <c r="H111" s="635"/>
      <c r="I111" s="667">
        <f>G111*1.07</f>
        <v>428</v>
      </c>
      <c r="J111" s="667">
        <v>454</v>
      </c>
      <c r="K111" s="689">
        <v>454</v>
      </c>
      <c r="L111" s="710">
        <v>454</v>
      </c>
      <c r="M111" s="711">
        <v>454</v>
      </c>
      <c r="N111" s="711">
        <v>454</v>
      </c>
      <c r="O111" s="712">
        <v>454</v>
      </c>
      <c r="P111" s="713">
        <v>485</v>
      </c>
      <c r="Q111" s="713">
        <f>(P111*0.06)+P111</f>
        <v>514.1</v>
      </c>
      <c r="R111" s="666">
        <f>+Q111*1.058</f>
        <v>543.91780000000006</v>
      </c>
      <c r="S111" s="666">
        <f>+R111*1.066</f>
        <v>579.81637480000006</v>
      </c>
      <c r="T111" s="666">
        <f t="shared" si="24"/>
        <v>616.92462278720006</v>
      </c>
      <c r="U111" s="666">
        <f t="shared" si="24"/>
        <v>656.4077986455809</v>
      </c>
    </row>
    <row r="112" spans="1:21" ht="15.6" x14ac:dyDescent="0.3">
      <c r="A112" s="627"/>
      <c r="B112" s="628" t="s">
        <v>842</v>
      </c>
      <c r="C112" s="628"/>
      <c r="D112" s="700"/>
      <c r="E112" s="667" t="s">
        <v>843</v>
      </c>
      <c r="F112" s="635"/>
      <c r="G112" s="667" t="s">
        <v>843</v>
      </c>
      <c r="H112" s="635"/>
      <c r="I112" s="667" t="s">
        <v>843</v>
      </c>
      <c r="J112" s="667" t="s">
        <v>843</v>
      </c>
      <c r="K112" s="689" t="s">
        <v>844</v>
      </c>
      <c r="L112" s="694" t="s">
        <v>844</v>
      </c>
      <c r="M112" s="695" t="s">
        <v>845</v>
      </c>
      <c r="N112" s="695" t="s">
        <v>845</v>
      </c>
      <c r="O112" s="696" t="s">
        <v>845</v>
      </c>
      <c r="P112" s="694" t="s">
        <v>845</v>
      </c>
      <c r="Q112" s="694" t="s">
        <v>845</v>
      </c>
      <c r="R112" s="666">
        <v>330</v>
      </c>
      <c r="S112" s="666">
        <f>+R112*1.066</f>
        <v>351.78000000000003</v>
      </c>
      <c r="T112" s="666">
        <f t="shared" si="24"/>
        <v>374.29392000000007</v>
      </c>
      <c r="U112" s="666">
        <f t="shared" si="24"/>
        <v>398.2487308800001</v>
      </c>
    </row>
    <row r="113" spans="1:21" ht="15.6" x14ac:dyDescent="0.3">
      <c r="A113" s="627"/>
      <c r="B113" s="629"/>
      <c r="C113" s="628"/>
      <c r="D113" s="700"/>
      <c r="E113" s="667"/>
      <c r="F113" s="635"/>
      <c r="G113" s="667"/>
      <c r="H113" s="635"/>
      <c r="I113" s="667"/>
      <c r="J113" s="667"/>
      <c r="K113" s="680"/>
      <c r="L113" s="681"/>
      <c r="M113" s="682"/>
      <c r="N113" s="682"/>
      <c r="O113" s="683"/>
      <c r="P113" s="681"/>
      <c r="Q113" s="681">
        <f t="shared" ref="Q113:Q118" si="27">(P113*0.06)+P113</f>
        <v>0</v>
      </c>
      <c r="R113" s="666"/>
      <c r="S113" s="666">
        <f t="shared" si="26"/>
        <v>0</v>
      </c>
      <c r="T113" s="666">
        <f t="shared" si="24"/>
        <v>0</v>
      </c>
      <c r="U113" s="666">
        <f t="shared" si="24"/>
        <v>0</v>
      </c>
    </row>
    <row r="114" spans="1:21" ht="15.6" x14ac:dyDescent="0.3">
      <c r="A114" s="627"/>
      <c r="B114" s="628" t="s">
        <v>846</v>
      </c>
      <c r="C114" s="628"/>
      <c r="D114" s="700"/>
      <c r="E114" s="667" t="s">
        <v>212</v>
      </c>
      <c r="F114" s="635"/>
      <c r="G114" s="667" t="s">
        <v>212</v>
      </c>
      <c r="H114" s="635"/>
      <c r="I114" s="667">
        <f>G114*1.07</f>
        <v>32.1</v>
      </c>
      <c r="J114" s="668">
        <v>34</v>
      </c>
      <c r="K114" s="669">
        <f>(34*1.065)+0.29</f>
        <v>36.5</v>
      </c>
      <c r="L114" s="670">
        <f>(34*1.083)</f>
        <v>36.821999999999996</v>
      </c>
      <c r="M114" s="671">
        <f>+L114*1.07</f>
        <v>39.399539999999995</v>
      </c>
      <c r="N114" s="671">
        <f>+M114*1.07-0.06</f>
        <v>42.097507799999995</v>
      </c>
      <c r="O114" s="672">
        <f>+N114*1.06</f>
        <v>44.623358267999997</v>
      </c>
      <c r="P114" s="670">
        <v>47</v>
      </c>
      <c r="Q114" s="670">
        <f t="shared" si="27"/>
        <v>49.82</v>
      </c>
      <c r="R114" s="666">
        <f>+Q114*1.058</f>
        <v>52.709560000000003</v>
      </c>
      <c r="S114" s="666">
        <f>+R114*1.066</f>
        <v>56.188390960000007</v>
      </c>
      <c r="T114" s="666">
        <f t="shared" si="24"/>
        <v>59.78444798144001</v>
      </c>
      <c r="U114" s="666">
        <f t="shared" si="24"/>
        <v>63.610652652252178</v>
      </c>
    </row>
    <row r="115" spans="1:21" ht="15.6" x14ac:dyDescent="0.3">
      <c r="A115" s="627"/>
      <c r="B115" s="628" t="s">
        <v>847</v>
      </c>
      <c r="C115" s="628"/>
      <c r="D115" s="700"/>
      <c r="E115" s="667"/>
      <c r="F115" s="635"/>
      <c r="G115" s="667"/>
      <c r="H115" s="635"/>
      <c r="I115" s="667"/>
      <c r="J115" s="667"/>
      <c r="K115" s="689"/>
      <c r="L115" s="694"/>
      <c r="M115" s="695"/>
      <c r="N115" s="695"/>
      <c r="O115" s="696"/>
      <c r="P115" s="694"/>
      <c r="Q115" s="694">
        <f t="shared" si="27"/>
        <v>0</v>
      </c>
      <c r="R115" s="666">
        <f>+Q115*1.058</f>
        <v>0</v>
      </c>
      <c r="S115" s="666">
        <f>+R115*1.058</f>
        <v>0</v>
      </c>
      <c r="T115" s="666">
        <f t="shared" si="24"/>
        <v>0</v>
      </c>
      <c r="U115" s="666">
        <f t="shared" si="24"/>
        <v>0</v>
      </c>
    </row>
    <row r="116" spans="1:21" ht="15.6" x14ac:dyDescent="0.3">
      <c r="A116" s="627"/>
      <c r="B116" s="628"/>
      <c r="C116" s="628"/>
      <c r="D116" s="700"/>
      <c r="E116" s="667"/>
      <c r="F116" s="635"/>
      <c r="G116" s="667"/>
      <c r="H116" s="635"/>
      <c r="I116" s="667"/>
      <c r="J116" s="667"/>
      <c r="K116" s="689"/>
      <c r="L116" s="694"/>
      <c r="M116" s="695"/>
      <c r="N116" s="695"/>
      <c r="O116" s="696"/>
      <c r="P116" s="694"/>
      <c r="Q116" s="694">
        <f t="shared" si="27"/>
        <v>0</v>
      </c>
      <c r="R116" s="666">
        <f>+Q116*1.058</f>
        <v>0</v>
      </c>
      <c r="S116" s="666">
        <f>+R116*1.058</f>
        <v>0</v>
      </c>
      <c r="T116" s="666">
        <f t="shared" si="24"/>
        <v>0</v>
      </c>
      <c r="U116" s="666">
        <f t="shared" si="24"/>
        <v>0</v>
      </c>
    </row>
    <row r="117" spans="1:21" ht="15.6" x14ac:dyDescent="0.3">
      <c r="A117" s="627"/>
      <c r="B117" s="628" t="s">
        <v>848</v>
      </c>
      <c r="C117" s="628"/>
      <c r="D117" s="700"/>
      <c r="E117" s="667" t="s">
        <v>759</v>
      </c>
      <c r="F117" s="635"/>
      <c r="G117" s="667" t="s">
        <v>759</v>
      </c>
      <c r="H117" s="635"/>
      <c r="I117" s="667">
        <f>G117*1.07</f>
        <v>321</v>
      </c>
      <c r="J117" s="667">
        <v>340</v>
      </c>
      <c r="K117" s="689">
        <v>363</v>
      </c>
      <c r="L117" s="710">
        <v>393</v>
      </c>
      <c r="M117" s="711">
        <f>+L117*1.07</f>
        <v>420.51000000000005</v>
      </c>
      <c r="N117" s="711">
        <f>+M117*1.07</f>
        <v>449.9457000000001</v>
      </c>
      <c r="O117" s="712">
        <v>476</v>
      </c>
      <c r="P117" s="713">
        <v>506</v>
      </c>
      <c r="Q117" s="713">
        <f t="shared" si="27"/>
        <v>536.36</v>
      </c>
      <c r="R117" s="666">
        <v>800</v>
      </c>
      <c r="S117" s="666">
        <f>+R117*1.066</f>
        <v>852.80000000000007</v>
      </c>
      <c r="T117" s="666">
        <f t="shared" si="24"/>
        <v>907.37920000000008</v>
      </c>
      <c r="U117" s="666">
        <f>+T117*1.053</f>
        <v>955.47029759999998</v>
      </c>
    </row>
    <row r="118" spans="1:21" ht="15.6" x14ac:dyDescent="0.3">
      <c r="A118" s="627"/>
      <c r="B118" s="628" t="s">
        <v>849</v>
      </c>
      <c r="C118" s="628"/>
      <c r="D118" s="700"/>
      <c r="E118" s="667" t="s">
        <v>758</v>
      </c>
      <c r="F118" s="635"/>
      <c r="G118" s="667" t="s">
        <v>758</v>
      </c>
      <c r="H118" s="635"/>
      <c r="I118" s="667">
        <f>G118*1.07</f>
        <v>214</v>
      </c>
      <c r="J118" s="667">
        <v>227</v>
      </c>
      <c r="K118" s="689">
        <v>242</v>
      </c>
      <c r="L118" s="710">
        <v>262</v>
      </c>
      <c r="M118" s="711">
        <f>+L118*1.07</f>
        <v>280.34000000000003</v>
      </c>
      <c r="N118" s="711">
        <f>+M118*1.07</f>
        <v>299.96380000000005</v>
      </c>
      <c r="O118" s="712">
        <v>318</v>
      </c>
      <c r="P118" s="713">
        <v>337</v>
      </c>
      <c r="Q118" s="713">
        <f t="shared" si="27"/>
        <v>357.22</v>
      </c>
      <c r="R118" s="666">
        <v>458</v>
      </c>
      <c r="S118" s="666">
        <f>+R118*1.066</f>
        <v>488.22800000000001</v>
      </c>
      <c r="T118" s="666">
        <f t="shared" si="24"/>
        <v>519.47459200000003</v>
      </c>
      <c r="U118" s="666">
        <f t="shared" si="24"/>
        <v>552.72096588800002</v>
      </c>
    </row>
    <row r="119" spans="1:21" ht="15.6" x14ac:dyDescent="0.3">
      <c r="A119" s="627"/>
      <c r="B119" s="628" t="s">
        <v>850</v>
      </c>
      <c r="C119" s="628"/>
      <c r="D119" s="700"/>
      <c r="E119" s="667"/>
      <c r="F119" s="635"/>
      <c r="G119" s="667"/>
      <c r="H119" s="635"/>
      <c r="I119" s="667"/>
      <c r="J119" s="635" t="s">
        <v>851</v>
      </c>
      <c r="K119" s="634" t="s">
        <v>851</v>
      </c>
      <c r="L119" s="707" t="s">
        <v>851</v>
      </c>
      <c r="M119" s="708" t="s">
        <v>851</v>
      </c>
      <c r="N119" s="708" t="s">
        <v>851</v>
      </c>
      <c r="O119" s="709" t="s">
        <v>851</v>
      </c>
      <c r="P119" s="707" t="s">
        <v>851</v>
      </c>
      <c r="Q119" s="707" t="s">
        <v>851</v>
      </c>
      <c r="R119" s="666">
        <f>5*1.058</f>
        <v>5.29</v>
      </c>
      <c r="S119" s="666">
        <f>+R119*1.066</f>
        <v>5.6391400000000003</v>
      </c>
      <c r="T119" s="666">
        <f t="shared" si="24"/>
        <v>6.0000449600000003</v>
      </c>
      <c r="U119" s="666">
        <f>+T119*1.053</f>
        <v>6.3180473428799999</v>
      </c>
    </row>
    <row r="120" spans="1:21" ht="15.6" x14ac:dyDescent="0.3">
      <c r="A120" s="627"/>
      <c r="B120" s="628" t="s">
        <v>852</v>
      </c>
      <c r="C120" s="628"/>
      <c r="D120" s="700"/>
      <c r="E120" s="667"/>
      <c r="F120" s="635"/>
      <c r="G120" s="667"/>
      <c r="H120" s="635"/>
      <c r="I120" s="667"/>
      <c r="J120" s="635" t="s">
        <v>853</v>
      </c>
      <c r="K120" s="634" t="s">
        <v>853</v>
      </c>
      <c r="L120" s="707" t="s">
        <v>853</v>
      </c>
      <c r="M120" s="708" t="s">
        <v>853</v>
      </c>
      <c r="N120" s="708" t="s">
        <v>853</v>
      </c>
      <c r="O120" s="709" t="s">
        <v>853</v>
      </c>
      <c r="P120" s="707" t="s">
        <v>853</v>
      </c>
      <c r="Q120" s="707" t="s">
        <v>853</v>
      </c>
      <c r="R120" s="707" t="s">
        <v>853</v>
      </c>
      <c r="S120" s="707" t="s">
        <v>853</v>
      </c>
      <c r="T120" s="707" t="s">
        <v>853</v>
      </c>
      <c r="U120" s="707" t="s">
        <v>853</v>
      </c>
    </row>
    <row r="121" spans="1:21" ht="15.6" x14ac:dyDescent="0.3">
      <c r="A121" s="627"/>
      <c r="B121" s="628"/>
      <c r="C121" s="628"/>
      <c r="D121" s="700"/>
      <c r="E121" s="667"/>
      <c r="F121" s="635"/>
      <c r="G121" s="667"/>
      <c r="H121" s="635"/>
      <c r="I121" s="667"/>
      <c r="J121" s="635" t="s">
        <v>854</v>
      </c>
      <c r="K121" s="634" t="s">
        <v>854</v>
      </c>
      <c r="L121" s="707" t="s">
        <v>854</v>
      </c>
      <c r="M121" s="708" t="s">
        <v>854</v>
      </c>
      <c r="N121" s="708" t="s">
        <v>854</v>
      </c>
      <c r="O121" s="709" t="s">
        <v>854</v>
      </c>
      <c r="P121" s="707" t="s">
        <v>855</v>
      </c>
      <c r="Q121" s="717">
        <v>567.1</v>
      </c>
      <c r="R121" s="666">
        <f>+Q121*1.058</f>
        <v>599.99180000000001</v>
      </c>
      <c r="S121" s="666">
        <f>+R121*1.066</f>
        <v>639.59125879999999</v>
      </c>
      <c r="T121" s="666">
        <f>+S121*1.064</f>
        <v>680.52509936320007</v>
      </c>
      <c r="U121" s="666">
        <f>+T121*1.053</f>
        <v>716.5929296294496</v>
      </c>
    </row>
    <row r="122" spans="1:21" ht="15.6" x14ac:dyDescent="0.3">
      <c r="A122" s="627"/>
      <c r="B122" s="628"/>
      <c r="C122" s="628"/>
      <c r="D122" s="700"/>
      <c r="E122" s="667"/>
      <c r="F122" s="635"/>
      <c r="G122" s="667"/>
      <c r="H122" s="635"/>
      <c r="I122" s="667"/>
      <c r="J122" s="635" t="s">
        <v>856</v>
      </c>
      <c r="K122" s="634" t="s">
        <v>856</v>
      </c>
      <c r="L122" s="707" t="s">
        <v>856</v>
      </c>
      <c r="M122" s="708" t="s">
        <v>856</v>
      </c>
      <c r="N122" s="708" t="s">
        <v>856</v>
      </c>
      <c r="O122" s="709" t="s">
        <v>856</v>
      </c>
      <c r="P122" s="707" t="s">
        <v>856</v>
      </c>
      <c r="Q122" s="707" t="s">
        <v>856</v>
      </c>
      <c r="R122" s="707" t="s">
        <v>856</v>
      </c>
      <c r="S122" s="707" t="s">
        <v>856</v>
      </c>
      <c r="T122" s="707" t="s">
        <v>856</v>
      </c>
      <c r="U122" s="707" t="s">
        <v>856</v>
      </c>
    </row>
    <row r="123" spans="1:21" ht="15.6" x14ac:dyDescent="0.3">
      <c r="A123" s="627"/>
      <c r="B123" s="628"/>
      <c r="C123" s="628"/>
      <c r="D123" s="700"/>
      <c r="E123" s="667"/>
      <c r="F123" s="635"/>
      <c r="G123" s="667"/>
      <c r="H123" s="635"/>
      <c r="I123" s="667"/>
      <c r="J123" s="635" t="s">
        <v>857</v>
      </c>
      <c r="K123" s="634" t="s">
        <v>857</v>
      </c>
      <c r="L123" s="707" t="s">
        <v>857</v>
      </c>
      <c r="M123" s="708" t="s">
        <v>857</v>
      </c>
      <c r="N123" s="708" t="s">
        <v>857</v>
      </c>
      <c r="O123" s="709" t="s">
        <v>857</v>
      </c>
      <c r="P123" s="707" t="s">
        <v>858</v>
      </c>
      <c r="Q123" s="717">
        <v>848</v>
      </c>
      <c r="R123" s="666">
        <f>+Q123*1.058</f>
        <v>897.18400000000008</v>
      </c>
      <c r="S123" s="666">
        <f>+R123*1.066</f>
        <v>956.39814400000012</v>
      </c>
      <c r="T123" s="666">
        <f>+S123*1.064</f>
        <v>1017.6076252160002</v>
      </c>
      <c r="U123" s="666">
        <f>+T123*1.053</f>
        <v>1071.5408293524481</v>
      </c>
    </row>
    <row r="124" spans="1:21" ht="15.6" x14ac:dyDescent="0.3">
      <c r="A124" s="627"/>
      <c r="B124" s="628"/>
      <c r="C124" s="628"/>
      <c r="D124" s="700"/>
      <c r="E124" s="667"/>
      <c r="F124" s="635"/>
      <c r="G124" s="667"/>
      <c r="H124" s="635"/>
      <c r="I124" s="667"/>
      <c r="J124" s="635" t="s">
        <v>859</v>
      </c>
      <c r="K124" s="634" t="s">
        <v>859</v>
      </c>
      <c r="L124" s="707" t="s">
        <v>859</v>
      </c>
      <c r="M124" s="708" t="s">
        <v>859</v>
      </c>
      <c r="N124" s="708" t="s">
        <v>859</v>
      </c>
      <c r="O124" s="709" t="s">
        <v>859</v>
      </c>
      <c r="P124" s="707" t="s">
        <v>859</v>
      </c>
      <c r="Q124" s="707" t="s">
        <v>859</v>
      </c>
      <c r="R124" s="707" t="s">
        <v>859</v>
      </c>
      <c r="S124" s="707" t="s">
        <v>859</v>
      </c>
      <c r="T124" s="707" t="s">
        <v>859</v>
      </c>
      <c r="U124" s="707" t="s">
        <v>859</v>
      </c>
    </row>
    <row r="125" spans="1:21" ht="16.2" thickBot="1" x14ac:dyDescent="0.35">
      <c r="A125" s="627"/>
      <c r="B125" s="628"/>
      <c r="C125" s="628"/>
      <c r="D125" s="700"/>
      <c r="E125" s="667"/>
      <c r="F125" s="635"/>
      <c r="G125" s="667"/>
      <c r="H125" s="635"/>
      <c r="I125" s="667"/>
      <c r="J125" s="635" t="s">
        <v>860</v>
      </c>
      <c r="K125" s="634" t="s">
        <v>860</v>
      </c>
      <c r="L125" s="707" t="s">
        <v>860</v>
      </c>
      <c r="M125" s="708" t="s">
        <v>860</v>
      </c>
      <c r="N125" s="708" t="s">
        <v>860</v>
      </c>
      <c r="O125" s="709" t="s">
        <v>860</v>
      </c>
      <c r="P125" s="707" t="s">
        <v>861</v>
      </c>
      <c r="Q125" s="717">
        <v>1134.2</v>
      </c>
      <c r="R125" s="666">
        <f>+Q125*1.058</f>
        <v>1199.9836</v>
      </c>
      <c r="S125" s="666">
        <f>+R125*1.066</f>
        <v>1279.1825176</v>
      </c>
      <c r="T125" s="666">
        <f>+S125*1.064</f>
        <v>1361.0501987264001</v>
      </c>
      <c r="U125" s="666">
        <f>+T125*1.053</f>
        <v>1433.1858592588992</v>
      </c>
    </row>
    <row r="126" spans="1:21" ht="16.2" thickBot="1" x14ac:dyDescent="0.35">
      <c r="A126" s="651">
        <v>12</v>
      </c>
      <c r="B126" s="654" t="s">
        <v>1002</v>
      </c>
      <c r="C126" s="654"/>
      <c r="D126" s="653"/>
      <c r="E126" s="653"/>
      <c r="F126" s="653"/>
      <c r="G126" s="653"/>
      <c r="H126" s="653"/>
      <c r="I126" s="653"/>
      <c r="J126" s="653"/>
      <c r="K126" s="653"/>
      <c r="L126" s="653"/>
      <c r="M126" s="653"/>
      <c r="N126" s="653"/>
      <c r="O126" s="653"/>
      <c r="P126" s="653"/>
      <c r="Q126" s="653"/>
      <c r="R126" s="843"/>
      <c r="S126" s="843"/>
      <c r="T126" s="843"/>
      <c r="U126" s="843"/>
    </row>
    <row r="127" spans="1:21" ht="16.2" thickBot="1" x14ac:dyDescent="0.35">
      <c r="A127" s="874"/>
      <c r="B127" s="875"/>
      <c r="C127" s="875"/>
      <c r="D127" s="862"/>
      <c r="E127" s="876"/>
      <c r="F127" s="876"/>
      <c r="G127" s="876"/>
      <c r="H127" s="876"/>
      <c r="I127" s="876"/>
      <c r="J127" s="876"/>
      <c r="K127" s="876"/>
      <c r="L127" s="876"/>
      <c r="M127" s="876"/>
      <c r="N127" s="876"/>
      <c r="O127" s="876"/>
      <c r="P127" s="877"/>
      <c r="Q127" s="877"/>
      <c r="R127" s="877"/>
      <c r="S127" s="877"/>
      <c r="T127" s="877"/>
      <c r="U127" s="877"/>
    </row>
    <row r="128" spans="1:21" ht="15.6" x14ac:dyDescent="0.3">
      <c r="A128" s="878"/>
      <c r="B128" s="875" t="s">
        <v>1024</v>
      </c>
      <c r="C128" s="628"/>
      <c r="D128" s="788"/>
      <c r="E128" s="876"/>
      <c r="F128" s="876"/>
      <c r="G128" s="876"/>
      <c r="H128" s="876"/>
      <c r="I128" s="876"/>
      <c r="J128" s="876"/>
      <c r="K128" s="876"/>
      <c r="L128" s="876"/>
      <c r="M128" s="876"/>
      <c r="N128" s="876"/>
      <c r="O128" s="876"/>
      <c r="P128" s="879">
        <v>0</v>
      </c>
      <c r="Q128" s="879">
        <v>0</v>
      </c>
      <c r="R128" s="879">
        <v>0</v>
      </c>
      <c r="S128" s="879">
        <v>0</v>
      </c>
      <c r="T128" s="879">
        <v>0</v>
      </c>
      <c r="U128" s="879">
        <v>0</v>
      </c>
    </row>
    <row r="129" spans="1:22" ht="15.6" x14ac:dyDescent="0.3">
      <c r="A129" s="878"/>
      <c r="B129" s="628"/>
      <c r="C129" s="628"/>
      <c r="D129" s="788"/>
      <c r="E129" s="876"/>
      <c r="F129" s="876"/>
      <c r="G129" s="876"/>
      <c r="H129" s="876"/>
      <c r="I129" s="876"/>
      <c r="J129" s="876"/>
      <c r="K129" s="876"/>
      <c r="L129" s="876"/>
      <c r="M129" s="876"/>
      <c r="N129" s="876"/>
      <c r="O129" s="876"/>
      <c r="P129" s="879">
        <v>0</v>
      </c>
      <c r="Q129" s="879">
        <v>0</v>
      </c>
      <c r="R129" s="879">
        <v>0</v>
      </c>
      <c r="S129" s="879">
        <v>0</v>
      </c>
      <c r="T129" s="879">
        <v>0</v>
      </c>
      <c r="U129" s="879">
        <v>0</v>
      </c>
    </row>
    <row r="130" spans="1:22" ht="16.2" thickBot="1" x14ac:dyDescent="0.35">
      <c r="A130" s="878"/>
      <c r="B130" s="628"/>
      <c r="C130" s="628"/>
      <c r="D130" s="788"/>
      <c r="E130" s="876"/>
      <c r="F130" s="876"/>
      <c r="G130" s="876"/>
      <c r="H130" s="876"/>
      <c r="I130" s="876"/>
      <c r="J130" s="876"/>
      <c r="K130" s="876"/>
      <c r="L130" s="876"/>
      <c r="M130" s="876"/>
      <c r="N130" s="876"/>
      <c r="O130" s="876"/>
      <c r="P130" s="879"/>
      <c r="Q130" s="879"/>
      <c r="R130" s="879"/>
      <c r="S130" s="879"/>
      <c r="T130" s="879"/>
      <c r="U130" s="879"/>
    </row>
    <row r="131" spans="1:22" s="426" customFormat="1" ht="16.2" thickBot="1" x14ac:dyDescent="0.35">
      <c r="A131" s="651">
        <v>13</v>
      </c>
      <c r="B131" s="654" t="s">
        <v>1064</v>
      </c>
      <c r="C131" s="654"/>
      <c r="D131" s="653"/>
      <c r="E131" s="653"/>
      <c r="F131" s="653"/>
      <c r="G131" s="653"/>
      <c r="H131" s="653"/>
      <c r="I131" s="653"/>
      <c r="J131" s="653"/>
      <c r="K131" s="653"/>
      <c r="L131" s="653"/>
      <c r="M131" s="653"/>
      <c r="N131" s="653"/>
      <c r="O131" s="653"/>
      <c r="P131" s="653"/>
      <c r="Q131" s="653"/>
      <c r="R131" s="843"/>
      <c r="S131" s="843"/>
      <c r="T131" s="843"/>
      <c r="U131" s="843"/>
    </row>
    <row r="132" spans="1:22" ht="15.6" x14ac:dyDescent="0.3">
      <c r="A132" s="878"/>
      <c r="B132" s="628" t="s">
        <v>1069</v>
      </c>
      <c r="C132" s="628"/>
      <c r="D132" s="788"/>
      <c r="E132" s="876"/>
      <c r="F132" s="876"/>
      <c r="G132" s="876"/>
      <c r="H132" s="876"/>
      <c r="I132" s="876"/>
      <c r="J132" s="876"/>
      <c r="K132" s="876"/>
      <c r="L132" s="876"/>
      <c r="M132" s="876"/>
      <c r="N132" s="876"/>
      <c r="O132" s="876"/>
      <c r="P132" s="879"/>
      <c r="Q132" s="879"/>
      <c r="R132" s="879"/>
      <c r="S132" s="879"/>
      <c r="T132" s="879"/>
      <c r="U132" s="895">
        <f>273*1.053</f>
        <v>287.46899999999999</v>
      </c>
    </row>
    <row r="133" spans="1:22" ht="15.6" x14ac:dyDescent="0.3">
      <c r="A133" s="878"/>
      <c r="B133" s="628" t="s">
        <v>1070</v>
      </c>
      <c r="C133" s="628"/>
      <c r="D133" s="788"/>
      <c r="E133" s="876"/>
      <c r="F133" s="876"/>
      <c r="G133" s="876"/>
      <c r="H133" s="876"/>
      <c r="I133" s="876"/>
      <c r="J133" s="876"/>
      <c r="K133" s="876"/>
      <c r="L133" s="876"/>
      <c r="M133" s="876"/>
      <c r="N133" s="876"/>
      <c r="O133" s="876"/>
      <c r="P133" s="879"/>
      <c r="Q133" s="879"/>
      <c r="R133" s="879"/>
      <c r="S133" s="879"/>
      <c r="T133" s="879"/>
      <c r="U133" s="895">
        <f>61*1.053</f>
        <v>64.23299999999999</v>
      </c>
    </row>
    <row r="134" spans="1:22" ht="15.6" x14ac:dyDescent="0.3">
      <c r="A134" s="878"/>
      <c r="B134" s="628"/>
      <c r="C134" s="628"/>
      <c r="D134" s="788"/>
      <c r="E134" s="876"/>
      <c r="F134" s="876"/>
      <c r="G134" s="876"/>
      <c r="H134" s="876"/>
      <c r="I134" s="876"/>
      <c r="J134" s="876"/>
      <c r="K134" s="876"/>
      <c r="L134" s="876"/>
      <c r="M134" s="876"/>
      <c r="N134" s="876"/>
      <c r="O134" s="876"/>
      <c r="P134" s="879"/>
      <c r="Q134" s="879"/>
      <c r="R134" s="879"/>
      <c r="S134" s="879"/>
      <c r="T134" s="879"/>
      <c r="U134" s="879"/>
    </row>
    <row r="135" spans="1:22" ht="16.2" thickBot="1" x14ac:dyDescent="0.35">
      <c r="A135" s="878"/>
      <c r="B135" s="628"/>
      <c r="C135" s="628"/>
      <c r="D135" s="788"/>
      <c r="E135" s="876"/>
      <c r="F135" s="876"/>
      <c r="G135" s="876"/>
      <c r="H135" s="876"/>
      <c r="I135" s="876"/>
      <c r="J135" s="876"/>
      <c r="K135" s="876"/>
      <c r="L135" s="876"/>
      <c r="M135" s="876"/>
      <c r="N135" s="876"/>
      <c r="O135" s="876"/>
      <c r="P135" s="879"/>
      <c r="Q135" s="879"/>
      <c r="R135" s="879"/>
      <c r="S135" s="879"/>
      <c r="T135" s="879"/>
      <c r="U135" s="879"/>
    </row>
    <row r="136" spans="1:22" ht="16.2" thickBot="1" x14ac:dyDescent="0.35">
      <c r="A136" s="651">
        <v>14</v>
      </c>
      <c r="B136" s="654" t="s">
        <v>1004</v>
      </c>
      <c r="C136" s="653"/>
      <c r="D136" s="653"/>
      <c r="E136" s="653"/>
      <c r="F136" s="653"/>
      <c r="G136" s="653"/>
      <c r="H136" s="653"/>
      <c r="I136" s="653"/>
      <c r="J136" s="653"/>
      <c r="K136" s="653"/>
      <c r="L136" s="653"/>
      <c r="M136" s="653"/>
      <c r="N136" s="653"/>
      <c r="O136" s="653"/>
      <c r="P136" s="653"/>
      <c r="Q136" s="653"/>
      <c r="R136" s="843"/>
      <c r="S136" s="843"/>
      <c r="T136" s="843"/>
      <c r="U136" s="843"/>
    </row>
    <row r="137" spans="1:22" ht="15.6" x14ac:dyDescent="0.3">
      <c r="A137" s="874"/>
      <c r="B137" s="875"/>
      <c r="C137" s="875"/>
      <c r="D137" s="862"/>
      <c r="E137" s="876"/>
      <c r="F137" s="876"/>
      <c r="G137" s="876"/>
      <c r="H137" s="876"/>
      <c r="I137" s="876"/>
      <c r="J137" s="876"/>
      <c r="K137" s="876"/>
      <c r="L137" s="876"/>
      <c r="M137" s="876"/>
      <c r="N137" s="876"/>
      <c r="O137" s="876"/>
      <c r="P137" s="877"/>
      <c r="Q137" s="877"/>
      <c r="R137" s="877"/>
      <c r="S137" s="877"/>
      <c r="T137" s="877"/>
      <c r="U137" s="877"/>
      <c r="V137" s="237"/>
    </row>
    <row r="138" spans="1:22" ht="15.6" x14ac:dyDescent="0.3">
      <c r="A138" s="878"/>
      <c r="B138" s="880" t="s">
        <v>1005</v>
      </c>
      <c r="C138" s="628"/>
      <c r="D138" s="788"/>
      <c r="E138" s="876"/>
      <c r="F138" s="876"/>
      <c r="G138" s="876"/>
      <c r="H138" s="876"/>
      <c r="I138" s="876"/>
      <c r="J138" s="876"/>
      <c r="K138" s="876"/>
      <c r="L138" s="876"/>
      <c r="M138" s="876"/>
      <c r="N138" s="876"/>
      <c r="O138" s="876"/>
      <c r="P138" s="879">
        <v>0</v>
      </c>
      <c r="Q138" s="879">
        <v>0</v>
      </c>
      <c r="R138" s="879">
        <v>0</v>
      </c>
      <c r="S138" s="879">
        <v>0</v>
      </c>
      <c r="T138" s="879">
        <v>0</v>
      </c>
      <c r="U138" s="879">
        <v>0</v>
      </c>
    </row>
    <row r="139" spans="1:22" s="426" customFormat="1" ht="15.6" x14ac:dyDescent="0.3">
      <c r="A139" s="878"/>
      <c r="B139" s="880" t="s">
        <v>1007</v>
      </c>
      <c r="C139" s="628"/>
      <c r="D139" s="788"/>
      <c r="E139" s="876"/>
      <c r="F139" s="876"/>
      <c r="G139" s="876"/>
      <c r="H139" s="876"/>
      <c r="I139" s="876"/>
      <c r="J139" s="876"/>
      <c r="K139" s="876"/>
      <c r="L139" s="876"/>
      <c r="M139" s="876"/>
      <c r="N139" s="876"/>
      <c r="O139" s="876"/>
      <c r="P139" s="879">
        <v>0</v>
      </c>
      <c r="Q139" s="879">
        <v>0</v>
      </c>
      <c r="R139" s="879">
        <v>0</v>
      </c>
      <c r="S139" s="879">
        <v>0</v>
      </c>
      <c r="T139" s="879">
        <v>0</v>
      </c>
      <c r="U139" s="879">
        <v>0</v>
      </c>
    </row>
    <row r="140" spans="1:22" ht="15.6" x14ac:dyDescent="0.3">
      <c r="A140" s="878"/>
      <c r="B140" s="628" t="s">
        <v>1006</v>
      </c>
      <c r="C140" s="628"/>
      <c r="D140" s="788"/>
      <c r="E140" s="876"/>
      <c r="F140" s="876"/>
      <c r="G140" s="876"/>
      <c r="H140" s="876"/>
      <c r="I140" s="876"/>
      <c r="J140" s="876"/>
      <c r="K140" s="876"/>
      <c r="L140" s="876"/>
      <c r="M140" s="876"/>
      <c r="N140" s="876"/>
      <c r="O140" s="876"/>
      <c r="P140" s="879">
        <v>0</v>
      </c>
      <c r="Q140" s="879">
        <v>0</v>
      </c>
      <c r="R140" s="879">
        <v>0</v>
      </c>
      <c r="S140" s="879">
        <v>0</v>
      </c>
      <c r="T140" s="879">
        <v>0</v>
      </c>
      <c r="U140" s="879">
        <v>0</v>
      </c>
    </row>
    <row r="141" spans="1:22" ht="15.6" x14ac:dyDescent="0.3">
      <c r="A141" s="878"/>
      <c r="B141" s="628" t="s">
        <v>1008</v>
      </c>
      <c r="C141" s="628"/>
      <c r="D141" s="788"/>
      <c r="E141" s="876"/>
      <c r="F141" s="876"/>
      <c r="G141" s="876"/>
      <c r="H141" s="876"/>
      <c r="I141" s="876"/>
      <c r="J141" s="876"/>
      <c r="K141" s="876"/>
      <c r="L141" s="876"/>
      <c r="M141" s="876"/>
      <c r="N141" s="876"/>
      <c r="O141" s="876"/>
      <c r="P141" s="879">
        <v>0</v>
      </c>
      <c r="Q141" s="879">
        <v>0</v>
      </c>
      <c r="R141" s="879">
        <v>0</v>
      </c>
      <c r="S141" s="879">
        <v>0</v>
      </c>
      <c r="T141" s="879">
        <v>0</v>
      </c>
      <c r="U141" s="879">
        <v>0</v>
      </c>
    </row>
    <row r="142" spans="1:22" ht="15.6" x14ac:dyDescent="0.3">
      <c r="A142" s="878"/>
      <c r="B142" s="628" t="s">
        <v>1009</v>
      </c>
      <c r="C142" s="628"/>
      <c r="D142" s="788"/>
      <c r="E142" s="876"/>
      <c r="F142" s="876"/>
      <c r="G142" s="876"/>
      <c r="H142" s="876"/>
      <c r="I142" s="876"/>
      <c r="J142" s="876"/>
      <c r="K142" s="876"/>
      <c r="L142" s="876"/>
      <c r="M142" s="876"/>
      <c r="N142" s="876"/>
      <c r="O142" s="876"/>
      <c r="P142" s="879">
        <v>0</v>
      </c>
      <c r="Q142" s="879">
        <v>0</v>
      </c>
      <c r="R142" s="879">
        <v>0</v>
      </c>
      <c r="S142" s="879">
        <v>0</v>
      </c>
      <c r="T142" s="879">
        <v>0</v>
      </c>
      <c r="U142" s="879">
        <v>0</v>
      </c>
    </row>
    <row r="143" spans="1:22" ht="15.6" x14ac:dyDescent="0.3">
      <c r="A143" s="878"/>
      <c r="B143" s="628" t="s">
        <v>1021</v>
      </c>
      <c r="C143" s="628"/>
      <c r="D143" s="788"/>
      <c r="E143" s="876"/>
      <c r="F143" s="876"/>
      <c r="G143" s="876"/>
      <c r="H143" s="876"/>
      <c r="I143" s="876"/>
      <c r="J143" s="876"/>
      <c r="K143" s="876"/>
      <c r="L143" s="876"/>
      <c r="M143" s="876"/>
      <c r="N143" s="876"/>
      <c r="O143" s="876"/>
      <c r="P143" s="879"/>
      <c r="Q143" s="879"/>
      <c r="R143" s="881">
        <v>350</v>
      </c>
      <c r="S143" s="881">
        <f>+R143*1.066</f>
        <v>373.1</v>
      </c>
      <c r="T143" s="881">
        <f>+S143*1.064</f>
        <v>396.97840000000002</v>
      </c>
      <c r="U143" s="881">
        <f>+T143*1.053</f>
        <v>418.0182552</v>
      </c>
    </row>
    <row r="144" spans="1:22" ht="15.6" x14ac:dyDescent="0.3">
      <c r="A144" s="878"/>
      <c r="B144" s="628" t="s">
        <v>1022</v>
      </c>
      <c r="C144" s="628"/>
      <c r="D144" s="788"/>
      <c r="E144" s="876"/>
      <c r="F144" s="876"/>
      <c r="G144" s="876"/>
      <c r="H144" s="876"/>
      <c r="I144" s="876"/>
      <c r="J144" s="876"/>
      <c r="K144" s="876"/>
      <c r="L144" s="876"/>
      <c r="M144" s="876"/>
      <c r="N144" s="876"/>
      <c r="O144" s="876"/>
      <c r="P144" s="879"/>
      <c r="Q144" s="879"/>
      <c r="R144" s="881">
        <v>250</v>
      </c>
      <c r="S144" s="881">
        <f>+R144*1.066</f>
        <v>266.5</v>
      </c>
      <c r="T144" s="881">
        <f>+S144*1.064</f>
        <v>283.55600000000004</v>
      </c>
      <c r="U144" s="881">
        <f>+T144*1.053</f>
        <v>298.58446800000002</v>
      </c>
    </row>
    <row r="145" spans="1:21" ht="15.6" x14ac:dyDescent="0.3">
      <c r="A145" s="878"/>
      <c r="B145" s="628"/>
      <c r="C145" s="628"/>
      <c r="D145" s="788"/>
      <c r="E145" s="876"/>
      <c r="F145" s="876"/>
      <c r="G145" s="876"/>
      <c r="H145" s="876"/>
      <c r="I145" s="876"/>
      <c r="J145" s="876"/>
      <c r="K145" s="876"/>
      <c r="L145" s="876"/>
      <c r="M145" s="876"/>
      <c r="N145" s="876"/>
      <c r="O145" s="876"/>
      <c r="P145" s="879"/>
      <c r="Q145" s="879"/>
      <c r="R145" s="879"/>
      <c r="S145" s="879"/>
      <c r="T145" s="879"/>
      <c r="U145" s="879"/>
    </row>
    <row r="146" spans="1:21" ht="16.2" thickBot="1" x14ac:dyDescent="0.35">
      <c r="A146" s="878"/>
      <c r="B146" s="628"/>
      <c r="C146" s="628"/>
      <c r="D146" s="788"/>
      <c r="E146" s="876"/>
      <c r="F146" s="876"/>
      <c r="G146" s="876"/>
      <c r="H146" s="876"/>
      <c r="I146" s="876"/>
      <c r="J146" s="876"/>
      <c r="K146" s="876"/>
      <c r="L146" s="876"/>
      <c r="M146" s="876"/>
      <c r="N146" s="876"/>
      <c r="O146" s="876"/>
      <c r="P146" s="879"/>
      <c r="Q146" s="879"/>
      <c r="R146" s="879"/>
      <c r="S146" s="879"/>
      <c r="T146" s="879"/>
      <c r="U146" s="879"/>
    </row>
    <row r="147" spans="1:21" ht="16.2" thickBot="1" x14ac:dyDescent="0.35">
      <c r="A147" s="651">
        <v>15</v>
      </c>
      <c r="B147" s="654" t="s">
        <v>1012</v>
      </c>
      <c r="C147" s="653"/>
      <c r="D147" s="653"/>
      <c r="E147" s="653"/>
      <c r="F147" s="653"/>
      <c r="G147" s="653"/>
      <c r="H147" s="653"/>
      <c r="I147" s="653"/>
      <c r="J147" s="653"/>
      <c r="K147" s="653"/>
      <c r="L147" s="653"/>
      <c r="M147" s="653"/>
      <c r="N147" s="653"/>
      <c r="O147" s="653"/>
      <c r="P147" s="653"/>
      <c r="Q147" s="653"/>
      <c r="R147" s="843"/>
      <c r="S147" s="843"/>
      <c r="T147" s="843"/>
      <c r="U147" s="843"/>
    </row>
    <row r="148" spans="1:21" ht="15.6" x14ac:dyDescent="0.3">
      <c r="A148" s="874"/>
      <c r="B148" s="875"/>
      <c r="C148" s="875"/>
      <c r="D148" s="862"/>
      <c r="E148" s="876"/>
      <c r="F148" s="876"/>
      <c r="G148" s="876"/>
      <c r="H148" s="876"/>
      <c r="I148" s="876"/>
      <c r="J148" s="876"/>
      <c r="K148" s="876"/>
      <c r="L148" s="876"/>
      <c r="M148" s="876"/>
      <c r="N148" s="876"/>
      <c r="O148" s="876"/>
      <c r="P148" s="877"/>
      <c r="Q148" s="877"/>
      <c r="R148" s="877"/>
      <c r="S148" s="877"/>
      <c r="T148" s="877"/>
      <c r="U148" s="877"/>
    </row>
    <row r="149" spans="1:21" ht="15.6" x14ac:dyDescent="0.3">
      <c r="A149" s="878"/>
      <c r="B149" s="628" t="s">
        <v>1014</v>
      </c>
      <c r="C149" s="628"/>
      <c r="D149" s="788"/>
      <c r="E149" s="876"/>
      <c r="F149" s="876"/>
      <c r="G149" s="876"/>
      <c r="H149" s="876"/>
      <c r="I149" s="876"/>
      <c r="J149" s="876"/>
      <c r="K149" s="876"/>
      <c r="L149" s="876"/>
      <c r="M149" s="876"/>
      <c r="N149" s="876"/>
      <c r="O149" s="876"/>
      <c r="P149" s="879"/>
      <c r="Q149" s="881">
        <v>650</v>
      </c>
      <c r="R149" s="881">
        <f>+Q149*1.058</f>
        <v>687.7</v>
      </c>
      <c r="S149" s="881">
        <f>+R149*1.066</f>
        <v>733.08820000000014</v>
      </c>
      <c r="T149" s="881">
        <f>+S149*1.1</f>
        <v>806.39702000000023</v>
      </c>
      <c r="U149" s="881">
        <f>+T149*1.1</f>
        <v>887.03672200000028</v>
      </c>
    </row>
    <row r="150" spans="1:21" ht="15.6" x14ac:dyDescent="0.3">
      <c r="A150" s="878"/>
      <c r="B150" s="628" t="s">
        <v>1015</v>
      </c>
      <c r="C150" s="628"/>
      <c r="D150" s="788"/>
      <c r="E150" s="876"/>
      <c r="F150" s="876"/>
      <c r="G150" s="876"/>
      <c r="H150" s="876"/>
      <c r="I150" s="876"/>
      <c r="J150" s="876"/>
      <c r="K150" s="876"/>
      <c r="L150" s="876"/>
      <c r="M150" s="876"/>
      <c r="N150" s="876"/>
      <c r="O150" s="876"/>
      <c r="P150" s="879"/>
      <c r="Q150" s="881">
        <v>242</v>
      </c>
      <c r="R150" s="881">
        <f>+Q150*1.058</f>
        <v>256.036</v>
      </c>
      <c r="S150" s="881">
        <f>+R150*1.066</f>
        <v>272.93437600000004</v>
      </c>
      <c r="T150" s="881">
        <f>+S150*1.1</f>
        <v>300.22781360000005</v>
      </c>
      <c r="U150" s="881">
        <f>+T150*1.1</f>
        <v>330.25059496000006</v>
      </c>
    </row>
    <row r="151" spans="1:21" ht="15.6" x14ac:dyDescent="0.3">
      <c r="A151" s="878"/>
      <c r="B151" s="628"/>
      <c r="C151" s="628"/>
      <c r="D151" s="788"/>
      <c r="E151" s="876"/>
      <c r="F151" s="876"/>
      <c r="G151" s="876"/>
      <c r="H151" s="876"/>
      <c r="I151" s="876"/>
      <c r="J151" s="876"/>
      <c r="K151" s="876"/>
      <c r="L151" s="876"/>
      <c r="M151" s="876"/>
      <c r="N151" s="876"/>
      <c r="O151" s="876"/>
      <c r="P151" s="879"/>
      <c r="Q151" s="879"/>
      <c r="R151" s="881"/>
      <c r="S151" s="881"/>
      <c r="T151" s="881"/>
      <c r="U151" s="881"/>
    </row>
    <row r="152" spans="1:21" ht="16.2" thickBot="1" x14ac:dyDescent="0.35">
      <c r="A152" s="882"/>
      <c r="B152" s="644"/>
      <c r="C152" s="644"/>
      <c r="D152" s="863"/>
      <c r="E152" s="876"/>
      <c r="F152" s="876"/>
      <c r="G152" s="876"/>
      <c r="H152" s="876"/>
      <c r="I152" s="876"/>
      <c r="J152" s="876"/>
      <c r="K152" s="876"/>
      <c r="L152" s="876"/>
      <c r="M152" s="876"/>
      <c r="N152" s="876"/>
      <c r="O152" s="876"/>
      <c r="P152" s="883"/>
      <c r="Q152" s="883"/>
      <c r="R152" s="883"/>
      <c r="S152" s="883"/>
      <c r="T152" s="883"/>
      <c r="U152" s="883"/>
    </row>
    <row r="153" spans="1:21" ht="16.2" thickBot="1" x14ac:dyDescent="0.35">
      <c r="A153" s="651">
        <v>16</v>
      </c>
      <c r="B153" s="654" t="s">
        <v>1013</v>
      </c>
      <c r="C153" s="653"/>
      <c r="D153" s="653"/>
      <c r="E153" s="653"/>
      <c r="F153" s="653"/>
      <c r="G153" s="653"/>
      <c r="H153" s="653"/>
      <c r="I153" s="653"/>
      <c r="J153" s="653"/>
      <c r="K153" s="653"/>
      <c r="L153" s="653"/>
      <c r="M153" s="653"/>
      <c r="N153" s="653"/>
      <c r="O153" s="653"/>
      <c r="P153" s="653"/>
      <c r="Q153" s="653"/>
      <c r="R153" s="843"/>
      <c r="S153" s="843"/>
      <c r="T153" s="843"/>
      <c r="U153" s="843"/>
    </row>
    <row r="154" spans="1:21" ht="15.6" x14ac:dyDescent="0.3">
      <c r="A154" s="884"/>
      <c r="B154" s="876" t="s">
        <v>1016</v>
      </c>
      <c r="C154" s="884"/>
      <c r="D154" s="884"/>
      <c r="E154" s="876"/>
      <c r="F154" s="876"/>
      <c r="G154" s="876"/>
      <c r="H154" s="876"/>
      <c r="I154" s="876"/>
      <c r="J154" s="876"/>
      <c r="K154" s="876"/>
      <c r="L154" s="876"/>
      <c r="M154" s="876"/>
      <c r="N154" s="876"/>
      <c r="O154" s="876"/>
      <c r="P154" s="877"/>
      <c r="Q154" s="877"/>
      <c r="R154" s="885">
        <v>348</v>
      </c>
      <c r="S154" s="885">
        <f>+R154*1.066</f>
        <v>370.96800000000002</v>
      </c>
      <c r="T154" s="885">
        <f>+S154*1.064</f>
        <v>394.70995200000004</v>
      </c>
      <c r="U154" s="885">
        <f>+T154*1.053</f>
        <v>415.62957945600004</v>
      </c>
    </row>
    <row r="155" spans="1:21" ht="15.6" x14ac:dyDescent="0.3">
      <c r="A155" s="884"/>
      <c r="B155" s="876" t="s">
        <v>1017</v>
      </c>
      <c r="C155" s="884"/>
      <c r="D155" s="884"/>
      <c r="E155" s="876"/>
      <c r="F155" s="876"/>
      <c r="G155" s="876"/>
      <c r="H155" s="876"/>
      <c r="I155" s="876"/>
      <c r="J155" s="876"/>
      <c r="K155" s="876"/>
      <c r="L155" s="876"/>
      <c r="M155" s="876"/>
      <c r="N155" s="876"/>
      <c r="O155" s="876"/>
      <c r="P155" s="879"/>
      <c r="Q155" s="879"/>
      <c r="R155" s="879">
        <v>560.65</v>
      </c>
      <c r="S155" s="881">
        <f>+R155*1.066</f>
        <v>597.65290000000005</v>
      </c>
      <c r="T155" s="881">
        <f>+S155*1.064</f>
        <v>635.90268560000004</v>
      </c>
      <c r="U155" s="881">
        <f>+T155*1.053</f>
        <v>669.60552793680006</v>
      </c>
    </row>
    <row r="156" spans="1:21" ht="15.6" x14ac:dyDescent="0.3">
      <c r="A156" s="884"/>
      <c r="B156" s="884"/>
      <c r="C156" s="884"/>
      <c r="D156" s="884"/>
      <c r="E156" s="876"/>
      <c r="F156" s="876"/>
      <c r="G156" s="876"/>
      <c r="H156" s="876"/>
      <c r="I156" s="876"/>
      <c r="J156" s="876"/>
      <c r="K156" s="876"/>
      <c r="L156" s="876"/>
      <c r="M156" s="876"/>
      <c r="N156" s="876"/>
      <c r="O156" s="876"/>
      <c r="P156" s="879"/>
      <c r="Q156" s="879"/>
      <c r="R156" s="879"/>
      <c r="S156" s="879"/>
      <c r="U156" s="426"/>
    </row>
    <row r="157" spans="1:21" ht="16.2" thickBot="1" x14ac:dyDescent="0.35">
      <c r="A157" s="643" t="s">
        <v>1035</v>
      </c>
      <c r="B157" s="884"/>
      <c r="C157" s="884"/>
      <c r="D157" s="884"/>
      <c r="E157" s="876"/>
      <c r="F157" s="876"/>
      <c r="G157" s="876"/>
      <c r="H157" s="876"/>
      <c r="I157" s="876"/>
      <c r="J157" s="876"/>
      <c r="K157" s="876"/>
      <c r="L157" s="876"/>
      <c r="M157" s="876"/>
      <c r="N157" s="876"/>
      <c r="O157" s="876"/>
      <c r="P157" s="879"/>
      <c r="Q157" s="879"/>
      <c r="R157" s="879"/>
      <c r="S157" s="879"/>
    </row>
    <row r="158" spans="1:21" ht="16.2" thickBot="1" x14ac:dyDescent="0.35">
      <c r="A158" s="884"/>
      <c r="B158" s="884"/>
      <c r="C158" s="884"/>
      <c r="D158" s="884"/>
      <c r="E158" s="876"/>
      <c r="F158" s="876"/>
      <c r="G158" s="876"/>
      <c r="H158" s="876"/>
      <c r="I158" s="876"/>
      <c r="J158" s="876"/>
      <c r="K158" s="876"/>
      <c r="L158" s="876"/>
      <c r="M158" s="876"/>
      <c r="N158" s="876"/>
      <c r="O158" s="876"/>
      <c r="P158" s="883"/>
      <c r="Q158" s="883"/>
      <c r="R158" s="883"/>
      <c r="S158" s="883"/>
    </row>
    <row r="170" spans="1:1" ht="24.6" x14ac:dyDescent="0.4">
      <c r="A170" s="54" t="s">
        <v>1023</v>
      </c>
    </row>
  </sheetData>
  <mergeCells count="1">
    <mergeCell ref="A2:I2"/>
  </mergeCells>
  <pageMargins left="0.7" right="0.7" top="0.75" bottom="0.75" header="0.3" footer="0.3"/>
  <pageSetup scale="60" fitToHeight="0" orientation="portrait" horizontalDpi="4294967293" verticalDpi="4294967293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66"/>
  <sheetViews>
    <sheetView topLeftCell="A41" workbookViewId="0">
      <selection activeCell="B1" sqref="B1"/>
    </sheetView>
  </sheetViews>
  <sheetFormatPr defaultColWidth="8.88671875" defaultRowHeight="15" x14ac:dyDescent="0.25"/>
  <cols>
    <col min="1" max="1" width="8.88671875" style="673"/>
    <col min="2" max="2" width="54.44140625" style="673" customWidth="1"/>
    <col min="3" max="14" width="0" style="673" hidden="1" customWidth="1"/>
    <col min="15" max="15" width="19" style="673" hidden="1" customWidth="1"/>
    <col min="16" max="16" width="16.5546875" style="673" hidden="1" customWidth="1"/>
    <col min="17" max="17" width="19.33203125" style="673" hidden="1" customWidth="1"/>
    <col min="18" max="18" width="15" style="673" hidden="1" customWidth="1"/>
    <col min="19" max="20" width="15.6640625" style="673" customWidth="1"/>
    <col min="21" max="21" width="8.88671875" style="673" customWidth="1"/>
    <col min="22" max="16384" width="8.88671875" style="673"/>
  </cols>
  <sheetData>
    <row r="1" spans="1:20" s="622" customFormat="1" ht="16.2" thickBot="1" x14ac:dyDescent="0.35">
      <c r="B1" s="622" t="s">
        <v>1076</v>
      </c>
    </row>
    <row r="2" spans="1:20" ht="15.6" x14ac:dyDescent="0.3">
      <c r="A2" s="965" t="s">
        <v>985</v>
      </c>
      <c r="B2" s="966"/>
      <c r="C2" s="966"/>
      <c r="D2" s="966"/>
      <c r="E2" s="966"/>
      <c r="F2" s="966"/>
      <c r="G2" s="966"/>
      <c r="H2" s="966"/>
      <c r="I2" s="967"/>
      <c r="J2" s="623" t="s">
        <v>378</v>
      </c>
      <c r="K2" s="623" t="s">
        <v>378</v>
      </c>
      <c r="L2" s="624" t="s">
        <v>378</v>
      </c>
      <c r="M2" s="623" t="s">
        <v>378</v>
      </c>
      <c r="N2" s="624" t="s">
        <v>378</v>
      </c>
      <c r="O2" s="625"/>
      <c r="P2" s="624" t="s">
        <v>527</v>
      </c>
      <c r="Q2" s="624" t="s">
        <v>527</v>
      </c>
      <c r="R2" s="624" t="s">
        <v>527</v>
      </c>
      <c r="S2" s="624" t="s">
        <v>527</v>
      </c>
      <c r="T2" s="624" t="s">
        <v>527</v>
      </c>
    </row>
    <row r="3" spans="1:20" ht="15.6" x14ac:dyDescent="0.3">
      <c r="A3" s="627"/>
      <c r="B3" s="628"/>
      <c r="C3" s="628"/>
      <c r="D3" s="629"/>
      <c r="E3" s="629"/>
      <c r="F3" s="629"/>
      <c r="G3" s="629"/>
      <c r="H3" s="629"/>
      <c r="I3" s="629"/>
      <c r="J3" s="629"/>
      <c r="K3" s="628"/>
      <c r="L3" s="630"/>
      <c r="M3" s="631"/>
      <c r="N3" s="631"/>
      <c r="O3" s="632"/>
      <c r="P3" s="633" t="s">
        <v>947</v>
      </c>
      <c r="Q3" s="633" t="s">
        <v>947</v>
      </c>
      <c r="R3" s="633" t="s">
        <v>1038</v>
      </c>
      <c r="S3" s="633" t="s">
        <v>1038</v>
      </c>
      <c r="T3" s="633" t="s">
        <v>1038</v>
      </c>
    </row>
    <row r="4" spans="1:20" ht="16.2" x14ac:dyDescent="0.35">
      <c r="A4" s="627"/>
      <c r="B4" s="634"/>
      <c r="C4" s="634"/>
      <c r="D4" s="635"/>
      <c r="E4" s="636" t="s">
        <v>28</v>
      </c>
      <c r="F4" s="637"/>
      <c r="G4" s="636" t="s">
        <v>30</v>
      </c>
      <c r="H4" s="637"/>
      <c r="I4" s="636" t="s">
        <v>31</v>
      </c>
      <c r="J4" s="636" t="s">
        <v>32</v>
      </c>
      <c r="K4" s="636" t="s">
        <v>178</v>
      </c>
      <c r="L4" s="638" t="s">
        <v>179</v>
      </c>
      <c r="M4" s="639" t="s">
        <v>240</v>
      </c>
      <c r="N4" s="639" t="s">
        <v>245</v>
      </c>
      <c r="O4" s="640"/>
      <c r="P4" s="638" t="s">
        <v>382</v>
      </c>
      <c r="Q4" s="641" t="s">
        <v>407</v>
      </c>
      <c r="R4" s="642" t="s">
        <v>530</v>
      </c>
      <c r="S4" s="642" t="s">
        <v>886</v>
      </c>
      <c r="T4" s="642" t="s">
        <v>1063</v>
      </c>
    </row>
    <row r="5" spans="1:20" ht="16.8" thickBot="1" x14ac:dyDescent="0.4">
      <c r="A5" s="643"/>
      <c r="B5" s="644"/>
      <c r="C5" s="644"/>
      <c r="D5" s="645"/>
      <c r="E5" s="646" t="s">
        <v>201</v>
      </c>
      <c r="F5" s="646"/>
      <c r="G5" s="646" t="s">
        <v>201</v>
      </c>
      <c r="H5" s="646"/>
      <c r="I5" s="646" t="s">
        <v>201</v>
      </c>
      <c r="J5" s="646" t="s">
        <v>201</v>
      </c>
      <c r="K5" s="646" t="s">
        <v>201</v>
      </c>
      <c r="L5" s="647" t="s">
        <v>201</v>
      </c>
      <c r="M5" s="648" t="s">
        <v>201</v>
      </c>
      <c r="N5" s="648" t="s">
        <v>201</v>
      </c>
      <c r="O5" s="649"/>
      <c r="P5" s="647" t="s">
        <v>201</v>
      </c>
      <c r="Q5" s="650" t="s">
        <v>201</v>
      </c>
      <c r="R5" s="647" t="s">
        <v>201</v>
      </c>
      <c r="S5" s="647" t="s">
        <v>201</v>
      </c>
      <c r="T5" s="647" t="s">
        <v>201</v>
      </c>
    </row>
    <row r="6" spans="1:20" ht="16.2" thickBot="1" x14ac:dyDescent="0.35">
      <c r="A6" s="725"/>
      <c r="B6" s="726"/>
      <c r="C6" s="726"/>
      <c r="D6" s="726"/>
      <c r="E6" s="726"/>
      <c r="F6" s="726"/>
      <c r="G6" s="726"/>
      <c r="H6" s="726"/>
      <c r="I6" s="726"/>
      <c r="J6" s="726"/>
      <c r="K6" s="726"/>
      <c r="L6" s="726"/>
      <c r="M6" s="726"/>
      <c r="N6" s="726"/>
      <c r="O6" s="726"/>
      <c r="P6" s="826" t="s">
        <v>947</v>
      </c>
      <c r="Q6" s="826" t="s">
        <v>947</v>
      </c>
      <c r="R6" s="826" t="s">
        <v>947</v>
      </c>
      <c r="S6" s="826" t="s">
        <v>947</v>
      </c>
      <c r="T6" s="826" t="s">
        <v>947</v>
      </c>
    </row>
    <row r="7" spans="1:20" ht="13.95" customHeight="1" thickBot="1" x14ac:dyDescent="0.35">
      <c r="A7" s="827">
        <v>17</v>
      </c>
      <c r="B7" s="828" t="s">
        <v>989</v>
      </c>
      <c r="C7" s="828"/>
      <c r="D7" s="828"/>
      <c r="E7" s="828"/>
      <c r="F7" s="828"/>
      <c r="G7" s="828"/>
      <c r="H7" s="828"/>
      <c r="I7" s="828"/>
      <c r="J7" s="828"/>
      <c r="K7" s="828"/>
      <c r="L7" s="828"/>
      <c r="M7" s="828"/>
      <c r="N7" s="829"/>
      <c r="O7" s="734"/>
      <c r="P7" s="734"/>
      <c r="Q7" s="721"/>
      <c r="R7" s="722"/>
      <c r="S7" s="871" t="s">
        <v>1031</v>
      </c>
      <c r="T7" s="871" t="s">
        <v>1031</v>
      </c>
    </row>
    <row r="8" spans="1:20" ht="15.6" x14ac:dyDescent="0.3">
      <c r="A8" s="723"/>
      <c r="B8" s="738" t="s">
        <v>1027</v>
      </c>
      <c r="C8" s="738"/>
      <c r="D8" s="830"/>
      <c r="E8" s="830"/>
      <c r="F8" s="830"/>
      <c r="G8" s="830"/>
      <c r="H8" s="830"/>
      <c r="I8" s="830"/>
      <c r="J8" s="830"/>
      <c r="K8" s="738"/>
      <c r="L8" s="738"/>
      <c r="M8" s="738"/>
      <c r="N8" s="738"/>
      <c r="O8" s="739"/>
      <c r="P8" s="740"/>
      <c r="Q8" s="740"/>
      <c r="R8" s="740"/>
      <c r="S8" s="740"/>
      <c r="T8" s="740"/>
    </row>
    <row r="9" spans="1:20" ht="15.6" x14ac:dyDescent="0.3">
      <c r="A9" s="702"/>
      <c r="B9" s="831" t="s">
        <v>916</v>
      </c>
      <c r="C9" s="718"/>
      <c r="D9" s="783"/>
      <c r="E9" s="783"/>
      <c r="F9" s="783"/>
      <c r="G9" s="783"/>
      <c r="H9" s="783"/>
      <c r="I9" s="783"/>
      <c r="J9" s="783"/>
      <c r="K9" s="718"/>
      <c r="L9" s="718"/>
      <c r="M9" s="718"/>
      <c r="N9" s="718"/>
      <c r="O9" s="719"/>
      <c r="P9" s="720"/>
      <c r="Q9" s="720"/>
      <c r="R9" s="666">
        <v>4000</v>
      </c>
      <c r="S9" s="666">
        <v>20</v>
      </c>
      <c r="T9" s="666">
        <v>20</v>
      </c>
    </row>
    <row r="10" spans="1:20" ht="15.6" x14ac:dyDescent="0.3">
      <c r="A10" s="702"/>
      <c r="B10" s="831" t="s">
        <v>917</v>
      </c>
      <c r="C10" s="718"/>
      <c r="D10" s="783"/>
      <c r="E10" s="783"/>
      <c r="F10" s="783"/>
      <c r="G10" s="783"/>
      <c r="H10" s="783"/>
      <c r="I10" s="783"/>
      <c r="J10" s="783"/>
      <c r="K10" s="718"/>
      <c r="L10" s="718"/>
      <c r="M10" s="718"/>
      <c r="N10" s="718"/>
      <c r="O10" s="719"/>
      <c r="P10" s="720"/>
      <c r="Q10" s="720"/>
      <c r="R10" s="666">
        <v>6000</v>
      </c>
      <c r="S10" s="666">
        <v>15</v>
      </c>
      <c r="T10" s="666">
        <v>15</v>
      </c>
    </row>
    <row r="11" spans="1:20" ht="15.6" x14ac:dyDescent="0.3">
      <c r="A11" s="702"/>
      <c r="B11" s="831" t="s">
        <v>918</v>
      </c>
      <c r="C11" s="718"/>
      <c r="D11" s="783"/>
      <c r="E11" s="783"/>
      <c r="F11" s="783"/>
      <c r="G11" s="783"/>
      <c r="H11" s="783"/>
      <c r="I11" s="783"/>
      <c r="J11" s="783"/>
      <c r="K11" s="718"/>
      <c r="L11" s="718"/>
      <c r="M11" s="718"/>
      <c r="N11" s="718"/>
      <c r="O11" s="719"/>
      <c r="P11" s="720"/>
      <c r="Q11" s="720"/>
      <c r="R11" s="666">
        <v>7500</v>
      </c>
      <c r="S11" s="666">
        <v>10</v>
      </c>
      <c r="T11" s="666">
        <v>10</v>
      </c>
    </row>
    <row r="12" spans="1:20" ht="15.6" x14ac:dyDescent="0.3">
      <c r="A12" s="702"/>
      <c r="B12" s="831" t="s">
        <v>1028</v>
      </c>
      <c r="C12" s="718"/>
      <c r="D12" s="783"/>
      <c r="E12" s="783"/>
      <c r="F12" s="783"/>
      <c r="G12" s="783"/>
      <c r="H12" s="783"/>
      <c r="I12" s="783"/>
      <c r="J12" s="783"/>
      <c r="K12" s="718"/>
      <c r="L12" s="718"/>
      <c r="M12" s="718"/>
      <c r="N12" s="718"/>
      <c r="O12" s="719"/>
      <c r="P12" s="720"/>
      <c r="Q12" s="720"/>
      <c r="R12" s="666"/>
      <c r="S12" s="666"/>
      <c r="T12" s="666"/>
    </row>
    <row r="13" spans="1:20" ht="15.6" x14ac:dyDescent="0.3">
      <c r="A13" s="702"/>
      <c r="B13" s="831" t="s">
        <v>916</v>
      </c>
      <c r="C13" s="718"/>
      <c r="D13" s="783"/>
      <c r="E13" s="783"/>
      <c r="F13" s="783"/>
      <c r="G13" s="783"/>
      <c r="H13" s="783"/>
      <c r="I13" s="783"/>
      <c r="J13" s="783"/>
      <c r="K13" s="718"/>
      <c r="L13" s="718"/>
      <c r="M13" s="718"/>
      <c r="N13" s="718"/>
      <c r="O13" s="719"/>
      <c r="P13" s="720"/>
      <c r="Q13" s="720"/>
      <c r="R13" s="666"/>
      <c r="S13" s="666">
        <v>15</v>
      </c>
      <c r="T13" s="666">
        <v>15</v>
      </c>
    </row>
    <row r="14" spans="1:20" ht="15.6" x14ac:dyDescent="0.3">
      <c r="A14" s="702"/>
      <c r="B14" s="831" t="s">
        <v>917</v>
      </c>
      <c r="C14" s="718"/>
      <c r="D14" s="783"/>
      <c r="E14" s="783"/>
      <c r="F14" s="783"/>
      <c r="G14" s="783"/>
      <c r="H14" s="783"/>
      <c r="I14" s="783"/>
      <c r="J14" s="783"/>
      <c r="K14" s="718"/>
      <c r="L14" s="718"/>
      <c r="M14" s="718"/>
      <c r="N14" s="718"/>
      <c r="O14" s="719"/>
      <c r="P14" s="720"/>
      <c r="Q14" s="720"/>
      <c r="R14" s="666"/>
      <c r="S14" s="666">
        <v>13</v>
      </c>
      <c r="T14" s="666">
        <v>13</v>
      </c>
    </row>
    <row r="15" spans="1:20" ht="15.6" x14ac:dyDescent="0.3">
      <c r="A15" s="702"/>
      <c r="B15" s="831" t="s">
        <v>918</v>
      </c>
      <c r="C15" s="718"/>
      <c r="D15" s="783"/>
      <c r="E15" s="783"/>
      <c r="F15" s="783"/>
      <c r="G15" s="783"/>
      <c r="H15" s="783"/>
      <c r="I15" s="783"/>
      <c r="J15" s="783"/>
      <c r="K15" s="718"/>
      <c r="L15" s="718"/>
      <c r="M15" s="718"/>
      <c r="N15" s="718"/>
      <c r="O15" s="719"/>
      <c r="P15" s="720"/>
      <c r="Q15" s="720"/>
      <c r="R15" s="666"/>
      <c r="S15" s="666">
        <v>11</v>
      </c>
      <c r="T15" s="666">
        <v>11</v>
      </c>
    </row>
    <row r="16" spans="1:20" ht="15.6" x14ac:dyDescent="0.3">
      <c r="A16" s="702"/>
      <c r="B16" s="831" t="s">
        <v>1029</v>
      </c>
      <c r="C16" s="718"/>
      <c r="D16" s="783"/>
      <c r="E16" s="783"/>
      <c r="F16" s="783"/>
      <c r="G16" s="783"/>
      <c r="H16" s="783"/>
      <c r="I16" s="783"/>
      <c r="J16" s="783"/>
      <c r="K16" s="718"/>
      <c r="L16" s="718"/>
      <c r="M16" s="718"/>
      <c r="N16" s="718"/>
      <c r="O16" s="719"/>
      <c r="P16" s="720"/>
      <c r="Q16" s="720"/>
      <c r="R16" s="666"/>
      <c r="S16" s="666"/>
      <c r="T16" s="666"/>
    </row>
    <row r="17" spans="1:20" ht="15.6" x14ac:dyDescent="0.3">
      <c r="A17" s="702"/>
      <c r="B17" s="831" t="s">
        <v>916</v>
      </c>
      <c r="C17" s="718"/>
      <c r="D17" s="783"/>
      <c r="E17" s="783"/>
      <c r="F17" s="783"/>
      <c r="G17" s="783"/>
      <c r="H17" s="783"/>
      <c r="I17" s="783"/>
      <c r="J17" s="783"/>
      <c r="K17" s="718"/>
      <c r="L17" s="718"/>
      <c r="M17" s="718"/>
      <c r="N17" s="718"/>
      <c r="O17" s="719"/>
      <c r="P17" s="720"/>
      <c r="Q17" s="720"/>
      <c r="R17" s="666"/>
      <c r="S17" s="666">
        <v>22</v>
      </c>
      <c r="T17" s="666">
        <v>22</v>
      </c>
    </row>
    <row r="18" spans="1:20" ht="15.6" x14ac:dyDescent="0.3">
      <c r="A18" s="702"/>
      <c r="B18" s="831" t="s">
        <v>917</v>
      </c>
      <c r="C18" s="718"/>
      <c r="D18" s="783"/>
      <c r="E18" s="783"/>
      <c r="F18" s="783"/>
      <c r="G18" s="783"/>
      <c r="H18" s="783"/>
      <c r="I18" s="783"/>
      <c r="J18" s="783"/>
      <c r="K18" s="718"/>
      <c r="L18" s="718"/>
      <c r="M18" s="718"/>
      <c r="N18" s="718"/>
      <c r="O18" s="719"/>
      <c r="P18" s="720"/>
      <c r="Q18" s="720"/>
      <c r="R18" s="666"/>
      <c r="S18" s="666">
        <v>20</v>
      </c>
      <c r="T18" s="666">
        <v>20</v>
      </c>
    </row>
    <row r="19" spans="1:20" ht="15.6" x14ac:dyDescent="0.3">
      <c r="A19" s="702"/>
      <c r="B19" s="831" t="s">
        <v>918</v>
      </c>
      <c r="C19" s="718"/>
      <c r="D19" s="783"/>
      <c r="E19" s="783"/>
      <c r="F19" s="783"/>
      <c r="G19" s="783"/>
      <c r="H19" s="783"/>
      <c r="I19" s="783"/>
      <c r="J19" s="783"/>
      <c r="K19" s="718"/>
      <c r="L19" s="718"/>
      <c r="M19" s="718"/>
      <c r="N19" s="718"/>
      <c r="O19" s="719"/>
      <c r="P19" s="720"/>
      <c r="Q19" s="720"/>
      <c r="R19" s="666"/>
      <c r="S19" s="666">
        <v>13</v>
      </c>
      <c r="T19" s="666">
        <v>13</v>
      </c>
    </row>
    <row r="20" spans="1:20" ht="15.6" x14ac:dyDescent="0.3">
      <c r="A20" s="702"/>
      <c r="B20" s="831" t="s">
        <v>1030</v>
      </c>
      <c r="C20" s="718"/>
      <c r="D20" s="783"/>
      <c r="E20" s="783"/>
      <c r="F20" s="783"/>
      <c r="G20" s="783"/>
      <c r="H20" s="783"/>
      <c r="I20" s="783"/>
      <c r="J20" s="783"/>
      <c r="K20" s="718"/>
      <c r="L20" s="718"/>
      <c r="M20" s="718"/>
      <c r="N20" s="718"/>
      <c r="O20" s="719"/>
      <c r="P20" s="720"/>
      <c r="Q20" s="720"/>
      <c r="R20" s="666"/>
      <c r="S20" s="666"/>
      <c r="T20" s="666"/>
    </row>
    <row r="21" spans="1:20" ht="15.6" x14ac:dyDescent="0.3">
      <c r="A21" s="702"/>
      <c r="B21" s="831" t="s">
        <v>916</v>
      </c>
      <c r="C21" s="718"/>
      <c r="D21" s="783"/>
      <c r="E21" s="783"/>
      <c r="F21" s="783"/>
      <c r="G21" s="783"/>
      <c r="H21" s="783"/>
      <c r="I21" s="783"/>
      <c r="J21" s="783"/>
      <c r="K21" s="718"/>
      <c r="L21" s="718"/>
      <c r="M21" s="718"/>
      <c r="N21" s="718"/>
      <c r="O21" s="719"/>
      <c r="P21" s="720"/>
      <c r="Q21" s="720"/>
      <c r="R21" s="666"/>
      <c r="S21" s="666">
        <v>20</v>
      </c>
      <c r="T21" s="666">
        <v>20</v>
      </c>
    </row>
    <row r="22" spans="1:20" ht="15.6" x14ac:dyDescent="0.3">
      <c r="A22" s="702"/>
      <c r="B22" s="831" t="s">
        <v>917</v>
      </c>
      <c r="C22" s="718"/>
      <c r="D22" s="783"/>
      <c r="E22" s="783"/>
      <c r="F22" s="783"/>
      <c r="G22" s="783"/>
      <c r="H22" s="783"/>
      <c r="I22" s="783"/>
      <c r="J22" s="783"/>
      <c r="K22" s="718"/>
      <c r="L22" s="718"/>
      <c r="M22" s="718"/>
      <c r="N22" s="718"/>
      <c r="O22" s="719"/>
      <c r="P22" s="720"/>
      <c r="Q22" s="720"/>
      <c r="R22" s="666"/>
      <c r="S22" s="666">
        <v>18</v>
      </c>
      <c r="T22" s="666">
        <v>18</v>
      </c>
    </row>
    <row r="23" spans="1:20" ht="15.6" x14ac:dyDescent="0.3">
      <c r="A23" s="702"/>
      <c r="B23" s="831" t="s">
        <v>918</v>
      </c>
      <c r="C23" s="718"/>
      <c r="D23" s="783"/>
      <c r="E23" s="783"/>
      <c r="F23" s="783"/>
      <c r="G23" s="783"/>
      <c r="H23" s="783"/>
      <c r="I23" s="783"/>
      <c r="J23" s="783"/>
      <c r="K23" s="718"/>
      <c r="L23" s="718"/>
      <c r="M23" s="718"/>
      <c r="N23" s="718"/>
      <c r="O23" s="719"/>
      <c r="P23" s="720"/>
      <c r="Q23" s="720"/>
      <c r="R23" s="666"/>
      <c r="S23" s="666">
        <v>11</v>
      </c>
      <c r="T23" s="666">
        <v>11</v>
      </c>
    </row>
    <row r="24" spans="1:20" ht="15.6" x14ac:dyDescent="0.3">
      <c r="A24" s="702"/>
      <c r="B24" s="831"/>
      <c r="C24" s="718"/>
      <c r="D24" s="783"/>
      <c r="E24" s="783"/>
      <c r="F24" s="783"/>
      <c r="G24" s="783"/>
      <c r="H24" s="783"/>
      <c r="I24" s="783"/>
      <c r="J24" s="783"/>
      <c r="K24" s="718"/>
      <c r="L24" s="718"/>
      <c r="M24" s="718"/>
      <c r="N24" s="718"/>
      <c r="O24" s="719"/>
      <c r="P24" s="720"/>
      <c r="Q24" s="720"/>
      <c r="R24" s="666"/>
      <c r="S24" s="666"/>
      <c r="T24" s="666"/>
    </row>
    <row r="25" spans="1:20" ht="15.6" x14ac:dyDescent="0.3">
      <c r="A25" s="702"/>
      <c r="B25" s="832" t="s">
        <v>919</v>
      </c>
      <c r="C25" s="718"/>
      <c r="D25" s="783"/>
      <c r="E25" s="783"/>
      <c r="F25" s="783"/>
      <c r="G25" s="783"/>
      <c r="H25" s="783"/>
      <c r="I25" s="783"/>
      <c r="J25" s="783"/>
      <c r="K25" s="718"/>
      <c r="L25" s="718"/>
      <c r="M25" s="718"/>
      <c r="N25" s="718"/>
      <c r="O25" s="719"/>
      <c r="P25" s="720"/>
      <c r="Q25" s="720"/>
      <c r="R25" s="666">
        <v>2000</v>
      </c>
      <c r="S25" s="666">
        <v>2000</v>
      </c>
      <c r="T25" s="666">
        <v>2000</v>
      </c>
    </row>
    <row r="26" spans="1:20" ht="31.2" x14ac:dyDescent="0.3">
      <c r="A26" s="702"/>
      <c r="B26" s="833" t="s">
        <v>920</v>
      </c>
      <c r="C26" s="718"/>
      <c r="D26" s="783"/>
      <c r="E26" s="783"/>
      <c r="F26" s="783"/>
      <c r="G26" s="783"/>
      <c r="H26" s="783"/>
      <c r="I26" s="783"/>
      <c r="J26" s="783"/>
      <c r="K26" s="718"/>
      <c r="L26" s="718"/>
      <c r="M26" s="718"/>
      <c r="N26" s="718"/>
      <c r="O26" s="719"/>
      <c r="P26" s="720"/>
      <c r="Q26" s="720"/>
      <c r="R26" s="666">
        <v>1200</v>
      </c>
      <c r="S26" s="666">
        <v>1200</v>
      </c>
      <c r="T26" s="666">
        <v>1200</v>
      </c>
    </row>
    <row r="27" spans="1:20" ht="15.6" x14ac:dyDescent="0.3">
      <c r="A27" s="702"/>
      <c r="B27" s="832" t="s">
        <v>921</v>
      </c>
      <c r="C27" s="718"/>
      <c r="D27" s="783"/>
      <c r="E27" s="783"/>
      <c r="F27" s="783"/>
      <c r="G27" s="783"/>
      <c r="H27" s="783"/>
      <c r="I27" s="783"/>
      <c r="J27" s="783"/>
      <c r="K27" s="718"/>
      <c r="L27" s="718"/>
      <c r="M27" s="718"/>
      <c r="N27" s="718"/>
      <c r="O27" s="719"/>
      <c r="P27" s="720"/>
      <c r="Q27" s="720"/>
      <c r="R27" s="666">
        <v>2000</v>
      </c>
      <c r="S27" s="666">
        <v>2000</v>
      </c>
      <c r="T27" s="666">
        <v>2000</v>
      </c>
    </row>
    <row r="28" spans="1:20" ht="15.6" x14ac:dyDescent="0.3">
      <c r="A28" s="702"/>
      <c r="B28" s="832" t="s">
        <v>922</v>
      </c>
      <c r="C28" s="718"/>
      <c r="D28" s="783"/>
      <c r="E28" s="783"/>
      <c r="F28" s="783"/>
      <c r="G28" s="783"/>
      <c r="H28" s="783"/>
      <c r="I28" s="783"/>
      <c r="J28" s="783"/>
      <c r="K28" s="718"/>
      <c r="L28" s="718"/>
      <c r="M28" s="718"/>
      <c r="N28" s="718"/>
      <c r="O28" s="719"/>
      <c r="P28" s="720"/>
      <c r="Q28" s="720"/>
      <c r="R28" s="666">
        <v>1000</v>
      </c>
      <c r="S28" s="666">
        <v>1000</v>
      </c>
      <c r="T28" s="666">
        <v>1000</v>
      </c>
    </row>
    <row r="29" spans="1:20" ht="15.6" x14ac:dyDescent="0.3">
      <c r="A29" s="702"/>
      <c r="B29" s="832" t="s">
        <v>923</v>
      </c>
      <c r="C29" s="718"/>
      <c r="D29" s="783"/>
      <c r="E29" s="783"/>
      <c r="F29" s="783"/>
      <c r="G29" s="783"/>
      <c r="H29" s="783"/>
      <c r="I29" s="783"/>
      <c r="J29" s="783"/>
      <c r="K29" s="718"/>
      <c r="L29" s="718"/>
      <c r="M29" s="718"/>
      <c r="N29" s="718"/>
      <c r="O29" s="719"/>
      <c r="P29" s="720"/>
      <c r="Q29" s="720"/>
      <c r="R29" s="666">
        <v>1000</v>
      </c>
      <c r="S29" s="666">
        <v>1000</v>
      </c>
      <c r="T29" s="666">
        <v>1000</v>
      </c>
    </row>
    <row r="30" spans="1:20" ht="15.6" x14ac:dyDescent="0.3">
      <c r="A30" s="702"/>
      <c r="B30" s="834" t="s">
        <v>924</v>
      </c>
      <c r="C30" s="718"/>
      <c r="D30" s="783"/>
      <c r="E30" s="783"/>
      <c r="F30" s="783"/>
      <c r="G30" s="783"/>
      <c r="H30" s="783"/>
      <c r="I30" s="783"/>
      <c r="J30" s="783"/>
      <c r="K30" s="718"/>
      <c r="L30" s="718"/>
      <c r="M30" s="718"/>
      <c r="N30" s="718"/>
      <c r="O30" s="719"/>
      <c r="P30" s="720"/>
      <c r="Q30" s="720"/>
      <c r="R30" s="666">
        <v>1000</v>
      </c>
      <c r="S30" s="666">
        <v>1000</v>
      </c>
      <c r="T30" s="666">
        <v>1000</v>
      </c>
    </row>
    <row r="31" spans="1:20" ht="15.6" x14ac:dyDescent="0.3">
      <c r="A31" s="702"/>
      <c r="B31" s="834" t="s">
        <v>925</v>
      </c>
      <c r="C31" s="718"/>
      <c r="D31" s="783"/>
      <c r="E31" s="783"/>
      <c r="F31" s="783"/>
      <c r="G31" s="783"/>
      <c r="H31" s="783"/>
      <c r="I31" s="783"/>
      <c r="J31" s="783"/>
      <c r="K31" s="718"/>
      <c r="L31" s="718"/>
      <c r="M31" s="718"/>
      <c r="N31" s="718"/>
      <c r="O31" s="719"/>
      <c r="P31" s="720"/>
      <c r="Q31" s="720"/>
      <c r="R31" s="666">
        <v>100</v>
      </c>
      <c r="S31" s="666">
        <v>100</v>
      </c>
      <c r="T31" s="666">
        <v>100</v>
      </c>
    </row>
    <row r="32" spans="1:20" ht="15.6" x14ac:dyDescent="0.3">
      <c r="A32" s="702"/>
      <c r="B32" s="832" t="s">
        <v>926</v>
      </c>
      <c r="C32" s="718"/>
      <c r="D32" s="783"/>
      <c r="E32" s="783"/>
      <c r="F32" s="783"/>
      <c r="G32" s="783"/>
      <c r="H32" s="783"/>
      <c r="I32" s="783"/>
      <c r="J32" s="783"/>
      <c r="K32" s="718"/>
      <c r="L32" s="718"/>
      <c r="M32" s="718"/>
      <c r="N32" s="718"/>
      <c r="O32" s="719"/>
      <c r="P32" s="720"/>
      <c r="Q32" s="720"/>
      <c r="R32" s="666">
        <v>1000</v>
      </c>
      <c r="S32" s="666">
        <v>1000</v>
      </c>
      <c r="T32" s="666">
        <v>1000</v>
      </c>
    </row>
    <row r="33" spans="1:21" ht="16.2" thickBot="1" x14ac:dyDescent="0.35">
      <c r="A33" s="702"/>
      <c r="B33" s="834" t="s">
        <v>927</v>
      </c>
      <c r="C33" s="718"/>
      <c r="D33" s="783"/>
      <c r="E33" s="783"/>
      <c r="F33" s="783"/>
      <c r="G33" s="783"/>
      <c r="H33" s="783"/>
      <c r="I33" s="783"/>
      <c r="J33" s="783"/>
      <c r="K33" s="718"/>
      <c r="L33" s="718"/>
      <c r="M33" s="718"/>
      <c r="N33" s="718"/>
      <c r="O33" s="719"/>
      <c r="P33" s="743"/>
      <c r="Q33" s="743"/>
      <c r="R33" s="776">
        <v>100</v>
      </c>
      <c r="S33" s="776">
        <v>100</v>
      </c>
      <c r="T33" s="776">
        <v>100</v>
      </c>
    </row>
    <row r="34" spans="1:21" ht="15.6" thickBot="1" x14ac:dyDescent="0.3">
      <c r="S34" s="886"/>
      <c r="T34" s="886"/>
    </row>
    <row r="35" spans="1:21" ht="16.2" thickBot="1" x14ac:dyDescent="0.35">
      <c r="A35" s="827">
        <v>18</v>
      </c>
      <c r="B35" s="830" t="s">
        <v>990</v>
      </c>
      <c r="C35" s="738"/>
      <c r="D35" s="830"/>
      <c r="E35" s="830"/>
      <c r="F35" s="830"/>
      <c r="G35" s="830"/>
      <c r="H35" s="830"/>
      <c r="I35" s="830"/>
      <c r="J35" s="830"/>
      <c r="K35" s="738"/>
      <c r="L35" s="738"/>
      <c r="M35" s="738"/>
      <c r="N35" s="738"/>
      <c r="O35" s="738"/>
      <c r="P35" s="737"/>
      <c r="Q35" s="737"/>
      <c r="R35" s="835"/>
      <c r="S35" s="835"/>
      <c r="T35" s="835"/>
    </row>
    <row r="36" spans="1:21" ht="15.6" x14ac:dyDescent="0.3">
      <c r="A36" s="723"/>
      <c r="B36" s="738"/>
      <c r="C36" s="738"/>
      <c r="D36" s="830"/>
      <c r="E36" s="830"/>
      <c r="F36" s="830"/>
      <c r="G36" s="830"/>
      <c r="H36" s="830"/>
      <c r="I36" s="830"/>
      <c r="J36" s="830"/>
      <c r="K36" s="738"/>
      <c r="L36" s="738"/>
      <c r="M36" s="738"/>
      <c r="N36" s="738"/>
      <c r="O36" s="739"/>
      <c r="P36" s="740"/>
      <c r="Q36" s="740"/>
      <c r="R36" s="836"/>
      <c r="S36" s="836"/>
      <c r="T36" s="836"/>
    </row>
    <row r="37" spans="1:21" ht="15.6" x14ac:dyDescent="0.3">
      <c r="A37" s="702"/>
      <c r="B37" s="718" t="s">
        <v>924</v>
      </c>
      <c r="C37" s="718"/>
      <c r="D37" s="783"/>
      <c r="E37" s="783"/>
      <c r="F37" s="783"/>
      <c r="G37" s="783"/>
      <c r="H37" s="783"/>
      <c r="I37" s="783"/>
      <c r="J37" s="783"/>
      <c r="K37" s="718"/>
      <c r="L37" s="718"/>
      <c r="M37" s="718"/>
      <c r="N37" s="718"/>
      <c r="O37" s="719"/>
      <c r="P37" s="720">
        <v>0</v>
      </c>
      <c r="Q37" s="720">
        <v>0</v>
      </c>
      <c r="R37" s="666">
        <v>1000</v>
      </c>
      <c r="S37" s="666">
        <v>1000</v>
      </c>
      <c r="T37" s="666">
        <v>1000</v>
      </c>
    </row>
    <row r="38" spans="1:21" ht="15.6" x14ac:dyDescent="0.3">
      <c r="A38" s="702"/>
      <c r="B38" s="837" t="s">
        <v>925</v>
      </c>
      <c r="C38" s="718"/>
      <c r="D38" s="783"/>
      <c r="E38" s="783"/>
      <c r="F38" s="783"/>
      <c r="G38" s="783"/>
      <c r="H38" s="783"/>
      <c r="I38" s="783"/>
      <c r="J38" s="783"/>
      <c r="K38" s="718"/>
      <c r="L38" s="718"/>
      <c r="M38" s="718"/>
      <c r="N38" s="718"/>
      <c r="O38" s="838"/>
      <c r="P38" s="720">
        <v>0</v>
      </c>
      <c r="Q38" s="720">
        <v>0</v>
      </c>
      <c r="R38" s="666">
        <v>100</v>
      </c>
      <c r="S38" s="666">
        <v>100</v>
      </c>
      <c r="T38" s="666">
        <v>100</v>
      </c>
    </row>
    <row r="39" spans="1:21" ht="15.6" x14ac:dyDescent="0.3">
      <c r="A39" s="702"/>
      <c r="B39" s="832" t="s">
        <v>926</v>
      </c>
      <c r="C39" s="718"/>
      <c r="D39" s="783"/>
      <c r="E39" s="783"/>
      <c r="F39" s="783"/>
      <c r="G39" s="783"/>
      <c r="H39" s="783"/>
      <c r="I39" s="783"/>
      <c r="J39" s="783"/>
      <c r="K39" s="718"/>
      <c r="L39" s="718"/>
      <c r="M39" s="718"/>
      <c r="N39" s="718"/>
      <c r="O39" s="719"/>
      <c r="P39" s="720">
        <v>0</v>
      </c>
      <c r="Q39" s="720">
        <v>0</v>
      </c>
      <c r="R39" s="666">
        <v>1000</v>
      </c>
      <c r="S39" s="666">
        <v>1000</v>
      </c>
      <c r="T39" s="666">
        <v>1000</v>
      </c>
    </row>
    <row r="40" spans="1:21" ht="15.6" x14ac:dyDescent="0.3">
      <c r="A40" s="702"/>
      <c r="B40" s="834" t="s">
        <v>927</v>
      </c>
      <c r="C40" s="718"/>
      <c r="D40" s="783"/>
      <c r="E40" s="783"/>
      <c r="F40" s="783"/>
      <c r="G40" s="783"/>
      <c r="H40" s="783"/>
      <c r="I40" s="783"/>
      <c r="J40" s="783"/>
      <c r="K40" s="718"/>
      <c r="L40" s="718"/>
      <c r="M40" s="718"/>
      <c r="N40" s="718"/>
      <c r="O40" s="719"/>
      <c r="P40" s="720">
        <v>0</v>
      </c>
      <c r="Q40" s="720">
        <v>0</v>
      </c>
      <c r="R40" s="666">
        <v>100</v>
      </c>
      <c r="S40" s="666">
        <v>100</v>
      </c>
      <c r="T40" s="666">
        <v>100</v>
      </c>
    </row>
    <row r="41" spans="1:21" ht="15.6" x14ac:dyDescent="0.3">
      <c r="A41" s="702"/>
      <c r="B41" s="832" t="s">
        <v>923</v>
      </c>
      <c r="C41" s="718"/>
      <c r="D41" s="783"/>
      <c r="E41" s="783"/>
      <c r="F41" s="783"/>
      <c r="G41" s="783"/>
      <c r="H41" s="783"/>
      <c r="I41" s="783"/>
      <c r="J41" s="783"/>
      <c r="K41" s="718"/>
      <c r="L41" s="718"/>
      <c r="M41" s="718"/>
      <c r="N41" s="718"/>
      <c r="O41" s="719"/>
      <c r="P41" s="720">
        <v>0</v>
      </c>
      <c r="Q41" s="720">
        <v>0</v>
      </c>
      <c r="R41" s="666">
        <v>1000</v>
      </c>
      <c r="S41" s="666">
        <v>1000</v>
      </c>
      <c r="T41" s="666">
        <v>1000</v>
      </c>
    </row>
    <row r="42" spans="1:21" ht="31.8" thickBot="1" x14ac:dyDescent="0.35">
      <c r="A42" s="702"/>
      <c r="B42" s="833" t="s">
        <v>920</v>
      </c>
      <c r="C42" s="718"/>
      <c r="D42" s="783"/>
      <c r="E42" s="783"/>
      <c r="F42" s="783"/>
      <c r="G42" s="783"/>
      <c r="H42" s="783"/>
      <c r="I42" s="783"/>
      <c r="J42" s="783"/>
      <c r="K42" s="718"/>
      <c r="L42" s="718"/>
      <c r="M42" s="718"/>
      <c r="N42" s="718"/>
      <c r="O42" s="719"/>
      <c r="P42" s="720">
        <v>0</v>
      </c>
      <c r="Q42" s="720">
        <v>0</v>
      </c>
      <c r="R42" s="666">
        <v>1200</v>
      </c>
      <c r="S42" s="666">
        <v>1200</v>
      </c>
      <c r="T42" s="666">
        <v>1200</v>
      </c>
    </row>
    <row r="43" spans="1:21" ht="16.2" thickBot="1" x14ac:dyDescent="0.35">
      <c r="A43" s="733">
        <v>19</v>
      </c>
      <c r="B43" s="652" t="s">
        <v>778</v>
      </c>
      <c r="C43" s="653"/>
      <c r="D43" s="654"/>
      <c r="E43" s="675"/>
      <c r="F43" s="655"/>
      <c r="G43" s="675"/>
      <c r="H43" s="655"/>
      <c r="I43" s="675"/>
      <c r="J43" s="675"/>
      <c r="K43" s="690"/>
      <c r="L43" s="839"/>
      <c r="M43" s="839"/>
      <c r="N43" s="839"/>
      <c r="O43" s="698"/>
      <c r="P43" s="697"/>
      <c r="Q43" s="697">
        <f>(P43*0.06)+P43</f>
        <v>0</v>
      </c>
      <c r="R43" s="660"/>
      <c r="S43" s="660"/>
      <c r="T43" s="660"/>
    </row>
    <row r="44" spans="1:21" ht="15.6" x14ac:dyDescent="0.3">
      <c r="A44" s="661"/>
      <c r="B44" s="662"/>
      <c r="C44" s="628"/>
      <c r="D44" s="629"/>
      <c r="E44" s="667"/>
      <c r="F44" s="635"/>
      <c r="G44" s="667"/>
      <c r="H44" s="635"/>
      <c r="I44" s="667"/>
      <c r="J44" s="667"/>
      <c r="K44" s="689"/>
      <c r="L44" s="840"/>
      <c r="M44" s="840"/>
      <c r="N44" s="840"/>
      <c r="O44" s="695"/>
      <c r="P44" s="694"/>
      <c r="Q44" s="694">
        <f>(P44*0.06)+P44</f>
        <v>0</v>
      </c>
      <c r="R44" s="666"/>
      <c r="S44" s="666"/>
      <c r="T44" s="666"/>
    </row>
    <row r="45" spans="1:21" ht="15.6" x14ac:dyDescent="0.3">
      <c r="A45" s="627"/>
      <c r="B45" s="628" t="s">
        <v>779</v>
      </c>
      <c r="C45" s="628"/>
      <c r="D45" s="629"/>
      <c r="E45" s="667"/>
      <c r="F45" s="635"/>
      <c r="G45" s="667"/>
      <c r="H45" s="635"/>
      <c r="I45" s="667"/>
      <c r="J45" s="667"/>
      <c r="K45" s="689"/>
      <c r="L45" s="840"/>
      <c r="M45" s="840"/>
      <c r="N45" s="840"/>
      <c r="O45" s="695"/>
      <c r="P45" s="694"/>
      <c r="Q45" s="694">
        <f>(P45*0.06)+P45</f>
        <v>0</v>
      </c>
      <c r="R45" s="666"/>
      <c r="S45" s="666"/>
      <c r="T45" s="666"/>
    </row>
    <row r="46" spans="1:21" ht="15.6" x14ac:dyDescent="0.3">
      <c r="A46" s="627"/>
      <c r="B46" s="628" t="s">
        <v>780</v>
      </c>
      <c r="C46" s="628"/>
      <c r="D46" s="629"/>
      <c r="E46" s="667" t="s">
        <v>781</v>
      </c>
      <c r="F46" s="635"/>
      <c r="G46" s="667" t="s">
        <v>781</v>
      </c>
      <c r="H46" s="635"/>
      <c r="I46" s="667" t="s">
        <v>782</v>
      </c>
      <c r="J46" s="667" t="s">
        <v>783</v>
      </c>
      <c r="K46" s="689" t="s">
        <v>784</v>
      </c>
      <c r="L46" s="840" t="s">
        <v>785</v>
      </c>
      <c r="M46" s="840" t="s">
        <v>786</v>
      </c>
      <c r="N46" s="840" t="s">
        <v>786</v>
      </c>
      <c r="O46" s="695" t="s">
        <v>786</v>
      </c>
      <c r="P46" s="694" t="s">
        <v>786</v>
      </c>
      <c r="Q46" s="694" t="s">
        <v>786</v>
      </c>
      <c r="R46" s="666">
        <f>1.37*1.058</f>
        <v>1.4494600000000002</v>
      </c>
      <c r="S46" s="666">
        <f>+R46*1.064</f>
        <v>1.5422254400000004</v>
      </c>
      <c r="T46" s="666">
        <f>+S46*1.053</f>
        <v>1.6239633883200004</v>
      </c>
      <c r="U46" s="673" t="s">
        <v>1026</v>
      </c>
    </row>
    <row r="47" spans="1:21" ht="15.6" x14ac:dyDescent="0.3">
      <c r="A47" s="627"/>
      <c r="B47" s="628" t="s">
        <v>787</v>
      </c>
      <c r="C47" s="628"/>
      <c r="D47" s="629"/>
      <c r="E47" s="667" t="s">
        <v>788</v>
      </c>
      <c r="F47" s="635"/>
      <c r="G47" s="667" t="s">
        <v>788</v>
      </c>
      <c r="H47" s="635"/>
      <c r="I47" s="667" t="s">
        <v>789</v>
      </c>
      <c r="J47" s="667" t="s">
        <v>790</v>
      </c>
      <c r="K47" s="689" t="s">
        <v>791</v>
      </c>
      <c r="L47" s="840" t="s">
        <v>792</v>
      </c>
      <c r="M47" s="840" t="s">
        <v>793</v>
      </c>
      <c r="N47" s="840" t="s">
        <v>793</v>
      </c>
      <c r="O47" s="695" t="s">
        <v>793</v>
      </c>
      <c r="P47" s="694" t="s">
        <v>793</v>
      </c>
      <c r="Q47" s="694" t="s">
        <v>793</v>
      </c>
      <c r="R47" s="666">
        <f>2.09*1.058</f>
        <v>2.21122</v>
      </c>
      <c r="S47" s="666">
        <f>+R47*1.064</f>
        <v>2.35273808</v>
      </c>
      <c r="T47" s="666">
        <f t="shared" ref="T47:T50" si="0">+S47*1.053</f>
        <v>2.47743319824</v>
      </c>
      <c r="U47" s="673" t="s">
        <v>1026</v>
      </c>
    </row>
    <row r="48" spans="1:21" ht="15.6" x14ac:dyDescent="0.3">
      <c r="A48" s="627"/>
      <c r="B48" s="628" t="s">
        <v>794</v>
      </c>
      <c r="C48" s="628"/>
      <c r="D48" s="629"/>
      <c r="E48" s="667" t="s">
        <v>795</v>
      </c>
      <c r="F48" s="635"/>
      <c r="G48" s="667" t="s">
        <v>795</v>
      </c>
      <c r="H48" s="635"/>
      <c r="I48" s="667" t="s">
        <v>796</v>
      </c>
      <c r="J48" s="667" t="s">
        <v>797</v>
      </c>
      <c r="K48" s="689" t="s">
        <v>798</v>
      </c>
      <c r="L48" s="840" t="s">
        <v>799</v>
      </c>
      <c r="M48" s="840" t="s">
        <v>800</v>
      </c>
      <c r="N48" s="840" t="s">
        <v>800</v>
      </c>
      <c r="O48" s="695" t="s">
        <v>800</v>
      </c>
      <c r="P48" s="694" t="s">
        <v>800</v>
      </c>
      <c r="Q48" s="694" t="s">
        <v>800</v>
      </c>
      <c r="R48" s="666">
        <f>3.43*1.058</f>
        <v>3.6289400000000005</v>
      </c>
      <c r="S48" s="666">
        <f>+R48*1.064</f>
        <v>3.8611921600000008</v>
      </c>
      <c r="T48" s="666">
        <f t="shared" si="0"/>
        <v>4.0658353444800008</v>
      </c>
      <c r="U48" s="673" t="s">
        <v>1026</v>
      </c>
    </row>
    <row r="49" spans="1:21" ht="15.6" x14ac:dyDescent="0.3">
      <c r="A49" s="627"/>
      <c r="B49" s="628" t="s">
        <v>801</v>
      </c>
      <c r="C49" s="628"/>
      <c r="D49" s="629"/>
      <c r="E49" s="667" t="s">
        <v>802</v>
      </c>
      <c r="F49" s="635"/>
      <c r="G49" s="667" t="s">
        <v>802</v>
      </c>
      <c r="H49" s="635"/>
      <c r="I49" s="667" t="s">
        <v>803</v>
      </c>
      <c r="J49" s="667" t="s">
        <v>804</v>
      </c>
      <c r="K49" s="689" t="s">
        <v>805</v>
      </c>
      <c r="L49" s="840" t="s">
        <v>806</v>
      </c>
      <c r="M49" s="840" t="s">
        <v>807</v>
      </c>
      <c r="N49" s="840" t="s">
        <v>807</v>
      </c>
      <c r="O49" s="695" t="s">
        <v>807</v>
      </c>
      <c r="P49" s="694" t="s">
        <v>807</v>
      </c>
      <c r="Q49" s="694" t="s">
        <v>807</v>
      </c>
      <c r="R49" s="666">
        <f>5.57*1.058</f>
        <v>5.8930600000000002</v>
      </c>
      <c r="S49" s="666">
        <f>+R49*1.064</f>
        <v>6.2702158400000005</v>
      </c>
      <c r="T49" s="666">
        <f t="shared" si="0"/>
        <v>6.6025372795199999</v>
      </c>
      <c r="U49" s="673" t="s">
        <v>1026</v>
      </c>
    </row>
    <row r="50" spans="1:21" ht="15.6" x14ac:dyDescent="0.3">
      <c r="A50" s="627"/>
      <c r="B50" s="628" t="s">
        <v>808</v>
      </c>
      <c r="C50" s="628"/>
      <c r="D50" s="629"/>
      <c r="E50" s="667"/>
      <c r="F50" s="635"/>
      <c r="G50" s="667"/>
      <c r="H50" s="635"/>
      <c r="I50" s="667"/>
      <c r="J50" s="635" t="s">
        <v>809</v>
      </c>
      <c r="K50" s="634" t="s">
        <v>810</v>
      </c>
      <c r="L50" s="706" t="s">
        <v>811</v>
      </c>
      <c r="M50" s="706" t="s">
        <v>812</v>
      </c>
      <c r="N50" s="706" t="s">
        <v>812</v>
      </c>
      <c r="O50" s="708" t="s">
        <v>812</v>
      </c>
      <c r="P50" s="707" t="s">
        <v>812</v>
      </c>
      <c r="Q50" s="707" t="s">
        <v>812</v>
      </c>
      <c r="R50" s="666">
        <f>8.54*1.058</f>
        <v>9.0353199999999987</v>
      </c>
      <c r="S50" s="666">
        <f>+R50*1.064</f>
        <v>9.6135804799999995</v>
      </c>
      <c r="T50" s="666">
        <f t="shared" si="0"/>
        <v>10.123100245439998</v>
      </c>
      <c r="U50" s="673" t="s">
        <v>1026</v>
      </c>
    </row>
    <row r="51" spans="1:21" ht="16.2" thickBot="1" x14ac:dyDescent="0.35">
      <c r="A51" s="627"/>
      <c r="B51" s="628"/>
      <c r="C51" s="628"/>
      <c r="D51" s="629"/>
      <c r="E51" s="667"/>
      <c r="F51" s="635"/>
      <c r="G51" s="667"/>
      <c r="H51" s="635"/>
      <c r="I51" s="667"/>
      <c r="J51" s="635"/>
      <c r="K51" s="634"/>
      <c r="L51" s="706"/>
      <c r="M51" s="706"/>
      <c r="N51" s="706"/>
      <c r="O51" s="708"/>
      <c r="P51" s="707"/>
      <c r="Q51" s="707">
        <f>(P51*0.06)+P51</f>
        <v>0</v>
      </c>
      <c r="R51" s="666"/>
      <c r="S51" s="666"/>
      <c r="T51" s="666"/>
    </row>
    <row r="52" spans="1:21" ht="16.2" thickBot="1" x14ac:dyDescent="0.35">
      <c r="A52" s="651">
        <v>20</v>
      </c>
      <c r="B52" s="652" t="s">
        <v>813</v>
      </c>
      <c r="C52" s="653"/>
      <c r="D52" s="654"/>
      <c r="E52" s="675"/>
      <c r="F52" s="655"/>
      <c r="G52" s="675"/>
      <c r="H52" s="655"/>
      <c r="I52" s="675"/>
      <c r="J52" s="675"/>
      <c r="K52" s="690"/>
      <c r="L52" s="839"/>
      <c r="M52" s="839"/>
      <c r="N52" s="839"/>
      <c r="O52" s="698"/>
      <c r="P52" s="697"/>
      <c r="Q52" s="697">
        <f>(P52*0.06)+P52</f>
        <v>0</v>
      </c>
      <c r="R52" s="660"/>
      <c r="S52" s="660"/>
      <c r="T52" s="660"/>
    </row>
    <row r="53" spans="1:21" ht="15.6" x14ac:dyDescent="0.3">
      <c r="A53" s="627"/>
      <c r="B53" s="628"/>
      <c r="C53" s="628"/>
      <c r="D53" s="629"/>
      <c r="E53" s="667"/>
      <c r="F53" s="635"/>
      <c r="G53" s="667"/>
      <c r="H53" s="635"/>
      <c r="I53" s="667"/>
      <c r="J53" s="667"/>
      <c r="K53" s="689"/>
      <c r="L53" s="840"/>
      <c r="M53" s="840"/>
      <c r="N53" s="840"/>
      <c r="O53" s="695"/>
      <c r="P53" s="694"/>
      <c r="Q53" s="694">
        <f>(P53*0.06)+P53</f>
        <v>0</v>
      </c>
      <c r="R53" s="666"/>
      <c r="S53" s="666"/>
      <c r="T53" s="666"/>
    </row>
    <row r="54" spans="1:21" ht="15.6" x14ac:dyDescent="0.3">
      <c r="A54" s="627"/>
      <c r="B54" s="628" t="s">
        <v>780</v>
      </c>
      <c r="C54" s="628"/>
      <c r="D54" s="629"/>
      <c r="E54" s="667" t="s">
        <v>781</v>
      </c>
      <c r="F54" s="635"/>
      <c r="G54" s="667" t="s">
        <v>781</v>
      </c>
      <c r="H54" s="635"/>
      <c r="I54" s="667" t="s">
        <v>782</v>
      </c>
      <c r="J54" s="667" t="s">
        <v>783</v>
      </c>
      <c r="K54" s="689" t="s">
        <v>784</v>
      </c>
      <c r="L54" s="840" t="s">
        <v>785</v>
      </c>
      <c r="M54" s="840" t="s">
        <v>786</v>
      </c>
      <c r="N54" s="840" t="s">
        <v>786</v>
      </c>
      <c r="O54" s="695" t="s">
        <v>786</v>
      </c>
      <c r="P54" s="694" t="s">
        <v>814</v>
      </c>
      <c r="Q54" s="694" t="s">
        <v>814</v>
      </c>
      <c r="R54" s="666">
        <f>1.4*1.058</f>
        <v>1.4812000000000001</v>
      </c>
      <c r="S54" s="666">
        <f>+R54*1.064</f>
        <v>1.5759968000000002</v>
      </c>
      <c r="T54" s="666">
        <f t="shared" ref="T54:T58" si="1">+S54*1.053</f>
        <v>1.6595246304000002</v>
      </c>
      <c r="U54" s="673" t="s">
        <v>1026</v>
      </c>
    </row>
    <row r="55" spans="1:21" ht="15.6" x14ac:dyDescent="0.3">
      <c r="A55" s="627"/>
      <c r="B55" s="628" t="s">
        <v>787</v>
      </c>
      <c r="C55" s="628"/>
      <c r="D55" s="629"/>
      <c r="E55" s="667" t="s">
        <v>788</v>
      </c>
      <c r="F55" s="635"/>
      <c r="G55" s="667" t="s">
        <v>788</v>
      </c>
      <c r="H55" s="635"/>
      <c r="I55" s="667" t="s">
        <v>789</v>
      </c>
      <c r="J55" s="667" t="s">
        <v>790</v>
      </c>
      <c r="K55" s="689" t="s">
        <v>791</v>
      </c>
      <c r="L55" s="840" t="s">
        <v>792</v>
      </c>
      <c r="M55" s="840" t="s">
        <v>793</v>
      </c>
      <c r="N55" s="840" t="s">
        <v>793</v>
      </c>
      <c r="O55" s="695" t="s">
        <v>793</v>
      </c>
      <c r="P55" s="694" t="s">
        <v>815</v>
      </c>
      <c r="Q55" s="694" t="s">
        <v>815</v>
      </c>
      <c r="R55" s="666">
        <f>2.1*1.058</f>
        <v>2.2218</v>
      </c>
      <c r="S55" s="666">
        <f>+R55*1.064</f>
        <v>2.3639952000000002</v>
      </c>
      <c r="T55" s="666">
        <f t="shared" si="1"/>
        <v>2.4892869456</v>
      </c>
      <c r="U55" s="673" t="s">
        <v>1026</v>
      </c>
    </row>
    <row r="56" spans="1:21" ht="15.6" x14ac:dyDescent="0.3">
      <c r="A56" s="627"/>
      <c r="B56" s="628" t="s">
        <v>794</v>
      </c>
      <c r="C56" s="628"/>
      <c r="D56" s="629"/>
      <c r="E56" s="667" t="s">
        <v>795</v>
      </c>
      <c r="F56" s="635"/>
      <c r="G56" s="667" t="s">
        <v>795</v>
      </c>
      <c r="H56" s="635"/>
      <c r="I56" s="667" t="s">
        <v>796</v>
      </c>
      <c r="J56" s="667" t="s">
        <v>797</v>
      </c>
      <c r="K56" s="689" t="s">
        <v>798</v>
      </c>
      <c r="L56" s="840" t="s">
        <v>799</v>
      </c>
      <c r="M56" s="840" t="s">
        <v>800</v>
      </c>
      <c r="N56" s="840" t="s">
        <v>800</v>
      </c>
      <c r="O56" s="695" t="s">
        <v>800</v>
      </c>
      <c r="P56" s="694" t="s">
        <v>816</v>
      </c>
      <c r="Q56" s="694" t="s">
        <v>816</v>
      </c>
      <c r="R56" s="666">
        <f>3.5*1.058</f>
        <v>3.7030000000000003</v>
      </c>
      <c r="S56" s="666">
        <f>+R56*1.064</f>
        <v>3.9399920000000006</v>
      </c>
      <c r="T56" s="666">
        <f t="shared" si="1"/>
        <v>4.1488115759999999</v>
      </c>
      <c r="U56" s="673" t="s">
        <v>1026</v>
      </c>
    </row>
    <row r="57" spans="1:21" ht="15.6" x14ac:dyDescent="0.3">
      <c r="A57" s="627"/>
      <c r="B57" s="628" t="s">
        <v>801</v>
      </c>
      <c r="C57" s="628"/>
      <c r="D57" s="629"/>
      <c r="E57" s="667" t="s">
        <v>802</v>
      </c>
      <c r="F57" s="635"/>
      <c r="G57" s="667" t="s">
        <v>802</v>
      </c>
      <c r="H57" s="635"/>
      <c r="I57" s="667" t="s">
        <v>803</v>
      </c>
      <c r="J57" s="667" t="s">
        <v>804</v>
      </c>
      <c r="K57" s="689" t="s">
        <v>805</v>
      </c>
      <c r="L57" s="840" t="s">
        <v>806</v>
      </c>
      <c r="M57" s="840" t="s">
        <v>807</v>
      </c>
      <c r="N57" s="840" t="s">
        <v>807</v>
      </c>
      <c r="O57" s="695" t="s">
        <v>807</v>
      </c>
      <c r="P57" s="694" t="s">
        <v>817</v>
      </c>
      <c r="Q57" s="694" t="s">
        <v>817</v>
      </c>
      <c r="R57" s="666">
        <f>5.6*1.058</f>
        <v>5.9248000000000003</v>
      </c>
      <c r="S57" s="666">
        <f>+R57*1.064</f>
        <v>6.3039872000000008</v>
      </c>
      <c r="T57" s="666">
        <f t="shared" si="1"/>
        <v>6.6380985216000008</v>
      </c>
      <c r="U57" s="673" t="s">
        <v>1026</v>
      </c>
    </row>
    <row r="58" spans="1:21" ht="15.6" x14ac:dyDescent="0.3">
      <c r="A58" s="627"/>
      <c r="B58" s="628" t="s">
        <v>808</v>
      </c>
      <c r="C58" s="628"/>
      <c r="D58" s="629"/>
      <c r="E58" s="667"/>
      <c r="F58" s="635"/>
      <c r="G58" s="667"/>
      <c r="H58" s="635"/>
      <c r="I58" s="667"/>
      <c r="J58" s="635" t="s">
        <v>809</v>
      </c>
      <c r="K58" s="634" t="s">
        <v>810</v>
      </c>
      <c r="L58" s="706" t="s">
        <v>811</v>
      </c>
      <c r="M58" s="706" t="s">
        <v>812</v>
      </c>
      <c r="N58" s="706" t="s">
        <v>812</v>
      </c>
      <c r="O58" s="708" t="s">
        <v>812</v>
      </c>
      <c r="P58" s="707" t="s">
        <v>818</v>
      </c>
      <c r="Q58" s="707" t="s">
        <v>818</v>
      </c>
      <c r="R58" s="666">
        <f>9*1.058</f>
        <v>9.5220000000000002</v>
      </c>
      <c r="S58" s="666">
        <f>+R58*1.064</f>
        <v>10.131408</v>
      </c>
      <c r="T58" s="666">
        <f t="shared" si="1"/>
        <v>10.668372624</v>
      </c>
      <c r="U58" s="673" t="s">
        <v>1026</v>
      </c>
    </row>
    <row r="59" spans="1:21" ht="16.2" thickBot="1" x14ac:dyDescent="0.35">
      <c r="A59" s="841"/>
      <c r="B59" s="628"/>
      <c r="C59" s="628"/>
      <c r="D59" s="629"/>
      <c r="E59" s="667"/>
      <c r="F59" s="635"/>
      <c r="G59" s="667"/>
      <c r="H59" s="635"/>
      <c r="I59" s="667"/>
      <c r="J59" s="635"/>
      <c r="K59" s="634"/>
      <c r="L59" s="706"/>
      <c r="M59" s="706"/>
      <c r="N59" s="706"/>
      <c r="O59" s="708"/>
      <c r="P59" s="707"/>
      <c r="Q59" s="707"/>
      <c r="R59" s="666"/>
      <c r="S59" s="666"/>
      <c r="T59" s="666"/>
    </row>
    <row r="60" spans="1:21" ht="16.2" thickBot="1" x14ac:dyDescent="0.35">
      <c r="A60" s="651">
        <v>21</v>
      </c>
      <c r="B60" s="842" t="s">
        <v>928</v>
      </c>
      <c r="C60" s="653"/>
      <c r="D60" s="654"/>
      <c r="E60" s="654"/>
      <c r="F60" s="654"/>
      <c r="G60" s="654"/>
      <c r="H60" s="654"/>
      <c r="I60" s="654"/>
      <c r="J60" s="654"/>
      <c r="K60" s="653"/>
      <c r="L60" s="653"/>
      <c r="M60" s="653"/>
      <c r="N60" s="653"/>
      <c r="O60" s="843"/>
      <c r="P60" s="844"/>
      <c r="Q60" s="844"/>
      <c r="R60" s="660"/>
      <c r="S60" s="660"/>
      <c r="T60" s="660"/>
    </row>
    <row r="61" spans="1:21" ht="15.6" x14ac:dyDescent="0.3">
      <c r="A61" s="702"/>
      <c r="B61" s="718" t="s">
        <v>929</v>
      </c>
      <c r="C61" s="718"/>
      <c r="D61" s="783"/>
      <c r="E61" s="783"/>
      <c r="F61" s="783"/>
      <c r="G61" s="783"/>
      <c r="H61" s="783"/>
      <c r="I61" s="783"/>
      <c r="J61" s="783"/>
      <c r="K61" s="718"/>
      <c r="L61" s="718"/>
      <c r="M61" s="718"/>
      <c r="N61" s="718"/>
      <c r="O61" s="719"/>
      <c r="P61" s="720">
        <v>0</v>
      </c>
      <c r="Q61" s="720">
        <v>0</v>
      </c>
      <c r="R61" s="666">
        <v>3000</v>
      </c>
      <c r="S61" s="666">
        <v>3000</v>
      </c>
      <c r="T61" s="666">
        <v>3000</v>
      </c>
    </row>
    <row r="62" spans="1:21" ht="15.6" x14ac:dyDescent="0.3">
      <c r="A62" s="702"/>
      <c r="B62" s="718" t="s">
        <v>930</v>
      </c>
      <c r="C62" s="718"/>
      <c r="D62" s="783"/>
      <c r="E62" s="783"/>
      <c r="F62" s="783"/>
      <c r="G62" s="783"/>
      <c r="H62" s="783"/>
      <c r="I62" s="783"/>
      <c r="J62" s="783"/>
      <c r="K62" s="718"/>
      <c r="L62" s="718"/>
      <c r="M62" s="718"/>
      <c r="N62" s="718"/>
      <c r="O62" s="719"/>
      <c r="P62" s="720">
        <v>0</v>
      </c>
      <c r="Q62" s="720">
        <v>0</v>
      </c>
      <c r="R62" s="666">
        <v>80</v>
      </c>
      <c r="S62" s="666">
        <v>80</v>
      </c>
      <c r="T62" s="666">
        <v>80</v>
      </c>
    </row>
    <row r="63" spans="1:21" ht="16.2" thickBot="1" x14ac:dyDescent="0.35">
      <c r="A63" s="702"/>
      <c r="B63" s="889" t="s">
        <v>1003</v>
      </c>
      <c r="C63" s="628"/>
      <c r="D63" s="629"/>
      <c r="E63" s="629"/>
      <c r="F63" s="629"/>
      <c r="G63" s="629"/>
      <c r="H63" s="629"/>
      <c r="I63" s="629"/>
      <c r="J63" s="629"/>
      <c r="K63" s="628"/>
      <c r="L63" s="628"/>
      <c r="M63" s="628"/>
      <c r="N63" s="628"/>
      <c r="O63" s="628"/>
      <c r="P63" s="644"/>
      <c r="Q63" s="644"/>
      <c r="R63" s="890">
        <v>0</v>
      </c>
      <c r="S63" s="890">
        <v>0</v>
      </c>
      <c r="T63" s="890">
        <v>0</v>
      </c>
    </row>
    <row r="64" spans="1:21" ht="16.2" thickBot="1" x14ac:dyDescent="0.35">
      <c r="A64" s="725"/>
      <c r="B64" s="741"/>
      <c r="C64" s="741"/>
      <c r="D64" s="826"/>
      <c r="E64" s="826"/>
      <c r="F64" s="826"/>
      <c r="G64" s="826"/>
      <c r="H64" s="826"/>
      <c r="I64" s="826"/>
      <c r="J64" s="826"/>
      <c r="K64" s="741"/>
      <c r="L64" s="741"/>
      <c r="M64" s="741"/>
      <c r="N64" s="741"/>
      <c r="O64" s="742"/>
      <c r="P64" s="743"/>
      <c r="Q64" s="743"/>
      <c r="R64" s="776"/>
      <c r="S64" s="776"/>
      <c r="T64" s="776"/>
    </row>
    <row r="65" spans="1:1" ht="15.6" x14ac:dyDescent="0.3">
      <c r="A65" s="729" t="s">
        <v>1032</v>
      </c>
    </row>
    <row r="66" spans="1:1" ht="16.2" thickBot="1" x14ac:dyDescent="0.35">
      <c r="A66" s="643" t="s">
        <v>1035</v>
      </c>
    </row>
  </sheetData>
  <mergeCells count="1">
    <mergeCell ref="A2:I2"/>
  </mergeCells>
  <pageMargins left="0.7" right="0.7" top="0.75" bottom="0.75" header="0.3" footer="0.3"/>
  <pageSetup scale="82" fitToHeight="0" orientation="portrait" horizontalDpi="4294967293" verticalDpi="4294967293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7"/>
  <dimension ref="A2:T22"/>
  <sheetViews>
    <sheetView view="pageBreakPreview" zoomScaleSheetLayoutView="100" workbookViewId="0">
      <selection activeCell="V12" sqref="V12"/>
    </sheetView>
  </sheetViews>
  <sheetFormatPr defaultColWidth="8.88671875" defaultRowHeight="15" x14ac:dyDescent="0.25"/>
  <cols>
    <col min="1" max="1" width="8.88671875" style="673"/>
    <col min="2" max="2" width="35.88671875" style="673" bestFit="1" customWidth="1"/>
    <col min="3" max="3" width="18.5546875" style="673" customWidth="1"/>
    <col min="4" max="14" width="0" style="673" hidden="1" customWidth="1"/>
    <col min="15" max="16" width="18.44140625" style="673" hidden="1" customWidth="1"/>
    <col min="17" max="17" width="11.44140625" style="673" hidden="1" customWidth="1"/>
    <col min="18" max="18" width="19.33203125" style="673" hidden="1" customWidth="1"/>
    <col min="19" max="19" width="19.33203125" style="673" customWidth="1"/>
    <col min="20" max="20" width="13.109375" style="673" customWidth="1"/>
    <col min="21" max="16384" width="8.88671875" style="673"/>
  </cols>
  <sheetData>
    <row r="2" spans="1:20" ht="16.2" thickBot="1" x14ac:dyDescent="0.35">
      <c r="B2" s="622" t="s">
        <v>1076</v>
      </c>
    </row>
    <row r="3" spans="1:20" ht="15.6" x14ac:dyDescent="0.3">
      <c r="A3" s="965"/>
      <c r="B3" s="966"/>
      <c r="C3" s="966"/>
      <c r="D3" s="966"/>
      <c r="E3" s="966"/>
      <c r="F3" s="966"/>
      <c r="G3" s="966"/>
      <c r="H3" s="966"/>
      <c r="I3" s="967"/>
      <c r="J3" s="623" t="s">
        <v>378</v>
      </c>
      <c r="K3" s="623" t="s">
        <v>378</v>
      </c>
      <c r="L3" s="624" t="s">
        <v>378</v>
      </c>
      <c r="M3" s="623" t="s">
        <v>378</v>
      </c>
      <c r="N3" s="624" t="s">
        <v>378</v>
      </c>
      <c r="O3" s="625" t="s">
        <v>527</v>
      </c>
      <c r="P3" s="784" t="s">
        <v>527</v>
      </c>
      <c r="Q3" s="624" t="s">
        <v>527</v>
      </c>
      <c r="R3" s="624" t="s">
        <v>527</v>
      </c>
      <c r="S3" s="624" t="s">
        <v>527</v>
      </c>
      <c r="T3" s="624" t="s">
        <v>527</v>
      </c>
    </row>
    <row r="4" spans="1:20" ht="15.6" x14ac:dyDescent="0.3">
      <c r="A4" s="627"/>
      <c r="B4" s="628"/>
      <c r="C4" s="628"/>
      <c r="D4" s="629"/>
      <c r="E4" s="629"/>
      <c r="F4" s="629"/>
      <c r="G4" s="629"/>
      <c r="H4" s="629"/>
      <c r="I4" s="629"/>
      <c r="J4" s="629"/>
      <c r="K4" s="628"/>
      <c r="L4" s="630"/>
      <c r="M4" s="631"/>
      <c r="N4" s="631"/>
      <c r="O4" s="632"/>
      <c r="P4" s="633" t="s">
        <v>947</v>
      </c>
      <c r="Q4" s="633" t="s">
        <v>947</v>
      </c>
      <c r="R4" s="633" t="s">
        <v>1038</v>
      </c>
      <c r="S4" s="633" t="s">
        <v>1038</v>
      </c>
      <c r="T4" s="633" t="s">
        <v>1038</v>
      </c>
    </row>
    <row r="5" spans="1:20" ht="16.2" x14ac:dyDescent="0.35">
      <c r="A5" s="627"/>
      <c r="B5" s="634"/>
      <c r="C5" s="634"/>
      <c r="D5" s="635"/>
      <c r="E5" s="636" t="s">
        <v>28</v>
      </c>
      <c r="F5" s="637"/>
      <c r="G5" s="636" t="s">
        <v>30</v>
      </c>
      <c r="H5" s="637"/>
      <c r="I5" s="636" t="s">
        <v>31</v>
      </c>
      <c r="J5" s="636" t="s">
        <v>32</v>
      </c>
      <c r="K5" s="636" t="s">
        <v>178</v>
      </c>
      <c r="L5" s="638" t="s">
        <v>179</v>
      </c>
      <c r="M5" s="639" t="s">
        <v>240</v>
      </c>
      <c r="N5" s="639" t="s">
        <v>245</v>
      </c>
      <c r="O5" s="640" t="s">
        <v>257</v>
      </c>
      <c r="P5" s="785" t="s">
        <v>382</v>
      </c>
      <c r="Q5" s="641" t="s">
        <v>407</v>
      </c>
      <c r="R5" s="642" t="s">
        <v>530</v>
      </c>
      <c r="S5" s="642" t="s">
        <v>886</v>
      </c>
      <c r="T5" s="642" t="s">
        <v>1063</v>
      </c>
    </row>
    <row r="6" spans="1:20" ht="16.8" thickBot="1" x14ac:dyDescent="0.4">
      <c r="A6" s="643"/>
      <c r="B6" s="644"/>
      <c r="C6" s="644"/>
      <c r="D6" s="645"/>
      <c r="E6" s="646" t="s">
        <v>201</v>
      </c>
      <c r="F6" s="646"/>
      <c r="G6" s="646" t="s">
        <v>201</v>
      </c>
      <c r="H6" s="646"/>
      <c r="I6" s="646" t="s">
        <v>201</v>
      </c>
      <c r="J6" s="646" t="s">
        <v>201</v>
      </c>
      <c r="K6" s="646" t="s">
        <v>201</v>
      </c>
      <c r="L6" s="647" t="s">
        <v>201</v>
      </c>
      <c r="M6" s="648" t="s">
        <v>201</v>
      </c>
      <c r="N6" s="648" t="s">
        <v>201</v>
      </c>
      <c r="O6" s="649" t="s">
        <v>201</v>
      </c>
      <c r="P6" s="786" t="s">
        <v>201</v>
      </c>
      <c r="Q6" s="650" t="s">
        <v>201</v>
      </c>
      <c r="R6" s="647" t="s">
        <v>201</v>
      </c>
      <c r="S6" s="647" t="s">
        <v>201</v>
      </c>
      <c r="T6" s="647" t="s">
        <v>201</v>
      </c>
    </row>
    <row r="7" spans="1:20" ht="15.6" thickBot="1" x14ac:dyDescent="0.3"/>
    <row r="8" spans="1:20" ht="16.2" thickBot="1" x14ac:dyDescent="0.35">
      <c r="A8" s="661">
        <v>22</v>
      </c>
      <c r="B8" s="842" t="s">
        <v>986</v>
      </c>
      <c r="C8" s="653"/>
      <c r="D8" s="654"/>
      <c r="E8" s="675"/>
      <c r="F8" s="655"/>
      <c r="G8" s="675"/>
      <c r="H8" s="655"/>
      <c r="I8" s="675"/>
      <c r="J8" s="845"/>
      <c r="K8" s="846"/>
      <c r="L8" s="691"/>
      <c r="M8" s="692"/>
      <c r="N8" s="692"/>
      <c r="O8" s="693"/>
      <c r="P8" s="847"/>
      <c r="Q8" s="848"/>
      <c r="R8" s="660"/>
      <c r="S8" s="660"/>
      <c r="T8" s="660"/>
    </row>
    <row r="9" spans="1:20" ht="16.2" thickBot="1" x14ac:dyDescent="0.35">
      <c r="A9" s="787"/>
      <c r="B9" s="662"/>
      <c r="C9" s="788"/>
      <c r="D9" s="629"/>
      <c r="E9" s="667"/>
      <c r="F9" s="635"/>
      <c r="G9" s="667"/>
      <c r="H9" s="635"/>
      <c r="I9" s="667"/>
      <c r="J9" s="668"/>
      <c r="K9" s="669"/>
      <c r="L9" s="670"/>
      <c r="M9" s="671"/>
      <c r="N9" s="765"/>
      <c r="O9" s="849"/>
      <c r="P9" s="849"/>
      <c r="Q9" s="849"/>
      <c r="R9" s="850"/>
      <c r="S9" s="850"/>
      <c r="T9" s="850"/>
    </row>
    <row r="10" spans="1:20" ht="16.2" thickBot="1" x14ac:dyDescent="0.35">
      <c r="A10" s="627"/>
      <c r="B10" s="628" t="s">
        <v>735</v>
      </c>
      <c r="C10" s="788"/>
      <c r="D10" s="629"/>
      <c r="E10" s="667" t="s">
        <v>736</v>
      </c>
      <c r="F10" s="635"/>
      <c r="G10" s="667" t="s">
        <v>736</v>
      </c>
      <c r="H10" s="635"/>
      <c r="I10" s="667">
        <f>G10*1.07</f>
        <v>53.5</v>
      </c>
      <c r="J10" s="668">
        <f>+I10*1.056</f>
        <v>56.496000000000002</v>
      </c>
      <c r="K10" s="669">
        <f>+(J10*1.065)+0.33</f>
        <v>60.498239999999996</v>
      </c>
      <c r="L10" s="670">
        <f>+(K10*1.083)</f>
        <v>65.519593919999991</v>
      </c>
      <c r="M10" s="671">
        <f>+(L10*1.07)</f>
        <v>70.105965494399996</v>
      </c>
      <c r="N10" s="765">
        <f>+(M10*1.07)-0.01</f>
        <v>75.003383079007989</v>
      </c>
      <c r="O10" s="670">
        <f>+(N10*1.06)</f>
        <v>79.503586063748472</v>
      </c>
      <c r="P10" s="670">
        <v>85</v>
      </c>
      <c r="Q10" s="670">
        <f>(P10*0.06)+P10</f>
        <v>90.1</v>
      </c>
      <c r="R10" s="836">
        <v>179.08800000000002</v>
      </c>
      <c r="S10" s="836">
        <f t="shared" ref="S10:S13" si="0">+R10*1.064</f>
        <v>190.54963200000003</v>
      </c>
      <c r="T10" s="836">
        <f t="shared" ref="T10:T15" si="1">+S10*1.053</f>
        <v>200.64876249600002</v>
      </c>
    </row>
    <row r="11" spans="1:20" ht="16.2" thickBot="1" x14ac:dyDescent="0.35">
      <c r="A11" s="627"/>
      <c r="B11" s="628" t="s">
        <v>737</v>
      </c>
      <c r="C11" s="788"/>
      <c r="D11" s="629"/>
      <c r="E11" s="667" t="s">
        <v>738</v>
      </c>
      <c r="F11" s="635"/>
      <c r="G11" s="667" t="s">
        <v>738</v>
      </c>
      <c r="H11" s="635"/>
      <c r="I11" s="667">
        <f>G11*1.07</f>
        <v>37.450000000000003</v>
      </c>
      <c r="J11" s="668">
        <f>+I11*1.056</f>
        <v>39.547200000000004</v>
      </c>
      <c r="K11" s="669">
        <f>+(J11*1.065)+0.38</f>
        <v>42.497768000000008</v>
      </c>
      <c r="L11" s="670">
        <f>+(K11*1.083)</f>
        <v>46.025082744000009</v>
      </c>
      <c r="M11" s="671">
        <f>+(L11*1.07)</f>
        <v>49.246838536080013</v>
      </c>
      <c r="N11" s="765">
        <f>+(M11*1.07)+0.01</f>
        <v>52.704117233605615</v>
      </c>
      <c r="O11" s="670">
        <f>+(N11*1.06)</f>
        <v>55.866364267621954</v>
      </c>
      <c r="P11" s="670">
        <v>60</v>
      </c>
      <c r="Q11" s="670">
        <f>(P11*0.06)+P11</f>
        <v>63.6</v>
      </c>
      <c r="R11" s="666">
        <v>165.23000000000002</v>
      </c>
      <c r="S11" s="836">
        <f t="shared" si="0"/>
        <v>175.80472000000003</v>
      </c>
      <c r="T11" s="836">
        <f t="shared" si="1"/>
        <v>185.12237016000003</v>
      </c>
    </row>
    <row r="12" spans="1:20" ht="16.2" thickBot="1" x14ac:dyDescent="0.35">
      <c r="A12" s="661"/>
      <c r="B12" s="628" t="s">
        <v>1033</v>
      </c>
      <c r="C12" s="788"/>
      <c r="D12" s="629"/>
      <c r="E12" s="667"/>
      <c r="F12" s="635"/>
      <c r="G12" s="667"/>
      <c r="H12" s="635"/>
      <c r="I12" s="667"/>
      <c r="J12" s="667"/>
      <c r="K12" s="689"/>
      <c r="L12" s="670"/>
      <c r="M12" s="671"/>
      <c r="N12" s="765"/>
      <c r="O12" s="670">
        <v>350</v>
      </c>
      <c r="P12" s="670">
        <v>350</v>
      </c>
      <c r="Q12" s="670">
        <f>(P12*0.06)+P12</f>
        <v>371</v>
      </c>
      <c r="R12" s="666">
        <v>418.42418800000007</v>
      </c>
      <c r="S12" s="836">
        <f t="shared" si="0"/>
        <v>445.2033360320001</v>
      </c>
      <c r="T12" s="836">
        <f t="shared" si="1"/>
        <v>468.79911284169606</v>
      </c>
    </row>
    <row r="13" spans="1:20" ht="16.2" thickBot="1" x14ac:dyDescent="0.35">
      <c r="A13" s="661"/>
      <c r="B13" s="628" t="s">
        <v>1034</v>
      </c>
      <c r="C13" s="788"/>
      <c r="D13" s="629"/>
      <c r="E13" s="667"/>
      <c r="F13" s="635"/>
      <c r="G13" s="667"/>
      <c r="H13" s="635"/>
      <c r="I13" s="667"/>
      <c r="J13" s="667"/>
      <c r="K13" s="689"/>
      <c r="L13" s="670"/>
      <c r="M13" s="671"/>
      <c r="N13" s="765"/>
      <c r="O13" s="670"/>
      <c r="P13" s="670"/>
      <c r="Q13" s="670"/>
      <c r="R13" s="666">
        <v>456</v>
      </c>
      <c r="S13" s="836">
        <f t="shared" si="0"/>
        <v>485.18400000000003</v>
      </c>
      <c r="T13" s="836">
        <f t="shared" si="1"/>
        <v>510.898752</v>
      </c>
    </row>
    <row r="14" spans="1:20" ht="16.2" thickBot="1" x14ac:dyDescent="0.35">
      <c r="A14" s="851"/>
      <c r="B14" s="703" t="s">
        <v>1072</v>
      </c>
      <c r="C14" s="704"/>
      <c r="O14" s="674"/>
      <c r="P14" s="674"/>
      <c r="Q14" s="674"/>
      <c r="R14" s="674"/>
      <c r="S14" s="868">
        <v>140</v>
      </c>
      <c r="T14" s="836">
        <f t="shared" si="1"/>
        <v>147.41999999999999</v>
      </c>
    </row>
    <row r="15" spans="1:20" ht="16.2" thickBot="1" x14ac:dyDescent="0.35">
      <c r="A15" s="702"/>
      <c r="B15" s="726" t="s">
        <v>1073</v>
      </c>
      <c r="C15" s="727"/>
      <c r="O15" s="728"/>
      <c r="P15" s="728"/>
      <c r="Q15" s="728"/>
      <c r="R15" s="728"/>
      <c r="S15" s="891">
        <f>25*1.064</f>
        <v>26.6</v>
      </c>
      <c r="T15" s="836">
        <f t="shared" si="1"/>
        <v>28.009799999999998</v>
      </c>
    </row>
    <row r="16" spans="1:20" ht="16.2" thickBot="1" x14ac:dyDescent="0.35">
      <c r="A16" s="725"/>
      <c r="B16" s="852" t="s">
        <v>775</v>
      </c>
      <c r="C16" s="862"/>
      <c r="D16" s="623"/>
      <c r="E16" s="853"/>
      <c r="F16" s="854"/>
      <c r="G16" s="853"/>
      <c r="H16" s="854"/>
      <c r="I16" s="853"/>
      <c r="J16" s="853"/>
      <c r="K16" s="855"/>
      <c r="L16" s="856"/>
      <c r="M16" s="857"/>
      <c r="N16" s="857"/>
      <c r="O16" s="856"/>
      <c r="P16" s="857"/>
      <c r="Q16" s="856"/>
      <c r="R16" s="864"/>
      <c r="S16" s="864"/>
      <c r="T16" s="864"/>
    </row>
    <row r="17" spans="1:20" ht="15.6" x14ac:dyDescent="0.3">
      <c r="A17" s="787">
        <v>23</v>
      </c>
      <c r="B17" s="662"/>
      <c r="C17" s="788"/>
      <c r="D17" s="629"/>
      <c r="E17" s="667"/>
      <c r="F17" s="635"/>
      <c r="G17" s="667"/>
      <c r="H17" s="635"/>
      <c r="I17" s="667"/>
      <c r="J17" s="667"/>
      <c r="K17" s="689"/>
      <c r="L17" s="694"/>
      <c r="M17" s="695"/>
      <c r="N17" s="695"/>
      <c r="O17" s="694"/>
      <c r="P17" s="695"/>
      <c r="Q17" s="694"/>
      <c r="R17" s="850"/>
      <c r="S17" s="850"/>
      <c r="T17" s="850"/>
    </row>
    <row r="18" spans="1:20" ht="15.6" x14ac:dyDescent="0.3">
      <c r="A18" s="661"/>
      <c r="B18" s="628" t="s">
        <v>776</v>
      </c>
      <c r="C18" s="788"/>
      <c r="D18" s="629"/>
      <c r="E18" s="667"/>
      <c r="F18" s="635"/>
      <c r="G18" s="667"/>
      <c r="H18" s="635"/>
      <c r="I18" s="667"/>
      <c r="J18" s="667"/>
      <c r="K18" s="689"/>
      <c r="L18" s="694"/>
      <c r="M18" s="695"/>
      <c r="N18" s="708" t="s">
        <v>777</v>
      </c>
      <c r="O18" s="707"/>
      <c r="P18" s="708"/>
      <c r="Q18" s="707"/>
      <c r="R18" s="708"/>
      <c r="S18" s="708"/>
      <c r="T18" s="708"/>
    </row>
    <row r="19" spans="1:20" ht="15.6" x14ac:dyDescent="0.3">
      <c r="A19" s="627"/>
      <c r="B19" s="706" t="s">
        <v>777</v>
      </c>
      <c r="C19" s="788"/>
      <c r="D19" s="629"/>
      <c r="E19" s="667"/>
      <c r="F19" s="635"/>
      <c r="G19" s="667"/>
      <c r="H19" s="635"/>
      <c r="I19" s="667"/>
      <c r="J19" s="667"/>
      <c r="K19" s="689"/>
      <c r="L19" s="694"/>
      <c r="M19" s="695"/>
      <c r="N19" s="708"/>
      <c r="O19" s="707"/>
      <c r="P19" s="708"/>
      <c r="Q19" s="707"/>
      <c r="R19" s="708"/>
      <c r="S19" s="708"/>
      <c r="T19" s="708"/>
    </row>
    <row r="20" spans="1:20" ht="16.2" thickBot="1" x14ac:dyDescent="0.35">
      <c r="A20" s="627"/>
      <c r="B20" s="726"/>
      <c r="C20" s="863"/>
      <c r="D20" s="645"/>
      <c r="E20" s="769"/>
      <c r="F20" s="770"/>
      <c r="G20" s="769"/>
      <c r="H20" s="770"/>
      <c r="I20" s="769"/>
      <c r="J20" s="769"/>
      <c r="K20" s="858"/>
      <c r="L20" s="859"/>
      <c r="M20" s="860"/>
      <c r="N20" s="860"/>
      <c r="O20" s="859"/>
      <c r="P20" s="860"/>
      <c r="Q20" s="859"/>
      <c r="R20" s="865"/>
      <c r="S20" s="865"/>
      <c r="T20" s="865"/>
    </row>
    <row r="21" spans="1:20" ht="16.2" thickBot="1" x14ac:dyDescent="0.35">
      <c r="A21" s="643" t="s">
        <v>1035</v>
      </c>
      <c r="B21" s="706"/>
      <c r="C21" s="628"/>
      <c r="D21" s="629"/>
      <c r="E21" s="667"/>
      <c r="F21" s="635"/>
      <c r="G21" s="667"/>
      <c r="H21" s="635"/>
      <c r="I21" s="667"/>
      <c r="J21" s="667"/>
      <c r="K21" s="689"/>
      <c r="L21" s="840"/>
      <c r="M21" s="840"/>
      <c r="N21" s="840"/>
      <c r="O21" s="840"/>
      <c r="P21" s="840"/>
      <c r="Q21" s="840"/>
      <c r="R21" s="861"/>
      <c r="S21" s="861"/>
      <c r="T21" s="626"/>
    </row>
    <row r="22" spans="1:20" ht="15.6" x14ac:dyDescent="0.3">
      <c r="A22" s="841"/>
      <c r="T22" s="626"/>
    </row>
  </sheetData>
  <mergeCells count="1">
    <mergeCell ref="A3:I3"/>
  </mergeCells>
  <pageMargins left="0.7" right="0.7" top="0.75" bottom="0.75" header="0.3" footer="0.3"/>
  <pageSetup scale="70" orientation="portrait" horizontalDpi="4294967293" verticalDpi="4294967293" copies="2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M29"/>
  <sheetViews>
    <sheetView view="pageBreakPreview" topLeftCell="A3" zoomScaleSheetLayoutView="100" workbookViewId="0">
      <selection activeCell="O14" sqref="O14"/>
    </sheetView>
  </sheetViews>
  <sheetFormatPr defaultRowHeight="13.2" x14ac:dyDescent="0.25"/>
  <cols>
    <col min="1" max="1" width="26.5546875" customWidth="1"/>
    <col min="2" max="2" width="28.109375" customWidth="1"/>
    <col min="3" max="3" width="5.109375" hidden="1" customWidth="1"/>
    <col min="4" max="6" width="9.109375" hidden="1" customWidth="1"/>
    <col min="7" max="7" width="10.44140625" customWidth="1"/>
    <col min="8" max="8" width="16.5546875" customWidth="1"/>
    <col min="9" max="9" width="16.6640625" customWidth="1"/>
    <col min="10" max="11" width="17" customWidth="1"/>
    <col min="12" max="12" width="11" customWidth="1"/>
    <col min="13" max="13" width="11.44140625" customWidth="1"/>
  </cols>
  <sheetData>
    <row r="1" spans="1:13" x14ac:dyDescent="0.25">
      <c r="A1" s="934" t="s">
        <v>128</v>
      </c>
      <c r="B1" s="935"/>
      <c r="C1" s="935"/>
      <c r="D1" s="935"/>
      <c r="E1" s="935"/>
      <c r="F1" s="935"/>
      <c r="G1" s="935"/>
      <c r="H1" s="935"/>
      <c r="I1" s="935"/>
      <c r="J1" s="935"/>
      <c r="K1" s="935"/>
      <c r="L1" s="935"/>
      <c r="M1" s="936"/>
    </row>
    <row r="2" spans="1:13" x14ac:dyDescent="0.25">
      <c r="A2" s="6"/>
      <c r="B2" s="11"/>
      <c r="C2" s="11"/>
      <c r="D2" s="11"/>
      <c r="E2" s="11"/>
      <c r="F2" s="11"/>
      <c r="G2" s="11"/>
      <c r="H2" s="11"/>
      <c r="I2" s="11"/>
      <c r="J2" s="21"/>
      <c r="K2" s="21"/>
      <c r="L2" s="21"/>
      <c r="M2" s="138"/>
    </row>
    <row r="3" spans="1:13" x14ac:dyDescent="0.25">
      <c r="A3" s="932" t="s">
        <v>415</v>
      </c>
      <c r="B3" s="933"/>
      <c r="C3" s="933"/>
      <c r="D3" s="933"/>
      <c r="E3" s="933"/>
      <c r="F3" s="933"/>
      <c r="G3" s="933"/>
      <c r="H3" s="933"/>
      <c r="I3" s="933"/>
      <c r="J3" s="11"/>
      <c r="K3" s="11"/>
      <c r="L3" s="11"/>
      <c r="M3" s="7"/>
    </row>
    <row r="4" spans="1:13" ht="21" x14ac:dyDescent="0.25">
      <c r="A4" s="5" t="s">
        <v>126</v>
      </c>
      <c r="B4" s="5" t="s">
        <v>127</v>
      </c>
      <c r="C4" s="14" t="s">
        <v>21</v>
      </c>
      <c r="D4" s="1" t="s">
        <v>23</v>
      </c>
      <c r="E4" s="1" t="s">
        <v>24</v>
      </c>
      <c r="F4" s="9" t="s">
        <v>25</v>
      </c>
      <c r="G4" s="103" t="s">
        <v>23</v>
      </c>
      <c r="H4" s="104" t="s">
        <v>411</v>
      </c>
      <c r="I4" s="103" t="s">
        <v>412</v>
      </c>
      <c r="J4" s="104" t="s">
        <v>413</v>
      </c>
      <c r="K4" s="104" t="s">
        <v>24</v>
      </c>
      <c r="L4" s="83" t="s">
        <v>24</v>
      </c>
      <c r="M4" s="104" t="s">
        <v>24</v>
      </c>
    </row>
    <row r="5" spans="1:13" x14ac:dyDescent="0.25">
      <c r="A5" s="4"/>
      <c r="B5" s="4"/>
      <c r="C5" s="15"/>
      <c r="D5" s="10" t="s">
        <v>27</v>
      </c>
      <c r="E5" s="10" t="s">
        <v>28</v>
      </c>
      <c r="F5" s="10" t="s">
        <v>29</v>
      </c>
      <c r="G5" s="105" t="s">
        <v>245</v>
      </c>
      <c r="H5" s="107" t="s">
        <v>257</v>
      </c>
      <c r="I5" s="107" t="s">
        <v>257</v>
      </c>
      <c r="J5" s="107" t="s">
        <v>257</v>
      </c>
      <c r="K5" s="107" t="s">
        <v>382</v>
      </c>
      <c r="L5" s="107" t="s">
        <v>407</v>
      </c>
      <c r="M5" s="107" t="s">
        <v>414</v>
      </c>
    </row>
    <row r="6" spans="1:13" x14ac:dyDescent="0.25">
      <c r="A6" s="5" t="s">
        <v>1</v>
      </c>
      <c r="B6" s="5" t="s">
        <v>12</v>
      </c>
      <c r="C6" s="5">
        <v>12</v>
      </c>
      <c r="D6" s="12"/>
      <c r="E6" s="12"/>
      <c r="F6" s="12"/>
      <c r="G6" s="12">
        <f>+COUNCIL!D165</f>
        <v>5852292</v>
      </c>
      <c r="H6" s="12">
        <f>+COUNCIL!E165</f>
        <v>5723258</v>
      </c>
      <c r="I6" s="12">
        <f>+COUNCIL!F165</f>
        <v>6257258</v>
      </c>
      <c r="J6" s="12">
        <f>+COUNCIL!J165</f>
        <v>6142861.7319771433</v>
      </c>
      <c r="K6" s="12">
        <f>+COUNCIL!K165</f>
        <v>6468433.4037719304</v>
      </c>
      <c r="L6" s="12" t="e">
        <f>+COUNCIL!#REF!</f>
        <v>#REF!</v>
      </c>
      <c r="M6" s="12" t="e">
        <f>+COUNCIL!#REF!</f>
        <v>#REF!</v>
      </c>
    </row>
    <row r="7" spans="1:13" x14ac:dyDescent="0.25">
      <c r="A7" s="2"/>
      <c r="B7" s="2" t="s">
        <v>352</v>
      </c>
      <c r="C7" s="2">
        <v>13</v>
      </c>
      <c r="D7" s="13"/>
      <c r="E7" s="13"/>
      <c r="F7" s="13"/>
      <c r="G7" s="13">
        <f>+MAYOR!D165</f>
        <v>3026217.52</v>
      </c>
      <c r="H7" s="13">
        <f>+MAYOR!E165</f>
        <v>4190826</v>
      </c>
      <c r="I7" s="13">
        <f>+MAYOR!F165</f>
        <v>4198826</v>
      </c>
      <c r="J7" s="13">
        <f>+MAYOR!J165</f>
        <v>5271341.0208525714</v>
      </c>
      <c r="K7" s="13">
        <f>+MAYOR!K165</f>
        <v>5400180.4478377569</v>
      </c>
      <c r="L7" s="13" t="e">
        <f>+MAYOR!#REF!</f>
        <v>#REF!</v>
      </c>
      <c r="M7" s="13" t="e">
        <f>+MAYOR!#REF!</f>
        <v>#REF!</v>
      </c>
    </row>
    <row r="8" spans="1:13" x14ac:dyDescent="0.25">
      <c r="A8" s="2"/>
      <c r="B8" s="2" t="s">
        <v>353</v>
      </c>
      <c r="C8" s="2">
        <v>13</v>
      </c>
      <c r="D8" s="13"/>
      <c r="E8" s="13"/>
      <c r="F8" s="13"/>
      <c r="G8" s="13">
        <f>+SPEAKER!D165</f>
        <v>2419512</v>
      </c>
      <c r="H8" s="13">
        <f>+SPEAKER!E165</f>
        <v>2175883</v>
      </c>
      <c r="I8" s="13">
        <f>+SPEAKER!F165</f>
        <v>2286875</v>
      </c>
      <c r="J8" s="13">
        <f>+SPEAKER!K165</f>
        <v>2122617.3239063518</v>
      </c>
      <c r="K8" s="13">
        <f>+SPEAKER!L165</f>
        <v>0</v>
      </c>
      <c r="L8" s="13" t="e">
        <f>+SPEAKER!#REF!</f>
        <v>#REF!</v>
      </c>
      <c r="M8" s="13" t="e">
        <f>+SPEAKER!#REF!</f>
        <v>#REF!</v>
      </c>
    </row>
    <row r="9" spans="1:13" x14ac:dyDescent="0.25">
      <c r="A9" s="2"/>
      <c r="B9" s="2" t="s">
        <v>121</v>
      </c>
      <c r="C9" s="2">
        <v>22</v>
      </c>
      <c r="D9" s="13"/>
      <c r="E9" s="13"/>
      <c r="F9" s="13"/>
      <c r="G9" s="13">
        <f>+MM!D165</f>
        <v>9629487</v>
      </c>
      <c r="H9" s="13">
        <f>+MM!E165</f>
        <v>11014324</v>
      </c>
      <c r="I9" s="13">
        <f>+MM!F165</f>
        <v>13089324</v>
      </c>
      <c r="J9" s="13">
        <f>+MM!J165</f>
        <v>8835135.2929640003</v>
      </c>
      <c r="K9" s="13">
        <f>+MM!K165</f>
        <v>9078119.4634910915</v>
      </c>
      <c r="L9" s="13" t="e">
        <f>+MM!#REF!</f>
        <v>#REF!</v>
      </c>
      <c r="M9" s="13" t="e">
        <f>+MM!#REF!</f>
        <v>#REF!</v>
      </c>
    </row>
    <row r="10" spans="1:13" x14ac:dyDescent="0.25">
      <c r="A10" s="2"/>
      <c r="B10" s="2" t="s">
        <v>148</v>
      </c>
      <c r="C10" s="2">
        <v>24</v>
      </c>
      <c r="D10" s="13"/>
      <c r="E10" s="13"/>
      <c r="F10" s="13"/>
      <c r="G10" s="13">
        <f>+CORP!D165</f>
        <v>10572575</v>
      </c>
      <c r="H10" s="13">
        <f>+CORP!E165</f>
        <v>9548628</v>
      </c>
      <c r="I10" s="13">
        <f>+CORP!F165</f>
        <v>15489628</v>
      </c>
      <c r="J10" s="13">
        <f>+CORP!J165</f>
        <v>28371933.074365199</v>
      </c>
      <c r="K10" s="13">
        <f>+CORP!K165</f>
        <v>29875645.527306549</v>
      </c>
      <c r="L10" s="13" t="e">
        <f>+CORP!#REF!</f>
        <v>#REF!</v>
      </c>
      <c r="M10" s="13" t="e">
        <f>+CORP!#REF!</f>
        <v>#REF!</v>
      </c>
    </row>
    <row r="11" spans="1:13" x14ac:dyDescent="0.25">
      <c r="A11" s="2" t="s">
        <v>2</v>
      </c>
      <c r="B11" s="2" t="s">
        <v>13</v>
      </c>
      <c r="C11" s="2">
        <v>18</v>
      </c>
      <c r="D11" s="13"/>
      <c r="E11" s="13"/>
      <c r="F11" s="13"/>
      <c r="G11" s="13">
        <f>+PROP!D165</f>
        <v>254905</v>
      </c>
      <c r="H11" s="13">
        <f>+PROP!E165</f>
        <v>1557832</v>
      </c>
      <c r="I11" s="13">
        <f>+PROP!F165</f>
        <v>1557832</v>
      </c>
      <c r="J11" s="13">
        <f>+PROP!J165</f>
        <v>105500</v>
      </c>
      <c r="K11" s="13">
        <f>+PROP!K165</f>
        <v>111091.5</v>
      </c>
      <c r="L11" s="13" t="e">
        <f>+PROP!#REF!</f>
        <v>#REF!</v>
      </c>
      <c r="M11" s="13" t="e">
        <f>+PROP!#REF!</f>
        <v>#REF!</v>
      </c>
    </row>
    <row r="12" spans="1:13" x14ac:dyDescent="0.25">
      <c r="A12" s="2"/>
      <c r="B12" s="2" t="s">
        <v>355</v>
      </c>
      <c r="C12" s="2">
        <v>10</v>
      </c>
      <c r="D12" s="13"/>
      <c r="E12" s="13"/>
      <c r="F12" s="13"/>
      <c r="G12" s="13">
        <f>+RATES!D165</f>
        <v>4371462.13</v>
      </c>
      <c r="H12" s="13">
        <f>+RATES!E165</f>
        <v>6471462.1299999999</v>
      </c>
      <c r="I12" s="13">
        <f>+RATES!F165</f>
        <v>6471462.1299999999</v>
      </c>
      <c r="J12" s="13">
        <f>+RATES!J165</f>
        <v>4209407.8</v>
      </c>
      <c r="K12" s="13">
        <f>+RATES!K165</f>
        <v>4432506.4134</v>
      </c>
      <c r="L12" s="13" t="e">
        <f>+RATES!#REF!</f>
        <v>#REF!</v>
      </c>
      <c r="M12" s="13" t="e">
        <f>+RATES!#REF!</f>
        <v>#REF!</v>
      </c>
    </row>
    <row r="13" spans="1:13" x14ac:dyDescent="0.25">
      <c r="A13" s="2"/>
      <c r="B13" s="2" t="s">
        <v>17</v>
      </c>
      <c r="C13" s="2">
        <v>42</v>
      </c>
      <c r="D13" s="13"/>
      <c r="E13" s="13"/>
      <c r="F13" s="13"/>
      <c r="G13" s="13">
        <f>+THALL!D165</f>
        <v>2182381</v>
      </c>
      <c r="H13" s="13">
        <f>+THALL!E165</f>
        <v>3041896</v>
      </c>
      <c r="I13" s="13">
        <f>+THALL!F165</f>
        <v>2714876</v>
      </c>
      <c r="J13" s="13">
        <f>+THALL!J165</f>
        <v>4678873.0872480003</v>
      </c>
      <c r="K13" s="13">
        <f>+THALL!K165</f>
        <v>4926853.3608721439</v>
      </c>
      <c r="L13" s="13" t="e">
        <f>+THALL!#REF!</f>
        <v>#REF!</v>
      </c>
      <c r="M13" s="13" t="e">
        <f>+THALL!#REF!</f>
        <v>#REF!</v>
      </c>
    </row>
    <row r="14" spans="1:13" x14ac:dyDescent="0.25">
      <c r="A14" s="2"/>
      <c r="B14" s="2" t="s">
        <v>356</v>
      </c>
      <c r="C14" s="2">
        <v>26</v>
      </c>
      <c r="D14" s="13"/>
      <c r="E14" s="13"/>
      <c r="F14" s="13"/>
      <c r="G14" s="13">
        <f>+FIN!D165</f>
        <v>18579390</v>
      </c>
      <c r="H14" s="13">
        <f>+FIN!E165</f>
        <v>19700491</v>
      </c>
      <c r="I14" s="13">
        <f>+FIN!F165</f>
        <v>20176828</v>
      </c>
      <c r="J14" s="13">
        <f>+FIN!J165</f>
        <v>92958722.325248554</v>
      </c>
      <c r="K14" s="13">
        <f>+FIN!K165</f>
        <v>97901811.361929491</v>
      </c>
      <c r="L14" s="13" t="e">
        <f>+FIN!#REF!</f>
        <v>#REF!</v>
      </c>
      <c r="M14" s="13" t="e">
        <f>+FIN!#REF!</f>
        <v>#REF!</v>
      </c>
    </row>
    <row r="15" spans="1:13" x14ac:dyDescent="0.25">
      <c r="A15" s="2" t="s">
        <v>4</v>
      </c>
      <c r="B15" s="2" t="s">
        <v>366</v>
      </c>
      <c r="C15" s="2">
        <v>16</v>
      </c>
      <c r="D15" s="13"/>
      <c r="E15" s="13"/>
      <c r="F15" s="13"/>
      <c r="G15" s="13">
        <f>+SOCIAL!D165</f>
        <v>3150154</v>
      </c>
      <c r="H15" s="13">
        <f>+SOCIAL!E165</f>
        <v>5451871.8949999996</v>
      </c>
      <c r="I15" s="13">
        <f>+SOCIAL!F165</f>
        <v>5623343.8949999996</v>
      </c>
      <c r="J15" s="13">
        <f>+SOCIAL!J165</f>
        <v>5739724.076812</v>
      </c>
      <c r="K15" s="13">
        <f>+SOCIAL!K165</f>
        <v>6049159.4528830368</v>
      </c>
      <c r="L15" s="13" t="e">
        <f>+SOCIAL!#REF!</f>
        <v>#REF!</v>
      </c>
      <c r="M15" s="13" t="e">
        <f>+SOCIAL!#REF!</f>
        <v>#REF!</v>
      </c>
    </row>
    <row r="16" spans="1:13" x14ac:dyDescent="0.25">
      <c r="A16" s="2"/>
      <c r="B16" s="2" t="s">
        <v>367</v>
      </c>
      <c r="C16" s="2">
        <v>36</v>
      </c>
      <c r="D16" s="13"/>
      <c r="E16" s="13"/>
      <c r="F16" s="13"/>
      <c r="G16" s="13">
        <f>+CEMETERY!D165</f>
        <v>688521.8</v>
      </c>
      <c r="H16" s="13">
        <f>+CEMETERY!E165</f>
        <v>2293034.2000000002</v>
      </c>
      <c r="I16" s="13">
        <f>+CEMETERY!F165</f>
        <v>2293034.2000000002</v>
      </c>
      <c r="J16" s="13">
        <f>+CEMETERY!J165</f>
        <v>1418056.5608879998</v>
      </c>
      <c r="K16" s="13">
        <f>+CEMETERY!K165</f>
        <v>1493213.5586150638</v>
      </c>
      <c r="L16" s="13" t="e">
        <f>+CEMETERY!#REF!</f>
        <v>#REF!</v>
      </c>
      <c r="M16" s="13" t="e">
        <f>+CEMETERY!#REF!</f>
        <v>#REF!</v>
      </c>
    </row>
    <row r="17" spans="1:13" x14ac:dyDescent="0.25">
      <c r="A17" s="2"/>
      <c r="B17" s="2" t="s">
        <v>16</v>
      </c>
      <c r="C17" s="2">
        <v>38</v>
      </c>
      <c r="D17" s="13"/>
      <c r="E17" s="13"/>
      <c r="F17" s="13"/>
      <c r="G17" s="13">
        <f>+LIBRARIES!D165</f>
        <v>1405132</v>
      </c>
      <c r="H17" s="13">
        <f>+LIBRARIES!E165</f>
        <v>1200145</v>
      </c>
      <c r="I17" s="13">
        <f>+LIBRARIES!F165</f>
        <v>1205545</v>
      </c>
      <c r="J17" s="13">
        <f>+LIBRARIES!I165</f>
        <v>0</v>
      </c>
      <c r="K17" s="13">
        <f>+LIBRARIES!J165</f>
        <v>0</v>
      </c>
      <c r="L17" s="13" t="e">
        <f>+LIBRARIES!#REF!</f>
        <v>#REF!</v>
      </c>
      <c r="M17" s="13" t="e">
        <f>+LIBRARIES!#REF!</f>
        <v>#REF!</v>
      </c>
    </row>
    <row r="18" spans="1:13" x14ac:dyDescent="0.25">
      <c r="A18" s="2"/>
      <c r="B18" s="2" t="s">
        <v>5</v>
      </c>
      <c r="C18" s="2">
        <v>58</v>
      </c>
      <c r="D18" s="13"/>
      <c r="E18" s="13"/>
      <c r="F18" s="13"/>
      <c r="G18" s="13">
        <f>+HOUSING!D165</f>
        <v>1041479</v>
      </c>
      <c r="H18" s="13">
        <f>+HOUSING!E165</f>
        <v>1217467.5</v>
      </c>
      <c r="I18" s="13">
        <f>+HOUSING!F165</f>
        <v>1217467.5</v>
      </c>
      <c r="J18" s="13">
        <f>+HOUSING!J165</f>
        <v>1236473.4949999999</v>
      </c>
      <c r="K18" s="13">
        <f>+HOUSING!K165</f>
        <v>1302007.378235</v>
      </c>
      <c r="L18" s="13" t="e">
        <f>+HOUSING!#REF!</f>
        <v>#REF!</v>
      </c>
      <c r="M18" s="13" t="e">
        <f>+HOUSING!#REF!</f>
        <v>#REF!</v>
      </c>
    </row>
    <row r="19" spans="1:13" x14ac:dyDescent="0.25">
      <c r="A19" s="2"/>
      <c r="B19" s="2" t="s">
        <v>15</v>
      </c>
      <c r="C19" s="2">
        <v>28</v>
      </c>
      <c r="D19" s="13"/>
      <c r="E19" s="13"/>
      <c r="F19" s="13"/>
      <c r="G19" s="13">
        <f>+TRAFFIC!D165</f>
        <v>938609</v>
      </c>
      <c r="H19" s="13">
        <f>+TRAFFIC!E165</f>
        <v>1902771</v>
      </c>
      <c r="I19" s="13">
        <f>+TRAFFIC!F165</f>
        <v>1902771</v>
      </c>
      <c r="J19" s="13">
        <f>+TRAFFIC!J165</f>
        <v>2357487.3969720001</v>
      </c>
      <c r="K19" s="13">
        <f>+TRAFFIC!K165</f>
        <v>2482434.2290115161</v>
      </c>
      <c r="L19" s="13" t="e">
        <f>+TRAFFIC!#REF!</f>
        <v>#REF!</v>
      </c>
      <c r="M19" s="13" t="e">
        <f>+TRAFFIC!#REF!</f>
        <v>#REF!</v>
      </c>
    </row>
    <row r="20" spans="1:13" x14ac:dyDescent="0.25">
      <c r="A20" s="2" t="s">
        <v>6</v>
      </c>
      <c r="B20" s="2" t="s">
        <v>145</v>
      </c>
      <c r="C20" s="2">
        <v>40</v>
      </c>
      <c r="D20" s="13"/>
      <c r="E20" s="13"/>
      <c r="F20" s="13"/>
      <c r="G20" s="13">
        <f>+PARKS!D165</f>
        <v>2696041</v>
      </c>
      <c r="H20" s="13">
        <f>+PARKS!E165</f>
        <v>4100022</v>
      </c>
      <c r="I20" s="13">
        <f>+PARKS!F165</f>
        <v>3500022</v>
      </c>
      <c r="J20" s="13">
        <f>+PARKS!J165</f>
        <v>4132871.0171520002</v>
      </c>
      <c r="K20" s="13">
        <f>+PARKS!K165</f>
        <v>4351913.1810610555</v>
      </c>
      <c r="L20" s="13" t="e">
        <f>+PARKS!#REF!</f>
        <v>#REF!</v>
      </c>
      <c r="M20" s="13" t="e">
        <f>+PARKS!#REF!</f>
        <v>#REF!</v>
      </c>
    </row>
    <row r="21" spans="1:13" x14ac:dyDescent="0.25">
      <c r="A21" s="2" t="s">
        <v>7</v>
      </c>
      <c r="B21" s="2" t="s">
        <v>19</v>
      </c>
      <c r="C21" s="2">
        <v>52</v>
      </c>
      <c r="D21" s="13"/>
      <c r="E21" s="13"/>
      <c r="F21" s="13"/>
      <c r="G21" s="13">
        <f>+REFUSE!D165</f>
        <v>7876696</v>
      </c>
      <c r="H21" s="13">
        <f>+REFUSE!E165</f>
        <v>11073611.959567999</v>
      </c>
      <c r="I21" s="13">
        <f>+REFUSE!F165</f>
        <v>6977611.9595679995</v>
      </c>
      <c r="J21" s="13">
        <f>+REFUSE!J165</f>
        <v>7088278.6842400003</v>
      </c>
      <c r="K21" s="13">
        <f>+REFUSE!K165</f>
        <v>7463957.4545047209</v>
      </c>
      <c r="L21" s="13" t="e">
        <f>+REFUSE!#REF!</f>
        <v>#REF!</v>
      </c>
      <c r="M21" s="13" t="e">
        <f>+REFUSE!#REF!</f>
        <v>#REF!</v>
      </c>
    </row>
    <row r="22" spans="1:13" x14ac:dyDescent="0.25">
      <c r="A22" s="2" t="s">
        <v>8</v>
      </c>
      <c r="B22" s="2" t="s">
        <v>18</v>
      </c>
      <c r="C22" s="2">
        <v>50</v>
      </c>
      <c r="D22" s="13"/>
      <c r="E22" s="13"/>
      <c r="F22" s="13"/>
      <c r="G22" s="13">
        <f>+SEWAGE!D165</f>
        <v>19226590</v>
      </c>
      <c r="H22" s="13">
        <f>+SEWAGE!E165</f>
        <v>16286654.298924001</v>
      </c>
      <c r="I22" s="13">
        <f>+SEWAGE!F165</f>
        <v>12286654.298924001</v>
      </c>
      <c r="J22" s="13">
        <f>+SEWAGE!J165</f>
        <v>13171248.7703561</v>
      </c>
      <c r="K22" s="13">
        <f>+SEWAGE!K165</f>
        <v>13869326.743184973</v>
      </c>
      <c r="L22" s="13" t="e">
        <f>+SEWAGE!#REF!</f>
        <v>#REF!</v>
      </c>
      <c r="M22" s="13" t="e">
        <f>+SEWAGE!#REF!</f>
        <v>#REF!</v>
      </c>
    </row>
    <row r="23" spans="1:13" x14ac:dyDescent="0.25">
      <c r="A23" s="2" t="s">
        <v>9</v>
      </c>
      <c r="B23" s="2" t="s">
        <v>14</v>
      </c>
      <c r="C23" s="2">
        <v>20</v>
      </c>
      <c r="D23" s="13"/>
      <c r="E23" s="13"/>
      <c r="F23" s="13"/>
      <c r="G23" s="13">
        <f>+PWORKS!D165</f>
        <v>17289515</v>
      </c>
      <c r="H23" s="13">
        <f>+PWORKS!E165</f>
        <v>18623212.754999999</v>
      </c>
      <c r="I23" s="13">
        <f>+PWORKS!F165</f>
        <v>14193206.35</v>
      </c>
      <c r="J23" s="13">
        <f>+PWORKS!J165</f>
        <v>14383536.614322837</v>
      </c>
      <c r="K23" s="13">
        <f>+PWORKS!K165</f>
        <v>15014060.429036947</v>
      </c>
      <c r="L23" s="13" t="e">
        <f>+PWORKS!#REF!</f>
        <v>#REF!</v>
      </c>
      <c r="M23" s="13" t="e">
        <f>+PWORKS!#REF!</f>
        <v>#REF!</v>
      </c>
    </row>
    <row r="24" spans="1:13" x14ac:dyDescent="0.25">
      <c r="A24" s="2" t="s">
        <v>10</v>
      </c>
      <c r="B24" s="2" t="s">
        <v>149</v>
      </c>
      <c r="C24" s="2">
        <v>64</v>
      </c>
      <c r="D24" s="13"/>
      <c r="E24" s="13"/>
      <c r="F24" s="13"/>
      <c r="G24" s="13">
        <f>+WATER!D165</f>
        <v>24620581</v>
      </c>
      <c r="H24" s="13">
        <f>+WATER!E165</f>
        <v>22937433.645</v>
      </c>
      <c r="I24" s="13">
        <f>+WATER!F165</f>
        <v>14987433.645</v>
      </c>
      <c r="J24" s="13">
        <f>+WATER!J165</f>
        <v>21437091.862836994</v>
      </c>
      <c r="K24" s="13">
        <f>+WATER!K165</f>
        <v>22573257.731567353</v>
      </c>
      <c r="L24" s="13" t="e">
        <f>+WATER!#REF!</f>
        <v>#REF!</v>
      </c>
      <c r="M24" s="13" t="e">
        <f>+WATER!#REF!</f>
        <v>#REF!</v>
      </c>
    </row>
    <row r="25" spans="1:13" x14ac:dyDescent="0.25">
      <c r="A25" s="2" t="s">
        <v>122</v>
      </c>
      <c r="B25" s="2" t="str">
        <f>A25</f>
        <v>ELECTRICITY</v>
      </c>
      <c r="C25" s="2">
        <v>60</v>
      </c>
      <c r="D25" s="13"/>
      <c r="E25" s="13"/>
      <c r="F25" s="13"/>
      <c r="G25" s="13">
        <f>+ELECTRIC!D165</f>
        <v>27069855.416000001</v>
      </c>
      <c r="H25" s="13">
        <f>+ELECTRIC!E165</f>
        <v>34611134.460000001</v>
      </c>
      <c r="I25" s="13">
        <f>+ELECTRIC!F165</f>
        <v>38748002.460000001</v>
      </c>
      <c r="J25" s="13">
        <f>+ELECTRIC!H165</f>
        <v>42462718.850000001</v>
      </c>
      <c r="K25" s="13">
        <f>+ELECTRIC!K165</f>
        <v>47309017.822534025</v>
      </c>
      <c r="L25" s="13" t="e">
        <f>+ELECTRIC!#REF!</f>
        <v>#REF!</v>
      </c>
      <c r="M25" s="13" t="e">
        <f>+ELECTRIC!#REF!</f>
        <v>#REF!</v>
      </c>
    </row>
    <row r="26" spans="1:13" x14ac:dyDescent="0.25">
      <c r="A26" s="4"/>
      <c r="B26" s="28"/>
      <c r="C26" s="28"/>
      <c r="D26" s="17"/>
      <c r="E26" s="17"/>
      <c r="F26" s="17"/>
      <c r="G26" s="17">
        <f t="shared" ref="G26:M26" si="0">SUM(G6:G25)</f>
        <v>162891395.866</v>
      </c>
      <c r="H26" s="17">
        <f t="shared" si="0"/>
        <v>183121958.843492</v>
      </c>
      <c r="I26" s="17">
        <f t="shared" si="0"/>
        <v>175178001.438492</v>
      </c>
      <c r="J26" s="17">
        <f t="shared" si="0"/>
        <v>266123878.98514175</v>
      </c>
      <c r="K26" s="17">
        <f t="shared" si="0"/>
        <v>280102989.4592427</v>
      </c>
      <c r="L26" s="17" t="e">
        <f t="shared" si="0"/>
        <v>#REF!</v>
      </c>
      <c r="M26" s="17" t="e">
        <f t="shared" si="0"/>
        <v>#REF!</v>
      </c>
    </row>
    <row r="27" spans="1:13" x14ac:dyDescent="0.25">
      <c r="L27" s="96"/>
    </row>
    <row r="28" spans="1:13" x14ac:dyDescent="0.25">
      <c r="I28" s="25"/>
      <c r="J28" s="25"/>
      <c r="K28" s="25"/>
    </row>
    <row r="29" spans="1:13" x14ac:dyDescent="0.25">
      <c r="H29" s="25"/>
    </row>
  </sheetData>
  <mergeCells count="2">
    <mergeCell ref="A3:I3"/>
    <mergeCell ref="A1:M1"/>
  </mergeCells>
  <phoneticPr fontId="0" type="noConversion"/>
  <pageMargins left="0.57999999999999996" right="0.79" top="1" bottom="1" header="0.5" footer="0.5"/>
  <pageSetup scale="81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N36"/>
  <sheetViews>
    <sheetView view="pageBreakPreview" topLeftCell="A43" zoomScaleSheetLayoutView="100" workbookViewId="0">
      <selection activeCell="F36" sqref="F36"/>
    </sheetView>
  </sheetViews>
  <sheetFormatPr defaultRowHeight="13.2" x14ac:dyDescent="0.25"/>
  <cols>
    <col min="1" max="1" width="16.88671875" customWidth="1"/>
    <col min="2" max="2" width="16.44140625" customWidth="1"/>
    <col min="3" max="3" width="14.6640625" customWidth="1"/>
    <col min="4" max="4" width="17.44140625" customWidth="1"/>
    <col min="5" max="5" width="12.88671875" customWidth="1"/>
    <col min="6" max="6" width="13" customWidth="1"/>
    <col min="7" max="7" width="12.88671875" customWidth="1"/>
    <col min="8" max="8" width="12.6640625" customWidth="1"/>
    <col min="9" max="9" width="12.33203125" customWidth="1"/>
    <col min="12" max="13" width="11.33203125" bestFit="1" customWidth="1"/>
    <col min="14" max="14" width="14" bestFit="1" customWidth="1"/>
  </cols>
  <sheetData>
    <row r="1" spans="1:14" ht="21" x14ac:dyDescent="0.25">
      <c r="A1" s="27" t="s">
        <v>135</v>
      </c>
      <c r="B1" s="27" t="s">
        <v>136</v>
      </c>
      <c r="C1" s="27" t="s">
        <v>137</v>
      </c>
      <c r="D1" s="27" t="s">
        <v>142</v>
      </c>
      <c r="E1" s="27" t="s">
        <v>143</v>
      </c>
      <c r="F1" s="27" t="s">
        <v>138</v>
      </c>
      <c r="G1" s="27" t="s">
        <v>139</v>
      </c>
      <c r="H1" s="27" t="s">
        <v>140</v>
      </c>
      <c r="I1" s="27" t="s">
        <v>141</v>
      </c>
      <c r="J1" s="162">
        <v>4</v>
      </c>
    </row>
    <row r="2" spans="1:14" x14ac:dyDescent="0.25">
      <c r="A2" s="163" t="e">
        <f>+SUMMARY!#REF!+SUMMARY!#REF!</f>
        <v>#REF!</v>
      </c>
      <c r="B2" s="163" t="e">
        <f>+SUMMARY!#REF!</f>
        <v>#REF!</v>
      </c>
      <c r="C2" s="163" t="e">
        <f>+SUMMARY!#REF!</f>
        <v>#REF!</v>
      </c>
      <c r="D2" s="163" t="e">
        <f>+SUMMARY!#REF!</f>
        <v>#REF!</v>
      </c>
      <c r="E2" s="163" t="e">
        <f>+SUMMARY!#REF!</f>
        <v>#REF!</v>
      </c>
      <c r="F2" s="163" t="e">
        <f>+SUMMARY!#REF!</f>
        <v>#REF!</v>
      </c>
      <c r="G2" s="163" t="e">
        <f>+SUMMARY!#REF!</f>
        <v>#REF!</v>
      </c>
      <c r="H2" s="163" t="e">
        <f>+SUMMARY!#REF!</f>
        <v>#REF!</v>
      </c>
      <c r="I2" s="163" t="e">
        <f>+SUMMARY!#REF!</f>
        <v>#REF!</v>
      </c>
    </row>
    <row r="4" spans="1:14" x14ac:dyDescent="0.25">
      <c r="M4" s="25"/>
    </row>
    <row r="7" spans="1:14" x14ac:dyDescent="0.25">
      <c r="L7" s="25"/>
    </row>
    <row r="8" spans="1:14" x14ac:dyDescent="0.25">
      <c r="L8" s="25"/>
    </row>
    <row r="9" spans="1:14" x14ac:dyDescent="0.25">
      <c r="L9" s="25"/>
    </row>
    <row r="10" spans="1:14" x14ac:dyDescent="0.25">
      <c r="L10" s="25"/>
    </row>
    <row r="16" spans="1:14" x14ac:dyDescent="0.25">
      <c r="N16" s="173"/>
    </row>
    <row r="35" spans="1:7" ht="252.75" customHeight="1" x14ac:dyDescent="0.25">
      <c r="A35" s="26" t="s">
        <v>98</v>
      </c>
      <c r="B35" s="26" t="s">
        <v>100</v>
      </c>
      <c r="C35" s="26" t="s">
        <v>67</v>
      </c>
      <c r="D35" s="26" t="s">
        <v>73</v>
      </c>
      <c r="E35" s="26" t="s">
        <v>74</v>
      </c>
      <c r="F35" s="26" t="s">
        <v>79</v>
      </c>
      <c r="G35" s="26"/>
    </row>
    <row r="36" spans="1:7" x14ac:dyDescent="0.25">
      <c r="A36" s="32" t="e">
        <f>+SUMMARY!#REF!</f>
        <v>#REF!</v>
      </c>
      <c r="B36" s="32" t="e">
        <f>+SUMMARY!#REF!</f>
        <v>#REF!</v>
      </c>
      <c r="C36" s="32" t="e">
        <f>+SUMMARY!#REF!+SUMMARY!#REF!</f>
        <v>#REF!</v>
      </c>
      <c r="D36" s="32" t="e">
        <f>+SUMMARY!#REF!</f>
        <v>#REF!</v>
      </c>
      <c r="E36" s="32" t="e">
        <f>+SUMMARY!#REF!</f>
        <v>#REF!</v>
      </c>
      <c r="F36" s="32" t="e">
        <f>+SUMMARY!#REF!</f>
        <v>#REF!</v>
      </c>
    </row>
  </sheetData>
  <phoneticPr fontId="0" type="noConversion"/>
  <pageMargins left="0.56000000000000005" right="0.75" top="0.63" bottom="1" header="0.5" footer="0.5"/>
  <pageSetup paperSize="9" scale="63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2:F54"/>
  <sheetViews>
    <sheetView topLeftCell="A16" workbookViewId="0">
      <selection activeCell="A7" sqref="A7"/>
    </sheetView>
  </sheetViews>
  <sheetFormatPr defaultRowHeight="13.2" x14ac:dyDescent="0.25"/>
  <cols>
    <col min="1" max="1" width="33.88671875" bestFit="1" customWidth="1"/>
    <col min="3" max="4" width="9.6640625" customWidth="1"/>
    <col min="5" max="5" width="11" customWidth="1"/>
  </cols>
  <sheetData>
    <row r="2" spans="1:6" ht="15.6" x14ac:dyDescent="0.3">
      <c r="A2" s="238" t="s">
        <v>387</v>
      </c>
    </row>
    <row r="3" spans="1:6" x14ac:dyDescent="0.25">
      <c r="A3" s="232"/>
    </row>
    <row r="4" spans="1:6" x14ac:dyDescent="0.25">
      <c r="C4" s="233" t="s">
        <v>382</v>
      </c>
      <c r="D4" s="233" t="s">
        <v>407</v>
      </c>
      <c r="E4" s="233" t="s">
        <v>414</v>
      </c>
    </row>
    <row r="6" spans="1:6" x14ac:dyDescent="0.25">
      <c r="A6" t="s">
        <v>386</v>
      </c>
      <c r="C6" s="241">
        <v>6.9500000000000006E-2</v>
      </c>
      <c r="D6" s="241">
        <v>6.5000000000000002E-2</v>
      </c>
      <c r="E6" s="241">
        <v>6.5000000000000002E-2</v>
      </c>
    </row>
    <row r="7" spans="1:6" x14ac:dyDescent="0.25">
      <c r="A7" s="234" t="s">
        <v>389</v>
      </c>
      <c r="C7" s="241">
        <v>6.4000000000000001E-2</v>
      </c>
      <c r="D7" s="241">
        <v>6.4000000000000001E-2</v>
      </c>
      <c r="E7" s="241">
        <v>6.4000000000000001E-2</v>
      </c>
    </row>
    <row r="8" spans="1:6" x14ac:dyDescent="0.25">
      <c r="A8" s="234" t="s">
        <v>390</v>
      </c>
      <c r="C8" s="241">
        <v>6.4000000000000001E-2</v>
      </c>
      <c r="D8" s="241">
        <v>6.4000000000000001E-2</v>
      </c>
      <c r="E8" s="241">
        <v>6.4000000000000001E-2</v>
      </c>
    </row>
    <row r="9" spans="1:6" x14ac:dyDescent="0.25">
      <c r="C9" s="241"/>
      <c r="D9" s="241"/>
      <c r="E9" s="241"/>
    </row>
    <row r="10" spans="1:6" x14ac:dyDescent="0.25">
      <c r="A10" s="234" t="s">
        <v>388</v>
      </c>
      <c r="C10" s="241">
        <v>5.5E-2</v>
      </c>
      <c r="D10" s="241">
        <v>5.0999999999999997E-2</v>
      </c>
      <c r="E10" s="241">
        <v>4.9000000000000002E-2</v>
      </c>
      <c r="F10" s="239"/>
    </row>
    <row r="11" spans="1:6" x14ac:dyDescent="0.25">
      <c r="A11" s="234" t="s">
        <v>97</v>
      </c>
      <c r="C11" s="241">
        <v>0.2671</v>
      </c>
      <c r="D11" s="241">
        <v>0.1103</v>
      </c>
      <c r="E11" s="241">
        <v>0.1103</v>
      </c>
      <c r="F11" s="239"/>
    </row>
    <row r="12" spans="1:6" x14ac:dyDescent="0.25">
      <c r="A12" s="234" t="s">
        <v>134</v>
      </c>
      <c r="C12" s="241">
        <v>7.0000000000000007E-2</v>
      </c>
      <c r="D12" s="241">
        <v>7.0000000000000007E-2</v>
      </c>
      <c r="E12" s="241">
        <v>7.0000000000000007E-2</v>
      </c>
      <c r="F12" s="239"/>
    </row>
    <row r="13" spans="1:6" x14ac:dyDescent="0.25">
      <c r="C13" s="241"/>
      <c r="D13" s="241"/>
      <c r="E13" s="241"/>
    </row>
    <row r="14" spans="1:6" x14ac:dyDescent="0.25">
      <c r="A14" s="56" t="s">
        <v>98</v>
      </c>
      <c r="C14" s="241"/>
      <c r="D14" s="241"/>
      <c r="E14" s="241"/>
    </row>
    <row r="15" spans="1:6" x14ac:dyDescent="0.25">
      <c r="A15" s="235" t="s">
        <v>99</v>
      </c>
      <c r="C15" s="245" t="s">
        <v>392</v>
      </c>
      <c r="D15" s="241">
        <v>0.06</v>
      </c>
      <c r="E15" s="241">
        <v>0.06</v>
      </c>
    </row>
    <row r="16" spans="1:6" x14ac:dyDescent="0.25">
      <c r="A16" s="235"/>
      <c r="C16" s="241"/>
      <c r="D16" s="241"/>
      <c r="E16" s="241"/>
    </row>
    <row r="17" spans="1:5" x14ac:dyDescent="0.25">
      <c r="A17" s="236" t="s">
        <v>100</v>
      </c>
      <c r="C17" s="241"/>
      <c r="D17" s="241"/>
      <c r="E17" s="241"/>
    </row>
    <row r="18" spans="1:5" x14ac:dyDescent="0.25">
      <c r="A18" s="235" t="s">
        <v>102</v>
      </c>
      <c r="C18" s="241">
        <v>4.8000000000000001E-2</v>
      </c>
      <c r="D18" s="241">
        <v>5.2999999999999999E-2</v>
      </c>
      <c r="E18" s="241">
        <v>5.5E-2</v>
      </c>
    </row>
    <row r="19" spans="1:5" x14ac:dyDescent="0.25">
      <c r="A19" s="235" t="s">
        <v>343</v>
      </c>
      <c r="C19" s="241">
        <v>4.8000000000000001E-2</v>
      </c>
      <c r="D19" s="241">
        <v>5.2999999999999999E-2</v>
      </c>
      <c r="E19" s="241">
        <v>5.5E-2</v>
      </c>
    </row>
    <row r="20" spans="1:5" x14ac:dyDescent="0.25">
      <c r="A20" s="237" t="s">
        <v>104</v>
      </c>
      <c r="C20" s="241">
        <v>4.8000000000000001E-2</v>
      </c>
      <c r="D20" s="241">
        <v>5.2999999999999999E-2</v>
      </c>
      <c r="E20" s="241">
        <v>5.5E-2</v>
      </c>
    </row>
    <row r="21" spans="1:5" x14ac:dyDescent="0.25">
      <c r="A21" s="237" t="s">
        <v>115</v>
      </c>
      <c r="C21" s="241">
        <v>4.8000000000000001E-2</v>
      </c>
      <c r="D21" s="241">
        <v>5.2999999999999999E-2</v>
      </c>
      <c r="E21" s="241">
        <v>5.5E-2</v>
      </c>
    </row>
    <row r="22" spans="1:5" x14ac:dyDescent="0.25">
      <c r="A22" s="237" t="s">
        <v>109</v>
      </c>
      <c r="C22" s="242">
        <v>0.20380000000000001</v>
      </c>
      <c r="D22" s="242">
        <v>0.20380000000000001</v>
      </c>
      <c r="E22" s="240">
        <v>0.20380000000000001</v>
      </c>
    </row>
    <row r="23" spans="1:5" x14ac:dyDescent="0.25">
      <c r="A23" s="237" t="s">
        <v>113</v>
      </c>
      <c r="C23" s="241">
        <v>7.0000000000000007E-2</v>
      </c>
      <c r="D23" s="241">
        <v>7.0000000000000007E-2</v>
      </c>
      <c r="E23" s="241">
        <v>7.0000000000000007E-2</v>
      </c>
    </row>
    <row r="24" spans="1:5" x14ac:dyDescent="0.25">
      <c r="A24" s="237" t="s">
        <v>132</v>
      </c>
      <c r="C24" s="240">
        <v>7.0000000000000007E-2</v>
      </c>
      <c r="D24" s="240">
        <v>7.0000000000000007E-2</v>
      </c>
      <c r="E24" s="240">
        <v>7.0000000000000007E-2</v>
      </c>
    </row>
    <row r="25" spans="1:5" x14ac:dyDescent="0.25">
      <c r="A25" s="237" t="s">
        <v>120</v>
      </c>
      <c r="C25" s="241">
        <v>4.8000000000000001E-2</v>
      </c>
      <c r="D25" s="241">
        <v>5.2999999999999999E-2</v>
      </c>
      <c r="E25" s="241">
        <v>5.5E-2</v>
      </c>
    </row>
    <row r="26" spans="1:5" x14ac:dyDescent="0.25">
      <c r="A26" s="237" t="s">
        <v>116</v>
      </c>
      <c r="C26" s="241">
        <v>4.8000000000000001E-2</v>
      </c>
      <c r="D26" s="241">
        <v>5.2999999999999999E-2</v>
      </c>
      <c r="E26" s="241">
        <v>5.5E-2</v>
      </c>
    </row>
    <row r="27" spans="1:5" x14ac:dyDescent="0.25">
      <c r="A27" s="237" t="s">
        <v>101</v>
      </c>
      <c r="C27" s="241">
        <v>4.8000000000000001E-2</v>
      </c>
      <c r="D27" s="241">
        <v>5.2999999999999999E-2</v>
      </c>
      <c r="E27" s="241">
        <v>5.5E-2</v>
      </c>
    </row>
    <row r="28" spans="1:5" x14ac:dyDescent="0.25">
      <c r="A28" s="237" t="s">
        <v>114</v>
      </c>
      <c r="C28" s="240">
        <v>7.0000000000000007E-2</v>
      </c>
      <c r="D28" s="240">
        <v>7.0000000000000007E-2</v>
      </c>
      <c r="E28" s="240">
        <v>7.0000000000000007E-2</v>
      </c>
    </row>
    <row r="29" spans="1:5" x14ac:dyDescent="0.25">
      <c r="A29" s="237" t="s">
        <v>110</v>
      </c>
      <c r="C29" s="240">
        <v>7.0000000000000007E-2</v>
      </c>
      <c r="D29" s="240">
        <v>7.0000000000000007E-2</v>
      </c>
      <c r="E29" s="240">
        <v>7.0000000000000007E-2</v>
      </c>
    </row>
    <row r="30" spans="1:5" x14ac:dyDescent="0.25">
      <c r="A30" s="237" t="s">
        <v>111</v>
      </c>
      <c r="C30" s="240">
        <v>7.0000000000000007E-2</v>
      </c>
      <c r="D30" s="240">
        <v>7.0000000000000007E-2</v>
      </c>
      <c r="E30" s="240">
        <v>7.0000000000000007E-2</v>
      </c>
    </row>
    <row r="31" spans="1:5" x14ac:dyDescent="0.25">
      <c r="A31" s="237" t="s">
        <v>112</v>
      </c>
      <c r="C31" s="240">
        <v>7.0000000000000007E-2</v>
      </c>
      <c r="D31" s="240">
        <v>7.0000000000000007E-2</v>
      </c>
      <c r="E31" s="240">
        <v>7.0000000000000007E-2</v>
      </c>
    </row>
    <row r="32" spans="1:5" x14ac:dyDescent="0.25">
      <c r="A32" s="237" t="s">
        <v>199</v>
      </c>
      <c r="C32" s="241">
        <v>4.8000000000000001E-2</v>
      </c>
      <c r="D32" s="241">
        <v>5.2999999999999999E-2</v>
      </c>
      <c r="E32" s="241">
        <v>5.5E-2</v>
      </c>
    </row>
    <row r="33" spans="1:5" x14ac:dyDescent="0.25">
      <c r="A33" s="237" t="s">
        <v>117</v>
      </c>
      <c r="C33" s="241">
        <v>4.8000000000000001E-2</v>
      </c>
      <c r="D33" s="241">
        <v>5.2999999999999999E-2</v>
      </c>
      <c r="E33" s="241">
        <v>5.5E-2</v>
      </c>
    </row>
    <row r="34" spans="1:5" x14ac:dyDescent="0.25">
      <c r="A34" s="237" t="s">
        <v>105</v>
      </c>
      <c r="C34" s="241">
        <v>4.8000000000000001E-2</v>
      </c>
      <c r="D34" s="241">
        <v>5.2999999999999999E-2</v>
      </c>
      <c r="E34" s="241">
        <v>5.5E-2</v>
      </c>
    </row>
    <row r="35" spans="1:5" x14ac:dyDescent="0.25">
      <c r="A35" s="237" t="s">
        <v>118</v>
      </c>
      <c r="C35" s="240">
        <v>7.0000000000000007E-2</v>
      </c>
      <c r="D35" s="240">
        <v>7.0000000000000007E-2</v>
      </c>
      <c r="E35" s="240">
        <v>7.0000000000000007E-2</v>
      </c>
    </row>
    <row r="36" spans="1:5" x14ac:dyDescent="0.25">
      <c r="A36" s="237" t="s">
        <v>133</v>
      </c>
      <c r="C36" s="240">
        <v>7.0000000000000007E-2</v>
      </c>
      <c r="D36" s="240">
        <v>7.0000000000000007E-2</v>
      </c>
      <c r="E36" s="240">
        <v>7.0000000000000007E-2</v>
      </c>
    </row>
    <row r="37" spans="1:5" x14ac:dyDescent="0.25">
      <c r="A37" s="237" t="s">
        <v>340</v>
      </c>
      <c r="C37" s="240">
        <v>7.0000000000000007E-2</v>
      </c>
      <c r="D37" s="240">
        <v>7.0000000000000007E-2</v>
      </c>
      <c r="E37" s="240">
        <v>7.0000000000000007E-2</v>
      </c>
    </row>
    <row r="38" spans="1:5" x14ac:dyDescent="0.25">
      <c r="A38" s="237" t="s">
        <v>370</v>
      </c>
      <c r="C38" s="241">
        <v>4.8000000000000001E-2</v>
      </c>
      <c r="D38" s="241">
        <v>5.2999999999999999E-2</v>
      </c>
      <c r="E38" s="241">
        <v>5.5E-2</v>
      </c>
    </row>
    <row r="39" spans="1:5" x14ac:dyDescent="0.25">
      <c r="A39" s="237" t="s">
        <v>119</v>
      </c>
      <c r="C39" s="241">
        <v>4.8000000000000001E-2</v>
      </c>
      <c r="D39" s="241">
        <v>5.2999999999999999E-2</v>
      </c>
      <c r="E39" s="241">
        <v>5.5E-2</v>
      </c>
    </row>
    <row r="40" spans="1:5" x14ac:dyDescent="0.25">
      <c r="A40" s="237" t="s">
        <v>347</v>
      </c>
      <c r="C40" s="241">
        <v>4.8000000000000001E-2</v>
      </c>
      <c r="D40" s="241">
        <v>5.2999999999999999E-2</v>
      </c>
      <c r="E40" s="241">
        <v>5.5E-2</v>
      </c>
    </row>
    <row r="41" spans="1:5" x14ac:dyDescent="0.25">
      <c r="C41" s="240"/>
      <c r="D41" s="240"/>
      <c r="E41" s="240"/>
    </row>
    <row r="42" spans="1:5" x14ac:dyDescent="0.25">
      <c r="A42" s="56" t="s">
        <v>66</v>
      </c>
      <c r="C42" s="240"/>
      <c r="D42" s="240"/>
      <c r="E42" s="240"/>
    </row>
    <row r="43" spans="1:5" x14ac:dyDescent="0.25">
      <c r="A43" s="237" t="s">
        <v>342</v>
      </c>
      <c r="C43" s="241">
        <v>4.8000000000000001E-2</v>
      </c>
      <c r="D43" s="241">
        <v>5.2999999999999999E-2</v>
      </c>
      <c r="E43" s="241">
        <v>5.5E-2</v>
      </c>
    </row>
    <row r="44" spans="1:5" x14ac:dyDescent="0.25">
      <c r="A44" s="237" t="s">
        <v>344</v>
      </c>
      <c r="C44" s="241">
        <v>4.8000000000000001E-2</v>
      </c>
      <c r="D44" s="241">
        <v>5.2999999999999999E-2</v>
      </c>
      <c r="E44" s="241">
        <v>5.5E-2</v>
      </c>
    </row>
    <row r="45" spans="1:5" x14ac:dyDescent="0.25">
      <c r="A45" s="237" t="s">
        <v>345</v>
      </c>
      <c r="C45" s="241">
        <v>4.8000000000000001E-2</v>
      </c>
      <c r="D45" s="241">
        <v>5.2999999999999999E-2</v>
      </c>
      <c r="E45" s="241">
        <v>5.5E-2</v>
      </c>
    </row>
    <row r="46" spans="1:5" x14ac:dyDescent="0.25">
      <c r="A46" s="237" t="s">
        <v>346</v>
      </c>
      <c r="C46" s="241">
        <v>4.8000000000000001E-2</v>
      </c>
      <c r="D46" s="241">
        <v>5.2999999999999999E-2</v>
      </c>
      <c r="E46" s="241">
        <v>5.5E-2</v>
      </c>
    </row>
    <row r="47" spans="1:5" x14ac:dyDescent="0.25">
      <c r="C47" s="241"/>
      <c r="D47" s="241"/>
      <c r="E47" s="241"/>
    </row>
    <row r="48" spans="1:5" x14ac:dyDescent="0.25">
      <c r="C48" s="241"/>
      <c r="D48" s="241"/>
      <c r="E48" s="241"/>
    </row>
    <row r="49" spans="1:5" x14ac:dyDescent="0.25">
      <c r="A49" s="56" t="s">
        <v>391</v>
      </c>
      <c r="C49" s="241"/>
      <c r="D49" s="241"/>
      <c r="E49" s="241"/>
    </row>
    <row r="50" spans="1:5" x14ac:dyDescent="0.25">
      <c r="A50" s="237" t="s">
        <v>0</v>
      </c>
      <c r="C50" s="243">
        <v>0.6</v>
      </c>
      <c r="D50" s="243">
        <v>0.65</v>
      </c>
      <c r="E50" s="243">
        <v>0.7</v>
      </c>
    </row>
    <row r="51" spans="1:5" x14ac:dyDescent="0.25">
      <c r="A51" s="237" t="s">
        <v>19</v>
      </c>
      <c r="C51" s="243">
        <v>0.6</v>
      </c>
      <c r="D51" s="243">
        <v>0.65</v>
      </c>
      <c r="E51" s="243">
        <v>0.7</v>
      </c>
    </row>
    <row r="52" spans="1:5" x14ac:dyDescent="0.25">
      <c r="A52" s="237" t="s">
        <v>18</v>
      </c>
      <c r="C52" s="243">
        <v>0.6</v>
      </c>
      <c r="D52" s="243">
        <v>0.65</v>
      </c>
      <c r="E52" s="243">
        <v>0.7</v>
      </c>
    </row>
    <row r="53" spans="1:5" x14ac:dyDescent="0.25">
      <c r="A53" s="237" t="s">
        <v>149</v>
      </c>
      <c r="C53" s="243">
        <v>0.6</v>
      </c>
      <c r="D53" s="243">
        <v>0.65</v>
      </c>
      <c r="E53" s="243">
        <v>0.7</v>
      </c>
    </row>
    <row r="54" spans="1:5" x14ac:dyDescent="0.25">
      <c r="A54" s="237" t="s">
        <v>11</v>
      </c>
      <c r="C54" s="243">
        <v>0.6</v>
      </c>
      <c r="D54" s="243">
        <v>0.65</v>
      </c>
      <c r="E54" s="243">
        <v>0.7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O265"/>
  <sheetViews>
    <sheetView view="pageBreakPreview" topLeftCell="A48" zoomScaleSheetLayoutView="100" workbookViewId="0">
      <pane ySplit="300" activePane="bottomLeft"/>
      <selection activeCell="E143" sqref="E143"/>
      <selection pane="bottomLeft" activeCell="A140" sqref="A140:XFD141"/>
    </sheetView>
  </sheetViews>
  <sheetFormatPr defaultColWidth="9.109375" defaultRowHeight="13.2" x14ac:dyDescent="0.25"/>
  <cols>
    <col min="1" max="1" width="3.33203125" style="96" customWidth="1"/>
    <col min="2" max="2" width="9" style="255" customWidth="1"/>
    <col min="3" max="3" width="38.109375" style="96" customWidth="1"/>
    <col min="4" max="4" width="18" style="96" customWidth="1"/>
    <col min="5" max="5" width="15" style="96" customWidth="1"/>
    <col min="6" max="6" width="15.88671875" style="96" customWidth="1"/>
    <col min="7" max="7" width="16.33203125" style="96" customWidth="1"/>
    <col min="8" max="8" width="12.88671875" style="96" customWidth="1"/>
    <col min="9" max="9" width="14.6640625" style="96" customWidth="1"/>
    <col min="10" max="10" width="15.5546875" style="101" customWidth="1"/>
    <col min="11" max="11" width="11.88671875" style="101" customWidth="1"/>
    <col min="12" max="13" width="9.109375" style="101"/>
    <col min="14" max="14" width="9.109375" style="96"/>
    <col min="15" max="15" width="14" style="96" bestFit="1" customWidth="1"/>
    <col min="16" max="16384" width="9.109375" style="96"/>
  </cols>
  <sheetData>
    <row r="1" spans="1:9" ht="12.75" customHeight="1" x14ac:dyDescent="0.25">
      <c r="A1" s="937" t="s">
        <v>20</v>
      </c>
      <c r="B1" s="938"/>
      <c r="C1" s="938"/>
      <c r="D1" s="938"/>
      <c r="E1" s="938"/>
      <c r="F1" s="938"/>
      <c r="G1" s="938"/>
      <c r="H1" s="938"/>
      <c r="I1" s="101"/>
    </row>
    <row r="2" spans="1:9" ht="12.75" customHeight="1" x14ac:dyDescent="0.25">
      <c r="A2" s="939"/>
      <c r="B2" s="940"/>
      <c r="C2" s="940"/>
      <c r="D2" s="940"/>
      <c r="E2" s="940"/>
      <c r="F2" s="940"/>
      <c r="G2" s="940"/>
      <c r="H2" s="940"/>
      <c r="I2" s="101"/>
    </row>
    <row r="3" spans="1:9" x14ac:dyDescent="0.25">
      <c r="A3" s="941" t="s">
        <v>415</v>
      </c>
      <c r="B3" s="942"/>
      <c r="C3" s="943"/>
      <c r="D3" s="329"/>
      <c r="E3" s="149"/>
      <c r="F3" s="277"/>
      <c r="G3" s="277"/>
      <c r="H3" s="277"/>
      <c r="I3" s="101"/>
    </row>
    <row r="4" spans="1:9" x14ac:dyDescent="0.25">
      <c r="A4" s="944" t="s">
        <v>21</v>
      </c>
      <c r="B4" s="945"/>
      <c r="C4" s="150" t="s">
        <v>22</v>
      </c>
      <c r="D4" s="150" t="s">
        <v>532</v>
      </c>
      <c r="E4" s="104" t="s">
        <v>24</v>
      </c>
      <c r="F4" s="83" t="s">
        <v>24</v>
      </c>
      <c r="G4" s="104" t="s">
        <v>24</v>
      </c>
      <c r="H4" s="103" t="s">
        <v>24</v>
      </c>
      <c r="I4" s="101"/>
    </row>
    <row r="5" spans="1:9" x14ac:dyDescent="0.25">
      <c r="A5" s="946"/>
      <c r="B5" s="947"/>
      <c r="C5" s="106"/>
      <c r="D5" s="106" t="s">
        <v>382</v>
      </c>
      <c r="E5" s="107" t="s">
        <v>382</v>
      </c>
      <c r="F5" s="107" t="s">
        <v>407</v>
      </c>
      <c r="G5" s="107" t="s">
        <v>414</v>
      </c>
      <c r="H5" s="107" t="s">
        <v>530</v>
      </c>
      <c r="I5" s="101"/>
    </row>
    <row r="6" spans="1:9" x14ac:dyDescent="0.25">
      <c r="A6" s="129"/>
      <c r="B6" s="246"/>
      <c r="C6" s="93" t="s">
        <v>33</v>
      </c>
      <c r="D6" s="93"/>
      <c r="E6" s="85"/>
      <c r="F6" s="85"/>
      <c r="G6" s="85"/>
      <c r="H6" s="85"/>
      <c r="I6" s="101"/>
    </row>
    <row r="7" spans="1:9" x14ac:dyDescent="0.25">
      <c r="A7" s="118"/>
      <c r="B7" s="247"/>
      <c r="C7" s="94" t="s">
        <v>241</v>
      </c>
      <c r="D7" s="94"/>
      <c r="E7" s="85">
        <f>+COUNCIL!D7+MAYOR!D7+SPEAKER!D7+MM!D7+CORP!D7+PROP!D7+RATES!D7+THALL!D7+FIN!D6+SOCIAL!D7+CEMETERY!D7+LIBRARIES!D7+HOUSING!D7+TRAFFIC!D7+PARKS!D7+REFUSE!D7+SEWAGE!D7+PWORKS!D7+WATER!D7+ELECTRIC!D7</f>
        <v>41480</v>
      </c>
      <c r="F7" s="85"/>
      <c r="G7" s="85"/>
      <c r="H7" s="85"/>
      <c r="I7" s="101"/>
    </row>
    <row r="8" spans="1:9" hidden="1" x14ac:dyDescent="0.25">
      <c r="A8" s="118"/>
      <c r="B8" s="246"/>
      <c r="C8" s="94" t="s">
        <v>34</v>
      </c>
      <c r="D8" s="94"/>
      <c r="E8" s="85">
        <f>+COUNCIL!D8+MAYOR!D8+SPEAKER!D8+MM!D8+CORP!D8+PROP!D8+RATES!D8+THALL!D8+FIN!D7+SOCIAL!D8+CEMETERY!D8+LIBRARIES!D8+HOUSING!D8+TRAFFIC!D8+PARKS!D8+REFUSE!D8+SEWAGE!D8+PWORKS!D8+WATER!D8+ELECTRIC!D8</f>
        <v>7200</v>
      </c>
      <c r="F8" s="85"/>
      <c r="G8" s="85"/>
      <c r="H8" s="85"/>
      <c r="I8" s="101"/>
    </row>
    <row r="9" spans="1:9" x14ac:dyDescent="0.25">
      <c r="A9" s="118"/>
      <c r="B9" s="246"/>
      <c r="C9" s="94" t="s">
        <v>35</v>
      </c>
      <c r="D9" s="94"/>
      <c r="E9" s="85">
        <f>+COUNCIL!D9+MAYOR!D9+SPEAKER!D9+MM!D9+CORP!D9+PROP!D9+RATES!D9+THALL!D9+FIN!D8+SOCIAL!D9+CEMETERY!D9+LIBRARIES!D9+HOUSING!D9+TRAFFIC!D9+PARKS!D9+REFUSE!D9+SEWAGE!D9+PWORKS!D9+WATER!D9+ELECTRIC!D9</f>
        <v>49500</v>
      </c>
      <c r="F9" s="85"/>
      <c r="G9" s="85"/>
      <c r="H9" s="85"/>
      <c r="I9" s="101"/>
    </row>
    <row r="10" spans="1:9" x14ac:dyDescent="0.25">
      <c r="A10" s="118"/>
      <c r="B10" s="246"/>
      <c r="C10" s="94" t="s">
        <v>350</v>
      </c>
      <c r="D10" s="94"/>
      <c r="E10" s="85">
        <f>+COUNCIL!D10+MAYOR!D10+SPEAKER!D10+MM!D10+CORP!D10+PROP!D10+RATES!D10+THALL!D10+FIN!D9+SOCIAL!D10+CEMETERY!D10+LIBRARIES!D10+HOUSING!D10+TRAFFIC!D10+PARKS!D10+REFUSE!D10+SEWAGE!D10+PWORKS!D10+WATER!D10+ELECTRIC!D10</f>
        <v>1974140</v>
      </c>
      <c r="F10" s="85"/>
      <c r="G10" s="85"/>
      <c r="H10" s="85"/>
      <c r="I10" s="101"/>
    </row>
    <row r="11" spans="1:9" x14ac:dyDescent="0.25">
      <c r="A11" s="118"/>
      <c r="B11" s="246"/>
      <c r="C11" s="94" t="s">
        <v>36</v>
      </c>
      <c r="D11" s="94"/>
      <c r="E11" s="85">
        <f>+COUNCIL!D11+MAYOR!D11+SPEAKER!D11+MM!D11+CORP!D11+PROP!D11+RATES!D11+THALL!D11+FIN!D10+SOCIAL!D11+CEMETERY!D11+LIBRARIES!D11+HOUSING!D11+TRAFFIC!D11+PARKS!D11+REFUSE!D11+SEWAGE!D11+PWORKS!D11+WATER!D11+ELECTRIC!D11</f>
        <v>180000</v>
      </c>
      <c r="F11" s="85"/>
      <c r="G11" s="85"/>
      <c r="H11" s="85"/>
      <c r="I11" s="101"/>
    </row>
    <row r="12" spans="1:9" x14ac:dyDescent="0.25">
      <c r="A12" s="118"/>
      <c r="B12" s="246"/>
      <c r="C12" s="94" t="s">
        <v>85</v>
      </c>
      <c r="D12" s="94"/>
      <c r="E12" s="85">
        <f>+COUNCIL!D12+MAYOR!D12+SPEAKER!D12+MM!D12+CORP!D12+PROP!D12+RATES!D12+THALL!D12+FIN!D11+SOCIAL!D12+CEMETERY!D12+LIBRARIES!D12+HOUSING!D12+TRAFFIC!D12+PARKS!D12+REFUSE!D12+SEWAGE!D12+PWORKS!D12+WATER!D12+ELECTRIC!D12</f>
        <v>394560</v>
      </c>
      <c r="F12" s="85"/>
      <c r="G12" s="85"/>
      <c r="H12" s="85"/>
      <c r="I12" s="101"/>
    </row>
    <row r="13" spans="1:9" x14ac:dyDescent="0.25">
      <c r="A13" s="118"/>
      <c r="B13" s="246"/>
      <c r="C13" s="94" t="s">
        <v>84</v>
      </c>
      <c r="D13" s="94"/>
      <c r="E13" s="85">
        <f>+COUNCIL!D13+MAYOR!D13+SPEAKER!D13+MM!D13+CORP!D13+PROP!D13+RATES!D13+THALL!D13+FIN!D12+SOCIAL!D13+CEMETERY!D13+LIBRARIES!D13+HOUSING!D13+TRAFFIC!D13+PARKS!D13+REFUSE!D13+SEWAGE!D13+PWORKS!D13+WATER!D13+ELECTRIC!D13</f>
        <v>14280</v>
      </c>
      <c r="F13" s="85"/>
      <c r="G13" s="85"/>
      <c r="H13" s="85"/>
      <c r="I13" s="101"/>
    </row>
    <row r="14" spans="1:9" x14ac:dyDescent="0.25">
      <c r="A14" s="118"/>
      <c r="B14" s="246"/>
      <c r="C14" s="94" t="s">
        <v>37</v>
      </c>
      <c r="D14" s="94"/>
      <c r="E14" s="85">
        <f>+COUNCIL!D14+MAYOR!D14+SPEAKER!D14+MM!D14+CORP!D14+PROP!D14+RATES!D14+THALL!D14+FIN!D14+SOCIAL!D14+CEMETERY!D14+LIBRARIES!D14+HOUSING!D14+TRAFFIC!D14+PARKS!D14+REFUSE!D14+SEWAGE!D14+PWORKS!D14+WATER!D14+ELECTRIC!D14</f>
        <v>2412706.2239999999</v>
      </c>
      <c r="F14" s="85"/>
      <c r="G14" s="85"/>
      <c r="H14" s="85"/>
      <c r="I14" s="101"/>
    </row>
    <row r="15" spans="1:9" hidden="1" x14ac:dyDescent="0.25">
      <c r="A15" s="118"/>
      <c r="B15" s="246"/>
      <c r="C15" s="94" t="s">
        <v>38</v>
      </c>
      <c r="D15" s="94"/>
      <c r="E15" s="85">
        <f>+COUNCIL!D15+MAYOR!D15+SPEAKER!D15+MM!D15+CORP!D15+PROP!D15+RATES!D15+THALL!D15+FIN!D15+SOCIAL!D15+CEMETERY!D15+LIBRARIES!D15+HOUSING!D15+TRAFFIC!D15+PARKS!D15+REFUSE!D15+SEWAGE!D15+PWORKS!D15+WATER!D15+ELECTRIC!D15</f>
        <v>0</v>
      </c>
      <c r="F15" s="85"/>
      <c r="G15" s="85"/>
      <c r="H15" s="85"/>
      <c r="I15" s="101"/>
    </row>
    <row r="16" spans="1:9" x14ac:dyDescent="0.25">
      <c r="A16" s="118"/>
      <c r="B16" s="246"/>
      <c r="C16" s="94" t="s">
        <v>83</v>
      </c>
      <c r="D16" s="94"/>
      <c r="E16" s="85">
        <f>+COUNCIL!D16+MAYOR!D16+SPEAKER!D16+MM!D16+CORP!D16+PROP!D16+RATES!D16+THALL!D16+FIN!D16+SOCIAL!D16+CEMETERY!D16+LIBRARIES!D16+HOUSING!D16+TRAFFIC!D16+PARKS!D16+REFUSE!D16+SEWAGE!D16+PWORKS!D16+WATER!D16+ELECTRIC!D16</f>
        <v>2272230</v>
      </c>
      <c r="F16" s="85"/>
      <c r="G16" s="85"/>
      <c r="H16" s="85"/>
      <c r="I16" s="101"/>
    </row>
    <row r="17" spans="1:11" x14ac:dyDescent="0.25">
      <c r="A17" s="118"/>
      <c r="B17" s="246"/>
      <c r="C17" s="94" t="s">
        <v>39</v>
      </c>
      <c r="D17" s="94"/>
      <c r="E17" s="85">
        <f>+COUNCIL!D17+MAYOR!D17+SPEAKER!D17+MM!D17+CORP!D17+PROP!D17+RATES!D17+THALL!D17+FIN!D17+SOCIAL!D17+CEMETERY!D17+LIBRARIES!D17+HOUSING!D17+TRAFFIC!D17+PARKS!D17+REFUSE!D17+SEWAGE!D17+PWORKS!D17+WATER!D17+ELECTRIC!D17</f>
        <v>35764625</v>
      </c>
      <c r="F17" s="85"/>
      <c r="G17" s="85"/>
      <c r="H17" s="85"/>
      <c r="I17" s="167"/>
    </row>
    <row r="18" spans="1:11" x14ac:dyDescent="0.25">
      <c r="A18" s="129"/>
      <c r="B18" s="246"/>
      <c r="C18" s="94"/>
      <c r="D18" s="330">
        <f>SUM(D7:D17)</f>
        <v>0</v>
      </c>
      <c r="E18" s="89">
        <f>SUM(E7:E17)</f>
        <v>43110721.223999999</v>
      </c>
      <c r="F18" s="89">
        <f>SUM(F7:F17)</f>
        <v>0</v>
      </c>
      <c r="G18" s="89">
        <f>SUM(G7:G17)</f>
        <v>0</v>
      </c>
      <c r="H18" s="89">
        <f>SUM(H7:H17)</f>
        <v>0</v>
      </c>
      <c r="I18" s="313"/>
      <c r="J18" s="167"/>
    </row>
    <row r="19" spans="1:11" x14ac:dyDescent="0.25">
      <c r="A19" s="129"/>
      <c r="B19" s="246"/>
      <c r="C19" s="93" t="s">
        <v>40</v>
      </c>
      <c r="D19" s="145"/>
      <c r="E19" s="308"/>
      <c r="F19" s="86"/>
      <c r="G19" s="86"/>
      <c r="H19" s="86"/>
      <c r="I19" s="274"/>
      <c r="J19" s="231"/>
    </row>
    <row r="20" spans="1:11" x14ac:dyDescent="0.25">
      <c r="A20" s="118"/>
      <c r="B20" s="246"/>
      <c r="C20" s="94" t="s">
        <v>41</v>
      </c>
      <c r="D20" s="94"/>
      <c r="E20" s="85"/>
      <c r="F20" s="85"/>
      <c r="G20" s="85"/>
      <c r="H20" s="85"/>
      <c r="I20" s="313"/>
      <c r="J20" s="316"/>
    </row>
    <row r="21" spans="1:11" x14ac:dyDescent="0.25">
      <c r="A21" s="118"/>
      <c r="B21" s="246"/>
      <c r="C21" s="94" t="s">
        <v>42</v>
      </c>
      <c r="D21" s="94"/>
      <c r="E21" s="85"/>
      <c r="F21" s="85"/>
      <c r="G21" s="85"/>
      <c r="H21" s="85"/>
      <c r="I21" s="313"/>
      <c r="J21" s="167"/>
    </row>
    <row r="22" spans="1:11" x14ac:dyDescent="0.25">
      <c r="A22" s="118"/>
      <c r="B22" s="246"/>
      <c r="C22" s="94" t="s">
        <v>43</v>
      </c>
      <c r="D22" s="94"/>
      <c r="E22" s="85"/>
      <c r="F22" s="85"/>
      <c r="G22" s="85"/>
      <c r="H22" s="85"/>
      <c r="I22" s="313"/>
    </row>
    <row r="23" spans="1:11" hidden="1" x14ac:dyDescent="0.25">
      <c r="A23" s="118"/>
      <c r="B23" s="246"/>
      <c r="C23" s="94" t="s">
        <v>44</v>
      </c>
      <c r="D23" s="94"/>
      <c r="E23" s="85"/>
      <c r="F23" s="85"/>
      <c r="G23" s="85"/>
      <c r="H23" s="85"/>
      <c r="I23" s="313"/>
    </row>
    <row r="24" spans="1:11" x14ac:dyDescent="0.25">
      <c r="A24" s="118"/>
      <c r="B24" s="246"/>
      <c r="C24" s="94" t="s">
        <v>45</v>
      </c>
      <c r="D24" s="94"/>
      <c r="E24" s="85"/>
      <c r="F24" s="85"/>
      <c r="G24" s="85"/>
      <c r="H24" s="85"/>
      <c r="I24" s="313"/>
      <c r="J24" s="167"/>
    </row>
    <row r="25" spans="1:11" x14ac:dyDescent="0.25">
      <c r="A25" s="129"/>
      <c r="B25" s="246"/>
      <c r="C25" s="94"/>
      <c r="D25" s="330">
        <f>SUM(D20:D24)</f>
        <v>0</v>
      </c>
      <c r="E25" s="89">
        <f>SUM(E20:E24)</f>
        <v>0</v>
      </c>
      <c r="F25" s="89">
        <f>SUM(F20:F24)</f>
        <v>0</v>
      </c>
      <c r="G25" s="89">
        <f>SUM(G20:G24)</f>
        <v>0</v>
      </c>
      <c r="H25" s="89">
        <f>SUM(H20:H24)</f>
        <v>0</v>
      </c>
      <c r="I25" s="313"/>
    </row>
    <row r="26" spans="1:11" x14ac:dyDescent="0.25">
      <c r="A26" s="129"/>
      <c r="B26" s="246"/>
      <c r="C26" s="93" t="s">
        <v>46</v>
      </c>
      <c r="D26" s="145"/>
      <c r="E26" s="308"/>
      <c r="F26" s="86"/>
      <c r="G26" s="86"/>
      <c r="H26" s="86"/>
      <c r="I26" s="101"/>
    </row>
    <row r="27" spans="1:11" x14ac:dyDescent="0.25">
      <c r="A27" s="129"/>
      <c r="B27" s="246"/>
      <c r="C27" s="93" t="s">
        <v>47</v>
      </c>
      <c r="D27" s="145"/>
      <c r="E27" s="308"/>
      <c r="F27" s="86"/>
      <c r="G27" s="86"/>
      <c r="H27" s="86"/>
      <c r="I27" s="101"/>
    </row>
    <row r="28" spans="1:11" x14ac:dyDescent="0.25">
      <c r="A28" s="118"/>
      <c r="B28" s="246"/>
      <c r="C28" s="94" t="s">
        <v>48</v>
      </c>
      <c r="D28" s="94"/>
      <c r="E28" s="85">
        <f>+COUNCIL!D28+MAYOR!D28+SPEAKER!D28+MM!D28+CORP!D28+PROP!D28+RATES!D28+THALL!D28+FIN!D28+SOCIAL!D28+CEMETERY!D28+LIBRARIES!D28+HOUSING!D28+TRAFFIC!D28+PARKS!D28+REFUSE!D28+SEWAGE!D28+PWORKS!D28+WATER!D28+ELECTRIC!D28</f>
        <v>5702754</v>
      </c>
      <c r="F28" s="85"/>
      <c r="G28" s="85"/>
      <c r="H28" s="85"/>
      <c r="I28" s="101"/>
    </row>
    <row r="29" spans="1:11" x14ac:dyDescent="0.25">
      <c r="A29" s="129"/>
      <c r="B29" s="246"/>
      <c r="C29" s="94"/>
      <c r="D29" s="330">
        <f>D28</f>
        <v>0</v>
      </c>
      <c r="E29" s="89">
        <f>E28</f>
        <v>5702754</v>
      </c>
      <c r="F29" s="89">
        <f>F28</f>
        <v>0</v>
      </c>
      <c r="G29" s="89">
        <f>G28</f>
        <v>0</v>
      </c>
      <c r="H29" s="89">
        <f>H28</f>
        <v>0</v>
      </c>
      <c r="I29" s="313"/>
    </row>
    <row r="30" spans="1:11" x14ac:dyDescent="0.25">
      <c r="A30" s="129"/>
      <c r="B30" s="246"/>
      <c r="C30" s="93" t="s">
        <v>49</v>
      </c>
      <c r="D30" s="145"/>
      <c r="E30" s="86"/>
      <c r="F30" s="86"/>
      <c r="G30" s="86"/>
      <c r="H30" s="86"/>
      <c r="I30" s="101"/>
      <c r="J30" s="167"/>
    </row>
    <row r="31" spans="1:11" x14ac:dyDescent="0.25">
      <c r="A31" s="118"/>
      <c r="B31" s="246"/>
      <c r="C31" s="94" t="s">
        <v>341</v>
      </c>
      <c r="D31" s="94"/>
      <c r="E31" s="85">
        <f>+COUNCIL!D31+MAYOR!D31+SPEAKER!D31+MM!D31+CORP!D31+PROP!D31+RATES!D31+THALL!D31+FIN!D31+SOCIAL!D31+CEMETERY!D31+LIBRARIES!D31+HOUSING!D31+TRAFFIC!D31+PARKS!D31+REFUSE!D31+SEWAGE!D31+PWORKS!D31+WATER!D31+ELECTRIC!D31</f>
        <v>33376146.129999999</v>
      </c>
      <c r="F31" s="85"/>
      <c r="G31" s="85"/>
      <c r="H31" s="85"/>
      <c r="I31" s="274"/>
      <c r="J31" s="316"/>
    </row>
    <row r="32" spans="1:11" x14ac:dyDescent="0.25">
      <c r="A32" s="129"/>
      <c r="B32" s="246"/>
      <c r="C32" s="94"/>
      <c r="D32" s="330">
        <f>SUM(D31)</f>
        <v>0</v>
      </c>
      <c r="E32" s="89">
        <f>SUM(E31)</f>
        <v>33376146.129999999</v>
      </c>
      <c r="F32" s="89">
        <f>SUM(F31)</f>
        <v>0</v>
      </c>
      <c r="G32" s="89">
        <f>SUM(G31)</f>
        <v>0</v>
      </c>
      <c r="H32" s="89">
        <f>SUM(H31)</f>
        <v>0</v>
      </c>
      <c r="I32" s="313"/>
      <c r="J32" s="121"/>
      <c r="K32" s="167"/>
    </row>
    <row r="33" spans="1:15" hidden="1" x14ac:dyDescent="0.25">
      <c r="A33" s="129"/>
      <c r="B33" s="246"/>
      <c r="C33" s="93" t="s">
        <v>50</v>
      </c>
      <c r="D33" s="145"/>
      <c r="E33" s="86"/>
      <c r="F33" s="86"/>
      <c r="G33" s="86"/>
      <c r="H33" s="86"/>
      <c r="I33" s="101"/>
    </row>
    <row r="34" spans="1:15" hidden="1" x14ac:dyDescent="0.25">
      <c r="A34" s="118"/>
      <c r="B34" s="246"/>
      <c r="C34" s="94" t="s">
        <v>51</v>
      </c>
      <c r="D34" s="94"/>
      <c r="E34" s="85">
        <f>+COUNCIL!D34+MAYOR!D34+SPEAKER!D34+MM!D34+CORP!D34+PROP!D34+RATES!D34+THALL!D34+FIN!D34+SOCIAL!D34+CEMETERY!D34+LIBRARIES!D34+HOUSING!D34+TRAFFIC!D34+PARKS!D34+REFUSE!D34+SEWAGE!D34+PWORKS!D34+WATER!D34+ELECTRIC!D34</f>
        <v>0</v>
      </c>
      <c r="F34" s="85"/>
      <c r="G34" s="85"/>
      <c r="H34" s="85"/>
      <c r="I34" s="101"/>
    </row>
    <row r="35" spans="1:15" hidden="1" x14ac:dyDescent="0.25">
      <c r="A35" s="129"/>
      <c r="B35" s="246"/>
      <c r="C35" s="94"/>
      <c r="D35" s="94"/>
      <c r="E35" s="89">
        <f>SUM(E34)</f>
        <v>0</v>
      </c>
      <c r="F35" s="89"/>
      <c r="G35" s="89"/>
      <c r="H35" s="89"/>
      <c r="I35" s="101"/>
    </row>
    <row r="36" spans="1:15" x14ac:dyDescent="0.25">
      <c r="A36" s="129"/>
      <c r="B36" s="246"/>
      <c r="C36" s="93" t="s">
        <v>52</v>
      </c>
      <c r="D36" s="145"/>
      <c r="E36" s="86"/>
      <c r="F36" s="86"/>
      <c r="G36" s="86"/>
      <c r="H36" s="86"/>
      <c r="I36" s="167"/>
      <c r="K36" s="279"/>
      <c r="L36" s="121"/>
    </row>
    <row r="37" spans="1:15" x14ac:dyDescent="0.25">
      <c r="A37" s="118"/>
      <c r="B37" s="246"/>
      <c r="C37" s="94" t="s">
        <v>53</v>
      </c>
      <c r="D37" s="94"/>
      <c r="E37" s="85">
        <f>+COUNCIL!D37+MAYOR!D37+SPEAKER!D37+MM!D37+CORP!D37+PROP!D37+RATES!D37+THALL!D37+FIN!D37+SOCIAL!D37+CEMETERY!D37+LIBRARIES!D37+HOUSING!D37+TRAFFIC!D37+PARKS!D37+REFUSE!D37+SEWAGE!D37+PWORKS!D37+WATER!D37+ELECTRIC!D37</f>
        <v>1900000</v>
      </c>
      <c r="F37" s="85"/>
      <c r="G37" s="85"/>
      <c r="H37" s="85"/>
      <c r="I37" s="167"/>
      <c r="J37" s="316"/>
      <c r="L37" s="121"/>
    </row>
    <row r="38" spans="1:15" x14ac:dyDescent="0.25">
      <c r="A38" s="129"/>
      <c r="B38" s="246"/>
      <c r="C38" s="94"/>
      <c r="D38" s="330">
        <f>D37</f>
        <v>0</v>
      </c>
      <c r="E38" s="89">
        <f>E37</f>
        <v>1900000</v>
      </c>
      <c r="F38" s="89">
        <f>F37</f>
        <v>0</v>
      </c>
      <c r="G38" s="89">
        <f>G37</f>
        <v>0</v>
      </c>
      <c r="H38" s="89">
        <f>H37</f>
        <v>0</v>
      </c>
      <c r="I38" s="313"/>
      <c r="J38" s="316"/>
      <c r="K38" s="185"/>
    </row>
    <row r="39" spans="1:15" x14ac:dyDescent="0.25">
      <c r="A39" s="129"/>
      <c r="B39" s="246"/>
      <c r="C39" s="93" t="s">
        <v>54</v>
      </c>
      <c r="D39" s="145"/>
      <c r="E39" s="86"/>
      <c r="F39" s="86"/>
      <c r="G39" s="86"/>
      <c r="H39" s="86"/>
      <c r="I39" s="272"/>
      <c r="K39" s="121"/>
      <c r="L39" s="280"/>
    </row>
    <row r="40" spans="1:15" hidden="1" x14ac:dyDescent="0.25">
      <c r="A40" s="118"/>
      <c r="B40" s="246"/>
      <c r="C40" s="94" t="s">
        <v>55</v>
      </c>
      <c r="D40" s="94"/>
      <c r="E40" s="85">
        <f>+COUNCIL!D40+MAYOR!D40+SPEAKER!D40+MM!D40+CORP!D40+PROP!D40+RATES!D40+THALL!D40+FIN!D40+SOCIAL!D40+CEMETERY!D40+LIBRARIES!D40+HOUSING!D40+TRAFFIC!D40+PARKS!D40+REFUSE!D40+SEWAGE!D40+PWORKS!D40+WATER!D40+ELECTRIC!D40</f>
        <v>0</v>
      </c>
      <c r="F40" s="85"/>
      <c r="G40" s="85"/>
      <c r="H40" s="85"/>
      <c r="I40" s="101"/>
      <c r="L40" s="280"/>
    </row>
    <row r="41" spans="1:15" x14ac:dyDescent="0.25">
      <c r="A41" s="118"/>
      <c r="B41" s="246"/>
      <c r="C41" s="94" t="s">
        <v>56</v>
      </c>
      <c r="D41" s="94"/>
      <c r="E41" s="85">
        <f>+COUNCIL!D41+MAYOR!D41+SPEAKER!D41+MM!D41+CORP!D41+PROP!D41+RATES!D41+THALL!D41+FIN!D41+SOCIAL!D41+CEMETERY!D41+LIBRARIES!D41+HOUSING!D41+TRAFFIC!D41+PARKS!D41+REFUSE!D41+SEWAGE!D41+PWORKS!D41+WATER!D41+ELECTRIC!D41</f>
        <v>547390</v>
      </c>
      <c r="F41" s="85"/>
      <c r="G41" s="85"/>
      <c r="H41" s="85"/>
      <c r="I41" s="167"/>
      <c r="K41" s="121"/>
      <c r="L41" s="280"/>
    </row>
    <row r="42" spans="1:15" x14ac:dyDescent="0.25">
      <c r="A42" s="118"/>
      <c r="B42" s="246"/>
      <c r="C42" s="94" t="s">
        <v>57</v>
      </c>
      <c r="D42" s="94"/>
      <c r="E42" s="85">
        <f>+COUNCIL!D42+MAYOR!D42+SPEAKER!D42+MM!D42+CORP!D42+PROP!D42+RATES!D42+THALL!D42+FIN!D42+SOCIAL!D42+CEMETERY!D42+LIBRARIES!D42+HOUSING!D42+TRAFFIC!D42+PARKS!D42+REFUSE!D42+SEWAGE!D42+PWORKS!D42+WATER!D42+ELECTRIC!D42</f>
        <v>72680</v>
      </c>
      <c r="F42" s="85"/>
      <c r="G42" s="85"/>
      <c r="H42" s="85"/>
      <c r="I42" s="101"/>
      <c r="K42" s="121"/>
      <c r="L42" s="280"/>
    </row>
    <row r="43" spans="1:15" x14ac:dyDescent="0.25">
      <c r="A43" s="118"/>
      <c r="B43" s="246"/>
      <c r="C43" s="94" t="s">
        <v>95</v>
      </c>
      <c r="D43" s="94"/>
      <c r="E43" s="85">
        <f>+COUNCIL!D43+MAYOR!D43+SPEAKER!D43+MM!D43+CORP!D43+PROP!D43+RATES!D43+THALL!D43+FIN!D43+SOCIAL!D43+CEMETERY!D43+LIBRARIES!D43+HOUSING!D43+TRAFFIC!D43+PARKS!D43+REFUSE!D43+SEWAGE!D43+PWORKS!D43+WATER!D43+ELECTRIC!D43</f>
        <v>200987</v>
      </c>
      <c r="F43" s="85"/>
      <c r="G43" s="85"/>
      <c r="H43" s="85"/>
      <c r="I43" s="101"/>
      <c r="K43" s="121"/>
      <c r="L43" s="280"/>
    </row>
    <row r="44" spans="1:15" x14ac:dyDescent="0.25">
      <c r="A44" s="118"/>
      <c r="B44" s="246"/>
      <c r="C44" s="94" t="s">
        <v>58</v>
      </c>
      <c r="D44" s="94"/>
      <c r="E44" s="85">
        <f>+COUNCIL!D44+MAYOR!D44+SPEAKER!D44+MM!D44+CORP!D44+PROP!D44+RATES!D44+THALL!D44+FIN!D44+SOCIAL!D44+CEMETERY!D44+LIBRARIES!D44+HOUSING!D44+TRAFFIC!D44+PARKS!D44+REFUSE!D44+SEWAGE!D44+PWORKS!D44+WATER!D44+ELECTRIC!D44</f>
        <v>27000</v>
      </c>
      <c r="F44" s="85"/>
      <c r="G44" s="85"/>
      <c r="H44" s="85"/>
      <c r="I44" s="101"/>
      <c r="K44" s="121"/>
      <c r="L44" s="280"/>
    </row>
    <row r="45" spans="1:15" x14ac:dyDescent="0.25">
      <c r="A45" s="118"/>
      <c r="B45" s="246"/>
      <c r="C45" s="94" t="s">
        <v>92</v>
      </c>
      <c r="D45" s="94"/>
      <c r="E45" s="85">
        <f>+COUNCIL!D45+MAYOR!D45+SPEAKER!D45+MM!D45+CORP!D45+PROP!D45+RATES!D45+THALL!D45+FIN!D45+SOCIAL!D45+CEMETERY!D45+LIBRARIES!D45+HOUSING!D45+TRAFFIC!D45+PARKS!D45+REFUSE!D45+SEWAGE!D45+PWORKS!D45+WATER!D45+ELECTRIC!D45</f>
        <v>186476</v>
      </c>
      <c r="F45" s="85"/>
      <c r="G45" s="85"/>
      <c r="H45" s="85"/>
      <c r="I45" s="101"/>
      <c r="K45" s="121"/>
      <c r="L45" s="280"/>
      <c r="M45" s="279"/>
      <c r="O45" s="203"/>
    </row>
    <row r="46" spans="1:15" x14ac:dyDescent="0.25">
      <c r="A46" s="118"/>
      <c r="B46" s="246"/>
      <c r="C46" s="94" t="s">
        <v>86</v>
      </c>
      <c r="D46" s="94"/>
      <c r="E46" s="85">
        <f>+COUNCIL!D46+MAYOR!D46+SPEAKER!D46+MM!D46+CORP!D46+PROP!D46+RATES!D46+THALL!D46+FIN!D46+SOCIAL!D46+CEMETERY!D46+LIBRARIES!D46+HOUSING!D46+TRAFFIC!D46+PARKS!D46+REFUSE!D46+SEWAGE!D46+PWORKS!D46+WATER!D46+ELECTRIC!D46</f>
        <v>1957948</v>
      </c>
      <c r="F46" s="85"/>
      <c r="G46" s="85"/>
      <c r="H46" s="85"/>
      <c r="I46" s="101"/>
    </row>
    <row r="47" spans="1:15" x14ac:dyDescent="0.25">
      <c r="A47" s="118"/>
      <c r="B47" s="246"/>
      <c r="C47" s="94" t="s">
        <v>124</v>
      </c>
      <c r="D47" s="94"/>
      <c r="E47" s="85">
        <f>+COUNCIL!D47+MAYOR!D47+SPEAKER!D47+MM!D47+CORP!D47+PROP!D47+RATES!D47+THALL!D47+FIN!D47+SOCIAL!D47+CEMETERY!D47+LIBRARIES!D47+HOUSING!D47+TRAFFIC!D47+PARKS!D47+REFUSE!D47+SEWAGE!D47+PWORKS!D47+WATER!D47+ELECTRIC!D47</f>
        <v>1559451</v>
      </c>
      <c r="F47" s="85"/>
      <c r="G47" s="85"/>
      <c r="H47" s="85"/>
      <c r="I47" s="101"/>
    </row>
    <row r="48" spans="1:15" x14ac:dyDescent="0.25">
      <c r="A48" s="118"/>
      <c r="B48" s="246"/>
      <c r="C48" s="94" t="s">
        <v>59</v>
      </c>
      <c r="D48" s="94"/>
      <c r="E48" s="85">
        <f>+COUNCIL!D48+MAYOR!D48+SPEAKER!D48+MM!D48+CORP!D48+PROP!D48+RATES!D48+THALL!D48+FIN!D48+SOCIAL!D48+CEMETERY!D48+LIBRARIES!D48+HOUSING!D48+TRAFFIC!D48+PARKS!D48+REFUSE!D48+SEWAGE!D48+PWORKS!D48+WATER!D48+ELECTRIC!D48</f>
        <v>158706</v>
      </c>
      <c r="F48" s="85"/>
      <c r="G48" s="85"/>
      <c r="H48" s="85"/>
      <c r="I48" s="101"/>
    </row>
    <row r="49" spans="1:10" x14ac:dyDescent="0.25">
      <c r="A49" s="118"/>
      <c r="B49" s="246"/>
      <c r="C49" s="94" t="s">
        <v>91</v>
      </c>
      <c r="D49" s="94"/>
      <c r="E49" s="85">
        <f>+COUNCIL!D49+MAYOR!D49+SPEAKER!D49+MM!D49+CORP!D49+PROP!D49+RATES!D49+THALL!D49+FIN!D49+SOCIAL!D49+CEMETERY!D49+LIBRARIES!D49+HOUSING!D49+TRAFFIC!D49+PARKS!D49+REFUSE!D49+SEWAGE!D49+PWORKS!D49+WATER!D49+ELECTRIC!D49</f>
        <v>1064390</v>
      </c>
      <c r="F49" s="85"/>
      <c r="G49" s="85"/>
      <c r="H49" s="85"/>
      <c r="I49" s="101"/>
    </row>
    <row r="50" spans="1:10" x14ac:dyDescent="0.25">
      <c r="A50" s="118"/>
      <c r="B50" s="246"/>
      <c r="C50" s="94" t="s">
        <v>88</v>
      </c>
      <c r="D50" s="94"/>
      <c r="E50" s="85">
        <f>+COUNCIL!D50+MAYOR!D50+SPEAKER!D50+MM!D50+CORP!D50+PROP!D50+RATES!D50+THALL!D50+FIN!D50+SOCIAL!D50+CEMETERY!D50+LIBRARIES!D50+HOUSING!D50+TRAFFIC!D50+PARKS!D50+REFUSE!D50+SEWAGE!D50+PWORKS!D50+WATER!D50+ELECTRIC!D50</f>
        <v>1052679</v>
      </c>
      <c r="F50" s="85"/>
      <c r="G50" s="85"/>
      <c r="H50" s="85"/>
      <c r="I50" s="101"/>
    </row>
    <row r="51" spans="1:10" hidden="1" x14ac:dyDescent="0.25">
      <c r="A51" s="118"/>
      <c r="B51" s="246"/>
      <c r="C51" s="94" t="s">
        <v>125</v>
      </c>
      <c r="D51" s="94"/>
      <c r="E51" s="85">
        <f>+COUNCIL!D51+MAYOR!D51+SPEAKER!D51+MM!D51+CORP!D51+PROP!D51+RATES!D51+THALL!D51+FIN!D51+SOCIAL!D51+CEMETERY!D51+LIBRARIES!D51+HOUSING!D51+TRAFFIC!D51+PARKS!D51+REFUSE!D51+SEWAGE!D51+PWORKS!D51+WATER!D51+ELECTRIC!D51</f>
        <v>0</v>
      </c>
      <c r="F51" s="85"/>
      <c r="G51" s="85"/>
      <c r="H51" s="85"/>
      <c r="I51" s="101"/>
    </row>
    <row r="52" spans="1:10" x14ac:dyDescent="0.25">
      <c r="A52" s="118"/>
      <c r="B52" s="246"/>
      <c r="C52" s="94" t="s">
        <v>90</v>
      </c>
      <c r="D52" s="94"/>
      <c r="E52" s="85">
        <f>+COUNCIL!D52+MAYOR!D52+SPEAKER!D52+MM!D52+CORP!D52+PROP!D52+RATES!D52+THALL!D52+FIN!D52+SOCIAL!D52+CEMETERY!D52+LIBRARIES!D52+HOUSING!D52+TRAFFIC!D52+PARKS!D52+REFUSE!D52+SEWAGE!D52+PWORKS!D52+WATER!D52+ELECTRIC!D52</f>
        <v>135000</v>
      </c>
      <c r="F52" s="85"/>
      <c r="G52" s="85"/>
      <c r="H52" s="85"/>
      <c r="I52" s="101"/>
    </row>
    <row r="53" spans="1:10" x14ac:dyDescent="0.25">
      <c r="A53" s="118"/>
      <c r="B53" s="246"/>
      <c r="C53" s="94" t="s">
        <v>87</v>
      </c>
      <c r="D53" s="94"/>
      <c r="E53" s="85">
        <f>+COUNCIL!D53+MAYOR!D53+SPEAKER!D53+MM!D53+CORP!D53+PROP!D53+RATES!D53+THALL!D53+FIN!D53+SOCIAL!D53+CEMETERY!D53+LIBRARIES!D53+HOUSING!D53+TRAFFIC!D53+PARKS!D53+REFUSE!D53+SEWAGE!D53+PWORKS!D53+WATER!D53+ELECTRIC!D53</f>
        <v>559234</v>
      </c>
      <c r="F53" s="85"/>
      <c r="G53" s="85"/>
      <c r="H53" s="85"/>
      <c r="I53" s="101"/>
    </row>
    <row r="54" spans="1:10" x14ac:dyDescent="0.25">
      <c r="A54" s="118"/>
      <c r="B54" s="246"/>
      <c r="C54" s="94" t="s">
        <v>89</v>
      </c>
      <c r="D54" s="94"/>
      <c r="E54" s="85">
        <f>+COUNCIL!D54+MAYOR!D54+SPEAKER!D54+MM!D54+CORP!D54+PROP!D54+RATES!D54+THALL!D54+FIN!D54+SOCIAL!D54+CEMETERY!D54+LIBRARIES!D54+HOUSING!D54+TRAFFIC!D54+PARKS!D54+REFUSE!D54+SEWAGE!D54+PWORKS!D54+WATER!D54+ELECTRIC!D54</f>
        <v>10800</v>
      </c>
      <c r="F54" s="85"/>
      <c r="G54" s="85"/>
      <c r="H54" s="85"/>
      <c r="I54" s="256"/>
    </row>
    <row r="55" spans="1:10" x14ac:dyDescent="0.25">
      <c r="A55" s="118"/>
      <c r="B55" s="246"/>
      <c r="C55" s="94" t="s">
        <v>93</v>
      </c>
      <c r="D55" s="94"/>
      <c r="E55" s="85">
        <f>+COUNCIL!D55+MAYOR!D55+SPEAKER!D55+MM!D55+CORP!D55+PROP!D55+RATES!D55+THALL!D55+FIN!D55+SOCIAL!D55+CEMETERY!D55+LIBRARIES!D55+HOUSING!D55+TRAFFIC!D55+PARKS!D55+REFUSE!D55+SEWAGE!D55+PWORKS!D55+WATER!D55+ELECTRIC!D55</f>
        <v>210000</v>
      </c>
      <c r="F55" s="85"/>
      <c r="G55" s="85"/>
      <c r="H55" s="85"/>
      <c r="I55" s="101"/>
    </row>
    <row r="56" spans="1:10" x14ac:dyDescent="0.25">
      <c r="A56" s="118"/>
      <c r="B56" s="246"/>
      <c r="C56" s="94" t="s">
        <v>94</v>
      </c>
      <c r="D56" s="94"/>
      <c r="E56" s="85">
        <f>+COUNCIL!D56+MAYOR!D56+SPEAKER!D56+MM!D56+CORP!D56+PROP!D56+RATES!D56+THALL!D56+FIN!D56+SOCIAL!D56+CEMETERY!D56+LIBRARIES!D56+HOUSING!D56+TRAFFIC!D56+PARKS!D56+REFUSE!D56+SEWAGE!D56+PWORKS!D56+WATER!D56+ELECTRIC!D56</f>
        <v>455278</v>
      </c>
      <c r="F56" s="85"/>
      <c r="G56" s="85"/>
      <c r="H56" s="85"/>
      <c r="I56" s="101"/>
    </row>
    <row r="57" spans="1:10" x14ac:dyDescent="0.25">
      <c r="A57" s="118"/>
      <c r="B57" s="246"/>
      <c r="C57" s="94" t="s">
        <v>60</v>
      </c>
      <c r="D57" s="94"/>
      <c r="E57" s="85">
        <f>+COUNCIL!D57+MAYOR!D57+SPEAKER!D57+MM!D57+CORP!D57+PROP!D57+RATES!D57+THALL!D57+FIN!D57+SOCIAL!D57+CEMETERY!D57+LIBRARIES!D57+HOUSING!D57+TRAFFIC!D57+PARKS!D57+REFUSE!D57+SEWAGE!D57+PWORKS!D57+WATER!D57+ELECTRIC!D57</f>
        <v>1533829</v>
      </c>
      <c r="F57" s="85"/>
      <c r="G57" s="85"/>
      <c r="H57" s="85"/>
      <c r="I57" s="101"/>
    </row>
    <row r="58" spans="1:10" x14ac:dyDescent="0.25">
      <c r="A58" s="118"/>
      <c r="B58" s="246"/>
      <c r="C58" s="94" t="s">
        <v>186</v>
      </c>
      <c r="D58" s="94"/>
      <c r="E58" s="85">
        <f>+COUNCIL!D58+MAYOR!D58+SPEAKER!D58+MM!D58+CORP!D58+PROP!D58+RATES!D58+THALL!D58+FIN!D58+SOCIAL!D58+CEMETERY!D58+LIBRARIES!D58+HOUSING!D58+TRAFFIC!D58+PARKS!D58+REFUSE!D58+SEWAGE!D58+PWORKS!D58+WATER!D58+ELECTRIC!D58</f>
        <v>0</v>
      </c>
      <c r="F58" s="85"/>
      <c r="G58" s="85"/>
      <c r="H58" s="85"/>
      <c r="I58" s="101"/>
    </row>
    <row r="59" spans="1:10" x14ac:dyDescent="0.25">
      <c r="A59" s="129"/>
      <c r="B59" s="246"/>
      <c r="C59" s="94"/>
      <c r="D59" s="330">
        <f>SUM(D40:D58)</f>
        <v>0</v>
      </c>
      <c r="E59" s="110">
        <f>SUM(E40:E58)</f>
        <v>9731848</v>
      </c>
      <c r="F59" s="110">
        <f>SUM(F40:F58)</f>
        <v>0</v>
      </c>
      <c r="G59" s="110">
        <f>SUM(G40:G58)</f>
        <v>0</v>
      </c>
      <c r="H59" s="110">
        <f>SUM(H40:H58)</f>
        <v>0</v>
      </c>
      <c r="I59" s="313"/>
      <c r="J59" s="111"/>
    </row>
    <row r="60" spans="1:10" x14ac:dyDescent="0.25">
      <c r="A60" s="129"/>
      <c r="B60" s="246"/>
      <c r="C60" s="93" t="s">
        <v>198</v>
      </c>
      <c r="D60" s="145"/>
      <c r="E60" s="273"/>
      <c r="F60" s="112"/>
      <c r="G60" s="112"/>
      <c r="H60" s="112"/>
    </row>
    <row r="61" spans="1:10" x14ac:dyDescent="0.25">
      <c r="A61" s="118"/>
      <c r="B61" s="246"/>
      <c r="C61" s="94" t="s">
        <v>334</v>
      </c>
      <c r="D61" s="94"/>
      <c r="E61" s="85">
        <f>+COUNCIL!D61+MAYOR!D61+SPEAKER!D61+MM!D61+CORP!D61+PROP!D61+RATES!D61+THALL!D61+FIN!D61+SOCIAL!D61+CEMETERY!D61+LIBRARIES!D61+HOUSING!D61+TRAFFIC!D61+PARKS!D61+REFUSE!D61+SEWAGE!D61+PWORKS!D61+WATER!D61+ELECTRIC!D61</f>
        <v>0</v>
      </c>
      <c r="F61" s="85"/>
      <c r="G61" s="85"/>
      <c r="H61" s="85"/>
    </row>
    <row r="62" spans="1:10" x14ac:dyDescent="0.25">
      <c r="A62" s="118"/>
      <c r="B62" s="246"/>
      <c r="C62" s="94" t="s">
        <v>335</v>
      </c>
      <c r="D62" s="94"/>
      <c r="E62" s="85">
        <f>+COUNCIL!D62+MAYOR!D62+SPEAKER!D62+MM!D62+CORP!D62+PROP!D62+RATES!D62+THALL!D62+FIN!D62+SOCIAL!D62+CEMETERY!D62+LIBRARIES!D62+HOUSING!D62+TRAFFIC!D62+PARKS!D62+REFUSE!D62+SEWAGE!D62+PWORKS!D62+WATER!D62+ELECTRIC!D62</f>
        <v>352016</v>
      </c>
      <c r="F62" s="85"/>
      <c r="G62" s="85"/>
      <c r="H62" s="85"/>
    </row>
    <row r="63" spans="1:10" x14ac:dyDescent="0.25">
      <c r="A63" s="129"/>
      <c r="B63" s="246"/>
      <c r="C63" s="94"/>
      <c r="D63" s="330">
        <f>SUM(D61:D62)</f>
        <v>0</v>
      </c>
      <c r="E63" s="89">
        <f>SUM(E61:E62)</f>
        <v>352016</v>
      </c>
      <c r="F63" s="89">
        <f>SUM(F61:F62)</f>
        <v>0</v>
      </c>
      <c r="G63" s="89">
        <f>SUM(G61:G62)</f>
        <v>0</v>
      </c>
      <c r="H63" s="89">
        <f>SUM(H61:H62)</f>
        <v>0</v>
      </c>
      <c r="I63" s="313"/>
      <c r="J63" s="111"/>
    </row>
    <row r="64" spans="1:10" x14ac:dyDescent="0.25">
      <c r="A64" s="129"/>
      <c r="B64" s="246"/>
      <c r="C64" s="93" t="s">
        <v>61</v>
      </c>
      <c r="D64" s="145"/>
      <c r="E64" s="86"/>
      <c r="F64" s="86"/>
      <c r="G64" s="86"/>
      <c r="H64" s="86"/>
      <c r="I64" s="101"/>
    </row>
    <row r="65" spans="1:10" x14ac:dyDescent="0.25">
      <c r="A65" s="118"/>
      <c r="B65" s="246"/>
      <c r="C65" s="94" t="s">
        <v>351</v>
      </c>
      <c r="D65" s="94"/>
      <c r="E65" s="85">
        <f>+COUNCIL!D65+MAYOR!D65+SPEAKER!D65+MM!D65+CORP!D65+PROP!D65+RATES!D65+THALL!D65+FIN!D65+SOCIAL!D65+CEMETERY!D65+LIBRARIES!D65+HOUSING!D65+TRAFFIC!D65+PARKS!D65+REFUSE!D65+SEWAGE!D65+PWORKS!D65+WATER!D65+ELECTRIC!D65</f>
        <v>715000</v>
      </c>
      <c r="F65" s="85"/>
      <c r="G65" s="85"/>
      <c r="H65" s="85"/>
      <c r="I65" s="101"/>
    </row>
    <row r="66" spans="1:10" x14ac:dyDescent="0.25">
      <c r="A66" s="129"/>
      <c r="B66" s="246"/>
      <c r="C66" s="94"/>
      <c r="D66" s="330">
        <f>D65</f>
        <v>0</v>
      </c>
      <c r="E66" s="89">
        <f>E65</f>
        <v>715000</v>
      </c>
      <c r="F66" s="89">
        <f>F65</f>
        <v>0</v>
      </c>
      <c r="G66" s="89">
        <f>G65</f>
        <v>0</v>
      </c>
      <c r="H66" s="89">
        <f>H65</f>
        <v>0</v>
      </c>
      <c r="I66" s="313"/>
      <c r="J66" s="111"/>
    </row>
    <row r="67" spans="1:10" x14ac:dyDescent="0.25">
      <c r="A67" s="129"/>
      <c r="B67" s="246"/>
      <c r="C67" s="93" t="s">
        <v>96</v>
      </c>
      <c r="D67" s="145"/>
      <c r="E67" s="86"/>
      <c r="F67" s="86"/>
      <c r="G67" s="86"/>
      <c r="H67" s="86"/>
      <c r="I67" s="101"/>
    </row>
    <row r="68" spans="1:10" x14ac:dyDescent="0.25">
      <c r="A68" s="118"/>
      <c r="B68" s="246"/>
      <c r="C68" s="94" t="s">
        <v>97</v>
      </c>
      <c r="D68" s="94"/>
      <c r="E68" s="85">
        <f>+COUNCIL!D68+MAYOR!D68+SPEAKER!D68+MM!D68+CORP!D68+PROP!D68+RATES!D68+THALL!D68+FIN!D68+SOCIAL!D68+CEMETERY!D68+LIBRARIES!D68+HOUSING!D68+TRAFFIC!D68+PARKS!D68+REFUSE!D68+SEWAGE!D68+PWORKS!D68+WATER!D68+ELECTRIC!D68</f>
        <v>24229431</v>
      </c>
      <c r="F68" s="85"/>
      <c r="G68" s="85"/>
      <c r="H68" s="85"/>
      <c r="I68" s="278"/>
    </row>
    <row r="69" spans="1:10" x14ac:dyDescent="0.25">
      <c r="A69" s="118"/>
      <c r="B69" s="246"/>
      <c r="C69" s="94" t="s">
        <v>134</v>
      </c>
      <c r="D69" s="94"/>
      <c r="E69" s="85">
        <f>+COUNCIL!D69+MAYOR!D69+SPEAKER!D69+MM!D69+CORP!D69+PROP!D69+RATES!D69+THALL!D69+FIN!D69+SOCIAL!D69+CEMETERY!D69+LIBRARIES!D69+HOUSING!D69+TRAFFIC!D69+PARKS!D69+REFUSE!D69+SEWAGE!D69+PWORKS!D69+WATER!D69+ELECTRIC!D69</f>
        <v>1836263</v>
      </c>
      <c r="F69" s="85"/>
      <c r="G69" s="85"/>
      <c r="H69" s="85"/>
      <c r="I69" s="278"/>
    </row>
    <row r="70" spans="1:10" x14ac:dyDescent="0.25">
      <c r="A70" s="129"/>
      <c r="B70" s="246"/>
      <c r="C70" s="94"/>
      <c r="D70" s="330">
        <f>SUM(D68:D69)</f>
        <v>0</v>
      </c>
      <c r="E70" s="110">
        <f>SUM(E68:E69)</f>
        <v>26065694</v>
      </c>
      <c r="F70" s="110">
        <f>SUM(F68:F69)</f>
        <v>0</v>
      </c>
      <c r="G70" s="110">
        <f>SUM(G68:G69)</f>
        <v>0</v>
      </c>
      <c r="H70" s="110">
        <f>SUM(H68:H69)</f>
        <v>0</v>
      </c>
      <c r="I70" s="313"/>
      <c r="J70" s="111"/>
    </row>
    <row r="71" spans="1:10" x14ac:dyDescent="0.25">
      <c r="A71" s="129"/>
      <c r="B71" s="246"/>
      <c r="C71" s="93" t="s">
        <v>62</v>
      </c>
      <c r="D71" s="145"/>
      <c r="E71" s="113"/>
      <c r="F71" s="113"/>
      <c r="G71" s="113"/>
      <c r="H71" s="113"/>
      <c r="I71" s="101"/>
    </row>
    <row r="72" spans="1:10" x14ac:dyDescent="0.25">
      <c r="A72" s="118"/>
      <c r="B72" s="246"/>
      <c r="C72" s="94" t="s">
        <v>259</v>
      </c>
      <c r="D72" s="94"/>
      <c r="E72" s="85">
        <f>+COUNCIL!D72+MAYOR!D72+SPEAKER!D72+MM!D72+CORP!D72+PROP!D72+RATES!D72+THALL!D72+FIN!D72+SOCIAL!D72+CEMETERY!D72+LIBRARIES!D72+HOUSING!D72+TRAFFIC!D72+PARKS!D72+REFUSE!D72+SEWAGE!D72+PWORKS!D72+WATER!D72+ELECTRIC!D72</f>
        <v>1511241</v>
      </c>
      <c r="F72" s="85"/>
      <c r="G72" s="85"/>
      <c r="H72" s="85"/>
      <c r="I72" s="101"/>
    </row>
    <row r="73" spans="1:10" x14ac:dyDescent="0.25">
      <c r="A73" s="118"/>
      <c r="B73" s="246"/>
      <c r="C73" s="94" t="s">
        <v>63</v>
      </c>
      <c r="D73" s="94"/>
      <c r="E73" s="85">
        <f>+COUNCIL!D73+MAYOR!D73+SPEAKER!D73+MM!D73+CORP!D73+PROP!D73+RATES!D73+THALL!D73+FIN!D73+SOCIAL!D73+CEMETERY!D73+LIBRARIES!D73+HOUSING!D73+TRAFFIC!D73+PARKS!D73+REFUSE!D73+SEWAGE!D73+PWORKS!D73+WATER!D73+ELECTRIC!D73</f>
        <v>308956</v>
      </c>
      <c r="F73" s="85"/>
      <c r="G73" s="85"/>
      <c r="H73" s="85"/>
    </row>
    <row r="74" spans="1:10" x14ac:dyDescent="0.25">
      <c r="A74" s="118"/>
      <c r="B74" s="246"/>
      <c r="C74" s="94" t="s">
        <v>260</v>
      </c>
      <c r="D74" s="94"/>
      <c r="E74" s="85">
        <f>+COUNCIL!D74+MAYOR!D74+SPEAKER!D74+MM!D74+CORP!D74+PROP!D74+RATES!D74+THALL!D74+FIN!D74+SOCIAL!D74+CEMETERY!D74+LIBRARIES!D74+HOUSING!D74+TRAFFIC!D74+PARKS!D74+REFUSE!D74+SEWAGE!D74+PWORKS!D74+WATER!D74+ELECTRIC!D74</f>
        <v>3031844</v>
      </c>
      <c r="F74" s="85"/>
      <c r="G74" s="85"/>
      <c r="H74" s="85"/>
    </row>
    <row r="75" spans="1:10" x14ac:dyDescent="0.25">
      <c r="A75" s="118"/>
      <c r="B75" s="246"/>
      <c r="C75" s="94" t="s">
        <v>261</v>
      </c>
      <c r="D75" s="94"/>
      <c r="E75" s="85"/>
      <c r="F75" s="85"/>
      <c r="G75" s="85"/>
      <c r="H75" s="85"/>
    </row>
    <row r="76" spans="1:10" x14ac:dyDescent="0.25">
      <c r="A76" s="118"/>
      <c r="B76" s="246"/>
      <c r="C76" s="94" t="s">
        <v>262</v>
      </c>
      <c r="D76" s="94"/>
      <c r="E76" s="85">
        <f>+COUNCIL!D76+MAYOR!D76+SPEAKER!D76+MM!D76+CORP!D76+PROP!D76+RATES!D76+THALL!D76+FIN!D76+SOCIAL!D76+CEMETERY!D76+LIBRARIES!D76+HOUSING!D76+TRAFFIC!D76+PARKS!D76+REFUSE!D76+SEWAGE!D76+PWORKS!D76+WATER!D76+ELECTRIC!D76</f>
        <v>0</v>
      </c>
      <c r="F76" s="85"/>
      <c r="G76" s="85"/>
      <c r="H76" s="85"/>
    </row>
    <row r="77" spans="1:10" x14ac:dyDescent="0.25">
      <c r="A77" s="118"/>
      <c r="B77" s="246"/>
      <c r="C77" s="94" t="s">
        <v>263</v>
      </c>
      <c r="D77" s="94"/>
      <c r="E77" s="85">
        <f>+COUNCIL!D77+MAYOR!D77+SPEAKER!D77+MM!D77+CORP!D77+PROP!D77+RATES!D77+THALL!D77+FIN!D77+SOCIAL!D77+CEMETERY!D77+LIBRARIES!D77+HOUSING!D77+TRAFFIC!D77+PARKS!D77+REFUSE!D77+SEWAGE!D77+PWORKS!D77+WATER!D77+ELECTRIC!D77</f>
        <v>19460</v>
      </c>
      <c r="F77" s="85"/>
      <c r="G77" s="85"/>
      <c r="H77" s="85"/>
    </row>
    <row r="78" spans="1:10" x14ac:dyDescent="0.25">
      <c r="A78" s="118"/>
      <c r="B78" s="246"/>
      <c r="C78" s="94" t="s">
        <v>264</v>
      </c>
      <c r="D78" s="94"/>
      <c r="E78" s="85">
        <f>+COUNCIL!D78+MAYOR!D78+SPEAKER!D78+MM!D78+CORP!D78+PROP!D78+RATES!D78+THALL!D78+FIN!D78+SOCIAL!D78+CEMETERY!D78+LIBRARIES!D78+HOUSING!D78+TRAFFIC!D78+PARKS!D78+REFUSE!D78+SEWAGE!D78+PWORKS!D78+WATER!D78+ELECTRIC!D78</f>
        <v>689201</v>
      </c>
      <c r="F78" s="85"/>
      <c r="G78" s="85"/>
      <c r="H78" s="85"/>
    </row>
    <row r="79" spans="1:10" ht="13.5" customHeight="1" x14ac:dyDescent="0.25">
      <c r="A79" s="118"/>
      <c r="B79" s="246"/>
      <c r="C79" s="94" t="s">
        <v>265</v>
      </c>
      <c r="D79" s="94"/>
      <c r="E79" s="85">
        <f>+COUNCIL!D79+MAYOR!D79+SPEAKER!D79+MM!D79+CORP!D79+PROP!D79+RATES!D79+THALL!D79+FIN!D79+SOCIAL!D79+CEMETERY!D79+LIBRARIES!D79+HOUSING!D79+TRAFFIC!D79+PARKS!D79+REFUSE!D79+SEWAGE!D79+PWORKS!D79+WATER!D79+ELECTRIC!D79</f>
        <v>192316</v>
      </c>
      <c r="F79" s="85"/>
      <c r="G79" s="85"/>
      <c r="H79" s="85"/>
    </row>
    <row r="80" spans="1:10" x14ac:dyDescent="0.25">
      <c r="A80" s="118"/>
      <c r="B80" s="246"/>
      <c r="C80" s="94" t="s">
        <v>267</v>
      </c>
      <c r="D80" s="94"/>
      <c r="E80" s="85">
        <f>+COUNCIL!D80+MAYOR!D80+SPEAKER!D80+MM!D80+CORP!D80+PROP!D80+RATES!D80+THALL!D80+FIN!D80+SOCIAL!D80+CEMETERY!D80+LIBRARIES!D80+HOUSING!D80+TRAFFIC!D80+PARKS!D80+REFUSE!D80+SEWAGE!D80+PWORKS!D80+WATER!D80+ELECTRIC!D80</f>
        <v>0</v>
      </c>
      <c r="F80" s="85"/>
      <c r="G80" s="85"/>
      <c r="H80" s="85"/>
    </row>
    <row r="81" spans="1:8" x14ac:dyDescent="0.25">
      <c r="A81" s="118"/>
      <c r="B81" s="246"/>
      <c r="C81" s="94" t="s">
        <v>268</v>
      </c>
      <c r="D81" s="94"/>
      <c r="E81" s="85">
        <f>+COUNCIL!D81+MAYOR!D81+SPEAKER!D81+MM!D81+CORP!D81+PROP!D81+RATES!D81+THALL!D81+FIN!D81+SOCIAL!D81+CEMETERY!D81+LIBRARIES!D81+HOUSING!D81+TRAFFIC!D81+PARKS!D81+REFUSE!D81+SEWAGE!D81+PWORKS!D81+WATER!D81+ELECTRIC!D81</f>
        <v>537144</v>
      </c>
      <c r="F81" s="85"/>
      <c r="G81" s="85"/>
      <c r="H81" s="85"/>
    </row>
    <row r="82" spans="1:8" x14ac:dyDescent="0.25">
      <c r="A82" s="118"/>
      <c r="B82" s="246"/>
      <c r="C82" s="94" t="s">
        <v>269</v>
      </c>
      <c r="D82" s="94"/>
      <c r="E82" s="85">
        <f>+COUNCIL!D82+MAYOR!D82+SPEAKER!D82+MM!D82+CORP!D82+PROP!D82+RATES!D82+THALL!D82+FIN!D82+SOCIAL!D82+CEMETERY!D82+LIBRARIES!D82+HOUSING!D82+TRAFFIC!D82+PARKS!D82+REFUSE!D82+SEWAGE!D82+PWORKS!D82+WATER!D82+ELECTRIC!D82</f>
        <v>149348</v>
      </c>
      <c r="F82" s="85"/>
      <c r="G82" s="85"/>
      <c r="H82" s="85"/>
    </row>
    <row r="83" spans="1:8" x14ac:dyDescent="0.25">
      <c r="A83" s="118"/>
      <c r="B83" s="246"/>
      <c r="C83" s="94" t="s">
        <v>246</v>
      </c>
      <c r="D83" s="94"/>
      <c r="E83" s="85">
        <f>+COUNCIL!D83+MAYOR!D83+SPEAKER!D83+MM!D83+CORP!D83+PROP!D83+RATES!D83+THALL!D83+FIN!D83+SOCIAL!D83+CEMETERY!D83+LIBRARIES!D83+HOUSING!D83+TRAFFIC!D83+PARKS!D83+REFUSE!D83+SEWAGE!D83+PWORKS!D83+WATER!D83+ELECTRIC!D83</f>
        <v>606508</v>
      </c>
      <c r="F83" s="85"/>
      <c r="G83" s="85"/>
      <c r="H83" s="85"/>
    </row>
    <row r="84" spans="1:8" x14ac:dyDescent="0.25">
      <c r="A84" s="118"/>
      <c r="B84" s="246"/>
      <c r="C84" s="94" t="s">
        <v>270</v>
      </c>
      <c r="D84" s="94"/>
      <c r="E84" s="85">
        <f>+COUNCIL!D84+MAYOR!D84+SPEAKER!D84+MM!D84+CORP!D84+PROP!D84+RATES!D84+THALL!D84+FIN!D84+SOCIAL!D84+CEMETERY!D84+LIBRARIES!D84+HOUSING!D84+TRAFFIC!D84+PARKS!D84+REFUSE!D84+SEWAGE!D84+PWORKS!D84+WATER!D84+ELECTRIC!D84</f>
        <v>145975</v>
      </c>
      <c r="F84" s="85"/>
      <c r="G84" s="85"/>
      <c r="H84" s="85"/>
    </row>
    <row r="85" spans="1:8" x14ac:dyDescent="0.25">
      <c r="A85" s="118"/>
      <c r="B85" s="246"/>
      <c r="C85" s="94" t="s">
        <v>271</v>
      </c>
      <c r="D85" s="94"/>
      <c r="E85" s="85">
        <f>+COUNCIL!D85+MAYOR!D85+SPEAKER!D85+MM!D85+CORP!D85+PROP!D85+RATES!D85+THALL!D85+FIN!D85+SOCIAL!D85+CEMETERY!D85+LIBRARIES!D85+HOUSING!D85+TRAFFIC!D85+PARKS!D85+REFUSE!D85+SEWAGE!D85+PWORKS!D85+WATER!D85+ELECTRIC!D85</f>
        <v>2384669</v>
      </c>
      <c r="F85" s="85"/>
      <c r="G85" s="85"/>
      <c r="H85" s="85"/>
    </row>
    <row r="86" spans="1:8" x14ac:dyDescent="0.25">
      <c r="A86" s="118"/>
      <c r="B86" s="246"/>
      <c r="C86" s="94" t="s">
        <v>272</v>
      </c>
      <c r="D86" s="94"/>
      <c r="E86" s="85">
        <f>+COUNCIL!D86+MAYOR!D86+SPEAKER!D86+MM!D86+CORP!D86+PROP!D86+RATES!D86+THALL!D86+FIN!D86+SOCIAL!D86+CEMETERY!D86+LIBRARIES!D86+HOUSING!D86+TRAFFIC!D86+PARKS!D86+REFUSE!D86+SEWAGE!D86+PWORKS!D86+WATER!D86+ELECTRIC!D86</f>
        <v>12237</v>
      </c>
      <c r="F86" s="85"/>
      <c r="G86" s="85"/>
      <c r="H86" s="85"/>
    </row>
    <row r="87" spans="1:8" x14ac:dyDescent="0.25">
      <c r="A87" s="118"/>
      <c r="B87" s="246"/>
      <c r="C87" s="94" t="s">
        <v>273</v>
      </c>
      <c r="D87" s="94"/>
      <c r="E87" s="85">
        <f>+COUNCIL!D87+MAYOR!D87+SPEAKER!D87+MM!D87+CORP!D87+PROP!D87+RATES!D87+THALL!D87+FIN!D87+SOCIAL!D87+CEMETERY!D87+LIBRARIES!D87+HOUSING!D87+TRAFFIC!D87+PARKS!D87+REFUSE!D87+SEWAGE!D87+PWORKS!D87+WATER!D87+ELECTRIC!D87</f>
        <v>245420</v>
      </c>
      <c r="F87" s="85"/>
      <c r="G87" s="85"/>
      <c r="H87" s="85"/>
    </row>
    <row r="88" spans="1:8" x14ac:dyDescent="0.25">
      <c r="A88" s="118"/>
      <c r="B88" s="246"/>
      <c r="C88" s="94" t="s">
        <v>274</v>
      </c>
      <c r="D88" s="94"/>
      <c r="E88" s="85">
        <f>+COUNCIL!D88+MAYOR!D88+SPEAKER!D88+MM!D88+CORP!D88+PROP!D88+RATES!D88+THALL!D88+FIN!D88+SOCIAL!D88+CEMETERY!D88+LIBRARIES!D88+HOUSING!D88+TRAFFIC!D88+PARKS!D88+REFUSE!D88+SEWAGE!D88+PWORKS!D88+WATER!D88+ELECTRIC!D88</f>
        <v>755754</v>
      </c>
      <c r="F88" s="85"/>
      <c r="G88" s="85"/>
      <c r="H88" s="85"/>
    </row>
    <row r="89" spans="1:8" x14ac:dyDescent="0.25">
      <c r="A89" s="118"/>
      <c r="B89" s="246"/>
      <c r="C89" s="94" t="s">
        <v>275</v>
      </c>
      <c r="D89" s="94"/>
      <c r="E89" s="85">
        <f>+COUNCIL!D89+MAYOR!D89+SPEAKER!D89+MM!D89+CORP!D89+PROP!D89+RATES!D89+THALL!D89+FIN!D89+SOCIAL!D89+CEMETERY!D89+LIBRARIES!D89+HOUSING!D89+TRAFFIC!D89+PARKS!D89+REFUSE!D89+SEWAGE!D89+PWORKS!D89+WATER!D89+ELECTRIC!D89</f>
        <v>1422122</v>
      </c>
      <c r="F89" s="85"/>
      <c r="G89" s="85"/>
      <c r="H89" s="85"/>
    </row>
    <row r="90" spans="1:8" x14ac:dyDescent="0.25">
      <c r="A90" s="118"/>
      <c r="B90" s="246"/>
      <c r="C90" s="159" t="s">
        <v>276</v>
      </c>
      <c r="D90" s="159"/>
      <c r="E90" s="85">
        <f>+COUNCIL!D90+MAYOR!D90+SPEAKER!D90+MM!D90+CORP!D90+PROP!D90+RATES!D90+THALL!D90+FIN!D90+SOCIAL!D90+CEMETERY!D90+LIBRARIES!D90+HOUSING!D90+TRAFFIC!D90+PARKS!D90+REFUSE!D90+SEWAGE!D90+PWORKS!D90+WATER!D90+ELECTRIC!D90</f>
        <v>2322338</v>
      </c>
      <c r="F90" s="85"/>
      <c r="G90" s="85"/>
      <c r="H90" s="85"/>
    </row>
    <row r="91" spans="1:8" x14ac:dyDescent="0.25">
      <c r="A91" s="118"/>
      <c r="B91" s="246"/>
      <c r="C91" s="159" t="s">
        <v>277</v>
      </c>
      <c r="D91" s="159"/>
      <c r="E91" s="85">
        <f>+COUNCIL!D91+MAYOR!D91+SPEAKER!D91+MM!D91+CORP!D91+PROP!D91+RATES!D91+THALL!D91+FIN!D91+SOCIAL!D91+CEMETERY!D91+LIBRARIES!D91+HOUSING!D91+TRAFFIC!D91+PARKS!D91+REFUSE!D91+SEWAGE!D91+PWORKS!D91+WATER!D91+ELECTRIC!D91</f>
        <v>141592</v>
      </c>
      <c r="F91" s="85"/>
      <c r="G91" s="85"/>
      <c r="H91" s="85"/>
    </row>
    <row r="92" spans="1:8" x14ac:dyDescent="0.25">
      <c r="A92" s="118"/>
      <c r="B92" s="246"/>
      <c r="C92" s="159" t="s">
        <v>278</v>
      </c>
      <c r="D92" s="159"/>
      <c r="E92" s="85">
        <f>+COUNCIL!D92+MAYOR!D92+SPEAKER!D92+MM!D92+CORP!D92+PROP!D92+RATES!D92+THALL!D92+FIN!D92+SOCIAL!D92+CEMETERY!D92+LIBRARIES!D92+HOUSING!D92+TRAFFIC!D92+PARKS!D92+REFUSE!D92+SEWAGE!D92+PWORKS!D92+WATER!D92+ELECTRIC!D92</f>
        <v>39500</v>
      </c>
      <c r="F92" s="85"/>
      <c r="G92" s="85"/>
      <c r="H92" s="85"/>
    </row>
    <row r="93" spans="1:8" x14ac:dyDescent="0.25">
      <c r="A93" s="118"/>
      <c r="B93" s="246"/>
      <c r="C93" s="159" t="s">
        <v>279</v>
      </c>
      <c r="D93" s="159"/>
      <c r="E93" s="85"/>
      <c r="F93" s="85"/>
      <c r="G93" s="85"/>
      <c r="H93" s="85"/>
    </row>
    <row r="94" spans="1:8" x14ac:dyDescent="0.25">
      <c r="A94" s="118"/>
      <c r="B94" s="246"/>
      <c r="C94" s="159" t="s">
        <v>499</v>
      </c>
      <c r="D94" s="159"/>
      <c r="E94" s="85">
        <f>+COUNCIL!D94+MAYOR!D94+SPEAKER!D94+MM!D94+CORP!D94+PROP!D94+RATES!D94+THALL!D94+FIN!D94+SOCIAL!D94+CEMETERY!D94+LIBRARIES!D94+HOUSING!D94+TRAFFIC!D94+PARKS!D94+REFUSE!D94+SEWAGE!D94+PWORKS!D94+WATER!D94+ELECTRIC!D94</f>
        <v>305019</v>
      </c>
      <c r="F94" s="85"/>
      <c r="G94" s="85"/>
      <c r="H94" s="85"/>
    </row>
    <row r="95" spans="1:8" hidden="1" x14ac:dyDescent="0.25">
      <c r="A95" s="118"/>
      <c r="B95" s="246"/>
      <c r="C95" s="159" t="s">
        <v>281</v>
      </c>
      <c r="D95" s="159"/>
      <c r="E95" s="85"/>
      <c r="F95" s="85"/>
      <c r="G95" s="85"/>
      <c r="H95" s="85"/>
    </row>
    <row r="96" spans="1:8" hidden="1" x14ac:dyDescent="0.25">
      <c r="A96" s="118"/>
      <c r="B96" s="246"/>
      <c r="C96" s="159" t="s">
        <v>282</v>
      </c>
      <c r="D96" s="159"/>
      <c r="E96" s="85"/>
      <c r="F96" s="85"/>
      <c r="G96" s="85"/>
      <c r="H96" s="85"/>
    </row>
    <row r="97" spans="1:8" hidden="1" x14ac:dyDescent="0.25">
      <c r="A97" s="118"/>
      <c r="B97" s="246"/>
      <c r="C97" s="159" t="s">
        <v>283</v>
      </c>
      <c r="D97" s="159"/>
      <c r="E97" s="85"/>
      <c r="F97" s="85"/>
      <c r="G97" s="85"/>
      <c r="H97" s="85"/>
    </row>
    <row r="98" spans="1:8" x14ac:dyDescent="0.25">
      <c r="A98" s="118"/>
      <c r="B98" s="246"/>
      <c r="C98" s="159" t="s">
        <v>284</v>
      </c>
      <c r="D98" s="159"/>
      <c r="E98" s="85">
        <f>+COUNCIL!D98+MAYOR!D98+SPEAKER!D98+MM!D98+CORP!D103+PROP!D98+RATES!D98+THALL!D98+FIN!D98+SOCIAL!D98+CEMETERY!D98+LIBRARIES!D98+HOUSING!D98+TRAFFIC!D98+PARKS!D98+REFUSE!D98+SEWAGE!D98+PWORKS!D98+WATER!D98+ELECTRIC!D98</f>
        <v>442796</v>
      </c>
      <c r="F98" s="85"/>
      <c r="G98" s="85"/>
      <c r="H98" s="85"/>
    </row>
    <row r="99" spans="1:8" x14ac:dyDescent="0.25">
      <c r="A99" s="118"/>
      <c r="B99" s="246"/>
      <c r="C99" s="159" t="s">
        <v>285</v>
      </c>
      <c r="D99" s="159"/>
      <c r="E99" s="85"/>
      <c r="F99" s="85"/>
      <c r="G99" s="85"/>
      <c r="H99" s="85"/>
    </row>
    <row r="100" spans="1:8" x14ac:dyDescent="0.25">
      <c r="A100" s="118"/>
      <c r="B100" s="246"/>
      <c r="C100" s="159" t="s">
        <v>286</v>
      </c>
      <c r="D100" s="159"/>
      <c r="E100" s="85">
        <f>+COUNCIL!D100+MAYOR!D100+SPEAKER!D100+MM!D100+CORP!D100+PROP!D100+RATES!D100+THALL!D100+FIN!D100+SOCIAL!D100+CEMETERY!D100+LIBRARIES!D100+HOUSING!D100+TRAFFIC!D100+PARKS!D100+REFUSE!D100+SEWAGE!D100+PWORKS!D100+WATER!D100+ELECTRIC!D100</f>
        <v>6292321</v>
      </c>
      <c r="F100" s="85"/>
      <c r="G100" s="85"/>
      <c r="H100" s="85"/>
    </row>
    <row r="101" spans="1:8" x14ac:dyDescent="0.25">
      <c r="A101" s="118"/>
      <c r="B101" s="246"/>
      <c r="C101" s="159" t="s">
        <v>398</v>
      </c>
      <c r="D101" s="159"/>
      <c r="E101" s="85">
        <f>+COUNCIL!D101+MAYOR!D101+SPEAKER!D101+MM!D101+CORP!D101+PROP!D101+RATES!D101+THALL!D101+FIN!D101+SOCIAL!D101+CEMETERY!D101+LIBRARIES!D101+HOUSING!D101+TRAFFIC!D101+PARKS!D101+REFUSE!D101+SEWAGE!D101+PWORKS!D101+WATER!D101+ELECTRIC!D101</f>
        <v>1250000</v>
      </c>
      <c r="F101" s="85"/>
      <c r="G101" s="85"/>
      <c r="H101" s="85"/>
    </row>
    <row r="102" spans="1:8" x14ac:dyDescent="0.25">
      <c r="A102" s="118"/>
      <c r="B102" s="246"/>
      <c r="C102" s="159" t="s">
        <v>288</v>
      </c>
      <c r="D102" s="159"/>
      <c r="E102" s="85">
        <f>+COUNCIL!D102+MAYOR!D102+SPEAKER!D102+MM!D102+CORP!D102+PROP!D102+RATES!D102+THALL!D102+FIN!D102+SOCIAL!D102+CEMETERY!D102+LIBRARIES!D102+HOUSING!D102+TRAFFIC!D102+PARKS!D102+REFUSE!D102+SEWAGE!D102+PWORKS!D102+WATER!D102+ELECTRIC!D102</f>
        <v>0</v>
      </c>
      <c r="F102" s="85"/>
      <c r="G102" s="85"/>
      <c r="H102" s="85"/>
    </row>
    <row r="103" spans="1:8" x14ac:dyDescent="0.25">
      <c r="A103" s="118"/>
      <c r="B103" s="246"/>
      <c r="C103" s="94" t="s">
        <v>502</v>
      </c>
      <c r="D103" s="94"/>
      <c r="E103" s="85"/>
      <c r="F103" s="85"/>
      <c r="G103" s="85"/>
      <c r="H103" s="85"/>
    </row>
    <row r="104" spans="1:8" x14ac:dyDescent="0.25">
      <c r="A104" s="118"/>
      <c r="B104" s="246"/>
      <c r="C104" s="94" t="s">
        <v>294</v>
      </c>
      <c r="D104" s="94"/>
      <c r="E104" s="85">
        <f>+COUNCIL!D109+MAYOR!D109+SPEAKER!D109+MM!D109+CORP!D109+PROP!D109+RATES!D109+THALL!D109+FIN!D109+SOCIAL!D109+CEMETERY!D109+LIBRARIES!D109+HOUSING!D109+TRAFFIC!D109+PARKS!D109+REFUSE!D109+SEWAGE!D109+PWORKS!D109+WATER!D109+ELECTRIC!D109</f>
        <v>217395</v>
      </c>
      <c r="F104" s="85"/>
      <c r="G104" s="85"/>
      <c r="H104" s="85"/>
    </row>
    <row r="105" spans="1:8" x14ac:dyDescent="0.25">
      <c r="A105" s="118"/>
      <c r="B105" s="246"/>
      <c r="C105" s="94" t="s">
        <v>295</v>
      </c>
      <c r="D105" s="94"/>
      <c r="E105" s="85">
        <f>+COUNCIL!D110+MAYOR!D110+SPEAKER!D110+MM!D110+CORP!D110+PROP!D110+RATES!D110+THALL!D110+FIN!D110+SOCIAL!D110+CEMETERY!D110+LIBRARIES!D110+HOUSING!D110+TRAFFIC!D110+PARKS!D110+REFUSE!D110+SEWAGE!D110+PWORKS!D110+WATER!D110+ELECTRIC!D110</f>
        <v>461194</v>
      </c>
      <c r="F105" s="85"/>
      <c r="G105" s="85"/>
      <c r="H105" s="85"/>
    </row>
    <row r="106" spans="1:8" ht="18.75" hidden="1" customHeight="1" x14ac:dyDescent="0.25">
      <c r="A106" s="118"/>
      <c r="B106" s="246"/>
      <c r="C106" s="94"/>
      <c r="D106" s="94"/>
      <c r="E106" s="85">
        <f>+COUNCIL!D111+MAYOR!D111+SPEAKER!D111+MM!D111+CORP!D111+PROP!D111+RATES!D111+THALL!D111+FIN!D111+SOCIAL!D111+CEMETERY!D111+LIBRARIES!D111+HOUSING!D111+TRAFFIC!D111+PARKS!D111+REFUSE!D111+SEWAGE!D111+PWORKS!D111+WATER!D111+ELECTRIC!D111</f>
        <v>0</v>
      </c>
      <c r="F106" s="85"/>
      <c r="G106" s="85"/>
      <c r="H106" s="85"/>
    </row>
    <row r="107" spans="1:8" hidden="1" x14ac:dyDescent="0.25">
      <c r="A107" s="118"/>
      <c r="B107" s="246"/>
      <c r="C107" s="94" t="s">
        <v>298</v>
      </c>
      <c r="D107" s="94"/>
      <c r="E107" s="85"/>
      <c r="F107" s="85"/>
      <c r="G107" s="85"/>
      <c r="H107" s="85"/>
    </row>
    <row r="108" spans="1:8" hidden="1" x14ac:dyDescent="0.25">
      <c r="A108" s="118"/>
      <c r="B108" s="246"/>
      <c r="C108" s="94" t="s">
        <v>299</v>
      </c>
      <c r="D108" s="94"/>
      <c r="E108" s="85"/>
      <c r="F108" s="85"/>
      <c r="G108" s="85"/>
      <c r="H108" s="85"/>
    </row>
    <row r="109" spans="1:8" hidden="1" x14ac:dyDescent="0.25">
      <c r="A109" s="118"/>
      <c r="B109" s="246"/>
      <c r="C109" s="94" t="s">
        <v>300</v>
      </c>
      <c r="D109" s="94"/>
      <c r="E109" s="85"/>
      <c r="F109" s="85"/>
      <c r="G109" s="85"/>
      <c r="H109" s="85"/>
    </row>
    <row r="110" spans="1:8" hidden="1" x14ac:dyDescent="0.25">
      <c r="A110" s="118"/>
      <c r="B110" s="246"/>
      <c r="C110" s="94" t="s">
        <v>301</v>
      </c>
      <c r="D110" s="94"/>
      <c r="E110" s="85"/>
      <c r="F110" s="85"/>
      <c r="G110" s="85"/>
      <c r="H110" s="85"/>
    </row>
    <row r="111" spans="1:8" x14ac:dyDescent="0.25">
      <c r="A111" s="118"/>
      <c r="B111" s="246"/>
      <c r="C111" s="94" t="s">
        <v>302</v>
      </c>
      <c r="D111" s="94"/>
      <c r="E111" s="85">
        <f>+COUNCIL!D116+MAYOR!D116+SPEAKER!D116+MM!D116+CORP!D116+PROP!D116+RATES!D116+THALL!D116+FIN!D116+SOCIAL!D116+CEMETERY!D116+LIBRARIES!D116+HOUSING!D116+TRAFFIC!D116+PARKS!D116+REFUSE!D116+SEWAGE!D116+PWORKS!D116+WATER!D116+ELECTRIC!D116</f>
        <v>3008950</v>
      </c>
      <c r="F111" s="85"/>
      <c r="G111" s="85"/>
      <c r="H111" s="85"/>
    </row>
    <row r="112" spans="1:8" x14ac:dyDescent="0.25">
      <c r="A112" s="118"/>
      <c r="B112" s="246"/>
      <c r="C112" s="94" t="s">
        <v>303</v>
      </c>
      <c r="D112" s="94"/>
      <c r="E112" s="85">
        <f>+COUNCIL!D117+MAYOR!D117+SPEAKER!D117+MM!D117+CORP!D117+PROP!D117+RATES!D117+THALL!D117+FIN!D117+SOCIAL!D117+CEMETERY!D117+LIBRARIES!D117+HOUSING!D117+TRAFFIC!D117+PARKS!D117+REFUSE!D117+SEWAGE!D117+PWORKS!D117+WATER!D117+ELECTRIC!D117</f>
        <v>0</v>
      </c>
      <c r="F112" s="85"/>
      <c r="G112" s="85"/>
      <c r="H112" s="85"/>
    </row>
    <row r="113" spans="1:8" x14ac:dyDescent="0.25">
      <c r="A113" s="118"/>
      <c r="B113" s="246"/>
      <c r="C113" s="94" t="s">
        <v>304</v>
      </c>
      <c r="D113" s="94"/>
      <c r="E113" s="85">
        <f>+COUNCIL!D118+MAYOR!D118+SPEAKER!D118+MM!D118+CORP!D118+PROP!D118+RATES!D118+THALL!D118+FIN!D118+SOCIAL!D118+CEMETERY!D118+LIBRARIES!D118+HOUSING!D118+TRAFFIC!D118+PARKS!D118+REFUSE!D118+SEWAGE!D118+PWORKS!D118+WATER!D118+ELECTRIC!D118</f>
        <v>11101</v>
      </c>
      <c r="F113" s="85"/>
      <c r="G113" s="85"/>
      <c r="H113" s="85"/>
    </row>
    <row r="114" spans="1:8" ht="13.5" customHeight="1" x14ac:dyDescent="0.25">
      <c r="A114" s="118"/>
      <c r="B114" s="246"/>
      <c r="C114" s="94" t="s">
        <v>305</v>
      </c>
      <c r="D114" s="94"/>
      <c r="E114" s="85">
        <f>+COUNCIL!D119+MAYOR!D119+SPEAKER!D119+MM!D119+CORP!D119+PROP!D119+RATES!D119+THALL!D119+FIN!D119+SOCIAL!D119+CEMETERY!D119+LIBRARIES!D119+HOUSING!D119+TRAFFIC!D119+PARKS!D119+REFUSE!D119+SEWAGE!D119+PWORKS!D119+WATER!D119+ELECTRIC!D119</f>
        <v>245428</v>
      </c>
      <c r="F114" s="85"/>
      <c r="G114" s="85"/>
      <c r="H114" s="85"/>
    </row>
    <row r="115" spans="1:8" ht="12" customHeight="1" x14ac:dyDescent="0.25">
      <c r="A115" s="118"/>
      <c r="B115" s="246"/>
      <c r="C115" s="94" t="s">
        <v>385</v>
      </c>
      <c r="D115" s="94"/>
      <c r="E115" s="85"/>
      <c r="F115" s="85"/>
      <c r="G115" s="85"/>
      <c r="H115" s="85"/>
    </row>
    <row r="116" spans="1:8" x14ac:dyDescent="0.25">
      <c r="A116" s="118"/>
      <c r="B116" s="246"/>
      <c r="C116" s="94" t="s">
        <v>307</v>
      </c>
      <c r="D116" s="94"/>
      <c r="E116" s="85">
        <f>+COUNCIL!D121+MAYOR!D121+SPEAKER!D121+MM!D121+CORP!D121+PROP!D121+RATES!D121+THALL!D121+FIN!D121+SOCIAL!D121+CEMETERY!D121+LIBRARIES!D121+HOUSING!D121+TRAFFIC!D121+PARKS!D121+REFUSE!D121+SEWAGE!D121+PWORKS!D121+WATER!D121+ELECTRIC!D121</f>
        <v>1138968</v>
      </c>
      <c r="F116" s="85"/>
      <c r="G116" s="85"/>
      <c r="H116" s="85"/>
    </row>
    <row r="117" spans="1:8" x14ac:dyDescent="0.25">
      <c r="A117" s="118"/>
      <c r="B117" s="246"/>
      <c r="C117" s="94" t="s">
        <v>308</v>
      </c>
      <c r="D117" s="94"/>
      <c r="E117" s="85">
        <f>+COUNCIL!D122+MAYOR!D122+SPEAKER!D122+MM!D122+CORP!D122+PROP!D122+RATES!D122+THALL!D122+FIN!D122+SOCIAL!D122+CEMETERY!D122+LIBRARIES!D122+HOUSING!D122+TRAFFIC!D122+PARKS!D122+REFUSE!D122+SEWAGE!D122+PWORKS!D122+WATER!D122+ELECTRIC!D122</f>
        <v>143522</v>
      </c>
      <c r="F117" s="85"/>
      <c r="G117" s="85"/>
      <c r="H117" s="85"/>
    </row>
    <row r="118" spans="1:8" x14ac:dyDescent="0.25">
      <c r="A118" s="118"/>
      <c r="B118" s="246"/>
      <c r="C118" s="94" t="s">
        <v>309</v>
      </c>
      <c r="D118" s="94"/>
      <c r="E118" s="85">
        <f>+COUNCIL!D123+MAYOR!D123+SPEAKER!D123+MM!D123+CORP!D123+PROP!D123+RATES!D123+THALL!D123+FIN!D123+SOCIAL!D123+CEMETERY!D123+LIBRARIES!D123+HOUSING!D123+TRAFFIC!D123+PARKS!D123+REFUSE!D123+SEWAGE!D123+PWORKS!D123+WATER!D123+ELECTRIC!D123</f>
        <v>415000</v>
      </c>
      <c r="F118" s="85"/>
      <c r="G118" s="85"/>
      <c r="H118" s="85"/>
    </row>
    <row r="119" spans="1:8" x14ac:dyDescent="0.25">
      <c r="A119" s="118"/>
      <c r="B119" s="246"/>
      <c r="C119" s="94" t="s">
        <v>310</v>
      </c>
      <c r="D119" s="94"/>
      <c r="E119" s="85">
        <f>+COUNCIL!D124+MAYOR!D124+SPEAKER!D124+MM!D124+CORP!D124+PROP!D124+RATES!D124+THALL!D124+FIN!D124+SOCIAL!D124+CEMETERY!D124+LIBRARIES!D124+HOUSING!D124+TRAFFIC!D124+PARKS!D124+REFUSE!D124+SEWAGE!D124+PWORKS!D124+WATER!D124+ELECTRIC!D124</f>
        <v>0</v>
      </c>
      <c r="F119" s="85"/>
      <c r="G119" s="85"/>
      <c r="H119" s="85"/>
    </row>
    <row r="120" spans="1:8" x14ac:dyDescent="0.25">
      <c r="A120" s="118"/>
      <c r="B120" s="246"/>
      <c r="C120" s="94" t="s">
        <v>311</v>
      </c>
      <c r="D120" s="94"/>
      <c r="E120" s="85">
        <f>+COUNCIL!D125+MAYOR!D125+SPEAKER!D125+MM!D125+CORP!D125+PROP!D125+RATES!D125+THALL!D125+FIN!D125+SOCIAL!D125+CEMETERY!D125+LIBRARIES!D125+HOUSING!D125+TRAFFIC!D125+PARKS!D125+REFUSE!D125+SEWAGE!D125+PWORKS!D125+WATER!D125+ELECTRIC!D125</f>
        <v>88316</v>
      </c>
      <c r="F120" s="85"/>
      <c r="G120" s="85"/>
      <c r="H120" s="85"/>
    </row>
    <row r="121" spans="1:8" hidden="1" x14ac:dyDescent="0.25">
      <c r="A121" s="118"/>
      <c r="B121" s="246"/>
      <c r="C121" s="94" t="s">
        <v>312</v>
      </c>
      <c r="D121" s="94"/>
      <c r="E121" s="85"/>
      <c r="F121" s="85"/>
      <c r="G121" s="85"/>
      <c r="H121" s="85"/>
    </row>
    <row r="122" spans="1:8" hidden="1" x14ac:dyDescent="0.25">
      <c r="A122" s="118"/>
      <c r="B122" s="246"/>
      <c r="C122" s="94" t="s">
        <v>313</v>
      </c>
      <c r="D122" s="94"/>
      <c r="E122" s="85">
        <f>+COUNCIL!D127+MAYOR!D127+SPEAKER!D127+MM!D127+CORP!D127+PROP!D127+RATES!D127+THALL!D127+FIN!D127+SOCIAL!D127+CEMETERY!D127+LIBRARIES!D127+HOUSING!D127+TRAFFIC!D127+PARKS!D127+REFUSE!D127+SEWAGE!D127+PWORKS!D127+WATER!D127+ELECTRIC!D127</f>
        <v>0</v>
      </c>
      <c r="F122" s="85"/>
      <c r="G122" s="85"/>
      <c r="H122" s="85"/>
    </row>
    <row r="123" spans="1:8" hidden="1" x14ac:dyDescent="0.25">
      <c r="A123" s="118"/>
      <c r="B123" s="246"/>
      <c r="C123" s="94" t="s">
        <v>314</v>
      </c>
      <c r="D123" s="94"/>
      <c r="E123" s="85">
        <f>+COUNCIL!D128+MAYOR!D128+SPEAKER!D128+MM!D128+CORP!D128+PROP!D128+RATES!D128+THALL!D128+FIN!D128+SOCIAL!D128+CEMETERY!D128+LIBRARIES!D128+HOUSING!D128+TRAFFIC!D128+PARKS!D128+REFUSE!D128+SEWAGE!D128+PWORKS!D128+WATER!D128+ELECTRIC!D128</f>
        <v>0</v>
      </c>
      <c r="F123" s="85"/>
      <c r="G123" s="85"/>
      <c r="H123" s="85"/>
    </row>
    <row r="124" spans="1:8" hidden="1" x14ac:dyDescent="0.25">
      <c r="A124" s="118"/>
      <c r="B124" s="246"/>
      <c r="C124" s="94" t="s">
        <v>315</v>
      </c>
      <c r="D124" s="94"/>
      <c r="E124" s="85">
        <f>+COUNCIL!D129+MAYOR!D129+SPEAKER!D129+MM!D129+CORP!D129+PROP!D129+RATES!D129+THALL!D129+FIN!D129+SOCIAL!D129+CEMETERY!D129+LIBRARIES!D129+HOUSING!D129+TRAFFIC!D129+PARKS!D129+REFUSE!D129+SEWAGE!D129+PWORKS!D129+WATER!D129+ELECTRIC!D129</f>
        <v>0</v>
      </c>
      <c r="F124" s="85"/>
      <c r="G124" s="85"/>
      <c r="H124" s="85"/>
    </row>
    <row r="125" spans="1:8" hidden="1" x14ac:dyDescent="0.25">
      <c r="A125" s="118"/>
      <c r="B125" s="246"/>
      <c r="C125" s="94" t="s">
        <v>316</v>
      </c>
      <c r="D125" s="94"/>
      <c r="E125" s="85">
        <f>+COUNCIL!D130+MAYOR!D130+SPEAKER!D130+MM!D130+CORP!D130+PROP!D130+RATES!D130+THALL!D130+FIN!D130+SOCIAL!D130+CEMETERY!D130+LIBRARIES!D130+HOUSING!D130+TRAFFIC!D130+PARKS!D130+REFUSE!D130+SEWAGE!D130+PWORKS!D130+WATER!D130+ELECTRIC!D130</f>
        <v>0</v>
      </c>
      <c r="F125" s="85"/>
      <c r="G125" s="85"/>
      <c r="H125" s="85"/>
    </row>
    <row r="126" spans="1:8" hidden="1" x14ac:dyDescent="0.25">
      <c r="A126" s="118"/>
      <c r="B126" s="246"/>
      <c r="C126" s="94" t="s">
        <v>99</v>
      </c>
      <c r="D126" s="94"/>
      <c r="E126" s="85">
        <f>+COUNCIL!D131+MAYOR!D131+SPEAKER!D131+MM!D131+CORP!D131+PROP!D131+RATES!D131+THALL!D131+FIN!D131+SOCIAL!D131+CEMETERY!D131+LIBRARIES!D131+HOUSING!D131+TRAFFIC!D131+PARKS!D131+REFUSE!D131+SEWAGE!D131+PWORKS!D131+WATER!D131+ELECTRIC!D131</f>
        <v>0</v>
      </c>
      <c r="F126" s="85"/>
      <c r="G126" s="85"/>
      <c r="H126" s="85"/>
    </row>
    <row r="127" spans="1:8" hidden="1" x14ac:dyDescent="0.25">
      <c r="A127" s="118"/>
      <c r="B127" s="246"/>
      <c r="C127" s="94" t="s">
        <v>114</v>
      </c>
      <c r="D127" s="94"/>
      <c r="E127" s="85">
        <f>+COUNCIL!D132+MAYOR!D132+SPEAKER!D132+MM!D132+CORP!D132+PROP!D132+RATES!D132+THALL!D132+FIN!D132+SOCIAL!D132+CEMETERY!D132+LIBRARIES!D132+HOUSING!D132+TRAFFIC!D132+PARKS!D132+REFUSE!D132+SEWAGE!D132+PWORKS!D132+WATER!D132+ELECTRIC!D132</f>
        <v>0</v>
      </c>
      <c r="F127" s="85"/>
      <c r="G127" s="85"/>
      <c r="H127" s="85"/>
    </row>
    <row r="128" spans="1:8" x14ac:dyDescent="0.25">
      <c r="A128" s="118"/>
      <c r="B128" s="246"/>
      <c r="C128" s="94" t="s">
        <v>317</v>
      </c>
      <c r="D128" s="94"/>
      <c r="E128" s="85">
        <f>+COUNCIL!D133+MAYOR!D133+SPEAKER!D133+MM!D133+CORP!D133+PROP!D133+RATES!D133+THALL!D133+FIN!D133+SOCIAL!D133+CEMETERY!D133+LIBRARIES!D133+HOUSING!D133+TRAFFIC!D133+PARKS!D133+REFUSE!D133+SEWAGE!D133+PWORKS!D133+WATER!D133+ELECTRIC!D133</f>
        <v>456169</v>
      </c>
      <c r="F128" s="85"/>
      <c r="G128" s="85"/>
      <c r="H128" s="85"/>
    </row>
    <row r="129" spans="1:10" x14ac:dyDescent="0.25">
      <c r="A129" s="118"/>
      <c r="B129" s="246"/>
      <c r="C129" s="94" t="s">
        <v>318</v>
      </c>
      <c r="D129" s="94"/>
      <c r="E129" s="85">
        <f>+COUNCIL!D134+MAYOR!D134+SPEAKER!D134+MM!D134+CORP!D134+PROP!D134+RATES!D134+THALL!D134+FIN!D134+SOCIAL!D134+CEMETERY!D134+LIBRARIES!D134+HOUSING!D134+TRAFFIC!D134+PARKS!D134+REFUSE!D134+SEWAGE!D134+PWORKS!D134+WATER!D134+ELECTRIC!D134</f>
        <v>823881</v>
      </c>
      <c r="F129" s="85"/>
      <c r="G129" s="85"/>
      <c r="H129" s="85"/>
    </row>
    <row r="130" spans="1:10" x14ac:dyDescent="0.25">
      <c r="A130" s="118"/>
      <c r="B130" s="246"/>
      <c r="C130" s="94" t="s">
        <v>319</v>
      </c>
      <c r="D130" s="94"/>
      <c r="E130" s="85">
        <f>+COUNCIL!D135+MAYOR!D135+SPEAKER!D135+MM!D135+CORP!D135+PROP!D135+RATES!D135+THALL!D135+FIN!D135+SOCIAL!D135+CEMETERY!D135+LIBRARIES!D135+HOUSING!D135+TRAFFIC!D135+PARKS!D135+REFUSE!D135+SEWAGE!D135+PWORKS!D135+WATER!D135+ELECTRIC!D135</f>
        <v>278872</v>
      </c>
      <c r="F130" s="85"/>
      <c r="G130" s="85"/>
      <c r="H130" s="85"/>
    </row>
    <row r="131" spans="1:10" hidden="1" x14ac:dyDescent="0.25">
      <c r="A131" s="118"/>
      <c r="B131" s="246"/>
      <c r="C131" s="94" t="s">
        <v>332</v>
      </c>
      <c r="D131" s="94"/>
      <c r="E131" s="85">
        <f>+COUNCIL!D136+MAYOR!D136+SPEAKER!D136+MM!D136+CORP!D136+PROP!D136+RATES!D136+THALL!D136+FIN!D136+SOCIAL!D136+CEMETERY!D136+LIBRARIES!D136+HOUSING!D136+TRAFFIC!D136+PARKS!D136+REFUSE!D136+SEWAGE!D136+PWORKS!D136+WATER!D136+ELECTRIC!D136</f>
        <v>0</v>
      </c>
      <c r="F131" s="85"/>
      <c r="G131" s="85"/>
      <c r="H131" s="85"/>
    </row>
    <row r="132" spans="1:10" x14ac:dyDescent="0.25">
      <c r="A132" s="118"/>
      <c r="B132" s="246"/>
      <c r="C132" s="94" t="s">
        <v>320</v>
      </c>
      <c r="D132" s="94"/>
      <c r="E132" s="85">
        <f>+COUNCIL!D137+MAYOR!D137+SPEAKER!D137+MM!D137+CORP!D137+PROP!D137+RATES!D137+THALL!D137+FIN!D137+SOCIAL!D137+CEMETERY!D137+LIBRARIES!D137+HOUSING!D137+TRAFFIC!D137+PARKS!D137+REFUSE!D137+SEWAGE!D137+PWORKS!D137+WATER!D137+ELECTRIC!D137</f>
        <v>155430</v>
      </c>
      <c r="F132" s="85"/>
      <c r="G132" s="85"/>
      <c r="H132" s="85"/>
    </row>
    <row r="133" spans="1:10" hidden="1" x14ac:dyDescent="0.25">
      <c r="A133" s="118"/>
      <c r="B133" s="246"/>
      <c r="C133" s="94" t="s">
        <v>321</v>
      </c>
      <c r="D133" s="94"/>
      <c r="E133" s="85">
        <f>+COUNCIL!D138+MAYOR!D138+SPEAKER!D138+MM!D138+CORP!D138+PROP!D138+RATES!D138+THALL!D138+FIN!D138+SOCIAL!D138+CEMETERY!D138+LIBRARIES!D138+HOUSING!D138+TRAFFIC!D138+PARKS!D138+REFUSE!D138+SEWAGE!D138+PWORKS!D138+WATER!D138+ELECTRIC!D138</f>
        <v>0</v>
      </c>
      <c r="F133" s="85"/>
      <c r="G133" s="85"/>
      <c r="H133" s="85"/>
    </row>
    <row r="134" spans="1:10" hidden="1" x14ac:dyDescent="0.25">
      <c r="A134" s="118"/>
      <c r="B134" s="246"/>
      <c r="C134" s="94" t="s">
        <v>322</v>
      </c>
      <c r="D134" s="94"/>
      <c r="E134" s="85">
        <f>+COUNCIL!D139+MAYOR!D139+SPEAKER!D139+MM!D139+CORP!D139+PROP!D139+RATES!D139+THALL!D139+FIN!D139+SOCIAL!D139+CEMETERY!D139+LIBRARIES!D139+HOUSING!D139+TRAFFIC!D139+PARKS!D139+REFUSE!D139+SEWAGE!D139+PWORKS!D139+WATER!D139+ELECTRIC!D139</f>
        <v>0</v>
      </c>
      <c r="F134" s="85"/>
      <c r="G134" s="85"/>
      <c r="H134" s="85"/>
    </row>
    <row r="135" spans="1:10" hidden="1" x14ac:dyDescent="0.25">
      <c r="A135" s="118"/>
      <c r="B135" s="246"/>
      <c r="C135" s="94" t="s">
        <v>323</v>
      </c>
      <c r="D135" s="94"/>
      <c r="E135" s="85">
        <f>+COUNCIL!D140+MAYOR!D140+SPEAKER!D140+MM!D140+CORP!D140+PROP!D140+RATES!D140+THALL!D140+FIN!D140+SOCIAL!D140+CEMETERY!D140+LIBRARIES!D140+HOUSING!D140+TRAFFIC!D140+PARKS!D140+REFUSE!D140+SEWAGE!D140+PWORKS!D140+WATER!D140+ELECTRIC!D140</f>
        <v>0</v>
      </c>
      <c r="F135" s="85"/>
      <c r="G135" s="85"/>
      <c r="H135" s="85"/>
    </row>
    <row r="136" spans="1:10" hidden="1" x14ac:dyDescent="0.25">
      <c r="A136" s="118"/>
      <c r="B136" s="246"/>
      <c r="C136" s="94" t="s">
        <v>324</v>
      </c>
      <c r="D136" s="94"/>
      <c r="E136" s="85">
        <f>+COUNCIL!D141+MAYOR!D141+SPEAKER!D141+MM!D141+CORP!D141+PROP!D141+RATES!D141+THALL!D141+FIN!D141+SOCIAL!D141+CEMETERY!D141+LIBRARIES!D141+HOUSING!D141+TRAFFIC!D141+PARKS!D141+REFUSE!D141+SEWAGE!D141+PWORKS!D141+WATER!D141+ELECTRIC!D141</f>
        <v>0</v>
      </c>
      <c r="F136" s="85"/>
      <c r="G136" s="85"/>
      <c r="H136" s="85"/>
    </row>
    <row r="137" spans="1:10" hidden="1" x14ac:dyDescent="0.25">
      <c r="A137" s="118"/>
      <c r="B137" s="246"/>
      <c r="C137" s="94" t="s">
        <v>325</v>
      </c>
      <c r="D137" s="94"/>
      <c r="E137" s="85">
        <f>+COUNCIL!D142+MAYOR!D142+SPEAKER!D142+MM!D142+CORP!D142+PROP!D142+RATES!D142+THALL!D142+FIN!D142+SOCIAL!D142+CEMETERY!D142+LIBRARIES!D142+HOUSING!D142+TRAFFIC!D142+PARKS!D142+REFUSE!D142+SEWAGE!D142+PWORKS!D142+WATER!D142+ELECTRIC!D142</f>
        <v>0</v>
      </c>
      <c r="F137" s="85"/>
      <c r="G137" s="85"/>
      <c r="H137" s="85"/>
    </row>
    <row r="138" spans="1:10" x14ac:dyDescent="0.25">
      <c r="A138" s="118"/>
      <c r="B138" s="246"/>
      <c r="C138" s="94" t="s">
        <v>526</v>
      </c>
      <c r="D138" s="94"/>
      <c r="E138" s="85">
        <f>+COUNCIL!D143+MAYOR!D143+SPEAKER!D143+MM!D143+CORP!D143+PROP!D143+RATES!D143+THALL!D143+FIN!D143+SOCIAL!D143+CEMETERY!D143+LIBRARIES!D143+HOUSING!D143+TRAFFIC!D143+PARKS!D143+REFUSE!D143+SEWAGE!D143+PWORKS!D143+WATER!D143+ELECTRIC!D143</f>
        <v>0</v>
      </c>
      <c r="F138" s="85"/>
      <c r="G138" s="85"/>
      <c r="H138" s="85"/>
    </row>
    <row r="139" spans="1:10" x14ac:dyDescent="0.25">
      <c r="A139" s="118"/>
      <c r="B139" s="246"/>
      <c r="C139" s="94" t="s">
        <v>331</v>
      </c>
      <c r="D139" s="94"/>
      <c r="E139" s="85">
        <f>+COUNCIL!D144+MAYOR!D144+SPEAKER!D144+MM!D144+CORP!D144+PROP!D144+RATES!D144+THALL!D144+FIN!D144+SOCIAL!D144+CEMETERY!D144+LIBRARIES!D144+HOUSING!D144+TRAFFIC!D144+PARKS!D144+REFUSE!D144+SEWAGE!D144+PWORKS!D144+WATER!D144+ELECTRIC!D144</f>
        <v>150262</v>
      </c>
      <c r="F139" s="85"/>
      <c r="G139" s="85"/>
      <c r="H139" s="85"/>
    </row>
    <row r="140" spans="1:10" hidden="1" x14ac:dyDescent="0.25">
      <c r="A140" s="118"/>
      <c r="B140" s="246"/>
      <c r="C140" s="94" t="s">
        <v>327</v>
      </c>
      <c r="D140" s="94"/>
      <c r="E140" s="85">
        <f>+COUNCIL!D145+MAYOR!D145+SPEAKER!D145+MM!D145+CORP!D145+PROP!D145+RATES!D145+THALL!D145+FIN!D145+SOCIAL!D145+CEMETERY!D145+LIBRARIES!D145+HOUSING!D145+TRAFFIC!D145+PARKS!D145+REFUSE!D145+SEWAGE!D145+PWORKS!D145+WATER!D145+ELECTRIC!D145</f>
        <v>0</v>
      </c>
      <c r="F140" s="85"/>
      <c r="G140" s="85"/>
      <c r="H140" s="85"/>
    </row>
    <row r="141" spans="1:10" hidden="1" x14ac:dyDescent="0.25">
      <c r="A141" s="118"/>
      <c r="B141" s="246"/>
      <c r="C141" s="94" t="s">
        <v>328</v>
      </c>
      <c r="D141" s="94"/>
      <c r="E141" s="85"/>
      <c r="F141" s="85"/>
      <c r="G141" s="85"/>
      <c r="H141" s="85"/>
    </row>
    <row r="142" spans="1:10" hidden="1" x14ac:dyDescent="0.25">
      <c r="A142" s="118"/>
      <c r="B142" s="246"/>
      <c r="C142" s="94" t="s">
        <v>330</v>
      </c>
      <c r="D142" s="94"/>
      <c r="E142" s="85">
        <f>+COUNCIL!D147+MAYOR!D147+SPEAKER!D147+MM!D147+CORP!D147+PROP!D147+RATES!D147+THALL!D147+FIN!D147+SOCIAL!D147+CEMETERY!D147+LIBRARIES!D147+HOUSING!D147+TRAFFIC!D147+PARKS!D147+REFUSE!D147+SEWAGE!D147+PWORKS!D147+WATER!D147+ELECTRIC!D147</f>
        <v>0</v>
      </c>
      <c r="F142" s="85"/>
      <c r="G142" s="85"/>
      <c r="H142" s="85"/>
    </row>
    <row r="143" spans="1:10" x14ac:dyDescent="0.25">
      <c r="A143" s="129"/>
      <c r="B143" s="246"/>
      <c r="C143" s="94"/>
      <c r="D143" s="330"/>
      <c r="E143" s="89">
        <f>SUM(E72:E142)</f>
        <v>30400249</v>
      </c>
      <c r="F143" s="89"/>
      <c r="G143" s="89"/>
      <c r="H143" s="89"/>
      <c r="I143" s="313"/>
      <c r="J143" s="111"/>
    </row>
    <row r="144" spans="1:10" x14ac:dyDescent="0.25">
      <c r="A144" s="129"/>
      <c r="B144" s="246"/>
      <c r="C144" s="93" t="s">
        <v>187</v>
      </c>
      <c r="D144" s="93"/>
      <c r="E144" s="108"/>
      <c r="F144" s="108"/>
      <c r="G144" s="108"/>
      <c r="H144" s="108"/>
    </row>
    <row r="145" spans="1:10" x14ac:dyDescent="0.25">
      <c r="A145" s="118"/>
      <c r="B145" s="246"/>
      <c r="C145" s="94" t="s">
        <v>188</v>
      </c>
      <c r="D145" s="94"/>
      <c r="E145" s="85">
        <f>+COUNCIL!D150+MAYOR!D150+SPEAKER!D150+MM!D150+CORP!D150+PROP!D150+RATES!D150+THALL!D150+FIN!D150+SOCIAL!D150+CEMETERY!D150+LIBRARIES!D150+HOUSING!D150+TRAFFIC!D150+PARKS!D150+REFUSE!D150+SEWAGE!D150+PWORKS!D150+WATER!D150+ELECTRIC!D150</f>
        <v>0</v>
      </c>
      <c r="F145" s="85"/>
      <c r="G145" s="85"/>
      <c r="H145" s="85"/>
    </row>
    <row r="146" spans="1:10" ht="11.25" customHeight="1" x14ac:dyDescent="0.25">
      <c r="A146" s="129"/>
      <c r="B146" s="246"/>
      <c r="C146" s="94"/>
      <c r="D146" s="330"/>
      <c r="E146" s="89">
        <f>SUM(E145)</f>
        <v>0</v>
      </c>
      <c r="F146" s="89"/>
      <c r="G146" s="89"/>
      <c r="H146" s="89"/>
    </row>
    <row r="147" spans="1:10" x14ac:dyDescent="0.25">
      <c r="A147" s="129"/>
      <c r="B147" s="246"/>
      <c r="C147" s="93" t="s">
        <v>64</v>
      </c>
      <c r="D147" s="145"/>
      <c r="E147" s="113"/>
      <c r="F147" s="113"/>
      <c r="G147" s="113"/>
      <c r="H147" s="113"/>
    </row>
    <row r="148" spans="1:10" x14ac:dyDescent="0.25">
      <c r="A148" s="118"/>
      <c r="B148" s="246"/>
      <c r="C148" s="94" t="s">
        <v>336</v>
      </c>
      <c r="D148" s="94"/>
      <c r="E148" s="85">
        <f>+COUNCIL!D153+MAYOR!D153+SPEAKER!D153+MM!D153+CORP!D153+PROP!D153+RATES!D153+THALL!D153+FIN!D153+SOCIAL!D153+CEMETERY!D153+LIBRARIES!D153+HOUSING!D153+TRAFFIC!D153+PARKS!D153+REFUSE!D153+SEWAGE!D153+PWORKS!D153+WATER!D153+ELECTRIC!D153</f>
        <v>0</v>
      </c>
      <c r="F148" s="85"/>
      <c r="G148" s="85"/>
      <c r="H148" s="85"/>
    </row>
    <row r="149" spans="1:10" x14ac:dyDescent="0.25">
      <c r="A149" s="118"/>
      <c r="B149" s="246"/>
      <c r="C149" s="94" t="s">
        <v>337</v>
      </c>
      <c r="D149" s="94"/>
      <c r="E149" s="85">
        <f>+COUNCIL!D154+MAYOR!D154+SPEAKER!D154+MM!D154+CORP!D154+PROP!D154+RATES!D154+THALL!D154+FIN!D154+SOCIAL!D154+CEMETERY!D154+LIBRARIES!D154+HOUSING!D154+TRAFFIC!D154+PARKS!D154+REFUSE!D154+SEWAGE!D154+PWORKS!D154+WATER!D154+ELECTRIC!D154</f>
        <v>0</v>
      </c>
      <c r="F149" s="85"/>
      <c r="G149" s="85"/>
      <c r="H149" s="85"/>
    </row>
    <row r="150" spans="1:10" x14ac:dyDescent="0.25">
      <c r="A150" s="118"/>
      <c r="B150" s="246"/>
      <c r="C150" s="94" t="s">
        <v>60</v>
      </c>
      <c r="D150" s="94"/>
      <c r="E150" s="85">
        <f>+COUNCIL!D155+MAYOR!D155+SPEAKER!D155+MM!D155+CORP!D155+PROP!D155+RATES!D155+THALL!D155+FIN!D155+SOCIAL!D155+CEMETERY!D155+LIBRARIES!D155+HOUSING!D155+TRAFFIC!D155+PARKS!D155+REFUSE!D155+SEWAGE!D155+PWORKS!D155+WATER!D155+ELECTRIC!D155</f>
        <v>1500000</v>
      </c>
      <c r="F150" s="85"/>
      <c r="G150" s="85"/>
      <c r="H150" s="85"/>
    </row>
    <row r="151" spans="1:10" x14ac:dyDescent="0.25">
      <c r="A151" s="129"/>
      <c r="B151" s="246"/>
      <c r="C151" s="94"/>
      <c r="D151" s="330"/>
      <c r="E151" s="89">
        <f>SUM(E148:E150)</f>
        <v>1500000</v>
      </c>
      <c r="F151" s="89"/>
      <c r="G151" s="89"/>
      <c r="H151" s="89"/>
      <c r="I151" s="313"/>
      <c r="J151" s="111"/>
    </row>
    <row r="152" spans="1:10" x14ac:dyDescent="0.25">
      <c r="A152" s="129"/>
      <c r="B152" s="246"/>
      <c r="C152" s="184" t="s">
        <v>65</v>
      </c>
      <c r="D152" s="332"/>
      <c r="E152" s="113"/>
      <c r="F152" s="113"/>
      <c r="G152" s="113"/>
      <c r="H152" s="113"/>
    </row>
    <row r="153" spans="1:10" x14ac:dyDescent="0.25">
      <c r="A153" s="118"/>
      <c r="B153" s="246"/>
      <c r="C153" s="94" t="s">
        <v>376</v>
      </c>
      <c r="D153" s="94"/>
      <c r="E153" s="85">
        <f>+COUNCIL!D158+MAYOR!D158+SPEAKER!D158+MM!D158+CORP!D158+PROP!D158+RATES!D158+THALL!D158+FIN!D158+SOCIAL!D158+CEMETERY!D158+LIBRARIES!D158+HOUSING!D158+TRAFFIC!D158+PARKS!D158+REFUSE!D158+SEWAGE!D158+PWORKS!D158+WATER!D158+ELECTRIC!D158</f>
        <v>84844</v>
      </c>
      <c r="F153" s="85"/>
      <c r="G153" s="85"/>
      <c r="H153" s="85"/>
    </row>
    <row r="154" spans="1:10" hidden="1" x14ac:dyDescent="0.25">
      <c r="A154" s="118"/>
      <c r="B154" s="246"/>
      <c r="C154" s="94" t="s">
        <v>339</v>
      </c>
      <c r="D154" s="94"/>
      <c r="E154" s="85">
        <f>+COUNCIL!D159+MAYOR!D159+SPEAKER!D159+MM!D159+CORP!D159+PROP!D159+RATES!D159+THALL!D159+FIN!D159+SOCIAL!D159+CEMETERY!D159+LIBRARIES!D159+HOUSING!D159+TRAFFIC!D159+PARKS!D159+REFUSE!D159+SEWAGE!D159+PWORKS!D159+WATER!D159+ELECTRIC!D159</f>
        <v>0</v>
      </c>
      <c r="F154" s="85"/>
      <c r="G154" s="85"/>
      <c r="H154" s="85"/>
    </row>
    <row r="155" spans="1:10" x14ac:dyDescent="0.25">
      <c r="A155" s="129"/>
      <c r="B155" s="248"/>
      <c r="C155" s="114"/>
      <c r="D155" s="331"/>
      <c r="E155" s="116">
        <f>SUM(E153:E154)</f>
        <v>84844</v>
      </c>
      <c r="F155" s="116"/>
      <c r="G155" s="116"/>
      <c r="H155" s="116"/>
      <c r="I155" s="313"/>
    </row>
    <row r="156" spans="1:10" x14ac:dyDescent="0.25">
      <c r="A156" s="129"/>
      <c r="B156" s="248"/>
      <c r="C156" s="93" t="s">
        <v>189</v>
      </c>
      <c r="D156" s="126"/>
      <c r="E156" s="116">
        <f>E155+E151+E146+E143+E70+E66+E63+E59+E38+E35+E32+E29+E25+E18</f>
        <v>152939272.354</v>
      </c>
      <c r="F156" s="116"/>
      <c r="G156" s="116"/>
      <c r="H156" s="116">
        <f>H155+H151+H146+H143+H70+H66+H63+H59+H38+H35+H32+H29+H25+H18</f>
        <v>0</v>
      </c>
      <c r="I156" s="313"/>
      <c r="J156" s="231"/>
    </row>
    <row r="157" spans="1:10" hidden="1" x14ac:dyDescent="0.25">
      <c r="A157" s="129"/>
      <c r="B157" s="246"/>
      <c r="C157" s="93" t="s">
        <v>258</v>
      </c>
      <c r="D157" s="126"/>
      <c r="E157" s="117"/>
      <c r="F157" s="117"/>
      <c r="G157" s="117"/>
      <c r="H157" s="117"/>
    </row>
    <row r="158" spans="1:10" hidden="1" x14ac:dyDescent="0.25">
      <c r="A158" s="118"/>
      <c r="B158" s="246"/>
      <c r="C158" s="94" t="s">
        <v>190</v>
      </c>
      <c r="D158" s="330"/>
      <c r="E158" s="85">
        <f>+COUNCIL!D163+MAYOR!D163+SPEAKER!D163+MM!D163+CORP!D163+PROP!D163+RATES!D163+THALL!D163+FIN!D163+SOCIAL!D163+CEMETERY!D163+LIBRARIES!D163+HOUSING!D163+TRAFFIC!D163+PARKS!D163+REFUSE!D163+SEWAGE!D163+PWORKS!D163+WATER!D163+ELECTRIC!D163</f>
        <v>0</v>
      </c>
      <c r="F158" s="85"/>
      <c r="G158" s="85"/>
      <c r="H158" s="85">
        <f>+COUNCIL!J163+MAYOR!J163+SPEAKER!K163+MM!J163+CORP!J163+PROP!J163+RATES!J163+THALL!J163+FIN!J163+SOCIAL!J163+CEMETERY!J163+LIBRARIES!I163+HOUSING!J163+TRAFFIC!J163+PARKS!J163+REFUSE!J163+SEWAGE!J163+PWORKS!J163+WATER!J163+ELECTRIC!H163</f>
        <v>0</v>
      </c>
    </row>
    <row r="159" spans="1:10" hidden="1" x14ac:dyDescent="0.25">
      <c r="A159" s="129"/>
      <c r="B159" s="246"/>
      <c r="C159" s="94"/>
      <c r="D159" s="330"/>
      <c r="E159" s="85">
        <f>+COUNCIL!D164+MAYOR!D164+SPEAKER!D164+MM!D164+CORP!D164+PROP!D164+RATES!D164+THALL!D164+FIN!D164+SOCIAL!D164+CEMETERY!D164+LIBRARIES!D164+HOUSING!D164+TRAFFIC!D164+PARKS!D164+REFUSE!D164+SEWAGE!D164+PWORKS!D164+WATER!D164+ELECTRIC!D164</f>
        <v>0</v>
      </c>
      <c r="F159" s="85"/>
      <c r="G159" s="85"/>
      <c r="H159" s="85">
        <f>+COUNCIL!J164+MAYOR!J164+SPEAKER!K164+MM!J164+CORP!J164+PROP!J164+RATES!J164+THALL!J164+FIN!J164+SOCIAL!J164+CEMETERY!J164+LIBRARIES!I164+HOUSING!J164+TRAFFIC!J164+PARKS!J164+REFUSE!J164+SEWAGE!J164+PWORKS!J164+WATER!J164+ELECTRIC!H164</f>
        <v>6</v>
      </c>
    </row>
    <row r="160" spans="1:10" x14ac:dyDescent="0.25">
      <c r="A160" s="156"/>
      <c r="B160" s="249"/>
      <c r="C160" s="119" t="s">
        <v>191</v>
      </c>
      <c r="D160" s="126"/>
      <c r="E160" s="160">
        <f>SUM(E156+E159)</f>
        <v>152939272.354</v>
      </c>
      <c r="F160" s="160"/>
      <c r="G160" s="160"/>
      <c r="H160" s="160">
        <f>SUM(H156+H159)</f>
        <v>6</v>
      </c>
      <c r="I160" s="313"/>
      <c r="J160" s="111"/>
    </row>
    <row r="161" spans="1:11" x14ac:dyDescent="0.25">
      <c r="A161" s="101"/>
      <c r="B161" s="250"/>
      <c r="C161" s="115"/>
      <c r="D161" s="115"/>
      <c r="E161" s="111"/>
      <c r="F161" s="120"/>
      <c r="G161" s="120"/>
      <c r="H161" s="120"/>
      <c r="J161" s="231"/>
    </row>
    <row r="162" spans="1:11" x14ac:dyDescent="0.25">
      <c r="A162" s="101"/>
      <c r="B162" s="250"/>
      <c r="C162" s="115"/>
      <c r="D162" s="115"/>
      <c r="E162" s="111"/>
      <c r="F162" s="111"/>
      <c r="G162" s="111"/>
      <c r="H162" s="111"/>
    </row>
    <row r="163" spans="1:11" x14ac:dyDescent="0.25">
      <c r="A163" s="157"/>
      <c r="B163" s="948" t="s">
        <v>416</v>
      </c>
      <c r="C163" s="948"/>
      <c r="D163" s="948"/>
      <c r="E163" s="949"/>
      <c r="F163" s="277"/>
      <c r="G163" s="277"/>
      <c r="H163" s="277"/>
    </row>
    <row r="164" spans="1:11" x14ac:dyDescent="0.25">
      <c r="A164" s="944" t="s">
        <v>21</v>
      </c>
      <c r="B164" s="945"/>
      <c r="C164" s="150" t="s">
        <v>22</v>
      </c>
      <c r="D164" s="150"/>
      <c r="E164" s="104" t="s">
        <v>24</v>
      </c>
      <c r="F164" s="83" t="s">
        <v>24</v>
      </c>
      <c r="G164" s="104" t="s">
        <v>24</v>
      </c>
      <c r="H164" s="103" t="s">
        <v>24</v>
      </c>
    </row>
    <row r="165" spans="1:11" x14ac:dyDescent="0.25">
      <c r="A165" s="946"/>
      <c r="B165" s="947"/>
      <c r="C165" s="106"/>
      <c r="D165" s="106"/>
      <c r="E165" s="107" t="s">
        <v>382</v>
      </c>
      <c r="F165" s="107" t="s">
        <v>407</v>
      </c>
      <c r="G165" s="107" t="s">
        <v>414</v>
      </c>
      <c r="H165" s="107" t="s">
        <v>531</v>
      </c>
    </row>
    <row r="166" spans="1:11" x14ac:dyDescent="0.25">
      <c r="A166" s="158"/>
      <c r="B166" s="251"/>
      <c r="C166" s="93" t="s">
        <v>98</v>
      </c>
      <c r="D166" s="145"/>
      <c r="E166" s="98"/>
      <c r="F166" s="98"/>
      <c r="G166" s="98"/>
      <c r="H166" s="98"/>
    </row>
    <row r="167" spans="1:11" x14ac:dyDescent="0.25">
      <c r="A167" s="118"/>
      <c r="B167" s="246"/>
      <c r="C167" s="94" t="s">
        <v>99</v>
      </c>
      <c r="D167" s="94"/>
      <c r="E167" s="85">
        <f>+COUNCIL!D172+MAYOR!D172+SPEAKER!D172+MM!D172+CORP!D171+PROP!D172+RATES!D172+THALL!D172+FIN!D172+SOCIAL!D171+CEMETERY!D172+LIBRARIES!D172+HOUSING!D172+TRAFFIC!D172+PARKS!D172+REFUSE!D172+SEWAGE!D172+PWORKS!D172+WATER!D172+ELECTRIC!D172</f>
        <v>14744476.380000001</v>
      </c>
      <c r="F167" s="85"/>
      <c r="G167" s="85"/>
      <c r="H167" s="85"/>
      <c r="I167" s="286"/>
    </row>
    <row r="168" spans="1:11" x14ac:dyDescent="0.25">
      <c r="A168" s="118"/>
      <c r="B168" s="246"/>
      <c r="C168" s="94" t="s">
        <v>400</v>
      </c>
      <c r="D168" s="94"/>
      <c r="E168" s="85">
        <f>+COUNCIL!D173+MAYOR!D173+SPEAKER!D173+MM!D173+CORP!D172+PROP!D173+RATES!D173+THALL!D173+FIN!D173+SOCIAL!D172+CEMETERY!D173+LIBRARIES!D173+HOUSING!D173+TRAFFIC!D173+PARKS!D173+REFUSE!D173+SEWAGE!D173+PWORKS!D173+WATER!D173+ELECTRIC!D173</f>
        <v>-4385560.8840000005</v>
      </c>
      <c r="F168" s="85"/>
      <c r="G168" s="85"/>
      <c r="H168" s="85"/>
      <c r="I168" s="101"/>
    </row>
    <row r="169" spans="1:11" x14ac:dyDescent="0.25">
      <c r="A169" s="129"/>
      <c r="B169" s="246"/>
      <c r="C169" s="94"/>
      <c r="D169" s="330"/>
      <c r="E169" s="99">
        <f>SUM(E167:E168)</f>
        <v>10358915.495999999</v>
      </c>
      <c r="F169" s="99"/>
      <c r="G169" s="99"/>
      <c r="H169" s="99"/>
    </row>
    <row r="170" spans="1:11" x14ac:dyDescent="0.25">
      <c r="A170" s="129"/>
      <c r="B170" s="246"/>
      <c r="C170" s="93" t="s">
        <v>100</v>
      </c>
      <c r="D170" s="145"/>
      <c r="E170" s="98"/>
      <c r="F170" s="98"/>
      <c r="G170" s="98"/>
      <c r="H170" s="98"/>
    </row>
    <row r="171" spans="1:11" x14ac:dyDescent="0.25">
      <c r="A171" s="118"/>
      <c r="B171" s="246"/>
      <c r="C171" s="94" t="s">
        <v>102</v>
      </c>
      <c r="D171" s="94"/>
      <c r="E171" s="85">
        <f>+COUNCIL!D176+MAYOR!D176+SPEAKER!D176+MM!D176+CORP!D175+PROP!D176+RATES!D176+THALL!D176+FIN!D176+SOCIAL!D175+CEMETERY!D176+LIBRARIES!D176+HOUSING!D176+TRAFFIC!D176+PARKS!D176+REFUSE!D176+SEWAGE!D176+PWORKS!D176+WATER!D176+ELECTRIC!D176</f>
        <v>2016</v>
      </c>
      <c r="F171" s="85"/>
      <c r="G171" s="85"/>
      <c r="H171" s="85"/>
    </row>
    <row r="172" spans="1:11" x14ac:dyDescent="0.25">
      <c r="A172" s="118"/>
      <c r="B172" s="246"/>
      <c r="C172" s="94" t="s">
        <v>343</v>
      </c>
      <c r="D172" s="94"/>
      <c r="E172" s="85">
        <f>+COUNCIL!D177+MAYOR!D177+SPEAKER!D177+MM!D177+CORP!D176+PROP!D177+RATES!D177+THALL!D177+FIN!D177+SOCIAL!D176+CEMETERY!D177+LIBRARIES!D177+HOUSING!D177+TRAFFIC!D177+PARKS!D177+REFUSE!D177+SEWAGE!D177+PWORKS!D177+WATER!D177+ELECTRIC!D177</f>
        <v>73236</v>
      </c>
      <c r="F172" s="85"/>
      <c r="G172" s="85"/>
      <c r="H172" s="85"/>
    </row>
    <row r="173" spans="1:11" x14ac:dyDescent="0.25">
      <c r="A173" s="118"/>
      <c r="B173" s="246"/>
      <c r="C173" s="94" t="s">
        <v>104</v>
      </c>
      <c r="D173" s="94"/>
      <c r="E173" s="85">
        <f>+COUNCIL!D178+MAYOR!D178+SPEAKER!D178+MM!D178+CORP!D177+PROP!D178+RATES!D178+THALL!D178+FIN!D178+SOCIAL!D177+CEMETERY!D178+LIBRARIES!D178+HOUSING!D178+TRAFFIC!D178+PARKS!D178+REFUSE!D178+SEWAGE!D178+PWORKS!D178+WATER!D178+ELECTRIC!D178</f>
        <v>5952</v>
      </c>
      <c r="F173" s="85"/>
      <c r="G173" s="85"/>
      <c r="H173" s="85"/>
    </row>
    <row r="174" spans="1:11" x14ac:dyDescent="0.25">
      <c r="A174" s="118"/>
      <c r="B174" s="246"/>
      <c r="C174" s="94" t="s">
        <v>115</v>
      </c>
      <c r="D174" s="94"/>
      <c r="E174" s="85">
        <f>+COUNCIL!D179+MAYOR!D179+SPEAKER!D179+MM!D179+CORP!D178+PROP!D179+RATES!D179+THALL!D179+FIN!D179+SOCIAL!D178+CEMETERY!D179+LIBRARIES!D179+HOUSING!D179+TRAFFIC!D179+PARKS!D179+REFUSE!D179+SEWAGE!D179+PWORKS!D179+WATER!D179+ELECTRIC!D179</f>
        <v>58636</v>
      </c>
      <c r="F174" s="85"/>
      <c r="G174" s="85"/>
      <c r="H174" s="85"/>
    </row>
    <row r="175" spans="1:11" x14ac:dyDescent="0.25">
      <c r="A175" s="118"/>
      <c r="B175" s="246"/>
      <c r="C175" s="94" t="s">
        <v>109</v>
      </c>
      <c r="D175" s="94"/>
      <c r="E175" s="85">
        <f>+COUNCIL!D180+MAYOR!D180+SPEAKER!D180+MM!D180+CORP!D179+PROP!D180+RATES!D180+THALL!D180+FIN!D180+SOCIAL!D179+CEMETERY!D180+LIBRARIES!D180+HOUSING!D180+TRAFFIC!D180+PARKS!D180+REFUSE!D180+SEWAGE!D180+PWORKS!D180+WATER!D180+ELECTRIC!D180</f>
        <v>27923781.858900003</v>
      </c>
      <c r="F175" s="85"/>
      <c r="G175" s="85"/>
      <c r="H175" s="85"/>
      <c r="I175" s="109"/>
      <c r="J175" s="167"/>
      <c r="K175" s="167"/>
    </row>
    <row r="176" spans="1:11" x14ac:dyDescent="0.25">
      <c r="A176" s="118"/>
      <c r="B176" s="246"/>
      <c r="C176" s="94" t="s">
        <v>266</v>
      </c>
      <c r="D176" s="94"/>
      <c r="E176" s="85">
        <f>+COUNCIL!D181+MAYOR!D181+SPEAKER!D181+MM!D181+CORP!D180+PROP!D181+RATES!D181+THALL!D181+FIN!D181+SOCIAL!D180+CEMETERY!D181+LIBRARIES!D181+HOUSING!D181+TRAFFIC!D181+PARKS!D181+REFUSE!D181+SEWAGE!D181+PWORKS!D181+WATER!D181+ELECTRIC!D181</f>
        <v>-1009484</v>
      </c>
      <c r="F176" s="85"/>
      <c r="G176" s="85"/>
      <c r="H176" s="85"/>
      <c r="I176" s="101"/>
    </row>
    <row r="177" spans="1:11" x14ac:dyDescent="0.25">
      <c r="A177" s="118"/>
      <c r="B177" s="246"/>
      <c r="C177" s="94" t="s">
        <v>394</v>
      </c>
      <c r="D177" s="94"/>
      <c r="E177" s="85">
        <f>+COUNCIL!D182+MAYOR!D182+SPEAKER!D182+MM!D182+CORP!D181+PROP!D182+RATES!D182+THALL!D182+FIN!D182+SOCIAL!D181+CEMETERY!D182+LIBRARIES!D182+HOUSING!D182+TRAFFIC!D182+PARKS!D182+REFUSE!D182+SEWAGE!D182+PWORKS!D182+WATER!D182+ELECTRIC!D182</f>
        <v>-3172062</v>
      </c>
      <c r="F177" s="85"/>
      <c r="G177" s="85"/>
      <c r="H177" s="85"/>
      <c r="I177" s="101"/>
    </row>
    <row r="178" spans="1:11" x14ac:dyDescent="0.25">
      <c r="A178" s="118"/>
      <c r="B178" s="246"/>
      <c r="C178" s="94" t="s">
        <v>113</v>
      </c>
      <c r="D178" s="94"/>
      <c r="E178" s="85">
        <f>+COUNCIL!D183+MAYOR!D183+SPEAKER!D183+MM!D183+CORP!D182+PROP!D183+RATES!D183+THALL!D183+FIN!D183+SOCIAL!D182+CEMETERY!D183+LIBRARIES!D183+HOUSING!D183+TRAFFIC!D183+PARKS!D183+REFUSE!D183+SEWAGE!D183+PWORKS!D183+WATER!D183+ELECTRIC!D183</f>
        <v>190526</v>
      </c>
      <c r="F178" s="85"/>
      <c r="G178" s="85"/>
      <c r="H178" s="85"/>
      <c r="I178" s="109"/>
      <c r="J178" s="167"/>
      <c r="K178" s="167"/>
    </row>
    <row r="179" spans="1:11" hidden="1" x14ac:dyDescent="0.25">
      <c r="A179" s="118"/>
      <c r="B179" s="246"/>
      <c r="C179" s="94" t="s">
        <v>132</v>
      </c>
      <c r="D179" s="94"/>
      <c r="E179" s="85">
        <f>+COUNCIL!D184+MAYOR!D184+SPEAKER!D184+MM!D184+CORP!D183+PROP!D184+RATES!D184+THALL!D184+FIN!D184+SOCIAL!D183+CEMETERY!D184+LIBRARIES!D184+HOUSING!D184+TRAFFIC!D184+PARKS!D184+REFUSE!D184+SEWAGE!D184+PWORKS!D184+WATER!D184+ELECTRIC!D184</f>
        <v>0</v>
      </c>
      <c r="F179" s="85"/>
      <c r="G179" s="85"/>
      <c r="H179" s="85"/>
    </row>
    <row r="180" spans="1:11" x14ac:dyDescent="0.25">
      <c r="A180" s="118"/>
      <c r="B180" s="246"/>
      <c r="C180" s="94" t="s">
        <v>120</v>
      </c>
      <c r="D180" s="94"/>
      <c r="E180" s="85">
        <f>+COUNCIL!D185+MAYOR!D185+SPEAKER!D185+MM!D185+CORP!D184+PROP!D185+RATES!D185+THALL!D185+FIN!D185+SOCIAL!D184+CEMETERY!D185+LIBRARIES!D185+HOUSING!D185+TRAFFIC!D185+PARKS!D185+REFUSE!D185+SEWAGE!D185+PWORKS!D185+WATER!D185+ELECTRIC!D185</f>
        <v>0</v>
      </c>
      <c r="F180" s="85"/>
      <c r="G180" s="85"/>
      <c r="H180" s="85"/>
      <c r="I180" s="109"/>
    </row>
    <row r="181" spans="1:11" hidden="1" x14ac:dyDescent="0.25">
      <c r="A181" s="118"/>
      <c r="B181" s="246"/>
      <c r="C181" s="94" t="s">
        <v>116</v>
      </c>
      <c r="D181" s="94"/>
      <c r="E181" s="85">
        <f>+COUNCIL!D186+MAYOR!D186+SPEAKER!D186+MM!D186+CORP!D185+PROP!D186+RATES!D186+THALL!D186+FIN!D186+SOCIAL!D185+CEMETERY!D186+LIBRARIES!D186+HOUSING!D186+TRAFFIC!D186+PARKS!D186+REFUSE!D186+SEWAGE!D186+PWORKS!D186+WATER!D186+ELECTRIC!D186</f>
        <v>0</v>
      </c>
      <c r="F181" s="85"/>
      <c r="G181" s="85"/>
      <c r="H181" s="85"/>
    </row>
    <row r="182" spans="1:11" hidden="1" x14ac:dyDescent="0.25">
      <c r="A182" s="118"/>
      <c r="B182" s="246"/>
      <c r="C182" s="94" t="s">
        <v>101</v>
      </c>
      <c r="D182" s="94"/>
      <c r="E182" s="85">
        <f>+COUNCIL!D187+MAYOR!D187+SPEAKER!D187+MM!D187+CORP!D186+PROP!D187+RATES!D187+THALL!D187+FIN!D187+SOCIAL!D186+CEMETERY!D187+LIBRARIES!D187+HOUSING!D187+TRAFFIC!D187+PARKS!D187+REFUSE!D187+SEWAGE!D187+PWORKS!D187+WATER!D187+ELECTRIC!D187</f>
        <v>0</v>
      </c>
      <c r="F182" s="85"/>
      <c r="G182" s="85"/>
      <c r="H182" s="85"/>
    </row>
    <row r="183" spans="1:11" x14ac:dyDescent="0.25">
      <c r="A183" s="118"/>
      <c r="B183" s="246"/>
      <c r="C183" s="94" t="s">
        <v>114</v>
      </c>
      <c r="D183" s="94"/>
      <c r="E183" s="85">
        <f>+COUNCIL!D188+MAYOR!D188+SPEAKER!D188+MM!D188+CORP!D187+PROP!D188+RATES!D188+THALL!D188+FIN!D188+SOCIAL!D187+CEMETERY!D188+LIBRARIES!D188+HOUSING!D188+TRAFFIC!D188+PARKS!D188+REFUSE!D188+SEWAGE!D188+PWORKS!D188+WATER!D188+ELECTRIC!D188</f>
        <v>8674688.0800000001</v>
      </c>
      <c r="F183" s="85"/>
      <c r="G183" s="85"/>
      <c r="H183" s="85"/>
    </row>
    <row r="184" spans="1:11" x14ac:dyDescent="0.25">
      <c r="A184" s="118"/>
      <c r="B184" s="246"/>
      <c r="C184" s="94" t="s">
        <v>401</v>
      </c>
      <c r="D184" s="94"/>
      <c r="E184" s="85">
        <f>+COUNCIL!D189+MAYOR!D189+SPEAKER!D189+MM!D189+CORP!D188+PROP!D189+RATES!D189+THALL!D189+FIN!D189+SOCIAL!D188+CEMETERY!D189+LIBRARIES!D189+HOUSING!D189+TRAFFIC!D189+PARKS!D189+REFUSE!D189+SEWAGE!D189+PWORKS!D189+WATER!D189+ELECTRIC!D189</f>
        <v>-2700000</v>
      </c>
      <c r="F184" s="85"/>
      <c r="G184" s="85"/>
      <c r="H184" s="85"/>
    </row>
    <row r="185" spans="1:11" x14ac:dyDescent="0.25">
      <c r="A185" s="118"/>
      <c r="B185" s="246"/>
      <c r="C185" s="94" t="s">
        <v>402</v>
      </c>
      <c r="D185" s="94"/>
      <c r="E185" s="85">
        <f>+COUNCIL!D190+MAYOR!D190+SPEAKER!D190+MM!D190+CORP!D189+PROP!D190+RATES!D190+THALL!D190+FIN!D190+SOCIAL!D189+CEMETERY!D190+LIBRARIES!D190+HOUSING!D190+TRAFFIC!D190+PARKS!D190+REFUSE!D190+SEWAGE!D190+PWORKS!D190+WATER!D190+ELECTRIC!D190</f>
        <v>2000</v>
      </c>
      <c r="F185" s="85"/>
      <c r="G185" s="85"/>
      <c r="H185" s="85"/>
    </row>
    <row r="186" spans="1:11" x14ac:dyDescent="0.25">
      <c r="A186" s="118"/>
      <c r="B186" s="246"/>
      <c r="C186" s="94" t="s">
        <v>403</v>
      </c>
      <c r="D186" s="94"/>
      <c r="E186" s="85">
        <f>+COUNCIL!D191+MAYOR!D191+SPEAKER!D191+MM!D191+CORP!D190+PROP!D191+RATES!D191+THALL!D191+FIN!D191+SOCIAL!D190+CEMETERY!D191+LIBRARIES!D191+HOUSING!D191+TRAFFIC!D191+PARKS!D191+REFUSE!D191+SEWAGE!D191+PWORKS!D191+WATER!D191+ELECTRIC!D191</f>
        <v>1500</v>
      </c>
      <c r="F186" s="85"/>
      <c r="G186" s="85"/>
      <c r="H186" s="85"/>
    </row>
    <row r="187" spans="1:11" x14ac:dyDescent="0.25">
      <c r="A187" s="118"/>
      <c r="B187" s="246"/>
      <c r="C187" s="94" t="s">
        <v>404</v>
      </c>
      <c r="D187" s="94"/>
      <c r="E187" s="85">
        <f>+COUNCIL!D192+MAYOR!D192+SPEAKER!D192+MM!D192+CORP!D191+PROP!D192+RATES!D192+THALL!D192+FIN!D192+SOCIAL!D191+CEMETERY!D192+LIBRARIES!D192+HOUSING!D192+TRAFFIC!D192+PARKS!D192+REFUSE!D192+SEWAGE!D192+PWORKS!D192+WATER!D192+ELECTRIC!D192</f>
        <v>16729999.08</v>
      </c>
      <c r="F187" s="85"/>
      <c r="G187" s="85"/>
      <c r="H187" s="85"/>
    </row>
    <row r="188" spans="1:11" x14ac:dyDescent="0.25">
      <c r="A188" s="118"/>
      <c r="B188" s="246"/>
      <c r="C188" s="94" t="s">
        <v>405</v>
      </c>
      <c r="D188" s="94"/>
      <c r="E188" s="85">
        <f>+COUNCIL!D193+MAYOR!D193+SPEAKER!D193+MM!D193+CORP!D192+PROP!D193+RATES!D193+THALL!D193+FIN!D193+SOCIAL!D192+CEMETERY!D193+LIBRARIES!D193+HOUSING!D193+TRAFFIC!D193+PARKS!D193+REFUSE!D193+SEWAGE!D193+PWORKS!D193+WATER!D193+ELECTRIC!D193</f>
        <v>-3580000</v>
      </c>
      <c r="F188" s="85"/>
      <c r="G188" s="85"/>
      <c r="H188" s="85"/>
    </row>
    <row r="189" spans="1:11" x14ac:dyDescent="0.25">
      <c r="A189" s="118"/>
      <c r="B189" s="246"/>
      <c r="C189" s="94" t="s">
        <v>199</v>
      </c>
      <c r="D189" s="94"/>
      <c r="E189" s="85">
        <f>+COUNCIL!D194+MAYOR!D194+SPEAKER!D194+MM!D194+CORP!D193+PROP!D194+RATES!D194+THALL!D194+FIN!D194+SOCIAL!D193+CEMETERY!D194+LIBRARIES!D194+HOUSING!D194+TRAFFIC!D194+PARKS!D194+REFUSE!D194+SEWAGE!D194+PWORKS!D194+WATER!D194+ELECTRIC!D194</f>
        <v>20000</v>
      </c>
      <c r="F189" s="85"/>
      <c r="G189" s="85"/>
      <c r="H189" s="85"/>
    </row>
    <row r="190" spans="1:11" hidden="1" x14ac:dyDescent="0.25">
      <c r="A190" s="118"/>
      <c r="B190" s="246"/>
      <c r="C190" s="94" t="s">
        <v>117</v>
      </c>
      <c r="D190" s="94"/>
      <c r="E190" s="85">
        <f>+COUNCIL!D195+MAYOR!D195+SPEAKER!D195+MM!D195+CORP!D194+PROP!D195+RATES!D195+THALL!D195+FIN!D195+SOCIAL!D194+CEMETERY!D195+LIBRARIES!D195+HOUSING!D195+TRAFFIC!D195+PARKS!D195+REFUSE!D195+SEWAGE!D195+PWORKS!D195+WATER!D195+ELECTRIC!D195</f>
        <v>0</v>
      </c>
      <c r="F190" s="85"/>
      <c r="G190" s="85"/>
      <c r="H190" s="85"/>
    </row>
    <row r="191" spans="1:11" x14ac:dyDescent="0.25">
      <c r="A191" s="118"/>
      <c r="B191" s="246"/>
      <c r="C191" s="115" t="s">
        <v>105</v>
      </c>
      <c r="D191" s="115"/>
      <c r="E191" s="85">
        <f>+COUNCIL!D196+MAYOR!D196+SPEAKER!D196+MM!D196+CORP!D195+PROP!D196+RATES!D196+THALL!D196+FIN!D196+SOCIAL!D195+CEMETERY!D196+LIBRARIES!D196+HOUSING!D196+TRAFFIC!D196+PARKS!D196+REFUSE!D196+SEWAGE!D196+PWORKS!D196+WATER!D196+ELECTRIC!D196</f>
        <v>3912</v>
      </c>
      <c r="F191" s="85"/>
      <c r="G191" s="85"/>
      <c r="H191" s="85"/>
    </row>
    <row r="192" spans="1:11" x14ac:dyDescent="0.25">
      <c r="A192" s="118"/>
      <c r="B192" s="246"/>
      <c r="C192" s="94" t="s">
        <v>118</v>
      </c>
      <c r="D192" s="94"/>
      <c r="E192" s="85">
        <f>+COUNCIL!D197+MAYOR!D197+SPEAKER!D197+MM!D197+CORP!D196+PROP!D197+RATES!D197+THALL!D197+FIN!D197+SOCIAL!D196+CEMETERY!D197+LIBRARIES!D197+HOUSING!D197+TRAFFIC!D197+PARKS!D197+REFUSE!D197+SEWAGE!D197+PWORKS!D197+WATER!D197+ELECTRIC!D197</f>
        <v>15922069.200000001</v>
      </c>
      <c r="F192" s="85"/>
      <c r="G192" s="85"/>
      <c r="H192" s="85"/>
    </row>
    <row r="193" spans="1:10" hidden="1" x14ac:dyDescent="0.25">
      <c r="A193" s="118"/>
      <c r="B193" s="246"/>
      <c r="C193" s="94"/>
      <c r="D193" s="94"/>
      <c r="E193" s="85">
        <f>+COUNCIL!D198+MAYOR!D198+SPEAKER!D198+MM!D198+CORP!D197+PROP!D198+RATES!D198+THALL!D198+FIN!D198+SOCIAL!D197+CEMETERY!D198+LIBRARIES!D198+HOUSING!D198+TRAFFIC!D198+PARKS!D198+REFUSE!D198+SEWAGE!D198+PWORKS!D198+WATER!D198+ELECTRIC!D198</f>
        <v>0</v>
      </c>
      <c r="F193" s="85"/>
      <c r="G193" s="85"/>
      <c r="H193" s="85"/>
    </row>
    <row r="194" spans="1:10" x14ac:dyDescent="0.25">
      <c r="A194" s="118"/>
      <c r="B194" s="246"/>
      <c r="C194" s="94" t="s">
        <v>395</v>
      </c>
      <c r="D194" s="94"/>
      <c r="E194" s="85">
        <f>+COUNCIL!D199+MAYOR!D199+SPEAKER!D199+MM!D199+CORP!D198+PROP!D199+RATES!D199+THALL!D199+FIN!D199+SOCIAL!D198+CEMETERY!D199+LIBRARIES!D199+HOUSING!D199+TRAFFIC!D199+PARKS!D199+REFUSE!D199+SEWAGE!D199+PWORKS!D199+WATER!D199+ELECTRIC!D199</f>
        <v>-3240000</v>
      </c>
      <c r="F194" s="85"/>
      <c r="G194" s="85"/>
      <c r="H194" s="85"/>
      <c r="I194" s="101"/>
    </row>
    <row r="195" spans="1:10" x14ac:dyDescent="0.25">
      <c r="A195" s="118"/>
      <c r="B195" s="246"/>
      <c r="C195" s="94" t="s">
        <v>333</v>
      </c>
      <c r="D195" s="94"/>
      <c r="E195" s="85">
        <f>+COUNCIL!D200+MAYOR!D200+SPEAKER!D200+MM!D200+CORP!D199+PROP!D200+RATES!D200+THALL!D200+FIN!D200+SOCIAL!D199+CEMETERY!D200+LIBRARIES!D200+HOUSING!D200+TRAFFIC!D200+PARKS!D200+REFUSE!D200+SEWAGE!D200+PWORKS!D200+WATER!D200+ELECTRIC!D200</f>
        <v>-494875</v>
      </c>
      <c r="F195" s="85"/>
      <c r="G195" s="85"/>
      <c r="H195" s="85"/>
      <c r="I195" s="101"/>
    </row>
    <row r="196" spans="1:10" hidden="1" x14ac:dyDescent="0.25">
      <c r="A196" s="118"/>
      <c r="B196" s="246"/>
      <c r="C196" s="94" t="s">
        <v>340</v>
      </c>
      <c r="D196" s="94"/>
      <c r="E196" s="85">
        <f>+COUNCIL!D201+MAYOR!D201+SPEAKER!D201+MM!D201+CORP!D200+PROP!D201+RATES!D201+THALL!D201+FIN!D201+SOCIAL!D200+CEMETERY!D201+LIBRARIES!D201+HOUSING!D201+TRAFFIC!D201+PARKS!D201+REFUSE!D201+SEWAGE!D201+PWORKS!D201+WATER!D201+ELECTRIC!D201</f>
        <v>-43000</v>
      </c>
      <c r="F196" s="85"/>
      <c r="G196" s="85"/>
      <c r="H196" s="85"/>
    </row>
    <row r="197" spans="1:10" x14ac:dyDescent="0.25">
      <c r="A197" s="118"/>
      <c r="B197" s="246"/>
      <c r="C197" s="94" t="s">
        <v>370</v>
      </c>
      <c r="D197" s="94"/>
      <c r="E197" s="85">
        <f>+COUNCIL!D202+MAYOR!D202+SPEAKER!D202+MM!D202+CORP!D201+PROP!D202+RATES!D202+THALL!D202+FIN!D202+SOCIAL!D201+CEMETERY!D202+LIBRARIES!D202+HOUSING!D202+TRAFFIC!D202+PARKS!D202+REFUSE!D202+SEWAGE!D202+PWORKS!D202+WATER!D202+ELECTRIC!D202</f>
        <v>22650</v>
      </c>
      <c r="F197" s="85"/>
      <c r="G197" s="85"/>
      <c r="H197" s="85"/>
    </row>
    <row r="198" spans="1:10" x14ac:dyDescent="0.25">
      <c r="A198" s="118"/>
      <c r="B198" s="246"/>
      <c r="C198" s="94" t="s">
        <v>119</v>
      </c>
      <c r="D198" s="94"/>
      <c r="E198" s="85">
        <f>+COUNCIL!D203+MAYOR!D203+SPEAKER!D203+MM!D203+CORP!D202+PROP!D203+RATES!D203+THALL!D203+FIN!D203+SOCIAL!D202+CEMETERY!D203+LIBRARIES!D203+HOUSING!D203+TRAFFIC!D203+PARKS!D203+REFUSE!D203+SEWAGE!D203+PWORKS!D203+WATER!D203+ELECTRIC!D203</f>
        <v>1184</v>
      </c>
      <c r="F198" s="85"/>
      <c r="G198" s="85"/>
      <c r="H198" s="85"/>
    </row>
    <row r="199" spans="1:10" hidden="1" x14ac:dyDescent="0.25">
      <c r="A199" s="118"/>
      <c r="B199" s="246"/>
      <c r="C199" s="94" t="s">
        <v>512</v>
      </c>
      <c r="D199" s="94"/>
      <c r="E199" s="85">
        <f>+COUNCIL!D204+MAYOR!D204+SPEAKER!D204+MM!D204+CORP!D203+PROP!D204+RATES!D204+THALL!D204+FIN!D204+SOCIAL!D203+CEMETERY!D204+LIBRARIES!D204+HOUSING!D204+TRAFFIC!D204+PARKS!D204+REFUSE!D204+SEWAGE!D204+PWORKS!D204+WATER!D204+ELECTRIC!D204</f>
        <v>0</v>
      </c>
      <c r="F199" s="85"/>
      <c r="G199" s="85"/>
      <c r="H199" s="85"/>
    </row>
    <row r="200" spans="1:10" x14ac:dyDescent="0.25">
      <c r="A200" s="118"/>
      <c r="B200" s="246"/>
      <c r="C200" s="94" t="s">
        <v>510</v>
      </c>
      <c r="D200" s="94"/>
      <c r="E200" s="85">
        <f>+COUNCIL!D205+MAYOR!D205+SPEAKER!D205+MM!D205+CORP!D204+PROP!D205+RATES!D205+THALL!D205+FIN!D205+SOCIAL!D204+CEMETERY!D205+LIBRARIES!D205+HOUSING!D205+TRAFFIC!D205+PARKS!D205+REFUSE!D205+SEWAGE!D205+PWORKS!D205+WATER!D205+ELECTRIC!D205</f>
        <v>0</v>
      </c>
      <c r="F200" s="85"/>
      <c r="G200" s="85"/>
      <c r="H200" s="85"/>
    </row>
    <row r="201" spans="1:10" x14ac:dyDescent="0.25">
      <c r="A201" s="129"/>
      <c r="B201" s="246"/>
      <c r="C201" s="94"/>
      <c r="D201" s="330"/>
      <c r="E201" s="100">
        <f>SUM(E171:E200)</f>
        <v>55392729.218900003</v>
      </c>
      <c r="F201" s="100"/>
      <c r="G201" s="100"/>
      <c r="H201" s="100"/>
      <c r="I201" s="95"/>
      <c r="J201" s="231"/>
    </row>
    <row r="202" spans="1:10" x14ac:dyDescent="0.25">
      <c r="A202" s="129"/>
      <c r="B202" s="246"/>
      <c r="C202" s="93" t="s">
        <v>66</v>
      </c>
      <c r="D202" s="145"/>
      <c r="E202" s="98"/>
      <c r="F202" s="98"/>
      <c r="G202" s="98"/>
      <c r="H202" s="98"/>
      <c r="I202" s="95"/>
    </row>
    <row r="203" spans="1:10" x14ac:dyDescent="0.25">
      <c r="A203" s="118"/>
      <c r="B203" s="246"/>
      <c r="C203" s="94" t="s">
        <v>342</v>
      </c>
      <c r="D203" s="94"/>
      <c r="E203" s="85">
        <f>+COUNCIL!D208+MAYOR!D208+SPEAKER!D208+MM!D208+CORP!D207+PROP!D208+RATES!D208+THALL!D208+FIN!D208+SOCIAL!D207+CEMETERY!D208+LIBRARIES!D208+HOUSING!D208+TRAFFIC!D208+PARKS!D208+REFUSE!D208+SEWAGE!D208+PWORKS!D208+WATER!D208+ELECTRIC!D208</f>
        <v>1386</v>
      </c>
      <c r="F203" s="85"/>
      <c r="G203" s="85"/>
      <c r="H203" s="85"/>
    </row>
    <row r="204" spans="1:10" x14ac:dyDescent="0.25">
      <c r="A204" s="118"/>
      <c r="B204" s="246"/>
      <c r="C204" s="94" t="s">
        <v>344</v>
      </c>
      <c r="D204" s="94"/>
      <c r="E204" s="85">
        <f>+COUNCIL!D209+MAYOR!D209+SPEAKER!D209+MM!D209+CORP!D208+PROP!D209+RATES!D209+THALL!D209+FIN!D209+SOCIAL!D208+CEMETERY!D209+LIBRARIES!D209+HOUSING!D209+TRAFFIC!D209+PARKS!D209+REFUSE!D209+SEWAGE!D209+PWORKS!D209+WATER!D209+ELECTRIC!D209</f>
        <v>41284</v>
      </c>
      <c r="F204" s="85"/>
      <c r="G204" s="85"/>
      <c r="H204" s="85"/>
    </row>
    <row r="205" spans="1:10" hidden="1" x14ac:dyDescent="0.25">
      <c r="A205" s="118"/>
      <c r="B205" s="246"/>
      <c r="C205" s="94" t="s">
        <v>345</v>
      </c>
      <c r="D205" s="94"/>
      <c r="E205" s="85">
        <f>+COUNCIL!D210+MAYOR!D210+SPEAKER!D210+MM!D210+CORP!D209+PROP!D210+RATES!D210+THALL!D210+FIN!D210+SOCIAL!D209+CEMETERY!D210+LIBRARIES!D210+HOUSING!D210+TRAFFIC!D210+PARKS!D210+REFUSE!D210+SEWAGE!D210+PWORKS!D210+WATER!D210+ELECTRIC!D210</f>
        <v>0</v>
      </c>
      <c r="F205" s="85"/>
      <c r="G205" s="85"/>
      <c r="H205" s="85"/>
    </row>
    <row r="206" spans="1:10" x14ac:dyDescent="0.25">
      <c r="A206" s="118"/>
      <c r="B206" s="246"/>
      <c r="C206" s="94" t="s">
        <v>346</v>
      </c>
      <c r="D206" s="94"/>
      <c r="E206" s="85">
        <f>+COUNCIL!D211+MAYOR!D211+SPEAKER!D211+MM!D211+CORP!D210+PROP!D211+RATES!D211+THALL!D211+FIN!D211+SOCIAL!D210+CEMETERY!D211+LIBRARIES!D211+HOUSING!D211+TRAFFIC!D211+PARKS!D211+REFUSE!D211+SEWAGE!D211+PWORKS!D211+WATER!D211+ELECTRIC!D211</f>
        <v>4650</v>
      </c>
      <c r="F206" s="85"/>
      <c r="G206" s="85"/>
      <c r="H206" s="85"/>
    </row>
    <row r="207" spans="1:10" x14ac:dyDescent="0.25">
      <c r="A207" s="129"/>
      <c r="B207" s="246"/>
      <c r="C207" s="94"/>
      <c r="D207" s="330"/>
      <c r="E207" s="99">
        <f>SUM(E203:E206)</f>
        <v>47320</v>
      </c>
      <c r="F207" s="99"/>
      <c r="G207" s="99"/>
      <c r="H207" s="99"/>
    </row>
    <row r="208" spans="1:10" x14ac:dyDescent="0.25">
      <c r="A208" s="129"/>
      <c r="B208" s="246"/>
      <c r="C208" s="93" t="s">
        <v>67</v>
      </c>
      <c r="D208" s="145"/>
      <c r="E208" s="98"/>
      <c r="F208" s="98"/>
      <c r="G208" s="98"/>
      <c r="H208" s="98"/>
    </row>
    <row r="209" spans="1:10" x14ac:dyDescent="0.25">
      <c r="A209" s="118"/>
      <c r="B209" s="246"/>
      <c r="C209" s="94" t="s">
        <v>68</v>
      </c>
      <c r="D209" s="94"/>
      <c r="E209" s="85">
        <f>+COUNCIL!D214+MAYOR!D214+SPEAKER!D214+MM!D214+CORP!D213+PROP!D214+RATES!D214+THALL!D214+FIN!D214+SOCIAL!D213+CEMETERY!D214+LIBRARIES!D214+HOUSING!D214+TRAFFIC!D214+PARKS!D214+REFUSE!D214+SEWAGE!D214+PWORKS!D214+WATER!D214+ELECTRIC!D214</f>
        <v>1134</v>
      </c>
      <c r="F209" s="85"/>
      <c r="G209" s="85"/>
      <c r="H209" s="85"/>
    </row>
    <row r="210" spans="1:10" x14ac:dyDescent="0.25">
      <c r="A210" s="118"/>
      <c r="B210" s="246"/>
      <c r="C210" s="94" t="s">
        <v>69</v>
      </c>
      <c r="D210" s="94"/>
      <c r="E210" s="85">
        <f>+COUNCIL!D215+MAYOR!D215+SPEAKER!D215+MM!D215+CORP!D214+PROP!D215+RATES!D215+THALL!D215+FIN!D215+SOCIAL!D214+CEMETERY!D215+LIBRARIES!D215+HOUSING!D215+TRAFFIC!D215+PARKS!D215+REFUSE!D215+SEWAGE!D215+PWORKS!D215+WATER!D215+ELECTRIC!D215</f>
        <v>320322</v>
      </c>
      <c r="F210" s="85"/>
      <c r="G210" s="85"/>
      <c r="H210" s="85"/>
    </row>
    <row r="211" spans="1:10" x14ac:dyDescent="0.25">
      <c r="A211" s="129"/>
      <c r="B211" s="246"/>
      <c r="C211" s="94"/>
      <c r="D211" s="330"/>
      <c r="E211" s="99">
        <f>SUM(E209:E210)</f>
        <v>321456</v>
      </c>
      <c r="F211" s="99"/>
      <c r="G211" s="99"/>
      <c r="H211" s="99"/>
    </row>
    <row r="212" spans="1:10" x14ac:dyDescent="0.25">
      <c r="A212" s="129"/>
      <c r="B212" s="246"/>
      <c r="C212" s="93" t="s">
        <v>70</v>
      </c>
      <c r="D212" s="145"/>
      <c r="E212" s="98"/>
      <c r="F212" s="98"/>
      <c r="G212" s="98"/>
      <c r="H212" s="98"/>
    </row>
    <row r="213" spans="1:10" x14ac:dyDescent="0.25">
      <c r="A213" s="118"/>
      <c r="B213" s="246"/>
      <c r="C213" s="94" t="s">
        <v>106</v>
      </c>
      <c r="D213" s="94"/>
      <c r="E213" s="85">
        <f>+COUNCIL!D218+MAYOR!D218+SPEAKER!D218+MM!D218+CORP!D217+PROP!D218+RATES!D218+THALL!D218+FIN!D218+SOCIAL!D217+CEMETERY!D218+LIBRARIES!D218+HOUSING!D218+TRAFFIC!D218+PARKS!D218+REFUSE!D218+SEWAGE!D218+PWORKS!D218+WATER!D218+ELECTRIC!D218</f>
        <v>12500000</v>
      </c>
      <c r="F213" s="85"/>
      <c r="G213" s="85"/>
      <c r="H213" s="85"/>
    </row>
    <row r="214" spans="1:10" hidden="1" x14ac:dyDescent="0.25">
      <c r="A214" s="118"/>
      <c r="B214" s="246"/>
      <c r="C214" s="94" t="s">
        <v>71</v>
      </c>
      <c r="D214" s="94"/>
      <c r="E214" s="85">
        <f>+COUNCIL!D219+MAYOR!D219+SPEAKER!D219+MM!D219+CORP!D218+PROP!D219+RATES!D219+THALL!D219+FIN!D219+SOCIAL!D218+CEMETERY!D219+LIBRARIES!D219+HOUSING!D219+TRAFFIC!D219+PARKS!D219+REFUSE!D219+SEWAGE!D219+PWORKS!D219+WATER!D219+ELECTRIC!D219</f>
        <v>0</v>
      </c>
      <c r="F214" s="85"/>
      <c r="G214" s="85"/>
      <c r="H214" s="85"/>
    </row>
    <row r="215" spans="1:10" hidden="1" x14ac:dyDescent="0.25">
      <c r="A215" s="118"/>
      <c r="B215" s="246"/>
      <c r="C215" s="94" t="s">
        <v>72</v>
      </c>
      <c r="D215" s="94"/>
      <c r="E215" s="85">
        <f>+COUNCIL!D220+MAYOR!D220+SPEAKER!D220+MM!D220+CORP!D219+PROP!D220+RATES!D220+THALL!D220+FIN!D220+SOCIAL!D219+CEMETERY!D220+LIBRARIES!D220+HOUSING!D220+TRAFFIC!D220+PARKS!D220+REFUSE!D220+SEWAGE!D220+PWORKS!D220+WATER!D220+ELECTRIC!D220</f>
        <v>0</v>
      </c>
      <c r="F215" s="85"/>
      <c r="G215" s="85"/>
      <c r="H215" s="85"/>
    </row>
    <row r="216" spans="1:10" x14ac:dyDescent="0.25">
      <c r="A216" s="129"/>
      <c r="B216" s="246"/>
      <c r="C216" s="94"/>
      <c r="D216" s="330"/>
      <c r="E216" s="99">
        <f>SUM(E213:E215)</f>
        <v>12500000</v>
      </c>
      <c r="F216" s="99"/>
      <c r="G216" s="99"/>
      <c r="H216" s="99"/>
    </row>
    <row r="217" spans="1:10" x14ac:dyDescent="0.25">
      <c r="A217" s="129"/>
      <c r="B217" s="246"/>
      <c r="C217" s="93" t="s">
        <v>73</v>
      </c>
      <c r="D217" s="145"/>
      <c r="E217" s="98"/>
      <c r="F217" s="98"/>
      <c r="G217" s="98"/>
      <c r="H217" s="98"/>
    </row>
    <row r="218" spans="1:10" x14ac:dyDescent="0.25">
      <c r="A218" s="118"/>
      <c r="B218" s="246"/>
      <c r="C218" s="94" t="s">
        <v>349</v>
      </c>
      <c r="D218" s="94"/>
      <c r="E218" s="85">
        <f>+COUNCIL!D223+MAYOR!D223+SPEAKER!D223+MM!D223+CORP!D222+PROP!D223+RATES!D223+THALL!D223+FIN!D223+SOCIAL!D222+CEMETERY!D223+LIBRARIES!D223+HOUSING!D223+TRAFFIC!D223+PARKS!D223+REFUSE!D223+SEWAGE!D223+PWORKS!D223+WATER!D223+ELECTRIC!D223</f>
        <v>0</v>
      </c>
      <c r="F218" s="85"/>
      <c r="G218" s="85"/>
      <c r="H218" s="85"/>
    </row>
    <row r="219" spans="1:10" x14ac:dyDescent="0.25">
      <c r="A219" s="118"/>
      <c r="B219" s="246"/>
      <c r="C219" s="94" t="s">
        <v>348</v>
      </c>
      <c r="D219" s="94"/>
      <c r="E219" s="85">
        <f>+COUNCIL!D224+MAYOR!D224+SPEAKER!D224+MM!D224+CORP!D223+PROP!D224+RATES!D224+THALL!D224+FIN!D224+SOCIAL!D223+CEMETERY!D224+LIBRARIES!D224+HOUSING!D224+TRAFFIC!D224+PARKS!D224+REFUSE!D224+SEWAGE!D224+PWORKS!D224+WATER!D224+ELECTRIC!D224</f>
        <v>15614</v>
      </c>
      <c r="F219" s="85"/>
      <c r="G219" s="85"/>
      <c r="H219" s="85"/>
    </row>
    <row r="220" spans="1:10" x14ac:dyDescent="0.25">
      <c r="A220" s="129"/>
      <c r="B220" s="246"/>
      <c r="C220" s="94"/>
      <c r="D220" s="330"/>
      <c r="E220" s="100">
        <f>SUM(E218:E219)</f>
        <v>15614</v>
      </c>
      <c r="F220" s="100"/>
      <c r="G220" s="100"/>
      <c r="H220" s="100"/>
    </row>
    <row r="221" spans="1:10" ht="13.5" customHeight="1" x14ac:dyDescent="0.25">
      <c r="A221" s="129"/>
      <c r="B221" s="246"/>
      <c r="C221" s="93" t="s">
        <v>74</v>
      </c>
      <c r="D221" s="145"/>
      <c r="E221" s="98"/>
      <c r="F221" s="98"/>
      <c r="G221" s="98"/>
      <c r="H221" s="98"/>
      <c r="J221" s="167"/>
    </row>
    <row r="222" spans="1:10" x14ac:dyDescent="0.25">
      <c r="A222" s="118"/>
      <c r="B222" s="246"/>
      <c r="C222" s="94" t="s">
        <v>75</v>
      </c>
      <c r="D222" s="94"/>
      <c r="E222" s="85">
        <f>+COUNCIL!D227+MAYOR!D227+SPEAKER!D227+MM!D227+CORP!D226+PROP!D227+RATES!D227+THALL!D227+FIN!D227+SOCIAL!D226+CEMETERY!D227+LIBRARIES!D227+HOUSING!D227+TRAFFIC!D227+PARKS!D227+REFUSE!D227+SEWAGE!D227+PWORKS!D227+WATER!D227+ELECTRIC!D227</f>
        <v>81091000</v>
      </c>
      <c r="F222" s="85"/>
      <c r="G222" s="85"/>
      <c r="H222" s="85"/>
      <c r="I222" s="109"/>
    </row>
    <row r="223" spans="1:10" hidden="1" x14ac:dyDescent="0.25">
      <c r="A223" s="118"/>
      <c r="B223" s="246"/>
      <c r="C223" s="94" t="s">
        <v>131</v>
      </c>
      <c r="D223" s="94"/>
      <c r="E223" s="85">
        <f>+COUNCIL!D228+MAYOR!D228+SPEAKER!D228+MM!D228+CORP!D227+PROP!D228+RATES!D228+THALL!D228+FIN!D228+SOCIAL!D227+CEMETERY!D228+LIBRARIES!D228+HOUSING!D228+TRAFFIC!D228+PARKS!D228+REFUSE!D228+SEWAGE!D228+PWORKS!D228+WATER!D228+ELECTRIC!D228</f>
        <v>0</v>
      </c>
      <c r="F223" s="85"/>
      <c r="G223" s="85"/>
      <c r="H223" s="85"/>
    </row>
    <row r="224" spans="1:10" hidden="1" x14ac:dyDescent="0.25">
      <c r="A224" s="118"/>
      <c r="B224" s="246"/>
      <c r="C224" s="94" t="s">
        <v>182</v>
      </c>
      <c r="D224" s="94"/>
      <c r="E224" s="85">
        <f>+COUNCIL!D229+MAYOR!D229+SPEAKER!D229+MM!D229+CORP!D228+PROP!D229+RATES!D229+THALL!D229+FIN!D229+SOCIAL!D228+CEMETERY!D229+LIBRARIES!D229+HOUSING!D229+TRAFFIC!D229+PARKS!D229+REFUSE!D229+SEWAGE!D229+PWORKS!D229+WATER!D229+ELECTRIC!D229</f>
        <v>0</v>
      </c>
      <c r="F224" s="85"/>
      <c r="G224" s="85"/>
      <c r="H224" s="85"/>
    </row>
    <row r="225" spans="1:8" hidden="1" x14ac:dyDescent="0.25">
      <c r="A225" s="118"/>
      <c r="B225" s="246"/>
      <c r="C225" s="94" t="s">
        <v>255</v>
      </c>
      <c r="D225" s="94"/>
      <c r="E225" s="85">
        <f>+COUNCIL!D230+MAYOR!D230+SPEAKER!D230+MM!D230+CORP!D229+PROP!D230+RATES!D230+THALL!D230+FIN!D230+SOCIAL!D229+CEMETERY!D230+LIBRARIES!D230+HOUSING!D230+TRAFFIC!D230+PARKS!D230+REFUSE!D230+SEWAGE!D230+PWORKS!D230+WATER!D230+ELECTRIC!D230</f>
        <v>0</v>
      </c>
      <c r="F225" s="85"/>
      <c r="G225" s="85"/>
      <c r="H225" s="85"/>
    </row>
    <row r="226" spans="1:8" hidden="1" x14ac:dyDescent="0.25">
      <c r="A226" s="118"/>
      <c r="B226" s="246"/>
      <c r="C226" s="94" t="s">
        <v>108</v>
      </c>
      <c r="D226" s="94"/>
      <c r="E226" s="85">
        <f>+COUNCIL!D231+MAYOR!D231+SPEAKER!D231+MM!D231+CORP!D230+PROP!D231+RATES!D231+THALL!D231+FIN!D231+SOCIAL!D230+CEMETERY!D231+LIBRARIES!D231+HOUSING!D231+TRAFFIC!D231+PARKS!D231+REFUSE!D231+SEWAGE!D231+PWORKS!D231+WATER!D231+ELECTRIC!D231</f>
        <v>0</v>
      </c>
      <c r="F226" s="85"/>
      <c r="G226" s="85"/>
      <c r="H226" s="85"/>
    </row>
    <row r="227" spans="1:8" x14ac:dyDescent="0.25">
      <c r="A227" s="118"/>
      <c r="B227" s="246"/>
      <c r="C227" s="94" t="s">
        <v>76</v>
      </c>
      <c r="D227" s="94"/>
      <c r="E227" s="85">
        <f>+COUNCIL!D232+MAYOR!D232+SPEAKER!D232+MM!D232+CORP!D231+PROP!D232+RATES!D232+THALL!D232+FIN!D232+SOCIAL!D231+CEMETERY!D232+LIBRARIES!D232+HOUSING!D232+TRAFFIC!D232+PARKS!D232+REFUSE!D232+SEWAGE!D232+PWORKS!D232+WATER!D232+ELECTRIC!D232</f>
        <v>1500000</v>
      </c>
      <c r="F227" s="85"/>
      <c r="G227" s="85"/>
      <c r="H227" s="85"/>
    </row>
    <row r="228" spans="1:8" x14ac:dyDescent="0.25">
      <c r="A228" s="118"/>
      <c r="B228" s="246"/>
      <c r="C228" s="94" t="s">
        <v>505</v>
      </c>
      <c r="D228" s="94"/>
      <c r="E228" s="85">
        <f>+COUNCIL!D233+MAYOR!D233+SPEAKER!D233+MM!D233+CORP!D232+PROP!D233+RATES!D233+THALL!D233+FIN!D233+SOCIAL!D232+CEMETERY!D233+LIBRARIES!D233+HOUSING!D233+TRAFFIC!D233+PARKS!D233+REFUSE!D233+SEWAGE!D233+PWORKS!D233+WATER!D233+ELECTRIC!D233</f>
        <v>0</v>
      </c>
      <c r="F228" s="85"/>
      <c r="G228" s="85"/>
      <c r="H228" s="85"/>
    </row>
    <row r="229" spans="1:8" hidden="1" x14ac:dyDescent="0.25">
      <c r="A229" s="118"/>
      <c r="B229" s="246"/>
      <c r="C229" s="94" t="s">
        <v>184</v>
      </c>
      <c r="D229" s="94"/>
      <c r="E229" s="85">
        <f>+COUNCIL!D234+MAYOR!D234+SPEAKER!D234+MM!D234+CORP!D233+PROP!D234+RATES!D234+THALL!D234+FIN!D234+SOCIAL!D233+CEMETERY!D234+LIBRARIES!D234+HOUSING!D234+TRAFFIC!D234+PARKS!D234+REFUSE!D234+SEWAGE!D234+PWORKS!D234+WATER!D234+ELECTRIC!D234</f>
        <v>0</v>
      </c>
      <c r="F229" s="85"/>
      <c r="G229" s="85"/>
      <c r="H229" s="85"/>
    </row>
    <row r="230" spans="1:8" hidden="1" x14ac:dyDescent="0.25">
      <c r="A230" s="118"/>
      <c r="B230" s="246"/>
      <c r="C230" s="94" t="s">
        <v>77</v>
      </c>
      <c r="D230" s="94"/>
      <c r="E230" s="85">
        <f>+COUNCIL!D235+MAYOR!D235+SPEAKER!D235+MM!D235+CORP!D234+PROP!D235+RATES!D235+THALL!D235+FIN!D235+SOCIAL!D234+CEMETERY!D235+LIBRARIES!D235+HOUSING!D235+TRAFFIC!D235+PARKS!D235+REFUSE!D235+SEWAGE!D235+PWORKS!D235+WATER!D235+ELECTRIC!D235</f>
        <v>0</v>
      </c>
      <c r="F230" s="85"/>
      <c r="G230" s="85"/>
      <c r="H230" s="85"/>
    </row>
    <row r="231" spans="1:8" x14ac:dyDescent="0.25">
      <c r="A231" s="118"/>
      <c r="B231" s="246"/>
      <c r="C231" s="94" t="s">
        <v>78</v>
      </c>
      <c r="D231" s="94"/>
      <c r="E231" s="85">
        <f>+COUNCIL!D236+MAYOR!D236+SPEAKER!D236+MM!D236+CORP!D235+PROP!D236+RATES!D236+THALL!D236+FIN!D236+SOCIAL!D235+CEMETERY!D236+LIBRARIES!D236+HOUSING!D236+TRAFFIC!D236+PARKS!D236+REFUSE!D236+SEWAGE!D236+PWORKS!D236+WATER!D236+ELECTRIC!D236</f>
        <v>44782000</v>
      </c>
      <c r="F231" s="85"/>
      <c r="G231" s="85"/>
      <c r="H231" s="85"/>
    </row>
    <row r="232" spans="1:8" x14ac:dyDescent="0.25">
      <c r="A232" s="118"/>
      <c r="B232" s="246"/>
      <c r="C232" s="94" t="s">
        <v>200</v>
      </c>
      <c r="D232" s="94"/>
      <c r="E232" s="85">
        <f>+COUNCIL!D237+MAYOR!D237+SPEAKER!D237+MM!D237+CORP!D236+PROP!D237+RATES!D237+THALL!D237+FIN!D237+SOCIAL!D236+CEMETERY!D237+LIBRARIES!D237+HOUSING!D237+TRAFFIC!D237+PARKS!D237+REFUSE!D237+SEWAGE!D237+PWORKS!D237+WATER!D237+ELECTRIC!D237</f>
        <v>800000</v>
      </c>
      <c r="F232" s="85"/>
      <c r="G232" s="85"/>
      <c r="H232" s="85"/>
    </row>
    <row r="233" spans="1:8" x14ac:dyDescent="0.25">
      <c r="A233" s="118"/>
      <c r="B233" s="246"/>
      <c r="C233" s="94" t="s">
        <v>503</v>
      </c>
      <c r="D233" s="94"/>
      <c r="E233" s="85">
        <f>+COUNCIL!D238+MAYOR!D238+SPEAKER!D238+MM!D238+CORP!D237+PROP!D238+RATES!D238+THALL!D238+FIN!D238+SOCIAL!D237+CEMETERY!D238+LIBRARIES!D238+HOUSING!D238+TRAFFIC!D238+PARKS!D238+REFUSE!D238+SEWAGE!D238+PWORKS!D238+WATER!D238+ELECTRIC!D238</f>
        <v>0</v>
      </c>
      <c r="F233" s="85"/>
      <c r="G233" s="85"/>
      <c r="H233" s="85"/>
    </row>
    <row r="234" spans="1:8" x14ac:dyDescent="0.25">
      <c r="A234" s="118"/>
      <c r="B234" s="246"/>
      <c r="C234" s="94" t="s">
        <v>494</v>
      </c>
      <c r="D234" s="94"/>
      <c r="E234" s="85">
        <f>+COUNCIL!D239+MAYOR!D239+SPEAKER!D239+MM!D239+CORP!D238+PROP!D239+RATES!D239+THALL!D239+FIN!D239+SOCIAL!D238+CEMETERY!D239+LIBRARIES!D239+HOUSING!D239+TRAFFIC!D239+PARKS!D239+REFUSE!D239+SEWAGE!D239+PWORKS!D239+WATER!D239+ELECTRIC!D239</f>
        <v>0</v>
      </c>
      <c r="F234" s="85"/>
      <c r="G234" s="85"/>
      <c r="H234" s="85"/>
    </row>
    <row r="235" spans="1:8" x14ac:dyDescent="0.25">
      <c r="A235" s="129"/>
      <c r="B235" s="246"/>
      <c r="C235" s="94"/>
      <c r="D235" s="330"/>
      <c r="E235" s="99">
        <f>SUM(E222:E234)</f>
        <v>128173000</v>
      </c>
      <c r="F235" s="99"/>
      <c r="G235" s="99"/>
      <c r="H235" s="99"/>
    </row>
    <row r="236" spans="1:8" x14ac:dyDescent="0.25">
      <c r="A236" s="129"/>
      <c r="B236" s="246"/>
      <c r="C236" s="93" t="s">
        <v>79</v>
      </c>
      <c r="D236" s="145"/>
      <c r="E236" s="98"/>
      <c r="F236" s="98"/>
      <c r="G236" s="98"/>
      <c r="H236" s="98"/>
    </row>
    <row r="237" spans="1:8" x14ac:dyDescent="0.25">
      <c r="A237" s="118"/>
      <c r="B237" s="246"/>
      <c r="C237" s="94" t="s">
        <v>123</v>
      </c>
      <c r="D237" s="94"/>
      <c r="E237" s="85">
        <f>+COUNCIL!D242+MAYOR!D242+SPEAKER!D242+MM!D242+CORP!D241+PROP!D242+RATES!D242+THALL!D242+FIN!D242+SOCIAL!D241+CEMETERY!D242+LIBRARIES!D242+HOUSING!D242+TRAFFIC!D242+PARKS!D242+REFUSE!D242+SEWAGE!D242+PWORKS!D242+WATER!D242+ELECTRIC!D242</f>
        <v>19925.100000000002</v>
      </c>
      <c r="F237" s="85"/>
      <c r="G237" s="85"/>
      <c r="H237" s="85"/>
    </row>
    <row r="238" spans="1:8" x14ac:dyDescent="0.25">
      <c r="A238" s="118"/>
      <c r="B238" s="246"/>
      <c r="C238" s="94" t="s">
        <v>242</v>
      </c>
      <c r="D238" s="94"/>
      <c r="E238" s="85">
        <f>+COUNCIL!D243+MAYOR!D243+SPEAKER!D243+MM!D243+CORP!D242+PROP!D243+RATES!D243+THALL!D243+FIN!D243+SOCIAL!D242+CEMETERY!D243+LIBRARIES!D243+HOUSING!D243+TRAFFIC!D243+PARKS!D243+REFUSE!D243+SEWAGE!D243+PWORKS!D243+WATER!D243+ELECTRIC!D243</f>
        <v>10230.890400000002</v>
      </c>
      <c r="F238" s="85"/>
      <c r="G238" s="85"/>
      <c r="H238" s="85"/>
    </row>
    <row r="239" spans="1:8" x14ac:dyDescent="0.25">
      <c r="A239" s="118"/>
      <c r="B239" s="246"/>
      <c r="C239" s="94" t="s">
        <v>183</v>
      </c>
      <c r="D239" s="94"/>
      <c r="E239" s="85">
        <f>+COUNCIL!D244+MAYOR!D244+SPEAKER!D244+MM!D244+CORP!D243+PROP!D244+RATES!D244+THALL!D244+FIN!D244+SOCIAL!D243+CEMETERY!D244+LIBRARIES!D244+HOUSING!D244+TRAFFIC!D244+PARKS!D244+REFUSE!D244+SEWAGE!D244+PWORKS!D244+WATER!D244+ELECTRIC!D244</f>
        <v>1120</v>
      </c>
      <c r="F239" s="85"/>
      <c r="G239" s="85"/>
      <c r="H239" s="85"/>
    </row>
    <row r="240" spans="1:8" x14ac:dyDescent="0.25">
      <c r="A240" s="118"/>
      <c r="B240" s="246"/>
      <c r="C240" s="94" t="s">
        <v>103</v>
      </c>
      <c r="D240" s="94"/>
      <c r="E240" s="85">
        <f>+COUNCIL!D245+MAYOR!D245+SPEAKER!D245+MM!D245+CORP!D244+PROP!D245+RATES!D245+THALL!D245+FIN!D245+SOCIAL!D244+CEMETERY!D245+LIBRARIES!D245+HOUSING!D245+TRAFFIC!D245+PARKS!D245+REFUSE!D245+SEWAGE!D245+PWORKS!D245+WATER!D245+ELECTRIC!D245</f>
        <v>0</v>
      </c>
      <c r="F240" s="85"/>
      <c r="G240" s="85"/>
      <c r="H240" s="85"/>
    </row>
    <row r="241" spans="1:11" x14ac:dyDescent="0.25">
      <c r="A241" s="118"/>
      <c r="B241" s="246"/>
      <c r="C241" s="94" t="s">
        <v>107</v>
      </c>
      <c r="D241" s="94"/>
      <c r="E241" s="85">
        <f>+COUNCIL!D246+MAYOR!D246+SPEAKER!D246+MM!D246+CORP!D245+PROP!D246+RATES!D246+THALL!D246+FIN!D246+SOCIAL!D245+CEMETERY!D246+LIBRARIES!D246+HOUSING!D246+TRAFFIC!D246+PARKS!D246+REFUSE!D246+SEWAGE!D246+PWORKS!D246+WATER!D246+ELECTRIC!D246</f>
        <v>180</v>
      </c>
      <c r="F241" s="85"/>
      <c r="G241" s="85"/>
      <c r="H241" s="85"/>
    </row>
    <row r="242" spans="1:11" x14ac:dyDescent="0.25">
      <c r="A242" s="118"/>
      <c r="B242" s="246"/>
      <c r="C242" s="94" t="s">
        <v>517</v>
      </c>
      <c r="D242" s="94"/>
      <c r="E242" s="85">
        <f>+COUNCIL!D247+MAYOR!D247+SPEAKER!D247+MM!D247+CORP!D246+PROP!D247+RATES!D247+THALL!D247+FIN!D247+SOCIAL!D246+CEMETERY!D247+LIBRARIES!D247+HOUSING!D247+TRAFFIC!D247+PARKS!D247+REFUSE!D247+SEWAGE!D247+PWORKS!D247+WATER!D247+ELECTRIC!D247</f>
        <v>0</v>
      </c>
      <c r="F242" s="85"/>
      <c r="G242" s="85"/>
      <c r="H242" s="85"/>
    </row>
    <row r="243" spans="1:11" x14ac:dyDescent="0.25">
      <c r="A243" s="129"/>
      <c r="B243" s="246"/>
      <c r="C243" s="94"/>
      <c r="D243" s="330">
        <f>SUM(D237:D242)</f>
        <v>0</v>
      </c>
      <c r="E243" s="99">
        <f>SUM(E237:E242)</f>
        <v>31455.990400000002</v>
      </c>
      <c r="F243" s="99"/>
      <c r="G243" s="99"/>
      <c r="H243" s="99">
        <f>SUM(H237:H242)</f>
        <v>0</v>
      </c>
    </row>
    <row r="244" spans="1:11" hidden="1" x14ac:dyDescent="0.25">
      <c r="A244" s="129"/>
      <c r="B244" s="246"/>
      <c r="C244" s="93" t="s">
        <v>80</v>
      </c>
      <c r="D244" s="126"/>
      <c r="E244" s="98"/>
      <c r="F244" s="98"/>
      <c r="G244" s="98"/>
      <c r="H244" s="98"/>
    </row>
    <row r="245" spans="1:11" hidden="1" x14ac:dyDescent="0.25">
      <c r="A245" s="118"/>
      <c r="B245" s="246"/>
      <c r="C245" s="94" t="s">
        <v>81</v>
      </c>
      <c r="D245" s="330" t="e">
        <f>+COUNCIL!C250+MAYOR!C250+SPEAKER!C250+MM!C250+CORP!C249+PROP!C250+RATES!C250+THALL!C250+FIN!C250+SOCIAL!C249+CEMETERY!C250+LIBRARIES!C250+HOUSING!C250+TRAFFIC!C250+PARKS!C250+REFUSE!C250+SEWAGE!C250+PWORKS!C250+WATER!C250+ELECTRIC!C250</f>
        <v>#VALUE!</v>
      </c>
      <c r="E245" s="85">
        <f>+COUNCIL!D250+MAYOR!D250+SPEAKER!D250+MM!D250+CORP!D249+PROP!D250+RATES!D250+THALL!D250+FIN!D250+SOCIAL!D249+CEMETERY!D250+LIBRARIES!D250+HOUSING!D250+TRAFFIC!D250+PARKS!D250+REFUSE!D250+SEWAGE!D250+PWORKS!D250+WATER!D250+ELECTRIC!D250</f>
        <v>0</v>
      </c>
      <c r="F245" s="85"/>
      <c r="G245" s="85"/>
      <c r="H245" s="85">
        <f>+COUNCIL!J250+MAYOR!J250+SPEAKER!K250+MM!J250+CORP!J249+PROP!J250+RATES!J250+THALL!J250+FIN!J250+SOCIAL!J249+CEMETERY!J250+LIBRARIES!I250+HOUSING!J250+TRAFFIC!J250+PARKS!J250+REFUSE!J250+SEWAGE!J250+PWORKS!J250+WATER!J250+ELECTRIC!H250</f>
        <v>0</v>
      </c>
    </row>
    <row r="246" spans="1:11" hidden="1" x14ac:dyDescent="0.25">
      <c r="A246" s="129"/>
      <c r="B246" s="246"/>
      <c r="C246" s="94"/>
      <c r="D246" s="330" t="e">
        <f>D245</f>
        <v>#VALUE!</v>
      </c>
      <c r="E246" s="99">
        <f>E245</f>
        <v>0</v>
      </c>
      <c r="F246" s="99"/>
      <c r="G246" s="99"/>
      <c r="H246" s="99">
        <f>H245</f>
        <v>0</v>
      </c>
    </row>
    <row r="247" spans="1:11" x14ac:dyDescent="0.25">
      <c r="A247" s="129"/>
      <c r="B247" s="248"/>
      <c r="C247" s="93" t="s">
        <v>192</v>
      </c>
      <c r="D247" s="126">
        <f>+D169+D201+D207+D211+D216+D220+D235+D243</f>
        <v>0</v>
      </c>
      <c r="E247" s="117">
        <f>+E169+E201+E207+E211+E216+E220+E235+E243</f>
        <v>206840490.7053</v>
      </c>
      <c r="F247" s="117"/>
      <c r="G247" s="117"/>
      <c r="H247" s="117">
        <f>+H169+H201+H207+H211+H216+H220+H235+H243</f>
        <v>0</v>
      </c>
      <c r="I247" s="101"/>
    </row>
    <row r="248" spans="1:11" hidden="1" x14ac:dyDescent="0.25">
      <c r="A248" s="129"/>
      <c r="B248" s="246"/>
      <c r="C248" s="94"/>
      <c r="D248" s="330"/>
      <c r="E248" s="117"/>
      <c r="F248" s="117"/>
      <c r="G248" s="117"/>
      <c r="H248" s="117"/>
    </row>
    <row r="249" spans="1:11" hidden="1" x14ac:dyDescent="0.25">
      <c r="A249" s="129"/>
      <c r="B249" s="246"/>
      <c r="C249" s="145" t="s">
        <v>193</v>
      </c>
      <c r="D249" s="126"/>
      <c r="E249" s="124"/>
      <c r="F249" s="146"/>
      <c r="G249" s="124"/>
      <c r="H249" s="124"/>
    </row>
    <row r="250" spans="1:11" hidden="1" x14ac:dyDescent="0.25">
      <c r="A250" s="118"/>
      <c r="B250" s="246"/>
      <c r="C250" s="118" t="s">
        <v>194</v>
      </c>
      <c r="D250" s="330" t="e">
        <f>+COUNCIL!C255+MAYOR!C255+SPEAKER!C255+MM!C255+CORP!C254+PROP!C255+RATES!C255+THALL!C255+FIN!C255+SOCIAL!C254+CEMETERY!C255+LIBRARIES!C255+HOUSING!C255+TRAFFIC!C255+PARKS!C255+REFUSE!C255+SEWAGE!C255+PWORKS!C255+WATER!C255+ELECTRIC!C255</f>
        <v>#VALUE!</v>
      </c>
      <c r="E250" s="85">
        <f>+COUNCIL!D255+MAYOR!D255+SPEAKER!D255+MM!D255+CORP!D254+PROP!D255+RATES!D255+THALL!D255+FIN!D255+SOCIAL!D254+CEMETERY!D255+LIBRARIES!D255+HOUSING!D255+TRAFFIC!D255+PARKS!D255+REFUSE!D255+SEWAGE!D255+PWORKS!D255+WATER!D255+ELECTRIC!D255</f>
        <v>0</v>
      </c>
      <c r="F250" s="85"/>
      <c r="G250" s="85"/>
      <c r="H250" s="85">
        <f>+COUNCIL!J255+MAYOR!J255+SPEAKER!K255+MM!J255+CORP!J254+PROP!J255+RATES!J255+THALL!J255+FIN!J255+SOCIAL!J254+CEMETERY!J255+LIBRARIES!I255+HOUSING!J255+TRAFFIC!J255+PARKS!J255+REFUSE!J255+SEWAGE!J255+PWORKS!J255+WATER!J255+ELECTRIC!H255</f>
        <v>0</v>
      </c>
    </row>
    <row r="251" spans="1:11" hidden="1" x14ac:dyDescent="0.25">
      <c r="A251" s="129"/>
      <c r="B251" s="246"/>
      <c r="C251" s="94"/>
      <c r="D251" s="330" t="e">
        <f>SUM(D250)</f>
        <v>#VALUE!</v>
      </c>
      <c r="E251" s="117">
        <f>SUM(E250)</f>
        <v>0</v>
      </c>
      <c r="F251" s="117"/>
      <c r="G251" s="117"/>
      <c r="H251" s="117">
        <f>SUM(H250)</f>
        <v>0</v>
      </c>
    </row>
    <row r="252" spans="1:11" x14ac:dyDescent="0.25">
      <c r="A252" s="129"/>
      <c r="B252" s="246"/>
      <c r="C252" s="93" t="s">
        <v>189</v>
      </c>
      <c r="D252" s="126" t="e">
        <f>D247+D251</f>
        <v>#VALUE!</v>
      </c>
      <c r="E252" s="117">
        <f>E247+E251</f>
        <v>206840490.7053</v>
      </c>
      <c r="F252" s="117"/>
      <c r="G252" s="117"/>
      <c r="H252" s="117">
        <f>H247+H251</f>
        <v>0</v>
      </c>
    </row>
    <row r="253" spans="1:11" hidden="1" x14ac:dyDescent="0.25">
      <c r="A253" s="129"/>
      <c r="B253" s="246"/>
      <c r="C253" s="145" t="s">
        <v>195</v>
      </c>
      <c r="D253" s="126"/>
      <c r="E253" s="125"/>
      <c r="F253" s="148"/>
      <c r="G253" s="125"/>
      <c r="H253" s="125"/>
    </row>
    <row r="254" spans="1:11" hidden="1" x14ac:dyDescent="0.25">
      <c r="A254" s="118"/>
      <c r="B254" s="246"/>
      <c r="C254" s="118" t="s">
        <v>196</v>
      </c>
      <c r="D254" s="330" t="e">
        <f>+COUNCIL!C259+MAYOR!C259+SPEAKER!C259+MM!C259+CORP!C258+PROP!C259+RATES!C259+THALL!C259+FIN!C259+SOCIAL!C258+CEMETERY!C259+LIBRARIES!C259+HOUSING!C259+TRAFFIC!C259+PARKS!C259+REFUSE!C259+SEWAGE!C259+PWORKS!C259+WATER!C259+ELECTRIC!C259</f>
        <v>#VALUE!</v>
      </c>
      <c r="E254" s="85">
        <f>+COUNCIL!D259+MAYOR!D259+SPEAKER!D259+MM!D259+CORP!D258+PROP!D259+RATES!D259+THALL!D259+FIN!D259+SOCIAL!D258+CEMETERY!D259+LIBRARIES!D259+HOUSING!D259+TRAFFIC!D259+PARKS!D259+REFUSE!D259+SEWAGE!D259+PWORKS!D259+WATER!D259+ELECTRIC!D259</f>
        <v>0</v>
      </c>
      <c r="F254" s="85"/>
      <c r="G254" s="85"/>
      <c r="H254" s="85">
        <f>+COUNCIL!J259+MAYOR!J259+SPEAKER!K259+MM!J259+CORP!J258+PROP!J259+RATES!J259+THALL!J259+FIN!J259+SOCIAL!J258+CEMETERY!J259+LIBRARIES!I259+HOUSING!J259+TRAFFIC!J259+PARKS!J259+REFUSE!J259+SEWAGE!J259+PWORKS!J259+WATER!J259+ELECTRIC!H259</f>
        <v>0</v>
      </c>
    </row>
    <row r="255" spans="1:11" hidden="1" x14ac:dyDescent="0.25">
      <c r="A255" s="129"/>
      <c r="B255" s="248"/>
      <c r="C255" s="94"/>
      <c r="D255" s="330" t="e">
        <f>D254</f>
        <v>#VALUE!</v>
      </c>
      <c r="E255" s="124">
        <f>E254</f>
        <v>0</v>
      </c>
      <c r="F255" s="124"/>
      <c r="G255" s="124"/>
      <c r="H255" s="124">
        <f>H254</f>
        <v>0</v>
      </c>
    </row>
    <row r="256" spans="1:11" x14ac:dyDescent="0.25">
      <c r="A256" s="156"/>
      <c r="B256" s="252"/>
      <c r="C256" s="93" t="s">
        <v>197</v>
      </c>
      <c r="D256" s="126" t="e">
        <f>D252+D255</f>
        <v>#VALUE!</v>
      </c>
      <c r="E256" s="160">
        <f>E252+E255</f>
        <v>206840490.7053</v>
      </c>
      <c r="F256" s="160"/>
      <c r="G256" s="160"/>
      <c r="H256" s="160">
        <f>H252+H255</f>
        <v>0</v>
      </c>
      <c r="I256" s="313"/>
      <c r="J256" s="244"/>
      <c r="K256" s="244"/>
    </row>
    <row r="257" spans="1:8" x14ac:dyDescent="0.25">
      <c r="A257" s="157"/>
      <c r="B257" s="253"/>
      <c r="C257" s="126" t="s">
        <v>82</v>
      </c>
      <c r="D257" s="126" t="e">
        <f>D256-D160</f>
        <v>#VALUE!</v>
      </c>
      <c r="E257" s="161">
        <f>E256-E160</f>
        <v>53901218.351300001</v>
      </c>
      <c r="F257" s="161"/>
      <c r="G257" s="161"/>
      <c r="H257" s="161">
        <f>H256-H160</f>
        <v>-6</v>
      </c>
    </row>
    <row r="258" spans="1:8" x14ac:dyDescent="0.25">
      <c r="A258" s="101"/>
      <c r="B258" s="254"/>
      <c r="C258" s="184" t="s">
        <v>522</v>
      </c>
      <c r="D258" s="184" t="e">
        <f>+D257-D231</f>
        <v>#VALUE!</v>
      </c>
      <c r="E258" s="244">
        <f>+E252-E234-E231-E160</f>
        <v>9119218.3513000011</v>
      </c>
      <c r="F258" s="244"/>
      <c r="G258" s="244"/>
      <c r="H258" s="244">
        <f>+H257-H231</f>
        <v>-6</v>
      </c>
    </row>
    <row r="259" spans="1:8" x14ac:dyDescent="0.25">
      <c r="A259" s="101"/>
      <c r="B259" s="254"/>
      <c r="C259" s="184"/>
      <c r="D259" s="184"/>
      <c r="E259" s="302"/>
      <c r="F259" s="244"/>
      <c r="G259" s="244"/>
      <c r="H259" s="244"/>
    </row>
    <row r="260" spans="1:8" x14ac:dyDescent="0.25">
      <c r="A260" s="101"/>
      <c r="C260" s="184" t="s">
        <v>521</v>
      </c>
      <c r="D260" s="184"/>
      <c r="E260" s="314">
        <f>+E256-E231-E234</f>
        <v>162058490.7053</v>
      </c>
      <c r="F260" s="314"/>
      <c r="G260" s="314"/>
      <c r="H260" s="314">
        <f>+H256-H231</f>
        <v>0</v>
      </c>
    </row>
    <row r="261" spans="1:8" x14ac:dyDescent="0.25">
      <c r="A261" s="101"/>
      <c r="C261" s="184" t="s">
        <v>523</v>
      </c>
      <c r="D261" s="184"/>
      <c r="E261" s="314">
        <f>+E160</f>
        <v>152939272.354</v>
      </c>
      <c r="F261" s="314"/>
      <c r="G261" s="314"/>
      <c r="H261" s="314">
        <f>+H160</f>
        <v>6</v>
      </c>
    </row>
    <row r="262" spans="1:8" ht="13.8" thickBot="1" x14ac:dyDescent="0.3">
      <c r="C262" s="184" t="s">
        <v>524</v>
      </c>
      <c r="D262" s="184"/>
      <c r="E262" s="315">
        <f>+E260-E261</f>
        <v>9119218.3513000011</v>
      </c>
      <c r="F262" s="315"/>
      <c r="G262" s="315"/>
      <c r="H262" s="315">
        <f>+H260-H261</f>
        <v>-6</v>
      </c>
    </row>
    <row r="263" spans="1:8" ht="13.8" thickTop="1" x14ac:dyDescent="0.25">
      <c r="F263" s="128"/>
      <c r="G263" s="128"/>
      <c r="H263" s="128"/>
    </row>
    <row r="264" spans="1:8" x14ac:dyDescent="0.25">
      <c r="F264" s="128"/>
      <c r="G264" s="128"/>
      <c r="H264" s="128"/>
    </row>
    <row r="265" spans="1:8" x14ac:dyDescent="0.25">
      <c r="F265" s="128"/>
      <c r="G265" s="128"/>
      <c r="H265" s="128"/>
    </row>
  </sheetData>
  <mergeCells count="5">
    <mergeCell ref="A1:H2"/>
    <mergeCell ref="A3:C3"/>
    <mergeCell ref="A4:B5"/>
    <mergeCell ref="B163:E163"/>
    <mergeCell ref="A164:B165"/>
  </mergeCells>
  <phoneticPr fontId="0" type="noConversion"/>
  <printOptions gridLines="1"/>
  <pageMargins left="0.19685039370078741" right="0.15748031496062992" top="0.70866141732283472" bottom="0.98425196850393704" header="0.51181102362204722" footer="0.51181102362204722"/>
  <pageSetup scale="6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O43"/>
  <sheetViews>
    <sheetView topLeftCell="A63" workbookViewId="0">
      <selection activeCell="A36" sqref="A36"/>
    </sheetView>
  </sheetViews>
  <sheetFormatPr defaultRowHeight="13.2" x14ac:dyDescent="0.25"/>
  <cols>
    <col min="7" max="7" width="7.6640625" customWidth="1"/>
    <col min="8" max="8" width="6.109375" customWidth="1"/>
    <col min="9" max="9" width="6.5546875" hidden="1" customWidth="1"/>
    <col min="10" max="12" width="9.109375" hidden="1" customWidth="1"/>
    <col min="13" max="13" width="7.33203125" customWidth="1"/>
  </cols>
  <sheetData>
    <row r="1" spans="1:14" x14ac:dyDescent="0.25">
      <c r="A1" s="361"/>
      <c r="B1" s="19"/>
      <c r="C1" s="19"/>
      <c r="D1" s="19"/>
      <c r="E1" s="19"/>
      <c r="F1" s="19"/>
      <c r="G1" s="19"/>
      <c r="H1" s="19"/>
      <c r="I1" s="19"/>
      <c r="J1" s="19"/>
      <c r="K1" s="19"/>
      <c r="L1" s="362"/>
      <c r="M1" s="19"/>
      <c r="N1" s="20"/>
    </row>
    <row r="2" spans="1:14" x14ac:dyDescent="0.25">
      <c r="A2" s="6"/>
      <c r="B2" s="11"/>
      <c r="C2" s="11"/>
      <c r="D2" s="11"/>
      <c r="E2" s="11"/>
      <c r="F2" s="11"/>
      <c r="G2" s="11"/>
      <c r="H2" s="11"/>
      <c r="I2" s="11"/>
      <c r="J2" s="11"/>
      <c r="K2" s="11"/>
      <c r="L2" s="62"/>
      <c r="M2" s="11"/>
      <c r="N2" s="7"/>
    </row>
    <row r="3" spans="1:14" x14ac:dyDescent="0.25">
      <c r="A3" s="6"/>
      <c r="B3" s="11"/>
      <c r="C3" s="11"/>
      <c r="D3" s="11"/>
      <c r="E3" s="11"/>
      <c r="F3" s="11"/>
      <c r="G3" s="11"/>
      <c r="H3" s="11"/>
      <c r="I3" s="11"/>
      <c r="J3" s="11"/>
      <c r="K3" s="11"/>
      <c r="L3" s="62"/>
      <c r="M3" s="11"/>
      <c r="N3" s="7"/>
    </row>
    <row r="4" spans="1:14" x14ac:dyDescent="0.25">
      <c r="A4" s="6"/>
      <c r="B4" s="11"/>
      <c r="C4" s="11"/>
      <c r="D4" s="11"/>
      <c r="E4" s="11"/>
      <c r="F4" s="11"/>
      <c r="G4" s="11"/>
      <c r="H4" s="11"/>
      <c r="I4" s="11"/>
      <c r="J4" s="11"/>
      <c r="K4" s="11"/>
      <c r="L4" s="62"/>
      <c r="M4" s="11"/>
      <c r="N4" s="7"/>
    </row>
    <row r="5" spans="1:14" x14ac:dyDescent="0.25">
      <c r="A5" s="6"/>
      <c r="B5" s="11"/>
      <c r="C5" s="11"/>
      <c r="D5" s="11"/>
      <c r="E5" s="11"/>
      <c r="F5" s="11"/>
      <c r="G5" s="11"/>
      <c r="H5" s="11"/>
      <c r="I5" s="11"/>
      <c r="J5" s="11"/>
      <c r="K5" s="11"/>
      <c r="L5" s="62"/>
      <c r="M5" s="11"/>
      <c r="N5" s="7"/>
    </row>
    <row r="6" spans="1:14" x14ac:dyDescent="0.25">
      <c r="A6" s="6"/>
      <c r="B6" s="11"/>
      <c r="C6" s="11"/>
      <c r="D6" s="11"/>
      <c r="E6" s="11"/>
      <c r="F6" s="11"/>
      <c r="G6" s="11"/>
      <c r="H6" s="11"/>
      <c r="I6" s="11"/>
      <c r="J6" s="11"/>
      <c r="K6" s="11"/>
      <c r="L6" s="62"/>
      <c r="M6" s="11"/>
      <c r="N6" s="7"/>
    </row>
    <row r="7" spans="1:14" ht="44.4" x14ac:dyDescent="0.7">
      <c r="A7" s="363"/>
      <c r="B7" s="71"/>
      <c r="C7" s="71"/>
      <c r="D7" s="71"/>
      <c r="E7" s="71"/>
      <c r="F7" s="71"/>
      <c r="G7" s="71"/>
      <c r="H7" s="71"/>
      <c r="I7" s="71"/>
      <c r="J7" s="71"/>
      <c r="K7" s="71"/>
      <c r="L7" s="72"/>
      <c r="M7" s="11"/>
      <c r="N7" s="7"/>
    </row>
    <row r="8" spans="1:14" x14ac:dyDescent="0.25">
      <c r="A8" s="6"/>
      <c r="B8" s="11"/>
      <c r="C8" s="11"/>
      <c r="D8" s="11"/>
      <c r="E8" s="11"/>
      <c r="F8" s="11"/>
      <c r="G8" s="11"/>
      <c r="H8" s="11"/>
      <c r="I8" s="11"/>
      <c r="J8" s="11"/>
      <c r="K8" s="11"/>
      <c r="L8" s="62"/>
      <c r="M8" s="11"/>
      <c r="N8" s="7"/>
    </row>
    <row r="9" spans="1:14" ht="24.6" x14ac:dyDescent="0.4">
      <c r="A9" s="364"/>
      <c r="B9" s="74"/>
      <c r="C9" s="74"/>
      <c r="D9" s="74"/>
      <c r="E9" s="74"/>
      <c r="F9" s="74"/>
      <c r="G9" s="74"/>
      <c r="H9" s="74"/>
      <c r="I9" s="74"/>
      <c r="J9" s="74"/>
      <c r="K9" s="74"/>
      <c r="L9" s="75"/>
      <c r="M9" s="11"/>
      <c r="N9" s="7"/>
    </row>
    <row r="10" spans="1:14" x14ac:dyDescent="0.25">
      <c r="A10" s="6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62"/>
      <c r="M10" s="11"/>
      <c r="N10" s="7"/>
    </row>
    <row r="11" spans="1:14" x14ac:dyDescent="0.25">
      <c r="A11" s="6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62"/>
      <c r="M11" s="11"/>
      <c r="N11" s="7"/>
    </row>
    <row r="12" spans="1:14" ht="60.6" x14ac:dyDescent="1">
      <c r="A12" s="368" t="s">
        <v>175</v>
      </c>
      <c r="B12" s="369"/>
      <c r="C12" s="369"/>
      <c r="D12" s="369"/>
      <c r="E12" s="369"/>
      <c r="F12" s="369"/>
      <c r="G12" s="369"/>
      <c r="H12" s="369"/>
      <c r="I12" s="369"/>
      <c r="J12" s="369"/>
      <c r="K12" s="369"/>
      <c r="L12" s="370"/>
      <c r="M12" s="11"/>
      <c r="N12" s="7"/>
    </row>
    <row r="13" spans="1:14" x14ac:dyDescent="0.25">
      <c r="A13" s="6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62"/>
      <c r="M13" s="11"/>
      <c r="N13" s="7"/>
    </row>
    <row r="14" spans="1:14" ht="24.6" x14ac:dyDescent="0.4">
      <c r="A14" s="950" t="s">
        <v>176</v>
      </c>
      <c r="B14" s="913"/>
      <c r="C14" s="913"/>
      <c r="D14" s="913"/>
      <c r="E14" s="913"/>
      <c r="F14" s="913"/>
      <c r="G14" s="913"/>
      <c r="H14" s="913"/>
      <c r="I14" s="913"/>
      <c r="J14" s="913"/>
      <c r="K14" s="913"/>
      <c r="L14" s="914"/>
      <c r="M14" s="11"/>
      <c r="N14" s="7"/>
    </row>
    <row r="15" spans="1:14" x14ac:dyDescent="0.25">
      <c r="A15" s="6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62"/>
      <c r="M15" s="11"/>
      <c r="N15" s="7"/>
    </row>
    <row r="16" spans="1:14" x14ac:dyDescent="0.25">
      <c r="A16" s="6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62"/>
      <c r="M16" s="11"/>
      <c r="N16" s="7"/>
    </row>
    <row r="17" spans="1:14" ht="24.6" x14ac:dyDescent="0.4">
      <c r="A17" s="950" t="s">
        <v>177</v>
      </c>
      <c r="B17" s="913"/>
      <c r="C17" s="913"/>
      <c r="D17" s="913"/>
      <c r="E17" s="913"/>
      <c r="F17" s="913"/>
      <c r="G17" s="913"/>
      <c r="H17" s="913"/>
      <c r="I17" s="913"/>
      <c r="J17" s="913"/>
      <c r="K17" s="913"/>
      <c r="L17" s="914"/>
      <c r="M17" s="11"/>
      <c r="N17" s="7"/>
    </row>
    <row r="18" spans="1:14" x14ac:dyDescent="0.25">
      <c r="A18" s="6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62"/>
      <c r="M18" s="11"/>
      <c r="N18" s="7"/>
    </row>
    <row r="19" spans="1:14" x14ac:dyDescent="0.25">
      <c r="A19" s="6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62"/>
      <c r="M19" s="11"/>
      <c r="N19" s="7"/>
    </row>
    <row r="20" spans="1:14" x14ac:dyDescent="0.25">
      <c r="A20" s="6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62"/>
      <c r="M20" s="11"/>
      <c r="N20" s="7"/>
    </row>
    <row r="21" spans="1:14" x14ac:dyDescent="0.25">
      <c r="A21" s="6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62"/>
      <c r="M21" s="11"/>
      <c r="N21" s="7"/>
    </row>
    <row r="22" spans="1:14" x14ac:dyDescent="0.25">
      <c r="A22" s="6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62"/>
      <c r="M22" s="11"/>
      <c r="N22" s="7"/>
    </row>
    <row r="23" spans="1:14" x14ac:dyDescent="0.25">
      <c r="A23" s="6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62"/>
      <c r="M23" s="11"/>
      <c r="N23" s="7"/>
    </row>
    <row r="24" spans="1:14" x14ac:dyDescent="0.25">
      <c r="A24" s="6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62"/>
      <c r="M24" s="11"/>
      <c r="N24" s="7"/>
    </row>
    <row r="25" spans="1:14" x14ac:dyDescent="0.25">
      <c r="A25" s="6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62"/>
      <c r="M25" s="11"/>
      <c r="N25" s="7"/>
    </row>
    <row r="26" spans="1:14" x14ac:dyDescent="0.25">
      <c r="A26" s="6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62"/>
      <c r="M26" s="11"/>
      <c r="N26" s="7"/>
    </row>
    <row r="27" spans="1:14" x14ac:dyDescent="0.25">
      <c r="A27" s="6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62"/>
      <c r="M27" s="11"/>
      <c r="N27" s="7"/>
    </row>
    <row r="28" spans="1:14" ht="7.5" customHeight="1" x14ac:dyDescent="0.25">
      <c r="A28" s="6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62"/>
      <c r="M28" s="11"/>
      <c r="N28" s="7"/>
    </row>
    <row r="29" spans="1:14" x14ac:dyDescent="0.25">
      <c r="A29" s="951" t="s">
        <v>873</v>
      </c>
      <c r="B29" s="916"/>
      <c r="C29" s="916"/>
      <c r="D29" s="916"/>
      <c r="E29" s="916"/>
      <c r="F29" s="916"/>
      <c r="G29" s="916"/>
      <c r="H29" s="916"/>
      <c r="I29" s="916"/>
      <c r="J29" s="916"/>
      <c r="K29" s="916"/>
      <c r="L29" s="917"/>
      <c r="M29" s="11"/>
      <c r="N29" s="7"/>
    </row>
    <row r="30" spans="1:14" ht="21.75" customHeight="1" x14ac:dyDescent="0.25">
      <c r="A30" s="951"/>
      <c r="B30" s="916"/>
      <c r="C30" s="916"/>
      <c r="D30" s="916"/>
      <c r="E30" s="916"/>
      <c r="F30" s="916"/>
      <c r="G30" s="916"/>
      <c r="H30" s="916"/>
      <c r="I30" s="916"/>
      <c r="J30" s="916"/>
      <c r="K30" s="916"/>
      <c r="L30" s="917"/>
      <c r="M30" s="11"/>
      <c r="N30" s="7"/>
    </row>
    <row r="31" spans="1:14" x14ac:dyDescent="0.25">
      <c r="A31" s="6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62"/>
      <c r="M31" s="11"/>
      <c r="N31" s="7"/>
    </row>
    <row r="32" spans="1:14" x14ac:dyDescent="0.25">
      <c r="A32" s="952" t="s">
        <v>414</v>
      </c>
      <c r="B32" s="919"/>
      <c r="C32" s="919"/>
      <c r="D32" s="919"/>
      <c r="E32" s="919"/>
      <c r="F32" s="919"/>
      <c r="G32" s="919"/>
      <c r="H32" s="919"/>
      <c r="I32" s="919"/>
      <c r="J32" s="919"/>
      <c r="K32" s="919"/>
      <c r="L32" s="920"/>
      <c r="M32" s="11"/>
      <c r="N32" s="7"/>
    </row>
    <row r="33" spans="1:15" x14ac:dyDescent="0.25">
      <c r="A33" s="952"/>
      <c r="B33" s="919"/>
      <c r="C33" s="919"/>
      <c r="D33" s="919"/>
      <c r="E33" s="919"/>
      <c r="F33" s="919"/>
      <c r="G33" s="919"/>
      <c r="H33" s="919"/>
      <c r="I33" s="919"/>
      <c r="J33" s="919"/>
      <c r="K33" s="919"/>
      <c r="L33" s="920"/>
      <c r="M33" s="11"/>
      <c r="N33" s="7"/>
    </row>
    <row r="34" spans="1:15" x14ac:dyDescent="0.25">
      <c r="A34" s="952"/>
      <c r="B34" s="919"/>
      <c r="C34" s="919"/>
      <c r="D34" s="919"/>
      <c r="E34" s="919"/>
      <c r="F34" s="919"/>
      <c r="G34" s="919"/>
      <c r="H34" s="919"/>
      <c r="I34" s="919"/>
      <c r="J34" s="919"/>
      <c r="K34" s="919"/>
      <c r="L34" s="920"/>
      <c r="M34" s="11"/>
      <c r="N34" s="7"/>
      <c r="O34" s="337"/>
    </row>
    <row r="35" spans="1:15" x14ac:dyDescent="0.25">
      <c r="A35" s="952"/>
      <c r="B35" s="919"/>
      <c r="C35" s="919"/>
      <c r="D35" s="919"/>
      <c r="E35" s="919"/>
      <c r="F35" s="919"/>
      <c r="G35" s="919"/>
      <c r="H35" s="919"/>
      <c r="I35" s="919"/>
      <c r="J35" s="919"/>
      <c r="K35" s="919"/>
      <c r="L35" s="920"/>
      <c r="M35" s="11"/>
      <c r="N35" s="7"/>
    </row>
    <row r="36" spans="1:15" ht="35.4" x14ac:dyDescent="0.6">
      <c r="A36" s="365"/>
      <c r="B36" s="339"/>
      <c r="C36" s="339"/>
      <c r="D36" s="339"/>
      <c r="E36" s="339"/>
      <c r="F36" s="339"/>
      <c r="G36" s="339"/>
      <c r="H36" s="339"/>
      <c r="I36" s="339"/>
      <c r="J36" s="339"/>
      <c r="K36" s="339"/>
      <c r="L36" s="340"/>
      <c r="M36" s="11"/>
      <c r="N36" s="7"/>
    </row>
    <row r="37" spans="1:15" ht="35.4" x14ac:dyDescent="0.6">
      <c r="A37" s="365"/>
      <c r="B37" s="339"/>
      <c r="C37" s="339"/>
      <c r="D37" s="339"/>
      <c r="E37" s="339"/>
      <c r="F37" s="339"/>
      <c r="G37" s="339"/>
      <c r="H37" s="339"/>
      <c r="I37" s="339"/>
      <c r="J37" s="339"/>
      <c r="K37" s="339"/>
      <c r="L37" s="340"/>
      <c r="M37" s="11"/>
      <c r="N37" s="7"/>
    </row>
    <row r="38" spans="1:15" ht="35.4" x14ac:dyDescent="0.6">
      <c r="A38" s="365"/>
      <c r="B38" s="339"/>
      <c r="C38" s="339"/>
      <c r="D38" s="339"/>
      <c r="E38" s="339"/>
      <c r="F38" s="339"/>
      <c r="G38" s="339"/>
      <c r="H38" s="339"/>
      <c r="I38" s="339"/>
      <c r="J38" s="339"/>
      <c r="K38" s="339"/>
      <c r="L38" s="340"/>
      <c r="M38" s="11"/>
      <c r="N38" s="7"/>
    </row>
    <row r="39" spans="1:15" ht="30" customHeight="1" x14ac:dyDescent="0.6">
      <c r="A39" s="365"/>
      <c r="B39" s="339"/>
      <c r="C39" s="339"/>
      <c r="D39" s="339"/>
      <c r="E39" s="339"/>
      <c r="F39" s="339"/>
      <c r="G39" s="339"/>
      <c r="H39" s="339"/>
      <c r="I39" s="339"/>
      <c r="J39" s="339"/>
      <c r="K39" s="339"/>
      <c r="L39" s="340"/>
      <c r="M39" s="11"/>
      <c r="N39" s="7"/>
    </row>
    <row r="40" spans="1:15" ht="36" hidden="1" thickBot="1" x14ac:dyDescent="0.65">
      <c r="A40" s="366"/>
      <c r="B40" s="67"/>
      <c r="C40" s="67"/>
      <c r="D40" s="67"/>
      <c r="E40" s="67"/>
      <c r="F40" s="67"/>
      <c r="G40" s="67"/>
      <c r="H40" s="67"/>
      <c r="I40" s="67"/>
      <c r="J40" s="67"/>
      <c r="K40" s="67"/>
      <c r="L40" s="68"/>
      <c r="M40" s="11"/>
      <c r="N40" s="7"/>
    </row>
    <row r="41" spans="1:15" ht="15.75" customHeight="1" x14ac:dyDescent="0.25">
      <c r="A41" s="6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7"/>
    </row>
    <row r="42" spans="1:15" x14ac:dyDescent="0.25">
      <c r="A42" s="6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7"/>
    </row>
    <row r="43" spans="1:15" x14ac:dyDescent="0.25">
      <c r="A43" s="367"/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2"/>
    </row>
  </sheetData>
  <mergeCells count="4">
    <mergeCell ref="A14:L14"/>
    <mergeCell ref="A17:L17"/>
    <mergeCell ref="A29:L30"/>
    <mergeCell ref="A32:L35"/>
  </mergeCells>
  <pageMargins left="0.7" right="0.7" top="0.75" bottom="0.75" header="0.3" footer="0.3"/>
  <pageSetup paperSize="9" orientation="portrait" horizontalDpi="4294967293" verticalDpi="4294967293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N36"/>
  <sheetViews>
    <sheetView view="pageBreakPreview" topLeftCell="A45" zoomScaleSheetLayoutView="100" workbookViewId="0">
      <selection activeCell="F37" sqref="F37"/>
    </sheetView>
  </sheetViews>
  <sheetFormatPr defaultColWidth="9.109375" defaultRowHeight="13.2" x14ac:dyDescent="0.25"/>
  <cols>
    <col min="1" max="1" width="16.88671875" style="558" customWidth="1"/>
    <col min="2" max="2" width="16.44140625" style="558" customWidth="1"/>
    <col min="3" max="3" width="14.6640625" style="558" customWidth="1"/>
    <col min="4" max="4" width="17.44140625" style="558" customWidth="1"/>
    <col min="5" max="5" width="12.88671875" style="558" customWidth="1"/>
    <col min="6" max="6" width="13" style="558" customWidth="1"/>
    <col min="7" max="7" width="12.88671875" style="558" customWidth="1"/>
    <col min="8" max="8" width="13.88671875" style="558" customWidth="1"/>
    <col min="9" max="9" width="13.5546875" style="558" customWidth="1"/>
    <col min="10" max="11" width="9.109375" style="558"/>
    <col min="12" max="13" width="11.33203125" style="558" bestFit="1" customWidth="1"/>
    <col min="14" max="14" width="14" style="558" bestFit="1" customWidth="1"/>
    <col min="15" max="16384" width="9.109375" style="558"/>
  </cols>
  <sheetData>
    <row r="1" spans="1:14" ht="21" x14ac:dyDescent="0.25">
      <c r="A1" s="571" t="s">
        <v>135</v>
      </c>
      <c r="B1" s="571" t="s">
        <v>136</v>
      </c>
      <c r="C1" s="571" t="s">
        <v>137</v>
      </c>
      <c r="D1" s="571" t="s">
        <v>142</v>
      </c>
      <c r="E1" s="571" t="s">
        <v>143</v>
      </c>
      <c r="F1" s="571" t="s">
        <v>138</v>
      </c>
      <c r="G1" s="571" t="s">
        <v>139</v>
      </c>
      <c r="H1" s="571" t="s">
        <v>140</v>
      </c>
      <c r="I1" s="571" t="s">
        <v>141</v>
      </c>
      <c r="J1" s="557">
        <v>4</v>
      </c>
    </row>
    <row r="2" spans="1:14" x14ac:dyDescent="0.25">
      <c r="A2" s="163">
        <f>SUM(SUMMARY2!I18+SUMMARY2!I25)</f>
        <v>68373974.415543929</v>
      </c>
      <c r="B2" s="163">
        <f>SUM(SUMMARY2!I28)</f>
        <v>7101698.040000001</v>
      </c>
      <c r="C2" s="163">
        <f>SUM(SUMMARY2!I32)</f>
        <v>46137985.274000004</v>
      </c>
      <c r="D2" s="163">
        <f>SUM(SUMMARY2!I59)</f>
        <v>24377793.199999996</v>
      </c>
      <c r="E2" s="163">
        <f>SUM(SUMMARY2!I63)</f>
        <v>745000</v>
      </c>
      <c r="F2" s="163">
        <f>SUM(SUMMARY2!I70)</f>
        <v>38360200</v>
      </c>
      <c r="G2" s="163">
        <f>SUM(SUMMARY2!I148)</f>
        <v>84898844.875857145</v>
      </c>
      <c r="H2" s="163">
        <f>SUM(SUMMARY2!I156)</f>
        <v>6873740</v>
      </c>
      <c r="I2" s="163"/>
    </row>
    <row r="4" spans="1:14" x14ac:dyDescent="0.25">
      <c r="M4" s="559"/>
    </row>
    <row r="7" spans="1:14" x14ac:dyDescent="0.25">
      <c r="L7" s="559"/>
    </row>
    <row r="8" spans="1:14" x14ac:dyDescent="0.25">
      <c r="L8" s="559"/>
    </row>
    <row r="9" spans="1:14" x14ac:dyDescent="0.25">
      <c r="L9" s="559"/>
    </row>
    <row r="10" spans="1:14" x14ac:dyDescent="0.25">
      <c r="L10" s="559"/>
    </row>
    <row r="16" spans="1:14" x14ac:dyDescent="0.25">
      <c r="N16" s="560"/>
    </row>
    <row r="35" spans="1:7" ht="252.75" customHeight="1" x14ac:dyDescent="0.25">
      <c r="A35" s="572" t="s">
        <v>98</v>
      </c>
      <c r="B35" s="572" t="s">
        <v>100</v>
      </c>
      <c r="C35" s="572" t="s">
        <v>67</v>
      </c>
      <c r="D35" s="572" t="s">
        <v>73</v>
      </c>
      <c r="E35" s="572" t="s">
        <v>74</v>
      </c>
      <c r="F35" s="572" t="s">
        <v>79</v>
      </c>
      <c r="G35" s="561"/>
    </row>
    <row r="36" spans="1:7" s="574" customFormat="1" x14ac:dyDescent="0.25">
      <c r="A36" s="573">
        <f>SUM(SUMMARY2!I174)</f>
        <v>23832006.929142799</v>
      </c>
      <c r="B36" s="573">
        <f>SUM(SUMMARY2!I206)</f>
        <v>92679597.499151602</v>
      </c>
      <c r="C36" s="573">
        <f>SUM(SUMMARY2!I216)</f>
        <v>785291.55935588374</v>
      </c>
      <c r="D36" s="573">
        <f>SUM(SUMMARY2!I225)</f>
        <v>261855</v>
      </c>
      <c r="E36" s="573">
        <f>SUM(SUMMARY2!I240)</f>
        <v>170893000</v>
      </c>
      <c r="F36" s="573">
        <f>SUM(SUMMARY2!I248)</f>
        <v>10721.300999999999</v>
      </c>
    </row>
  </sheetData>
  <pageMargins left="0.56000000000000005" right="0.75" top="0.63" bottom="1" header="0.5" footer="0.5"/>
  <pageSetup paperSize="9" scale="63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39</vt:i4>
      </vt:variant>
      <vt:variant>
        <vt:lpstr>Named Ranges</vt:lpstr>
      </vt:variant>
      <vt:variant>
        <vt:i4>9</vt:i4>
      </vt:variant>
    </vt:vector>
  </HeadingPairs>
  <TitlesOfParts>
    <vt:vector size="48" baseType="lpstr">
      <vt:lpstr>Coverpage</vt:lpstr>
      <vt:lpstr> HIGH LEVEL BUDGET  SUMMARY</vt:lpstr>
      <vt:lpstr>INCEXP</vt:lpstr>
      <vt:lpstr>EXP ALLOCATION</vt:lpstr>
      <vt:lpstr>GRAPHS</vt:lpstr>
      <vt:lpstr>INPUT</vt:lpstr>
      <vt:lpstr>SUMMARY</vt:lpstr>
      <vt:lpstr>COVER PAGE</vt:lpstr>
      <vt:lpstr>GRAPHS (2)</vt:lpstr>
      <vt:lpstr>SUMMARY2</vt:lpstr>
      <vt:lpstr>COUNCIL</vt:lpstr>
      <vt:lpstr>MAYOR</vt:lpstr>
      <vt:lpstr>SPEAKER</vt:lpstr>
      <vt:lpstr>MM</vt:lpstr>
      <vt:lpstr>CORP</vt:lpstr>
      <vt:lpstr>PROP</vt:lpstr>
      <vt:lpstr>RATES</vt:lpstr>
      <vt:lpstr>THALL</vt:lpstr>
      <vt:lpstr>FIN</vt:lpstr>
      <vt:lpstr>SOCIAL</vt:lpstr>
      <vt:lpstr>CEMETERY</vt:lpstr>
      <vt:lpstr>LIBRARIES</vt:lpstr>
      <vt:lpstr>HOUSING</vt:lpstr>
      <vt:lpstr>TRAFFIC</vt:lpstr>
      <vt:lpstr>PARKS</vt:lpstr>
      <vt:lpstr>REFUSE</vt:lpstr>
      <vt:lpstr>SEWAGE</vt:lpstr>
      <vt:lpstr>PWORKS</vt:lpstr>
      <vt:lpstr>WATER</vt:lpstr>
      <vt:lpstr>ELECTRIC</vt:lpstr>
      <vt:lpstr>Sheet2</vt:lpstr>
      <vt:lpstr>Sheet1</vt:lpstr>
      <vt:lpstr>PLANNING</vt:lpstr>
      <vt:lpstr>CAPITAL</vt:lpstr>
      <vt:lpstr>PROPERTIES</vt:lpstr>
      <vt:lpstr>INFRUSTRUCTURE SERVICES</vt:lpstr>
      <vt:lpstr>SOCIAL AND COMMUNITY</vt:lpstr>
      <vt:lpstr>URBAN AND PLANNING AND HOUSING</vt:lpstr>
      <vt:lpstr>FINANCE</vt:lpstr>
      <vt:lpstr>' HIGH LEVEL BUDGET  SUMMARY'!Print_Area</vt:lpstr>
      <vt:lpstr>COUNCIL!Print_Area</vt:lpstr>
      <vt:lpstr>Coverpage!Print_Area</vt:lpstr>
      <vt:lpstr>ELECTRIC!Print_Area</vt:lpstr>
      <vt:lpstr>'EXP ALLOCATION'!Print_Area</vt:lpstr>
      <vt:lpstr>INCEXP!Print_Area</vt:lpstr>
      <vt:lpstr>'SOCIAL AND COMMUNITY'!Print_Area</vt:lpstr>
      <vt:lpstr>SUMMARY!Print_Area</vt:lpstr>
      <vt:lpstr>' HIGH LEVEL BUDGET  SUMMARY'!Print_Titles</vt:lpstr>
    </vt:vector>
  </TitlesOfParts>
  <Company>LDM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Teboho</cp:lastModifiedBy>
  <cp:lastPrinted>2018-04-05T08:27:02Z</cp:lastPrinted>
  <dcterms:created xsi:type="dcterms:W3CDTF">2005-03-18T05:21:05Z</dcterms:created>
  <dcterms:modified xsi:type="dcterms:W3CDTF">2018-07-19T12:02:40Z</dcterms:modified>
</cp:coreProperties>
</file>