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Finance\New folder\"/>
    </mc:Choice>
  </mc:AlternateContent>
  <bookViews>
    <workbookView xWindow="0" yWindow="0" windowWidth="19440" windowHeight="7752" tabRatio="587" firstSheet="7" activeTab="8"/>
  </bookViews>
  <sheets>
    <sheet name="Coverpage" sheetId="35" state="hidden" r:id="rId1"/>
    <sheet name=" HIGH LEVEL BUDGET  SUMMARY" sheetId="32" state="hidden" r:id="rId2"/>
    <sheet name="INCEXP" sheetId="27" state="hidden" r:id="rId3"/>
    <sheet name="EXP ALLOCATION" sheetId="1" state="hidden" r:id="rId4"/>
    <sheet name="GRAPHS" sheetId="29" state="hidden" r:id="rId5"/>
    <sheet name="INPUT" sheetId="38" state="hidden" r:id="rId6"/>
    <sheet name="SUMMARY" sheetId="2" state="hidden" r:id="rId7"/>
    <sheet name="COVER PAGE" sheetId="43" r:id="rId8"/>
    <sheet name="SUMMARY2" sheetId="42" r:id="rId9"/>
    <sheet name="COUNCIL" sheetId="4" r:id="rId10"/>
    <sheet name="MAYOR" sheetId="24" r:id="rId11"/>
    <sheet name="SPEAKER" sheetId="23" r:id="rId12"/>
    <sheet name="MM" sheetId="22" r:id="rId13"/>
    <sheet name="CORP" sheetId="21" r:id="rId14"/>
    <sheet name="PROP" sheetId="6" r:id="rId15"/>
    <sheet name="RATES" sheetId="9" r:id="rId16"/>
    <sheet name="THALL" sheetId="10" r:id="rId17"/>
    <sheet name="FIN" sheetId="8" r:id="rId18"/>
    <sheet name="SOCIAL" sheetId="11" r:id="rId19"/>
    <sheet name="CEMETERY" sheetId="12" r:id="rId20"/>
    <sheet name="LIBRARIES" sheetId="14" r:id="rId21"/>
    <sheet name="HOUSING" sheetId="16" r:id="rId22"/>
    <sheet name="TRAFFIC" sheetId="18" r:id="rId23"/>
    <sheet name="PARKS" sheetId="19" r:id="rId24"/>
    <sheet name="REFUSE" sheetId="15" r:id="rId25"/>
    <sheet name="SEWAGE" sheetId="13" r:id="rId26"/>
    <sheet name="PWORKS" sheetId="7" r:id="rId27"/>
    <sheet name="WATER" sheetId="5" r:id="rId28"/>
    <sheet name="ELECTRIC" sheetId="26" r:id="rId29"/>
    <sheet name="Sheet2" sheetId="39" state="hidden" r:id="rId30"/>
    <sheet name="Sheet1" sheetId="40" state="hidden" r:id="rId31"/>
    <sheet name="CAPITAL" sheetId="44" r:id="rId32"/>
    <sheet name="TARIFFS" sheetId="45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1">' HIGH LEVEL BUDGET  SUMMARY'!$A$1:$H$27</definedName>
    <definedName name="_xlnm.Print_Area" localSheetId="9">COUNCIL!$A$1:$I$262</definedName>
    <definedName name="_xlnm.Print_Area" localSheetId="0">Coverpage!$A$1:$L$41</definedName>
    <definedName name="_xlnm.Print_Area" localSheetId="28">ELECTRIC!$A$1:$I$262</definedName>
    <definedName name="_xlnm.Print_Area" localSheetId="3">'EXP ALLOCATION'!$A$1:$M$26</definedName>
    <definedName name="_xlnm.Print_Area" localSheetId="2">INCEXP!$A$1:$M$27</definedName>
    <definedName name="_xlnm.Print_Area" localSheetId="20">LIBRARIES!#REF!</definedName>
    <definedName name="_xlnm.Print_Area" localSheetId="23">PARKS!#REF!</definedName>
    <definedName name="_xlnm.Print_Area" localSheetId="24">REFUSE!#REF!</definedName>
    <definedName name="_xlnm.Print_Area" localSheetId="25">SEWAGE!#REF!</definedName>
    <definedName name="_xlnm.Print_Area" localSheetId="6">SUMMARY!$A$1:$H$160</definedName>
    <definedName name="_xlnm.Print_Area" localSheetId="22">TRAFFIC!#REF!</definedName>
    <definedName name="_xlnm.Print_Area" localSheetId="27">WATER!#REF!</definedName>
    <definedName name="_xlnm.Print_Titles" localSheetId="1">' HIGH LEVEL BUDGET  SUMMARY'!$A:$A</definedName>
  </definedNames>
  <calcPr calcId="152511"/>
</workbook>
</file>

<file path=xl/calcChain.xml><?xml version="1.0" encoding="utf-8"?>
<calcChain xmlns="http://schemas.openxmlformats.org/spreadsheetml/2006/main">
  <c r="E40" i="42" l="1"/>
  <c r="E17" i="42"/>
  <c r="F17" i="42" s="1"/>
  <c r="G17" i="42" s="1"/>
  <c r="T15" i="44"/>
  <c r="U15" i="44"/>
  <c r="S15" i="44"/>
  <c r="F259" i="42"/>
  <c r="G24" i="26"/>
  <c r="H24" i="26" s="1"/>
  <c r="I24" i="26" s="1"/>
  <c r="H23" i="26"/>
  <c r="I23" i="26" s="1"/>
  <c r="G23" i="26"/>
  <c r="G22" i="26"/>
  <c r="H22" i="26" s="1"/>
  <c r="I22" i="26" s="1"/>
  <c r="G21" i="26"/>
  <c r="H21" i="26" s="1"/>
  <c r="I21" i="26" s="1"/>
  <c r="G20" i="26"/>
  <c r="H20" i="26" s="1"/>
  <c r="I20" i="26" s="1"/>
  <c r="G17" i="26"/>
  <c r="H17" i="26" s="1"/>
  <c r="I17" i="26" s="1"/>
  <c r="G16" i="26"/>
  <c r="H16" i="26" s="1"/>
  <c r="I16" i="26" s="1"/>
  <c r="G15" i="26"/>
  <c r="H15" i="26" s="1"/>
  <c r="I15" i="26" s="1"/>
  <c r="G14" i="26"/>
  <c r="H14" i="26" s="1"/>
  <c r="I14" i="26" s="1"/>
  <c r="G13" i="26"/>
  <c r="H13" i="26" s="1"/>
  <c r="I13" i="26" s="1"/>
  <c r="G12" i="26"/>
  <c r="H12" i="26" s="1"/>
  <c r="I12" i="26" s="1"/>
  <c r="G11" i="26"/>
  <c r="H11" i="26" s="1"/>
  <c r="I11" i="26" s="1"/>
  <c r="G10" i="26"/>
  <c r="H10" i="26" s="1"/>
  <c r="I10" i="26" s="1"/>
  <c r="H9" i="26"/>
  <c r="I9" i="26" s="1"/>
  <c r="G9" i="26"/>
  <c r="G8" i="26"/>
  <c r="H8" i="26" s="1"/>
  <c r="I8" i="26" s="1"/>
  <c r="G7" i="26"/>
  <c r="H7" i="26" s="1"/>
  <c r="I7" i="26" s="1"/>
  <c r="G24" i="5"/>
  <c r="H24" i="5" s="1"/>
  <c r="I24" i="5" s="1"/>
  <c r="H23" i="5"/>
  <c r="I23" i="5" s="1"/>
  <c r="G23" i="5"/>
  <c r="G22" i="5"/>
  <c r="H22" i="5" s="1"/>
  <c r="I22" i="5" s="1"/>
  <c r="H21" i="5"/>
  <c r="I21" i="5" s="1"/>
  <c r="G21" i="5"/>
  <c r="G20" i="5"/>
  <c r="H20" i="5" s="1"/>
  <c r="I20" i="5" s="1"/>
  <c r="G17" i="5"/>
  <c r="H17" i="5" s="1"/>
  <c r="I17" i="5" s="1"/>
  <c r="H16" i="5"/>
  <c r="I16" i="5" s="1"/>
  <c r="G16" i="5"/>
  <c r="G15" i="5"/>
  <c r="H15" i="5" s="1"/>
  <c r="I15" i="5" s="1"/>
  <c r="G14" i="5"/>
  <c r="H14" i="5" s="1"/>
  <c r="I14" i="5" s="1"/>
  <c r="G13" i="5"/>
  <c r="H13" i="5" s="1"/>
  <c r="I13" i="5" s="1"/>
  <c r="G12" i="5"/>
  <c r="H12" i="5" s="1"/>
  <c r="I12" i="5" s="1"/>
  <c r="G11" i="5"/>
  <c r="H11" i="5" s="1"/>
  <c r="I11" i="5" s="1"/>
  <c r="H10" i="5"/>
  <c r="I10" i="5" s="1"/>
  <c r="G10" i="5"/>
  <c r="G9" i="5"/>
  <c r="H9" i="5" s="1"/>
  <c r="I9" i="5" s="1"/>
  <c r="H8" i="5"/>
  <c r="I8" i="5" s="1"/>
  <c r="G8" i="5"/>
  <c r="G7" i="5"/>
  <c r="H7" i="5" s="1"/>
  <c r="I7" i="5" s="1"/>
  <c r="G24" i="7"/>
  <c r="H24" i="7" s="1"/>
  <c r="I24" i="7" s="1"/>
  <c r="I23" i="7"/>
  <c r="H23" i="7"/>
  <c r="G23" i="7"/>
  <c r="G22" i="7"/>
  <c r="H22" i="7" s="1"/>
  <c r="I22" i="7" s="1"/>
  <c r="G21" i="7"/>
  <c r="H21" i="7" s="1"/>
  <c r="I21" i="7" s="1"/>
  <c r="G20" i="7"/>
  <c r="H20" i="7" s="1"/>
  <c r="I20" i="7" s="1"/>
  <c r="H17" i="7"/>
  <c r="I17" i="7" s="1"/>
  <c r="G17" i="7"/>
  <c r="G16" i="7"/>
  <c r="H16" i="7" s="1"/>
  <c r="I16" i="7" s="1"/>
  <c r="G15" i="7"/>
  <c r="H15" i="7" s="1"/>
  <c r="I15" i="7" s="1"/>
  <c r="G14" i="7"/>
  <c r="H14" i="7" s="1"/>
  <c r="I14" i="7" s="1"/>
  <c r="G13" i="7"/>
  <c r="H13" i="7" s="1"/>
  <c r="I13" i="7" s="1"/>
  <c r="H12" i="7"/>
  <c r="I12" i="7" s="1"/>
  <c r="G12" i="7"/>
  <c r="G11" i="7"/>
  <c r="H11" i="7" s="1"/>
  <c r="I11" i="7" s="1"/>
  <c r="G10" i="7"/>
  <c r="H10" i="7" s="1"/>
  <c r="I10" i="7" s="1"/>
  <c r="G9" i="7"/>
  <c r="H9" i="7" s="1"/>
  <c r="I9" i="7" s="1"/>
  <c r="H8" i="7"/>
  <c r="I8" i="7" s="1"/>
  <c r="G8" i="7"/>
  <c r="G7" i="7"/>
  <c r="H7" i="7" s="1"/>
  <c r="I7" i="7" s="1"/>
  <c r="H24" i="13"/>
  <c r="I24" i="13" s="1"/>
  <c r="G24" i="13"/>
  <c r="G23" i="13"/>
  <c r="H23" i="13" s="1"/>
  <c r="I23" i="13" s="1"/>
  <c r="G22" i="13"/>
  <c r="H22" i="13" s="1"/>
  <c r="I22" i="13" s="1"/>
  <c r="G21" i="13"/>
  <c r="H21" i="13" s="1"/>
  <c r="I21" i="13" s="1"/>
  <c r="G20" i="13"/>
  <c r="H20" i="13" s="1"/>
  <c r="I20" i="13" s="1"/>
  <c r="G17" i="13"/>
  <c r="H17" i="13" s="1"/>
  <c r="I17" i="13" s="1"/>
  <c r="G16" i="13"/>
  <c r="H16" i="13" s="1"/>
  <c r="I16" i="13" s="1"/>
  <c r="G15" i="13"/>
  <c r="H15" i="13" s="1"/>
  <c r="I15" i="13" s="1"/>
  <c r="G14" i="13"/>
  <c r="H14" i="13" s="1"/>
  <c r="I14" i="13" s="1"/>
  <c r="G13" i="13"/>
  <c r="H13" i="13" s="1"/>
  <c r="I13" i="13" s="1"/>
  <c r="G12" i="13"/>
  <c r="H12" i="13" s="1"/>
  <c r="I12" i="13" s="1"/>
  <c r="G11" i="13"/>
  <c r="H11" i="13" s="1"/>
  <c r="I11" i="13" s="1"/>
  <c r="G10" i="13"/>
  <c r="H10" i="13" s="1"/>
  <c r="I10" i="13" s="1"/>
  <c r="G9" i="13"/>
  <c r="H9" i="13" s="1"/>
  <c r="I9" i="13" s="1"/>
  <c r="H8" i="13"/>
  <c r="I8" i="13" s="1"/>
  <c r="G8" i="13"/>
  <c r="G7" i="13"/>
  <c r="H7" i="13" s="1"/>
  <c r="I7" i="13" s="1"/>
  <c r="G24" i="15"/>
  <c r="H24" i="15" s="1"/>
  <c r="I24" i="15" s="1"/>
  <c r="H23" i="15"/>
  <c r="I23" i="15" s="1"/>
  <c r="G23" i="15"/>
  <c r="G22" i="15"/>
  <c r="H22" i="15" s="1"/>
  <c r="I22" i="15" s="1"/>
  <c r="G21" i="15"/>
  <c r="H21" i="15" s="1"/>
  <c r="I21" i="15" s="1"/>
  <c r="G20" i="15"/>
  <c r="H20" i="15" s="1"/>
  <c r="I20" i="15" s="1"/>
  <c r="G17" i="15"/>
  <c r="H17" i="15" s="1"/>
  <c r="I17" i="15" s="1"/>
  <c r="G16" i="15"/>
  <c r="H16" i="15" s="1"/>
  <c r="I16" i="15" s="1"/>
  <c r="G15" i="15"/>
  <c r="H15" i="15" s="1"/>
  <c r="I15" i="15" s="1"/>
  <c r="G14" i="15"/>
  <c r="H14" i="15" s="1"/>
  <c r="I14" i="15" s="1"/>
  <c r="G13" i="15"/>
  <c r="H13" i="15" s="1"/>
  <c r="I13" i="15" s="1"/>
  <c r="G12" i="15"/>
  <c r="H12" i="15" s="1"/>
  <c r="I12" i="15" s="1"/>
  <c r="G11" i="15"/>
  <c r="H11" i="15" s="1"/>
  <c r="I11" i="15" s="1"/>
  <c r="G10" i="15"/>
  <c r="H10" i="15" s="1"/>
  <c r="I10" i="15" s="1"/>
  <c r="G9" i="15"/>
  <c r="H9" i="15" s="1"/>
  <c r="I9" i="15" s="1"/>
  <c r="H8" i="15"/>
  <c r="I8" i="15" s="1"/>
  <c r="G8" i="15"/>
  <c r="G7" i="15"/>
  <c r="H7" i="15" s="1"/>
  <c r="I7" i="15" s="1"/>
  <c r="G24" i="19"/>
  <c r="H24" i="19" s="1"/>
  <c r="I24" i="19" s="1"/>
  <c r="H23" i="19"/>
  <c r="I23" i="19" s="1"/>
  <c r="G23" i="19"/>
  <c r="G22" i="19"/>
  <c r="H22" i="19" s="1"/>
  <c r="I22" i="19" s="1"/>
  <c r="G21" i="19"/>
  <c r="H21" i="19" s="1"/>
  <c r="I21" i="19" s="1"/>
  <c r="G20" i="19"/>
  <c r="H20" i="19" s="1"/>
  <c r="I20" i="19" s="1"/>
  <c r="G17" i="19"/>
  <c r="H17" i="19" s="1"/>
  <c r="I17" i="19" s="1"/>
  <c r="G16" i="19"/>
  <c r="H16" i="19" s="1"/>
  <c r="I16" i="19" s="1"/>
  <c r="G15" i="19"/>
  <c r="H15" i="19" s="1"/>
  <c r="I15" i="19" s="1"/>
  <c r="G14" i="19"/>
  <c r="H14" i="19" s="1"/>
  <c r="I14" i="19" s="1"/>
  <c r="G13" i="19"/>
  <c r="H13" i="19" s="1"/>
  <c r="I13" i="19" s="1"/>
  <c r="G12" i="19"/>
  <c r="H12" i="19" s="1"/>
  <c r="I12" i="19" s="1"/>
  <c r="G11" i="19"/>
  <c r="H11" i="19" s="1"/>
  <c r="I11" i="19" s="1"/>
  <c r="G10" i="19"/>
  <c r="H10" i="19" s="1"/>
  <c r="I10" i="19" s="1"/>
  <c r="G9" i="19"/>
  <c r="H9" i="19" s="1"/>
  <c r="I9" i="19" s="1"/>
  <c r="H8" i="19"/>
  <c r="I8" i="19" s="1"/>
  <c r="G8" i="19"/>
  <c r="G7" i="19"/>
  <c r="H7" i="19" s="1"/>
  <c r="I7" i="19" s="1"/>
  <c r="G24" i="18"/>
  <c r="H24" i="18" s="1"/>
  <c r="I24" i="18" s="1"/>
  <c r="H23" i="18"/>
  <c r="I23" i="18" s="1"/>
  <c r="G23" i="18"/>
  <c r="G22" i="18"/>
  <c r="H22" i="18" s="1"/>
  <c r="I22" i="18" s="1"/>
  <c r="G21" i="18"/>
  <c r="H21" i="18" s="1"/>
  <c r="I21" i="18" s="1"/>
  <c r="G20" i="18"/>
  <c r="H20" i="18" s="1"/>
  <c r="I20" i="18" s="1"/>
  <c r="G17" i="18"/>
  <c r="H17" i="18" s="1"/>
  <c r="I17" i="18" s="1"/>
  <c r="G16" i="18"/>
  <c r="H16" i="18" s="1"/>
  <c r="I16" i="18" s="1"/>
  <c r="G15" i="18"/>
  <c r="H15" i="18" s="1"/>
  <c r="I15" i="18" s="1"/>
  <c r="G14" i="18"/>
  <c r="H14" i="18" s="1"/>
  <c r="I14" i="18" s="1"/>
  <c r="G13" i="18"/>
  <c r="H13" i="18" s="1"/>
  <c r="I13" i="18" s="1"/>
  <c r="G12" i="18"/>
  <c r="H12" i="18" s="1"/>
  <c r="I12" i="18" s="1"/>
  <c r="G11" i="18"/>
  <c r="H11" i="18" s="1"/>
  <c r="I11" i="18" s="1"/>
  <c r="G10" i="18"/>
  <c r="H10" i="18" s="1"/>
  <c r="I10" i="18" s="1"/>
  <c r="G9" i="18"/>
  <c r="H9" i="18" s="1"/>
  <c r="I9" i="18" s="1"/>
  <c r="H8" i="18"/>
  <c r="I8" i="18" s="1"/>
  <c r="G8" i="18"/>
  <c r="G7" i="18"/>
  <c r="H7" i="18" s="1"/>
  <c r="I7" i="18" s="1"/>
  <c r="F25" i="16"/>
  <c r="E25" i="16"/>
  <c r="G24" i="16"/>
  <c r="H24" i="16" s="1"/>
  <c r="I24" i="16" s="1"/>
  <c r="G23" i="16"/>
  <c r="H23" i="16" s="1"/>
  <c r="I23" i="16" s="1"/>
  <c r="H22" i="16"/>
  <c r="I22" i="16" s="1"/>
  <c r="G22" i="16"/>
  <c r="G21" i="16"/>
  <c r="H21" i="16" s="1"/>
  <c r="I21" i="16" s="1"/>
  <c r="G20" i="16"/>
  <c r="H20" i="16" s="1"/>
  <c r="I20" i="16" s="1"/>
  <c r="I25" i="16" s="1"/>
  <c r="I17" i="16"/>
  <c r="H17" i="16"/>
  <c r="G17" i="16"/>
  <c r="G16" i="16"/>
  <c r="H16" i="16" s="1"/>
  <c r="I16" i="16" s="1"/>
  <c r="G15" i="16"/>
  <c r="H15" i="16" s="1"/>
  <c r="I15" i="16" s="1"/>
  <c r="G14" i="16"/>
  <c r="H14" i="16" s="1"/>
  <c r="I14" i="16" s="1"/>
  <c r="H13" i="16"/>
  <c r="I13" i="16" s="1"/>
  <c r="G13" i="16"/>
  <c r="G12" i="16"/>
  <c r="H12" i="16" s="1"/>
  <c r="I12" i="16" s="1"/>
  <c r="G11" i="16"/>
  <c r="H11" i="16" s="1"/>
  <c r="I11" i="16" s="1"/>
  <c r="G10" i="16"/>
  <c r="H10" i="16" s="1"/>
  <c r="I10" i="16" s="1"/>
  <c r="G9" i="16"/>
  <c r="H9" i="16" s="1"/>
  <c r="I9" i="16" s="1"/>
  <c r="H8" i="16"/>
  <c r="I8" i="16" s="1"/>
  <c r="G8" i="16"/>
  <c r="G7" i="16"/>
  <c r="H7" i="16" s="1"/>
  <c r="I7" i="16" s="1"/>
  <c r="G24" i="14"/>
  <c r="H24" i="14" s="1"/>
  <c r="I24" i="14" s="1"/>
  <c r="H23" i="14"/>
  <c r="I23" i="14" s="1"/>
  <c r="G23" i="14"/>
  <c r="G22" i="14"/>
  <c r="H22" i="14" s="1"/>
  <c r="I22" i="14" s="1"/>
  <c r="H21" i="14"/>
  <c r="I21" i="14" s="1"/>
  <c r="G21" i="14"/>
  <c r="G20" i="14"/>
  <c r="H20" i="14" s="1"/>
  <c r="I20" i="14" s="1"/>
  <c r="G17" i="14"/>
  <c r="H17" i="14" s="1"/>
  <c r="I17" i="14" s="1"/>
  <c r="G16" i="14"/>
  <c r="H16" i="14" s="1"/>
  <c r="I16" i="14" s="1"/>
  <c r="H15" i="14"/>
  <c r="I15" i="14" s="1"/>
  <c r="G15" i="14"/>
  <c r="G14" i="14"/>
  <c r="H14" i="14" s="1"/>
  <c r="I14" i="14" s="1"/>
  <c r="G24" i="12"/>
  <c r="H24" i="12" s="1"/>
  <c r="I24" i="12" s="1"/>
  <c r="G23" i="12"/>
  <c r="H23" i="12" s="1"/>
  <c r="I23" i="12" s="1"/>
  <c r="G22" i="12"/>
  <c r="H22" i="12" s="1"/>
  <c r="I22" i="12" s="1"/>
  <c r="G21" i="12"/>
  <c r="H21" i="12" s="1"/>
  <c r="I21" i="12" s="1"/>
  <c r="G20" i="12"/>
  <c r="H20" i="12" s="1"/>
  <c r="I20" i="12" s="1"/>
  <c r="G17" i="12"/>
  <c r="H17" i="12" s="1"/>
  <c r="I17" i="12" s="1"/>
  <c r="H16" i="12"/>
  <c r="I16" i="12" s="1"/>
  <c r="G16" i="12"/>
  <c r="G15" i="12"/>
  <c r="H15" i="12" s="1"/>
  <c r="I15" i="12" s="1"/>
  <c r="G14" i="12"/>
  <c r="H14" i="12" s="1"/>
  <c r="I14" i="12" s="1"/>
  <c r="G24" i="11"/>
  <c r="H24" i="11" s="1"/>
  <c r="I24" i="11" s="1"/>
  <c r="H23" i="11"/>
  <c r="I23" i="11" s="1"/>
  <c r="G23" i="11"/>
  <c r="G22" i="11"/>
  <c r="H22" i="11" s="1"/>
  <c r="I22" i="11" s="1"/>
  <c r="G21" i="11"/>
  <c r="H21" i="11" s="1"/>
  <c r="I21" i="11" s="1"/>
  <c r="G20" i="11"/>
  <c r="H20" i="11" s="1"/>
  <c r="I20" i="11" s="1"/>
  <c r="G17" i="11"/>
  <c r="H17" i="11" s="1"/>
  <c r="I17" i="11" s="1"/>
  <c r="H16" i="11"/>
  <c r="I16" i="11" s="1"/>
  <c r="G16" i="11"/>
  <c r="G15" i="11"/>
  <c r="H15" i="11" s="1"/>
  <c r="I15" i="11" s="1"/>
  <c r="G14" i="11"/>
  <c r="H14" i="11" s="1"/>
  <c r="I14" i="11" s="1"/>
  <c r="G13" i="11"/>
  <c r="H13" i="11" s="1"/>
  <c r="I13" i="11" s="1"/>
  <c r="H12" i="11"/>
  <c r="I12" i="11" s="1"/>
  <c r="G12" i="11"/>
  <c r="G11" i="11"/>
  <c r="H11" i="11" s="1"/>
  <c r="I11" i="11" s="1"/>
  <c r="G10" i="11"/>
  <c r="H10" i="11" s="1"/>
  <c r="I10" i="11" s="1"/>
  <c r="I9" i="11"/>
  <c r="H9" i="11"/>
  <c r="G9" i="11"/>
  <c r="G8" i="11"/>
  <c r="H8" i="11" s="1"/>
  <c r="I8" i="11" s="1"/>
  <c r="G7" i="11"/>
  <c r="H7" i="11" s="1"/>
  <c r="I7" i="11" s="1"/>
  <c r="G20" i="8"/>
  <c r="G24" i="8"/>
  <c r="H24" i="8" s="1"/>
  <c r="I24" i="8" s="1"/>
  <c r="H23" i="8"/>
  <c r="I23" i="8" s="1"/>
  <c r="G23" i="8"/>
  <c r="G22" i="8"/>
  <c r="H22" i="8" s="1"/>
  <c r="I22" i="8" s="1"/>
  <c r="G21" i="8"/>
  <c r="H21" i="8" s="1"/>
  <c r="I21" i="8" s="1"/>
  <c r="H20" i="8"/>
  <c r="I20" i="8" s="1"/>
  <c r="G17" i="8"/>
  <c r="H17" i="8" s="1"/>
  <c r="I17" i="8" s="1"/>
  <c r="G16" i="8"/>
  <c r="H16" i="8" s="1"/>
  <c r="I16" i="8" s="1"/>
  <c r="G15" i="8"/>
  <c r="H15" i="8" s="1"/>
  <c r="I15" i="8" s="1"/>
  <c r="H14" i="8"/>
  <c r="I14" i="8" s="1"/>
  <c r="G14" i="8"/>
  <c r="G13" i="8"/>
  <c r="H13" i="8" s="1"/>
  <c r="I13" i="8" s="1"/>
  <c r="H12" i="8"/>
  <c r="I12" i="8" s="1"/>
  <c r="G12" i="8"/>
  <c r="G11" i="8"/>
  <c r="H11" i="8" s="1"/>
  <c r="I11" i="8" s="1"/>
  <c r="G10" i="8"/>
  <c r="H10" i="8" s="1"/>
  <c r="I10" i="8" s="1"/>
  <c r="G9" i="8"/>
  <c r="H9" i="8" s="1"/>
  <c r="I9" i="8" s="1"/>
  <c r="G8" i="8"/>
  <c r="H8" i="8" s="1"/>
  <c r="I8" i="8" s="1"/>
  <c r="G7" i="8"/>
  <c r="H7" i="8" s="1"/>
  <c r="I7" i="8" s="1"/>
  <c r="H6" i="8"/>
  <c r="I6" i="8" s="1"/>
  <c r="G6" i="8"/>
  <c r="H24" i="10"/>
  <c r="I24" i="10" s="1"/>
  <c r="G24" i="10"/>
  <c r="G23" i="10"/>
  <c r="H23" i="10" s="1"/>
  <c r="I23" i="10" s="1"/>
  <c r="G22" i="10"/>
  <c r="H22" i="10" s="1"/>
  <c r="I22" i="10" s="1"/>
  <c r="G21" i="10"/>
  <c r="H21" i="10" s="1"/>
  <c r="I21" i="10" s="1"/>
  <c r="G20" i="10"/>
  <c r="H20" i="10" s="1"/>
  <c r="I20" i="10" s="1"/>
  <c r="G17" i="10"/>
  <c r="H17" i="10" s="1"/>
  <c r="I17" i="10" s="1"/>
  <c r="G16" i="10"/>
  <c r="H16" i="10" s="1"/>
  <c r="I16" i="10" s="1"/>
  <c r="G15" i="10"/>
  <c r="H15" i="10" s="1"/>
  <c r="I15" i="10" s="1"/>
  <c r="G14" i="10"/>
  <c r="H14" i="10" s="1"/>
  <c r="I14" i="10" s="1"/>
  <c r="G24" i="6"/>
  <c r="H24" i="6" s="1"/>
  <c r="I24" i="6" s="1"/>
  <c r="G23" i="6"/>
  <c r="H23" i="6" s="1"/>
  <c r="I23" i="6" s="1"/>
  <c r="G22" i="6"/>
  <c r="H22" i="6" s="1"/>
  <c r="I22" i="6" s="1"/>
  <c r="G21" i="6"/>
  <c r="H21" i="6" s="1"/>
  <c r="I21" i="6" s="1"/>
  <c r="G20" i="6"/>
  <c r="H20" i="6" s="1"/>
  <c r="I20" i="6" s="1"/>
  <c r="G17" i="6"/>
  <c r="H17" i="6" s="1"/>
  <c r="I17" i="6" s="1"/>
  <c r="H16" i="6"/>
  <c r="I16" i="6" s="1"/>
  <c r="G16" i="6"/>
  <c r="G15" i="6"/>
  <c r="H15" i="6" s="1"/>
  <c r="I15" i="6" s="1"/>
  <c r="G14" i="6"/>
  <c r="H14" i="6" s="1"/>
  <c r="I14" i="6" s="1"/>
  <c r="G24" i="21"/>
  <c r="H24" i="21" s="1"/>
  <c r="I24" i="21" s="1"/>
  <c r="H23" i="21"/>
  <c r="I23" i="21" s="1"/>
  <c r="G23" i="21"/>
  <c r="G22" i="21"/>
  <c r="H22" i="21" s="1"/>
  <c r="I22" i="21" s="1"/>
  <c r="G21" i="21"/>
  <c r="H21" i="21" s="1"/>
  <c r="I21" i="21" s="1"/>
  <c r="G20" i="21"/>
  <c r="H20" i="21" s="1"/>
  <c r="I20" i="21" s="1"/>
  <c r="G17" i="21"/>
  <c r="H17" i="21" s="1"/>
  <c r="I17" i="21" s="1"/>
  <c r="G16" i="21"/>
  <c r="H16" i="21" s="1"/>
  <c r="I16" i="21" s="1"/>
  <c r="G15" i="21"/>
  <c r="H15" i="21" s="1"/>
  <c r="I15" i="21" s="1"/>
  <c r="G14" i="21"/>
  <c r="H14" i="21" s="1"/>
  <c r="I14" i="21" s="1"/>
  <c r="G13" i="21"/>
  <c r="H13" i="21" s="1"/>
  <c r="I13" i="21" s="1"/>
  <c r="G12" i="21"/>
  <c r="H12" i="21" s="1"/>
  <c r="I12" i="21" s="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17" i="22"/>
  <c r="G24" i="22"/>
  <c r="H24" i="22" s="1"/>
  <c r="I24" i="22" s="1"/>
  <c r="G23" i="22"/>
  <c r="H23" i="22" s="1"/>
  <c r="I23" i="22" s="1"/>
  <c r="G22" i="22"/>
  <c r="H22" i="22" s="1"/>
  <c r="I22" i="22" s="1"/>
  <c r="G21" i="22"/>
  <c r="H21" i="22" s="1"/>
  <c r="I21" i="22" s="1"/>
  <c r="G20" i="22"/>
  <c r="H20" i="22" s="1"/>
  <c r="I20" i="22" s="1"/>
  <c r="H17" i="22"/>
  <c r="I17" i="22" s="1"/>
  <c r="H16" i="22"/>
  <c r="I16" i="22" s="1"/>
  <c r="G16" i="22"/>
  <c r="G15" i="22"/>
  <c r="H15" i="22" s="1"/>
  <c r="I15" i="22" s="1"/>
  <c r="G14" i="22"/>
  <c r="H14" i="22" s="1"/>
  <c r="I14" i="22" s="1"/>
  <c r="G13" i="22"/>
  <c r="H13" i="22" s="1"/>
  <c r="I13" i="22" s="1"/>
  <c r="H12" i="22"/>
  <c r="I12" i="22" s="1"/>
  <c r="G12" i="22"/>
  <c r="G11" i="22"/>
  <c r="H11" i="22" s="1"/>
  <c r="I11" i="22" s="1"/>
  <c r="G10" i="22"/>
  <c r="H10" i="22" s="1"/>
  <c r="I10" i="22" s="1"/>
  <c r="G9" i="22"/>
  <c r="H9" i="22" s="1"/>
  <c r="I9" i="22" s="1"/>
  <c r="G8" i="22"/>
  <c r="H8" i="22" s="1"/>
  <c r="I8" i="22" s="1"/>
  <c r="G7" i="22"/>
  <c r="H7" i="22" s="1"/>
  <c r="I7" i="22" s="1"/>
  <c r="G24" i="23"/>
  <c r="H24" i="23" s="1"/>
  <c r="I24" i="23" s="1"/>
  <c r="H23" i="23"/>
  <c r="I23" i="23" s="1"/>
  <c r="G23" i="23"/>
  <c r="G22" i="23"/>
  <c r="H22" i="23" s="1"/>
  <c r="I22" i="23" s="1"/>
  <c r="G21" i="23"/>
  <c r="H21" i="23" s="1"/>
  <c r="I21" i="23" s="1"/>
  <c r="G20" i="23"/>
  <c r="H20" i="23" s="1"/>
  <c r="I20" i="23" s="1"/>
  <c r="G17" i="23"/>
  <c r="H17" i="23" s="1"/>
  <c r="I17" i="23" s="1"/>
  <c r="G16" i="23"/>
  <c r="H16" i="23" s="1"/>
  <c r="I16" i="23" s="1"/>
  <c r="G15" i="23"/>
  <c r="H15" i="23" s="1"/>
  <c r="I15" i="23" s="1"/>
  <c r="G14" i="23"/>
  <c r="H14" i="23" s="1"/>
  <c r="I14" i="23" s="1"/>
  <c r="G13" i="23"/>
  <c r="H13" i="23" s="1"/>
  <c r="I13" i="23" s="1"/>
  <c r="H12" i="23"/>
  <c r="I12" i="23" s="1"/>
  <c r="G12" i="23"/>
  <c r="G11" i="23"/>
  <c r="H11" i="23" s="1"/>
  <c r="I11" i="23" s="1"/>
  <c r="H10" i="23"/>
  <c r="I10" i="23" s="1"/>
  <c r="G10" i="23"/>
  <c r="G9" i="23"/>
  <c r="H9" i="23" s="1"/>
  <c r="I9" i="23" s="1"/>
  <c r="G8" i="23"/>
  <c r="H8" i="23" s="1"/>
  <c r="I8" i="23" s="1"/>
  <c r="G7" i="23"/>
  <c r="H7" i="23" s="1"/>
  <c r="I7" i="23" s="1"/>
  <c r="G24" i="24"/>
  <c r="H24" i="24" s="1"/>
  <c r="I24" i="24" s="1"/>
  <c r="H23" i="24"/>
  <c r="I23" i="24" s="1"/>
  <c r="G23" i="24"/>
  <c r="G22" i="24"/>
  <c r="H22" i="24" s="1"/>
  <c r="I22" i="24" s="1"/>
  <c r="G21" i="24"/>
  <c r="H21" i="24" s="1"/>
  <c r="I21" i="24" s="1"/>
  <c r="G20" i="24"/>
  <c r="H20" i="24" s="1"/>
  <c r="I20" i="24" s="1"/>
  <c r="G17" i="24"/>
  <c r="H17" i="24" s="1"/>
  <c r="I17" i="24" s="1"/>
  <c r="G16" i="24"/>
  <c r="H16" i="24" s="1"/>
  <c r="I16" i="24" s="1"/>
  <c r="G15" i="24"/>
  <c r="H15" i="24" s="1"/>
  <c r="I15" i="24" s="1"/>
  <c r="G14" i="24"/>
  <c r="H14" i="24" s="1"/>
  <c r="I14" i="24" s="1"/>
  <c r="G13" i="24"/>
  <c r="H13" i="24" s="1"/>
  <c r="I13" i="24" s="1"/>
  <c r="G12" i="24"/>
  <c r="H12" i="24" s="1"/>
  <c r="I12" i="24" s="1"/>
  <c r="G11" i="24"/>
  <c r="H11" i="24" s="1"/>
  <c r="I11" i="24" s="1"/>
  <c r="G10" i="24"/>
  <c r="H10" i="24" s="1"/>
  <c r="I10" i="24" s="1"/>
  <c r="G9" i="24"/>
  <c r="H9" i="24" s="1"/>
  <c r="I9" i="24" s="1"/>
  <c r="H8" i="24"/>
  <c r="I8" i="24" s="1"/>
  <c r="G8" i="24"/>
  <c r="G7" i="24"/>
  <c r="H7" i="24" s="1"/>
  <c r="I7" i="24" s="1"/>
  <c r="G28" i="4"/>
  <c r="H28" i="4" s="1"/>
  <c r="I28" i="4" s="1"/>
  <c r="Q235" i="45"/>
  <c r="Q233" i="45"/>
  <c r="Q231" i="45"/>
  <c r="Q228" i="45"/>
  <c r="N228" i="45"/>
  <c r="M228" i="45"/>
  <c r="I228" i="45"/>
  <c r="Q227" i="45"/>
  <c r="N227" i="45"/>
  <c r="M227" i="45"/>
  <c r="I227" i="45"/>
  <c r="Q226" i="45"/>
  <c r="Q225" i="45"/>
  <c r="Q224" i="45"/>
  <c r="L224" i="45"/>
  <c r="M224" i="45" s="1"/>
  <c r="N224" i="45" s="1"/>
  <c r="O224" i="45" s="1"/>
  <c r="K224" i="45"/>
  <c r="I224" i="45"/>
  <c r="Q223" i="45"/>
  <c r="Q221" i="45"/>
  <c r="I221" i="45"/>
  <c r="Q219" i="45"/>
  <c r="I219" i="45"/>
  <c r="Q216" i="45"/>
  <c r="Q215" i="45"/>
  <c r="M215" i="45"/>
  <c r="N215" i="45" s="1"/>
  <c r="O215" i="45" s="1"/>
  <c r="Q214" i="45"/>
  <c r="M214" i="45"/>
  <c r="N214" i="45" s="1"/>
  <c r="O214" i="45" s="1"/>
  <c r="Q213" i="45"/>
  <c r="M213" i="45"/>
  <c r="N213" i="45" s="1"/>
  <c r="O213" i="45" s="1"/>
  <c r="Q212" i="45"/>
  <c r="M212" i="45"/>
  <c r="N212" i="45" s="1"/>
  <c r="O212" i="45" s="1"/>
  <c r="Q211" i="45"/>
  <c r="Q210" i="45"/>
  <c r="Q209" i="45"/>
  <c r="Q208" i="45"/>
  <c r="Q207" i="45"/>
  <c r="Q206" i="45"/>
  <c r="Q205" i="45"/>
  <c r="M205" i="45"/>
  <c r="N205" i="45" s="1"/>
  <c r="Q204" i="45"/>
  <c r="M204" i="45"/>
  <c r="N204" i="45" s="1"/>
  <c r="Q203" i="45"/>
  <c r="M203" i="45"/>
  <c r="N203" i="45" s="1"/>
  <c r="Q202" i="45"/>
  <c r="M202" i="45"/>
  <c r="N202" i="45" s="1"/>
  <c r="P201" i="45"/>
  <c r="Q201" i="45" s="1"/>
  <c r="M201" i="45"/>
  <c r="N201" i="45" s="1"/>
  <c r="Q200" i="45"/>
  <c r="M200" i="45"/>
  <c r="N200" i="45" s="1"/>
  <c r="Q199" i="45"/>
  <c r="M199" i="45"/>
  <c r="N199" i="45" s="1"/>
  <c r="Q198" i="45"/>
  <c r="M198" i="45"/>
  <c r="N198" i="45" s="1"/>
  <c r="Q197" i="45"/>
  <c r="M197" i="45"/>
  <c r="N197" i="45" s="1"/>
  <c r="Q196" i="45"/>
  <c r="M196" i="45"/>
  <c r="N196" i="45" s="1"/>
  <c r="Q195" i="45"/>
  <c r="Q194" i="45"/>
  <c r="Q192" i="45"/>
  <c r="Q191" i="45"/>
  <c r="Q190" i="45"/>
  <c r="Q189" i="45"/>
  <c r="Q188" i="45"/>
  <c r="Q182" i="45"/>
  <c r="Q181" i="45"/>
  <c r="Q180" i="45"/>
  <c r="Q174" i="45"/>
  <c r="Q173" i="45"/>
  <c r="Q172" i="45"/>
  <c r="Q171" i="45"/>
  <c r="Q169" i="45"/>
  <c r="Q168" i="45"/>
  <c r="Q167" i="45"/>
  <c r="Q166" i="45"/>
  <c r="O166" i="45"/>
  <c r="Q165" i="45"/>
  <c r="O165" i="45"/>
  <c r="Q164" i="45"/>
  <c r="O164" i="45"/>
  <c r="Q163" i="45"/>
  <c r="I163" i="45"/>
  <c r="J163" i="45" s="1"/>
  <c r="K163" i="45" s="1"/>
  <c r="L163" i="45" s="1"/>
  <c r="M163" i="45" s="1"/>
  <c r="N163" i="45" s="1"/>
  <c r="O163" i="45" s="1"/>
  <c r="Q162" i="45"/>
  <c r="I162" i="45"/>
  <c r="J162" i="45" s="1"/>
  <c r="K162" i="45" s="1"/>
  <c r="L162" i="45" s="1"/>
  <c r="M162" i="45" s="1"/>
  <c r="N162" i="45" s="1"/>
  <c r="O162" i="45" s="1"/>
  <c r="Q161" i="45"/>
  <c r="I161" i="45"/>
  <c r="J161" i="45" s="1"/>
  <c r="K161" i="45" s="1"/>
  <c r="L161" i="45" s="1"/>
  <c r="M161" i="45" s="1"/>
  <c r="N161" i="45" s="1"/>
  <c r="O161" i="45" s="1"/>
  <c r="Q160" i="45"/>
  <c r="I160" i="45"/>
  <c r="J160" i="45" s="1"/>
  <c r="K160" i="45" s="1"/>
  <c r="L160" i="45" s="1"/>
  <c r="M160" i="45" s="1"/>
  <c r="N160" i="45" s="1"/>
  <c r="O160" i="45" s="1"/>
  <c r="Q159" i="45"/>
  <c r="J159" i="45"/>
  <c r="K159" i="45" s="1"/>
  <c r="L159" i="45" s="1"/>
  <c r="M159" i="45" s="1"/>
  <c r="N159" i="45" s="1"/>
  <c r="O159" i="45" s="1"/>
  <c r="I159" i="45"/>
  <c r="Q158" i="45"/>
  <c r="J158" i="45"/>
  <c r="K158" i="45" s="1"/>
  <c r="L158" i="45" s="1"/>
  <c r="M158" i="45" s="1"/>
  <c r="N158" i="45" s="1"/>
  <c r="O158" i="45" s="1"/>
  <c r="I158" i="45"/>
  <c r="Q157" i="45"/>
  <c r="K157" i="45"/>
  <c r="L157" i="45" s="1"/>
  <c r="M157" i="45" s="1"/>
  <c r="N157" i="45" s="1"/>
  <c r="O157" i="45" s="1"/>
  <c r="J157" i="45"/>
  <c r="I157" i="45"/>
  <c r="Q156" i="45"/>
  <c r="O156" i="45"/>
  <c r="M156" i="45"/>
  <c r="L156" i="45"/>
  <c r="Q155" i="45"/>
  <c r="O155" i="45"/>
  <c r="M155" i="45"/>
  <c r="L155" i="45"/>
  <c r="I155" i="45"/>
  <c r="Q154" i="45"/>
  <c r="I154" i="45"/>
  <c r="J154" i="45" s="1"/>
  <c r="K154" i="45" s="1"/>
  <c r="L154" i="45" s="1"/>
  <c r="M154" i="45" s="1"/>
  <c r="N154" i="45" s="1"/>
  <c r="O154" i="45" s="1"/>
  <c r="Q153" i="45"/>
  <c r="Q152" i="45"/>
  <c r="Q151" i="45"/>
  <c r="Q150" i="45"/>
  <c r="O150" i="45"/>
  <c r="Q149" i="45"/>
  <c r="O149" i="45"/>
  <c r="Q148" i="45"/>
  <c r="J148" i="45"/>
  <c r="K148" i="45" s="1"/>
  <c r="I148" i="45"/>
  <c r="Q147" i="45"/>
  <c r="I147" i="45"/>
  <c r="J147" i="45" s="1"/>
  <c r="K147" i="45" s="1"/>
  <c r="L147" i="45" s="1"/>
  <c r="M147" i="45" s="1"/>
  <c r="N147" i="45" s="1"/>
  <c r="O147" i="45" s="1"/>
  <c r="Q146" i="45"/>
  <c r="I146" i="45"/>
  <c r="J146" i="45" s="1"/>
  <c r="K146" i="45" s="1"/>
  <c r="L146" i="45" s="1"/>
  <c r="M146" i="45" s="1"/>
  <c r="N146" i="45" s="1"/>
  <c r="O146" i="45" s="1"/>
  <c r="Q145" i="45"/>
  <c r="I145" i="45"/>
  <c r="J145" i="45" s="1"/>
  <c r="K145" i="45" s="1"/>
  <c r="L145" i="45" s="1"/>
  <c r="M145" i="45" s="1"/>
  <c r="N145" i="45" s="1"/>
  <c r="O145" i="45" s="1"/>
  <c r="Q144" i="45"/>
  <c r="I144" i="45"/>
  <c r="J144" i="45" s="1"/>
  <c r="K144" i="45" s="1"/>
  <c r="L144" i="45" s="1"/>
  <c r="M144" i="45" s="1"/>
  <c r="N144" i="45" s="1"/>
  <c r="O144" i="45" s="1"/>
  <c r="Q143" i="45"/>
  <c r="J143" i="45"/>
  <c r="K143" i="45" s="1"/>
  <c r="L143" i="45" s="1"/>
  <c r="M143" i="45" s="1"/>
  <c r="N143" i="45" s="1"/>
  <c r="O143" i="45" s="1"/>
  <c r="I143" i="45"/>
  <c r="Q142" i="45"/>
  <c r="I142" i="45"/>
  <c r="J142" i="45" s="1"/>
  <c r="K142" i="45" s="1"/>
  <c r="L142" i="45" s="1"/>
  <c r="M142" i="45" s="1"/>
  <c r="N142" i="45" s="1"/>
  <c r="O142" i="45" s="1"/>
  <c r="Q141" i="45"/>
  <c r="I141" i="45"/>
  <c r="J141" i="45" s="1"/>
  <c r="K141" i="45" s="1"/>
  <c r="L141" i="45" s="1"/>
  <c r="M141" i="45" s="1"/>
  <c r="N141" i="45" s="1"/>
  <c r="O141" i="45" s="1"/>
  <c r="Q140" i="45"/>
  <c r="Q139" i="45"/>
  <c r="Q138" i="45"/>
  <c r="I138" i="45"/>
  <c r="J138" i="45" s="1"/>
  <c r="K138" i="45" s="1"/>
  <c r="L138" i="45" s="1"/>
  <c r="M138" i="45" s="1"/>
  <c r="N138" i="45" s="1"/>
  <c r="O138" i="45" s="1"/>
  <c r="Q137" i="45"/>
  <c r="I137" i="45"/>
  <c r="J137" i="45" s="1"/>
  <c r="K137" i="45" s="1"/>
  <c r="L137" i="45" s="1"/>
  <c r="M137" i="45" s="1"/>
  <c r="N137" i="45" s="1"/>
  <c r="O137" i="45" s="1"/>
  <c r="Q136" i="45"/>
  <c r="I136" i="45"/>
  <c r="J136" i="45" s="1"/>
  <c r="K136" i="45" s="1"/>
  <c r="L136" i="45" s="1"/>
  <c r="M136" i="45" s="1"/>
  <c r="N136" i="45" s="1"/>
  <c r="O136" i="45" s="1"/>
  <c r="Q135" i="45"/>
  <c r="Q134" i="45"/>
  <c r="Q133" i="45"/>
  <c r="Q132" i="45"/>
  <c r="Q131" i="45"/>
  <c r="Q130" i="45"/>
  <c r="I130" i="45"/>
  <c r="J130" i="45" s="1"/>
  <c r="K130" i="45" s="1"/>
  <c r="L130" i="45" s="1"/>
  <c r="M130" i="45" s="1"/>
  <c r="N130" i="45" s="1"/>
  <c r="O130" i="45" s="1"/>
  <c r="Q129" i="45"/>
  <c r="J129" i="45"/>
  <c r="K129" i="45" s="1"/>
  <c r="L129" i="45" s="1"/>
  <c r="M129" i="45" s="1"/>
  <c r="N129" i="45" s="1"/>
  <c r="O129" i="45" s="1"/>
  <c r="I129" i="45"/>
  <c r="Q128" i="45"/>
  <c r="J128" i="45"/>
  <c r="K128" i="45" s="1"/>
  <c r="L128" i="45" s="1"/>
  <c r="M128" i="45" s="1"/>
  <c r="N128" i="45" s="1"/>
  <c r="O128" i="45" s="1"/>
  <c r="I128" i="45"/>
  <c r="Q127" i="45"/>
  <c r="I127" i="45"/>
  <c r="J127" i="45" s="1"/>
  <c r="K127" i="45" s="1"/>
  <c r="L127" i="45" s="1"/>
  <c r="M127" i="45" s="1"/>
  <c r="N127" i="45" s="1"/>
  <c r="O127" i="45" s="1"/>
  <c r="Q126" i="45"/>
  <c r="Q124" i="45"/>
  <c r="Q123" i="45"/>
  <c r="J123" i="45"/>
  <c r="K123" i="45" s="1"/>
  <c r="L123" i="45" s="1"/>
  <c r="M123" i="45" s="1"/>
  <c r="N123" i="45" s="1"/>
  <c r="O123" i="45" s="1"/>
  <c r="I123" i="45"/>
  <c r="Q122" i="45"/>
  <c r="L122" i="45"/>
  <c r="M122" i="45" s="1"/>
  <c r="N122" i="45" s="1"/>
  <c r="O122" i="45" s="1"/>
  <c r="K122" i="45"/>
  <c r="I122" i="45"/>
  <c r="Q121" i="45"/>
  <c r="Q120" i="45"/>
  <c r="Q119" i="45"/>
  <c r="Q118" i="45"/>
  <c r="L118" i="45"/>
  <c r="M118" i="45" s="1"/>
  <c r="N118" i="45" s="1"/>
  <c r="O118" i="45" s="1"/>
  <c r="J118" i="45"/>
  <c r="I118" i="45"/>
  <c r="Q117" i="45"/>
  <c r="N117" i="45"/>
  <c r="O117" i="45" s="1"/>
  <c r="M117" i="45"/>
  <c r="L117" i="45"/>
  <c r="I117" i="45"/>
  <c r="J117" i="45" s="1"/>
  <c r="Q116" i="45"/>
  <c r="L116" i="45"/>
  <c r="M116" i="45" s="1"/>
  <c r="N116" i="45" s="1"/>
  <c r="O116" i="45" s="1"/>
  <c r="I116" i="45"/>
  <c r="J116" i="45" s="1"/>
  <c r="Q115" i="45"/>
  <c r="I115" i="45"/>
  <c r="J115" i="45" s="1"/>
  <c r="K115" i="45" s="1"/>
  <c r="L115" i="45" s="1"/>
  <c r="M115" i="45" s="1"/>
  <c r="N115" i="45" s="1"/>
  <c r="O115" i="45" s="1"/>
  <c r="Q114" i="45"/>
  <c r="I114" i="45"/>
  <c r="J114" i="45" s="1"/>
  <c r="K114" i="45" s="1"/>
  <c r="L114" i="45" s="1"/>
  <c r="M114" i="45" s="1"/>
  <c r="N114" i="45" s="1"/>
  <c r="O114" i="45" s="1"/>
  <c r="Q113" i="45"/>
  <c r="I113" i="45"/>
  <c r="J113" i="45" s="1"/>
  <c r="K113" i="45" s="1"/>
  <c r="L113" i="45" s="1"/>
  <c r="M113" i="45" s="1"/>
  <c r="N113" i="45" s="1"/>
  <c r="O113" i="45" s="1"/>
  <c r="Q109" i="45"/>
  <c r="L109" i="45"/>
  <c r="M109" i="45" s="1"/>
  <c r="N109" i="45" s="1"/>
  <c r="O109" i="45" s="1"/>
  <c r="I109" i="45"/>
  <c r="J109" i="45" s="1"/>
  <c r="Q108" i="45"/>
  <c r="Q107" i="45"/>
  <c r="Q106" i="45"/>
  <c r="L106" i="45"/>
  <c r="M106" i="45" s="1"/>
  <c r="N106" i="45" s="1"/>
  <c r="O106" i="45" s="1"/>
  <c r="I106" i="45"/>
  <c r="J106" i="45" s="1"/>
  <c r="Q105" i="45"/>
  <c r="Q104" i="45"/>
  <c r="Q103" i="45"/>
  <c r="M103" i="45"/>
  <c r="N103" i="45" s="1"/>
  <c r="O103" i="45" s="1"/>
  <c r="Q102" i="45"/>
  <c r="Q101" i="45"/>
  <c r="Q100" i="45"/>
  <c r="Q99" i="45"/>
  <c r="Q98" i="45"/>
  <c r="L98" i="45"/>
  <c r="M98" i="45" s="1"/>
  <c r="N98" i="45" s="1"/>
  <c r="O98" i="45" s="1"/>
  <c r="J98" i="45"/>
  <c r="Q97" i="45"/>
  <c r="Q96" i="45"/>
  <c r="Q95" i="45"/>
  <c r="K95" i="45"/>
  <c r="L95" i="45" s="1"/>
  <c r="M95" i="45" s="1"/>
  <c r="N95" i="45" s="1"/>
  <c r="O95" i="45" s="1"/>
  <c r="J95" i="45"/>
  <c r="Q94" i="45"/>
  <c r="Q93" i="45"/>
  <c r="Q92" i="45"/>
  <c r="Q91" i="45"/>
  <c r="Q90" i="45"/>
  <c r="Q89" i="45"/>
  <c r="L89" i="45"/>
  <c r="M89" i="45" s="1"/>
  <c r="N89" i="45" s="1"/>
  <c r="J89" i="45"/>
  <c r="Q88" i="45"/>
  <c r="Q87" i="45"/>
  <c r="Q86" i="45"/>
  <c r="L86" i="45"/>
  <c r="M86" i="45" s="1"/>
  <c r="N86" i="45" s="1"/>
  <c r="J86" i="45"/>
  <c r="Q85" i="45"/>
  <c r="N85" i="45"/>
  <c r="O85" i="45" s="1"/>
  <c r="L85" i="45"/>
  <c r="M85" i="45" s="1"/>
  <c r="J85" i="45"/>
  <c r="Q84" i="45"/>
  <c r="Q83" i="45"/>
  <c r="Q82" i="45"/>
  <c r="L82" i="45"/>
  <c r="M82" i="45" s="1"/>
  <c r="N82" i="45" s="1"/>
  <c r="J82" i="45"/>
  <c r="Q81" i="45"/>
  <c r="L81" i="45"/>
  <c r="M81" i="45" s="1"/>
  <c r="N81" i="45" s="1"/>
  <c r="O81" i="45" s="1"/>
  <c r="J81" i="45"/>
  <c r="Q80" i="45"/>
  <c r="Q79" i="45"/>
  <c r="L78" i="45"/>
  <c r="M78" i="45" s="1"/>
  <c r="N78" i="45" s="1"/>
  <c r="O78" i="45" s="1"/>
  <c r="P78" i="45" s="1"/>
  <c r="Q78" i="45" s="1"/>
  <c r="J78" i="45"/>
  <c r="Q76" i="45"/>
  <c r="L76" i="45"/>
  <c r="M76" i="45" s="1"/>
  <c r="N76" i="45" s="1"/>
  <c r="O76" i="45" s="1"/>
  <c r="J76" i="45"/>
  <c r="Q72" i="45"/>
  <c r="Q71" i="45"/>
  <c r="M71" i="45"/>
  <c r="N71" i="45" s="1"/>
  <c r="O71" i="45" s="1"/>
  <c r="J71" i="45"/>
  <c r="K71" i="45" s="1"/>
  <c r="Q70" i="45"/>
  <c r="Q69" i="45"/>
  <c r="Q68" i="45"/>
  <c r="Q67" i="45"/>
  <c r="Q66" i="45"/>
  <c r="Q65" i="45"/>
  <c r="Q64" i="45"/>
  <c r="M64" i="45"/>
  <c r="N64" i="45" s="1"/>
  <c r="O64" i="45" s="1"/>
  <c r="J64" i="45"/>
  <c r="K64" i="45" s="1"/>
  <c r="Q63" i="45"/>
  <c r="M63" i="45"/>
  <c r="N63" i="45" s="1"/>
  <c r="O63" i="45" s="1"/>
  <c r="J63" i="45"/>
  <c r="K63" i="45" s="1"/>
  <c r="Q62" i="45"/>
  <c r="N62" i="45"/>
  <c r="O62" i="45" s="1"/>
  <c r="M62" i="45"/>
  <c r="Q60" i="45"/>
  <c r="J60" i="45"/>
  <c r="K60" i="45" s="1"/>
  <c r="L60" i="45" s="1"/>
  <c r="M60" i="45" s="1"/>
  <c r="N60" i="45" s="1"/>
  <c r="O60" i="45" s="1"/>
  <c r="Q59" i="45"/>
  <c r="Q58" i="45"/>
  <c r="Q57" i="45"/>
  <c r="Q56" i="45"/>
  <c r="M56" i="45"/>
  <c r="N56" i="45" s="1"/>
  <c r="O56" i="45" s="1"/>
  <c r="Q55" i="45"/>
  <c r="L55" i="45"/>
  <c r="M55" i="45" s="1"/>
  <c r="N55" i="45" s="1"/>
  <c r="O55" i="45" s="1"/>
  <c r="Q54" i="45"/>
  <c r="J54" i="45"/>
  <c r="K54" i="45" s="1"/>
  <c r="L54" i="45" s="1"/>
  <c r="M54" i="45" s="1"/>
  <c r="N54" i="45" s="1"/>
  <c r="O54" i="45" s="1"/>
  <c r="Q53" i="45"/>
  <c r="K53" i="45"/>
  <c r="L53" i="45" s="1"/>
  <c r="M53" i="45" s="1"/>
  <c r="N53" i="45" s="1"/>
  <c r="O53" i="45" s="1"/>
  <c r="J53" i="45"/>
  <c r="Q52" i="45"/>
  <c r="Q51" i="45"/>
  <c r="Q50" i="45"/>
  <c r="Q49" i="45"/>
  <c r="J49" i="45"/>
  <c r="K49" i="45" s="1"/>
  <c r="L49" i="45" s="1"/>
  <c r="M49" i="45" s="1"/>
  <c r="N49" i="45" s="1"/>
  <c r="O49" i="45" s="1"/>
  <c r="Q48" i="45"/>
  <c r="J48" i="45"/>
  <c r="K48" i="45" s="1"/>
  <c r="L48" i="45" s="1"/>
  <c r="M48" i="45" s="1"/>
  <c r="N48" i="45" s="1"/>
  <c r="O48" i="45" s="1"/>
  <c r="Q47" i="45"/>
  <c r="K47" i="45"/>
  <c r="L47" i="45" s="1"/>
  <c r="M47" i="45" s="1"/>
  <c r="N47" i="45" s="1"/>
  <c r="O47" i="45" s="1"/>
  <c r="J47" i="45"/>
  <c r="Q46" i="45"/>
  <c r="J46" i="45"/>
  <c r="K46" i="45" s="1"/>
  <c r="L46" i="45" s="1"/>
  <c r="M46" i="45" s="1"/>
  <c r="N46" i="45" s="1"/>
  <c r="O46" i="45" s="1"/>
  <c r="Q45" i="45"/>
  <c r="J45" i="45"/>
  <c r="K45" i="45" s="1"/>
  <c r="L45" i="45" s="1"/>
  <c r="M45" i="45" s="1"/>
  <c r="N45" i="45" s="1"/>
  <c r="O45" i="45" s="1"/>
  <c r="Q44" i="45"/>
  <c r="J44" i="45"/>
  <c r="K44" i="45" s="1"/>
  <c r="L44" i="45" s="1"/>
  <c r="M44" i="45" s="1"/>
  <c r="N44" i="45" s="1"/>
  <c r="O44" i="45" s="1"/>
  <c r="Q43" i="45"/>
  <c r="K43" i="45"/>
  <c r="L43" i="45" s="1"/>
  <c r="M43" i="45" s="1"/>
  <c r="N43" i="45" s="1"/>
  <c r="O43" i="45" s="1"/>
  <c r="J43" i="45"/>
  <c r="Q42" i="45"/>
  <c r="N42" i="45"/>
  <c r="O42" i="45" s="1"/>
  <c r="K42" i="45"/>
  <c r="L42" i="45" s="1"/>
  <c r="M42" i="45" s="1"/>
  <c r="J42" i="45"/>
  <c r="Q41" i="45"/>
  <c r="N41" i="45"/>
  <c r="O41" i="45" s="1"/>
  <c r="M41" i="45"/>
  <c r="J41" i="45"/>
  <c r="K41" i="45" s="1"/>
  <c r="L41" i="45" s="1"/>
  <c r="Q40" i="45"/>
  <c r="J40" i="45"/>
  <c r="K40" i="45" s="1"/>
  <c r="L40" i="45" s="1"/>
  <c r="M40" i="45" s="1"/>
  <c r="N40" i="45" s="1"/>
  <c r="O40" i="45" s="1"/>
  <c r="Q39" i="45"/>
  <c r="J39" i="45"/>
  <c r="K39" i="45" s="1"/>
  <c r="L39" i="45" s="1"/>
  <c r="M39" i="45" s="1"/>
  <c r="N39" i="45" s="1"/>
  <c r="O39" i="45" s="1"/>
  <c r="Q38" i="45"/>
  <c r="J38" i="45"/>
  <c r="K38" i="45" s="1"/>
  <c r="L38" i="45" s="1"/>
  <c r="M38" i="45" s="1"/>
  <c r="N38" i="45" s="1"/>
  <c r="O38" i="45" s="1"/>
  <c r="Q37" i="45"/>
  <c r="J37" i="45"/>
  <c r="K37" i="45" s="1"/>
  <c r="L37" i="45" s="1"/>
  <c r="M37" i="45" s="1"/>
  <c r="N37" i="45" s="1"/>
  <c r="O37" i="45" s="1"/>
  <c r="Q36" i="45"/>
  <c r="J36" i="45"/>
  <c r="K36" i="45" s="1"/>
  <c r="L36" i="45" s="1"/>
  <c r="M36" i="45" s="1"/>
  <c r="N36" i="45" s="1"/>
  <c r="O36" i="45" s="1"/>
  <c r="Q35" i="45"/>
  <c r="J35" i="45"/>
  <c r="K35" i="45" s="1"/>
  <c r="L35" i="45" s="1"/>
  <c r="M35" i="45" s="1"/>
  <c r="N35" i="45" s="1"/>
  <c r="O35" i="45" s="1"/>
  <c r="Q34" i="45"/>
  <c r="J34" i="45"/>
  <c r="K34" i="45" s="1"/>
  <c r="L34" i="45" s="1"/>
  <c r="M34" i="45" s="1"/>
  <c r="N34" i="45" s="1"/>
  <c r="O34" i="45" s="1"/>
  <c r="Q33" i="45"/>
  <c r="J33" i="45"/>
  <c r="K33" i="45" s="1"/>
  <c r="L33" i="45" s="1"/>
  <c r="M33" i="45" s="1"/>
  <c r="N33" i="45" s="1"/>
  <c r="O33" i="45" s="1"/>
  <c r="Q32" i="45"/>
  <c r="Q31" i="45"/>
  <c r="Q30" i="45"/>
  <c r="Q29" i="45"/>
  <c r="Q28" i="45"/>
  <c r="Q27" i="45"/>
  <c r="Q26" i="45"/>
  <c r="O26" i="45"/>
  <c r="N26" i="45"/>
  <c r="M26" i="45"/>
  <c r="L26" i="45"/>
  <c r="Q25" i="45"/>
  <c r="Q24" i="45"/>
  <c r="Q23" i="45"/>
  <c r="Q22" i="45"/>
  <c r="Q21" i="45"/>
  <c r="Q20" i="45"/>
  <c r="J20" i="45"/>
  <c r="K20" i="45" s="1"/>
  <c r="Q19" i="45"/>
  <c r="Q18" i="45"/>
  <c r="Q17" i="45"/>
  <c r="J17" i="45"/>
  <c r="K17" i="45" s="1"/>
  <c r="Q16" i="45"/>
  <c r="Q15" i="45"/>
  <c r="Q14" i="45"/>
  <c r="J14" i="45"/>
  <c r="K14" i="45" s="1"/>
  <c r="Q13" i="45"/>
  <c r="Q12" i="45"/>
  <c r="Q11" i="45"/>
  <c r="Q10" i="45"/>
  <c r="Q9" i="45"/>
  <c r="Q8" i="45"/>
  <c r="J8" i="45"/>
  <c r="K8" i="45" s="1"/>
  <c r="C156" i="44"/>
  <c r="C165" i="44" s="1"/>
  <c r="G149" i="44"/>
  <c r="U147" i="44"/>
  <c r="T147" i="44"/>
  <c r="S147" i="44"/>
  <c r="R147" i="44"/>
  <c r="M134" i="44"/>
  <c r="G134" i="44"/>
  <c r="F134" i="44"/>
  <c r="M133" i="44"/>
  <c r="H133" i="44"/>
  <c r="M132" i="44"/>
  <c r="H132" i="44"/>
  <c r="M131" i="44"/>
  <c r="H131" i="44"/>
  <c r="M130" i="44"/>
  <c r="H130" i="44"/>
  <c r="M129" i="44"/>
  <c r="H129" i="44"/>
  <c r="M128" i="44"/>
  <c r="H128" i="44"/>
  <c r="M127" i="44"/>
  <c r="H127" i="44"/>
  <c r="M126" i="44"/>
  <c r="H126" i="44"/>
  <c r="H134" i="44" s="1"/>
  <c r="U123" i="44"/>
  <c r="T123" i="44"/>
  <c r="S123" i="44"/>
  <c r="R123" i="44"/>
  <c r="P123" i="44"/>
  <c r="O123" i="44"/>
  <c r="N123" i="44"/>
  <c r="M117" i="44"/>
  <c r="M104" i="44"/>
  <c r="M102" i="44"/>
  <c r="H102" i="44"/>
  <c r="M101" i="44"/>
  <c r="M123" i="44" s="1"/>
  <c r="H101" i="44"/>
  <c r="U98" i="44"/>
  <c r="T98" i="44"/>
  <c r="S98" i="44"/>
  <c r="R98" i="44"/>
  <c r="P98" i="44"/>
  <c r="O98" i="44"/>
  <c r="N98" i="44"/>
  <c r="M92" i="44"/>
  <c r="M91" i="44"/>
  <c r="M90" i="44"/>
  <c r="M89" i="44"/>
  <c r="M88" i="44"/>
  <c r="M87" i="44"/>
  <c r="M86" i="44"/>
  <c r="U83" i="44"/>
  <c r="T83" i="44"/>
  <c r="S83" i="44"/>
  <c r="R83" i="44"/>
  <c r="P83" i="44"/>
  <c r="N83" i="44"/>
  <c r="L82" i="44"/>
  <c r="L149" i="44" s="1"/>
  <c r="K82" i="44"/>
  <c r="J82" i="44"/>
  <c r="J149" i="44" s="1"/>
  <c r="I82" i="44"/>
  <c r="I149" i="44" s="1"/>
  <c r="H82" i="44"/>
  <c r="H149" i="44" s="1"/>
  <c r="G82" i="44"/>
  <c r="M81" i="44"/>
  <c r="M80" i="44"/>
  <c r="M76" i="44"/>
  <c r="M75" i="44"/>
  <c r="O72" i="44"/>
  <c r="M72" i="44" s="1"/>
  <c r="M71" i="44"/>
  <c r="M70" i="44"/>
  <c r="M69" i="44"/>
  <c r="M68" i="44"/>
  <c r="U65" i="44"/>
  <c r="T65" i="44"/>
  <c r="S65" i="44"/>
  <c r="R65" i="44"/>
  <c r="P65" i="44"/>
  <c r="O65" i="44"/>
  <c r="N65" i="44"/>
  <c r="M61" i="44"/>
  <c r="M60" i="44"/>
  <c r="M59" i="44"/>
  <c r="U56" i="44"/>
  <c r="T56" i="44"/>
  <c r="S56" i="44"/>
  <c r="R56" i="44"/>
  <c r="P56" i="44"/>
  <c r="O56" i="44"/>
  <c r="N56" i="44"/>
  <c r="M56" i="44"/>
  <c r="M54" i="44"/>
  <c r="U50" i="44"/>
  <c r="T50" i="44"/>
  <c r="S50" i="44"/>
  <c r="R50" i="44"/>
  <c r="P50" i="44"/>
  <c r="O50" i="44"/>
  <c r="N50" i="44"/>
  <c r="M48" i="44"/>
  <c r="M41" i="44"/>
  <c r="M40" i="44"/>
  <c r="M39" i="44"/>
  <c r="M38" i="44"/>
  <c r="M37" i="44"/>
  <c r="M36" i="44"/>
  <c r="M35" i="44"/>
  <c r="H35" i="44"/>
  <c r="M34" i="44"/>
  <c r="H34" i="44"/>
  <c r="M33" i="44"/>
  <c r="H33" i="44"/>
  <c r="M32" i="44"/>
  <c r="M28" i="44"/>
  <c r="U24" i="44"/>
  <c r="T24" i="44"/>
  <c r="S24" i="44"/>
  <c r="R24" i="44"/>
  <c r="P24" i="44"/>
  <c r="O24" i="44"/>
  <c r="N24" i="44"/>
  <c r="M22" i="44"/>
  <c r="H22" i="44"/>
  <c r="M18" i="44"/>
  <c r="R15" i="44"/>
  <c r="P15" i="44"/>
  <c r="O15" i="44"/>
  <c r="N15" i="44"/>
  <c r="K15" i="44"/>
  <c r="K149" i="44" s="1"/>
  <c r="M12" i="44"/>
  <c r="M10" i="44"/>
  <c r="M15" i="44" s="1"/>
  <c r="H10" i="44"/>
  <c r="M6" i="44"/>
  <c r="H6" i="44"/>
  <c r="M5" i="44"/>
  <c r="H5" i="44"/>
  <c r="H25" i="16" l="1"/>
  <c r="M83" i="44"/>
  <c r="M24" i="44"/>
  <c r="H18" i="22"/>
  <c r="G25" i="16"/>
  <c r="M65" i="44"/>
  <c r="H15" i="44"/>
  <c r="T152" i="44"/>
  <c r="R152" i="44"/>
  <c r="S152" i="44"/>
  <c r="M98" i="44"/>
  <c r="M50" i="44"/>
  <c r="U152" i="44"/>
  <c r="O83" i="44"/>
  <c r="G31" i="9" l="1"/>
  <c r="H31" i="9" s="1"/>
  <c r="I31" i="9" s="1"/>
  <c r="G31" i="15"/>
  <c r="H31" i="15" s="1"/>
  <c r="I31" i="15" s="1"/>
  <c r="I32" i="15" s="1"/>
  <c r="F38" i="7"/>
  <c r="G32" i="5"/>
  <c r="D32" i="42" l="1"/>
  <c r="D38" i="42"/>
  <c r="D63" i="42"/>
  <c r="D164" i="42"/>
  <c r="F29" i="4"/>
  <c r="F32" i="4"/>
  <c r="F35" i="4"/>
  <c r="F38" i="4"/>
  <c r="F59" i="4"/>
  <c r="F63" i="4"/>
  <c r="F66" i="4"/>
  <c r="F70" i="4"/>
  <c r="F73" i="4"/>
  <c r="F148" i="4" s="1"/>
  <c r="F161" i="4" s="1"/>
  <c r="F165" i="4" s="1"/>
  <c r="F74" i="4"/>
  <c r="F75" i="4"/>
  <c r="F76" i="4"/>
  <c r="F77" i="4"/>
  <c r="F78" i="4"/>
  <c r="F79" i="4"/>
  <c r="F80" i="4"/>
  <c r="F81" i="4"/>
  <c r="F82" i="4"/>
  <c r="F83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37" i="4"/>
  <c r="F151" i="4"/>
  <c r="F156" i="4"/>
  <c r="F160" i="4"/>
  <c r="F164" i="4"/>
  <c r="F172" i="4"/>
  <c r="F173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28" i="4"/>
  <c r="F240" i="4" s="1"/>
  <c r="F229" i="4"/>
  <c r="F230" i="4"/>
  <c r="F231" i="4"/>
  <c r="F232" i="4"/>
  <c r="F233" i="4"/>
  <c r="F248" i="4"/>
  <c r="F251" i="4"/>
  <c r="F256" i="4"/>
  <c r="F260" i="4"/>
  <c r="E31" i="42"/>
  <c r="E32" i="42" s="1"/>
  <c r="F206" i="4" l="1"/>
  <c r="D25" i="42"/>
  <c r="F252" i="4"/>
  <c r="F257" i="4" s="1"/>
  <c r="F261" i="4" s="1"/>
  <c r="F262" i="4" s="1"/>
  <c r="C54" i="42" l="1"/>
  <c r="B54" i="42"/>
  <c r="C11" i="42" l="1"/>
  <c r="C18" i="42" s="1"/>
  <c r="C12" i="42"/>
  <c r="G260" i="4" l="1"/>
  <c r="G248" i="4"/>
  <c r="H248" i="4"/>
  <c r="I248" i="4"/>
  <c r="E206" i="4"/>
  <c r="G200" i="4"/>
  <c r="H200" i="4" s="1"/>
  <c r="I200" i="4" s="1"/>
  <c r="G181" i="4"/>
  <c r="I176" i="4"/>
  <c r="I177" i="4"/>
  <c r="I178" i="4"/>
  <c r="I179" i="4"/>
  <c r="I180" i="4"/>
  <c r="I203" i="4"/>
  <c r="I204" i="4"/>
  <c r="G164" i="4"/>
  <c r="H164" i="4"/>
  <c r="I164" i="4"/>
  <c r="E160" i="4"/>
  <c r="G160" i="4"/>
  <c r="H160" i="4"/>
  <c r="I160" i="4"/>
  <c r="E156" i="4"/>
  <c r="G156" i="4"/>
  <c r="H156" i="4"/>
  <c r="I156" i="4"/>
  <c r="E151" i="4"/>
  <c r="G151" i="4"/>
  <c r="H151" i="4"/>
  <c r="I151" i="4"/>
  <c r="G85" i="4"/>
  <c r="G147" i="4"/>
  <c r="G146" i="4"/>
  <c r="H146" i="4" s="1"/>
  <c r="I146" i="4" s="1"/>
  <c r="G145" i="4"/>
  <c r="H145" i="4" s="1"/>
  <c r="I145" i="4" s="1"/>
  <c r="G144" i="4"/>
  <c r="H144" i="4" s="1"/>
  <c r="I144" i="4" s="1"/>
  <c r="G143" i="4"/>
  <c r="G142" i="4"/>
  <c r="H142" i="4" s="1"/>
  <c r="G141" i="4"/>
  <c r="H141" i="4" s="1"/>
  <c r="I141" i="4" s="1"/>
  <c r="G140" i="4"/>
  <c r="G139" i="4"/>
  <c r="H139" i="4" s="1"/>
  <c r="I139" i="4" s="1"/>
  <c r="G138" i="4"/>
  <c r="H138" i="4" s="1"/>
  <c r="I138" i="4" s="1"/>
  <c r="G137" i="4"/>
  <c r="H137" i="4" s="1"/>
  <c r="I137" i="4" s="1"/>
  <c r="G136" i="4"/>
  <c r="G135" i="4"/>
  <c r="H134" i="4"/>
  <c r="G133" i="4"/>
  <c r="G132" i="4"/>
  <c r="H132" i="4" s="1"/>
  <c r="I132" i="4" s="1"/>
  <c r="G131" i="4"/>
  <c r="H131" i="4" s="1"/>
  <c r="I131" i="4" s="1"/>
  <c r="G130" i="4"/>
  <c r="H130" i="4" s="1"/>
  <c r="I130" i="4" s="1"/>
  <c r="G129" i="4"/>
  <c r="G128" i="4"/>
  <c r="H128" i="4" s="1"/>
  <c r="I128" i="4" s="1"/>
  <c r="G127" i="4"/>
  <c r="G126" i="4"/>
  <c r="H126" i="4" s="1"/>
  <c r="I125" i="4"/>
  <c r="H125" i="4"/>
  <c r="G124" i="4"/>
  <c r="H124" i="4" s="1"/>
  <c r="I124" i="4" s="1"/>
  <c r="G122" i="4"/>
  <c r="H122" i="4" s="1"/>
  <c r="I122" i="4" s="1"/>
  <c r="G121" i="4"/>
  <c r="G120" i="4"/>
  <c r="H120" i="4" s="1"/>
  <c r="I120" i="4" s="1"/>
  <c r="G119" i="4"/>
  <c r="H119" i="4" s="1"/>
  <c r="I119" i="4" s="1"/>
  <c r="G118" i="4"/>
  <c r="H118" i="4" s="1"/>
  <c r="I118" i="4" s="1"/>
  <c r="G117" i="4"/>
  <c r="G116" i="4"/>
  <c r="H116" i="4" s="1"/>
  <c r="I116" i="4" s="1"/>
  <c r="G115" i="4"/>
  <c r="G114" i="4"/>
  <c r="H114" i="4" s="1"/>
  <c r="I114" i="4" s="1"/>
  <c r="G113" i="4"/>
  <c r="H113" i="4" s="1"/>
  <c r="I113" i="4" s="1"/>
  <c r="G112" i="4"/>
  <c r="H112" i="4" s="1"/>
  <c r="I112" i="4" s="1"/>
  <c r="G111" i="4"/>
  <c r="H111" i="4" s="1"/>
  <c r="I111" i="4" s="1"/>
  <c r="G110" i="4"/>
  <c r="G109" i="4"/>
  <c r="H109" i="4" s="1"/>
  <c r="I109" i="4" s="1"/>
  <c r="G108" i="4"/>
  <c r="H108" i="4" s="1"/>
  <c r="I108" i="4" s="1"/>
  <c r="G107" i="4"/>
  <c r="H107" i="4" s="1"/>
  <c r="G106" i="4"/>
  <c r="H106" i="4" s="1"/>
  <c r="G105" i="4"/>
  <c r="H105" i="4" s="1"/>
  <c r="I105" i="4" s="1"/>
  <c r="H104" i="4"/>
  <c r="I104" i="4" s="1"/>
  <c r="G104" i="4"/>
  <c r="H103" i="4"/>
  <c r="G103" i="4"/>
  <c r="G102" i="4"/>
  <c r="G101" i="4"/>
  <c r="H101" i="4" s="1"/>
  <c r="I101" i="4" s="1"/>
  <c r="G100" i="4"/>
  <c r="H100" i="4" s="1"/>
  <c r="I100" i="4" s="1"/>
  <c r="G99" i="4"/>
  <c r="G97" i="4"/>
  <c r="G96" i="4"/>
  <c r="H96" i="4" s="1"/>
  <c r="I96" i="4" s="1"/>
  <c r="H95" i="4"/>
  <c r="I95" i="4" s="1"/>
  <c r="G95" i="4"/>
  <c r="G94" i="4"/>
  <c r="G93" i="4"/>
  <c r="H93" i="4" s="1"/>
  <c r="I93" i="4" s="1"/>
  <c r="G92" i="4"/>
  <c r="H92" i="4" s="1"/>
  <c r="I92" i="4" s="1"/>
  <c r="G91" i="4"/>
  <c r="H91" i="4" s="1"/>
  <c r="G90" i="4"/>
  <c r="G89" i="4"/>
  <c r="H89" i="4" s="1"/>
  <c r="I89" i="4" s="1"/>
  <c r="H88" i="4"/>
  <c r="I88" i="4" s="1"/>
  <c r="G87" i="4"/>
  <c r="G86" i="4"/>
  <c r="H84" i="4"/>
  <c r="I84" i="4" s="1"/>
  <c r="G84" i="4"/>
  <c r="G83" i="4"/>
  <c r="G82" i="4"/>
  <c r="G81" i="4"/>
  <c r="H81" i="4" s="1"/>
  <c r="I81" i="4" s="1"/>
  <c r="G80" i="4"/>
  <c r="H80" i="4" s="1"/>
  <c r="I80" i="4" s="1"/>
  <c r="G79" i="4"/>
  <c r="G78" i="4"/>
  <c r="G77" i="4"/>
  <c r="H77" i="4" s="1"/>
  <c r="I77" i="4" s="1"/>
  <c r="G76" i="4"/>
  <c r="H76" i="4" s="1"/>
  <c r="I76" i="4" s="1"/>
  <c r="G75" i="4"/>
  <c r="G74" i="4"/>
  <c r="G73" i="4"/>
  <c r="H73" i="4" s="1"/>
  <c r="I73" i="4" s="1"/>
  <c r="G72" i="4"/>
  <c r="H72" i="4" s="1"/>
  <c r="E70" i="4"/>
  <c r="G70" i="4"/>
  <c r="H70" i="4"/>
  <c r="E66" i="4"/>
  <c r="G66" i="4"/>
  <c r="H66" i="4"/>
  <c r="I66" i="4"/>
  <c r="E63" i="4"/>
  <c r="G63" i="4"/>
  <c r="H63" i="4"/>
  <c r="I63" i="4"/>
  <c r="E59" i="4"/>
  <c r="G59" i="4"/>
  <c r="H59" i="4"/>
  <c r="E38" i="4"/>
  <c r="G38" i="4"/>
  <c r="H38" i="4"/>
  <c r="I38" i="4"/>
  <c r="E35" i="4"/>
  <c r="G35" i="4"/>
  <c r="H35" i="4"/>
  <c r="I35" i="4"/>
  <c r="E32" i="4"/>
  <c r="G32" i="4"/>
  <c r="H32" i="4"/>
  <c r="I32" i="4"/>
  <c r="G205" i="24"/>
  <c r="H205" i="24" s="1"/>
  <c r="I205" i="24" s="1"/>
  <c r="G173" i="24"/>
  <c r="H173" i="24" s="1"/>
  <c r="I173" i="24"/>
  <c r="G160" i="24"/>
  <c r="G163" i="24"/>
  <c r="G164" i="24" s="1"/>
  <c r="H163" i="24"/>
  <c r="H164" i="24" s="1"/>
  <c r="I163" i="24"/>
  <c r="I164" i="24"/>
  <c r="G156" i="24"/>
  <c r="I156" i="24"/>
  <c r="G151" i="24"/>
  <c r="I151" i="24"/>
  <c r="G74" i="24"/>
  <c r="H74" i="24" s="1"/>
  <c r="G75" i="24"/>
  <c r="H75" i="24"/>
  <c r="I75" i="24" s="1"/>
  <c r="G76" i="24"/>
  <c r="H76" i="24"/>
  <c r="I76" i="24" s="1"/>
  <c r="G77" i="24"/>
  <c r="H77" i="24" s="1"/>
  <c r="G78" i="24"/>
  <c r="H78" i="24" s="1"/>
  <c r="G79" i="24"/>
  <c r="H79" i="24" s="1"/>
  <c r="I79" i="24" s="1"/>
  <c r="G80" i="24"/>
  <c r="H80" i="24" s="1"/>
  <c r="I80" i="24" s="1"/>
  <c r="G81" i="24"/>
  <c r="H81" i="24" s="1"/>
  <c r="G82" i="24"/>
  <c r="H82" i="24" s="1"/>
  <c r="G83" i="24"/>
  <c r="H83" i="24"/>
  <c r="I83" i="24" s="1"/>
  <c r="G84" i="24"/>
  <c r="H84" i="24"/>
  <c r="I84" i="24" s="1"/>
  <c r="G85" i="24"/>
  <c r="H85" i="24" s="1"/>
  <c r="G86" i="24"/>
  <c r="H86" i="24" s="1"/>
  <c r="G87" i="24"/>
  <c r="H87" i="24" s="1"/>
  <c r="I87" i="24" s="1"/>
  <c r="G88" i="24"/>
  <c r="H88" i="24" s="1"/>
  <c r="I88" i="24" s="1"/>
  <c r="G89" i="24"/>
  <c r="H89" i="24" s="1"/>
  <c r="G90" i="24"/>
  <c r="H90" i="24" s="1"/>
  <c r="G91" i="24"/>
  <c r="H91" i="24"/>
  <c r="I91" i="24" s="1"/>
  <c r="G92" i="24"/>
  <c r="H92" i="24"/>
  <c r="I92" i="24" s="1"/>
  <c r="G93" i="24"/>
  <c r="H93" i="24" s="1"/>
  <c r="G94" i="24"/>
  <c r="H94" i="24" s="1"/>
  <c r="G95" i="24"/>
  <c r="H95" i="24" s="1"/>
  <c r="I95" i="24" s="1"/>
  <c r="G96" i="24"/>
  <c r="G97" i="24"/>
  <c r="H97" i="24" s="1"/>
  <c r="G98" i="24"/>
  <c r="H98" i="24" s="1"/>
  <c r="G99" i="24"/>
  <c r="H99" i="24"/>
  <c r="I99" i="24" s="1"/>
  <c r="G100" i="24"/>
  <c r="H100" i="24"/>
  <c r="I100" i="24" s="1"/>
  <c r="G101" i="24"/>
  <c r="H101" i="24" s="1"/>
  <c r="G118" i="24"/>
  <c r="H118" i="24" s="1"/>
  <c r="G119" i="24"/>
  <c r="H119" i="24" s="1"/>
  <c r="I119" i="24" s="1"/>
  <c r="G144" i="24"/>
  <c r="H144" i="24" s="1"/>
  <c r="I144" i="24" s="1"/>
  <c r="G145" i="24"/>
  <c r="H145" i="24" s="1"/>
  <c r="G146" i="24"/>
  <c r="G73" i="24"/>
  <c r="G59" i="24"/>
  <c r="H59" i="24"/>
  <c r="G25" i="24"/>
  <c r="H25" i="24"/>
  <c r="I25" i="24"/>
  <c r="H18" i="24"/>
  <c r="I18" i="24"/>
  <c r="G18" i="24"/>
  <c r="G18" i="23"/>
  <c r="J18" i="23"/>
  <c r="K18" i="23"/>
  <c r="G32" i="23"/>
  <c r="H32" i="23"/>
  <c r="I32" i="23"/>
  <c r="G35" i="23"/>
  <c r="H35" i="23"/>
  <c r="I35" i="23"/>
  <c r="G38" i="23"/>
  <c r="H38" i="23"/>
  <c r="I38" i="23"/>
  <c r="G59" i="23"/>
  <c r="I66" i="23"/>
  <c r="G66" i="23"/>
  <c r="H66" i="23"/>
  <c r="I70" i="23"/>
  <c r="G70" i="23"/>
  <c r="H70" i="23"/>
  <c r="G148" i="23"/>
  <c r="G151" i="23"/>
  <c r="H151" i="23"/>
  <c r="G156" i="23"/>
  <c r="H156" i="23"/>
  <c r="G164" i="23"/>
  <c r="H164" i="23"/>
  <c r="E164" i="42"/>
  <c r="C158" i="42"/>
  <c r="B158" i="42"/>
  <c r="C153" i="42"/>
  <c r="B153" i="42"/>
  <c r="C146" i="42"/>
  <c r="B146" i="42"/>
  <c r="C145" i="42"/>
  <c r="B145" i="42"/>
  <c r="C144" i="42"/>
  <c r="B144" i="42"/>
  <c r="C143" i="42"/>
  <c r="B143" i="42"/>
  <c r="C142" i="42"/>
  <c r="B142" i="42"/>
  <c r="C141" i="42"/>
  <c r="B141" i="42"/>
  <c r="C140" i="42"/>
  <c r="B140" i="42"/>
  <c r="C139" i="42"/>
  <c r="B139" i="42"/>
  <c r="C138" i="42"/>
  <c r="B138" i="42"/>
  <c r="C137" i="42"/>
  <c r="C136" i="42"/>
  <c r="B136" i="42"/>
  <c r="C135" i="42"/>
  <c r="B135" i="42"/>
  <c r="B134" i="42"/>
  <c r="C133" i="42"/>
  <c r="C132" i="42"/>
  <c r="B132" i="42"/>
  <c r="C131" i="42"/>
  <c r="B131" i="42"/>
  <c r="C130" i="42"/>
  <c r="B130" i="42"/>
  <c r="C129" i="42"/>
  <c r="B129" i="42"/>
  <c r="C128" i="42"/>
  <c r="B128" i="42"/>
  <c r="C127" i="42"/>
  <c r="B127" i="42"/>
  <c r="C126" i="42"/>
  <c r="B126" i="42"/>
  <c r="C125" i="42"/>
  <c r="B125" i="42"/>
  <c r="C124" i="42"/>
  <c r="B124" i="42"/>
  <c r="C123" i="42"/>
  <c r="B123" i="42"/>
  <c r="C122" i="42"/>
  <c r="B122" i="42"/>
  <c r="C121" i="42"/>
  <c r="B121" i="42"/>
  <c r="C120" i="42"/>
  <c r="B120" i="42"/>
  <c r="C119" i="42"/>
  <c r="B119" i="42"/>
  <c r="C118" i="42"/>
  <c r="B118" i="42"/>
  <c r="C117" i="42"/>
  <c r="B117" i="42"/>
  <c r="C116" i="42"/>
  <c r="B116" i="42"/>
  <c r="B115" i="42"/>
  <c r="C114" i="42"/>
  <c r="B114" i="42"/>
  <c r="C113" i="42"/>
  <c r="B113" i="42"/>
  <c r="C112" i="42"/>
  <c r="B112" i="42"/>
  <c r="C111" i="42"/>
  <c r="B111" i="42"/>
  <c r="C110" i="42"/>
  <c r="B110" i="42"/>
  <c r="C109" i="42"/>
  <c r="B109" i="42"/>
  <c r="C108" i="42"/>
  <c r="B108" i="42"/>
  <c r="C107" i="42"/>
  <c r="B107" i="42"/>
  <c r="C106" i="42"/>
  <c r="B106" i="42"/>
  <c r="C105" i="42"/>
  <c r="B105" i="42"/>
  <c r="C104" i="42"/>
  <c r="B104" i="42"/>
  <c r="C103" i="42"/>
  <c r="B103" i="42"/>
  <c r="C102" i="42"/>
  <c r="B102" i="42"/>
  <c r="C101" i="42"/>
  <c r="B101" i="42"/>
  <c r="C100" i="42"/>
  <c r="B100" i="42"/>
  <c r="C99" i="42"/>
  <c r="B99" i="42"/>
  <c r="C98" i="42"/>
  <c r="B98" i="42"/>
  <c r="C97" i="42"/>
  <c r="B97" i="42"/>
  <c r="C96" i="42"/>
  <c r="B96" i="42"/>
  <c r="C95" i="42"/>
  <c r="B95" i="42"/>
  <c r="C94" i="42"/>
  <c r="B94" i="42"/>
  <c r="C93" i="42"/>
  <c r="B93" i="42"/>
  <c r="C92" i="42"/>
  <c r="B92" i="42"/>
  <c r="C91" i="42"/>
  <c r="B91" i="42"/>
  <c r="C90" i="42"/>
  <c r="B90" i="42"/>
  <c r="C88" i="42"/>
  <c r="B88" i="42"/>
  <c r="C87" i="42"/>
  <c r="B87" i="42"/>
  <c r="C86" i="42"/>
  <c r="C85" i="42"/>
  <c r="B85" i="42"/>
  <c r="C84" i="42"/>
  <c r="B84" i="42"/>
  <c r="C83" i="42"/>
  <c r="C82" i="42"/>
  <c r="B82" i="42"/>
  <c r="C81" i="42"/>
  <c r="C80" i="42"/>
  <c r="B80" i="42"/>
  <c r="B79" i="42"/>
  <c r="C75" i="42"/>
  <c r="B75" i="42"/>
  <c r="C74" i="42"/>
  <c r="B74" i="42"/>
  <c r="B73" i="42"/>
  <c r="C68" i="42"/>
  <c r="F61" i="42"/>
  <c r="C61" i="42"/>
  <c r="B61" i="42"/>
  <c r="C55" i="42"/>
  <c r="C53" i="42"/>
  <c r="C52" i="42"/>
  <c r="B52" i="42"/>
  <c r="C51" i="42"/>
  <c r="B51" i="42"/>
  <c r="C49" i="42"/>
  <c r="B48" i="42"/>
  <c r="C46" i="42"/>
  <c r="C45" i="42"/>
  <c r="B45" i="42"/>
  <c r="C44" i="42"/>
  <c r="B44" i="42"/>
  <c r="C43" i="42"/>
  <c r="B43" i="42"/>
  <c r="B42" i="42"/>
  <c r="B41" i="42"/>
  <c r="C40" i="42"/>
  <c r="B40" i="42"/>
  <c r="F34" i="42"/>
  <c r="E34" i="42"/>
  <c r="B11" i="42"/>
  <c r="H147" i="8"/>
  <c r="I147" i="8" s="1"/>
  <c r="H146" i="8"/>
  <c r="I146" i="8" s="1"/>
  <c r="H145" i="8"/>
  <c r="I145" i="8" s="1"/>
  <c r="H144" i="8"/>
  <c r="I144" i="8" s="1"/>
  <c r="H143" i="8"/>
  <c r="I143" i="8" s="1"/>
  <c r="H142" i="8"/>
  <c r="I142" i="8" s="1"/>
  <c r="H141" i="8"/>
  <c r="I141" i="8" s="1"/>
  <c r="H140" i="8"/>
  <c r="I140" i="8" s="1"/>
  <c r="H139" i="8"/>
  <c r="I139" i="8" s="1"/>
  <c r="H138" i="8"/>
  <c r="I138" i="8" s="1"/>
  <c r="H137" i="8"/>
  <c r="I137" i="8" s="1"/>
  <c r="H136" i="8"/>
  <c r="I136" i="8" s="1"/>
  <c r="H135" i="8"/>
  <c r="I135" i="8" s="1"/>
  <c r="H134" i="8"/>
  <c r="I134" i="8" s="1"/>
  <c r="H133" i="8"/>
  <c r="I133" i="8" s="1"/>
  <c r="H132" i="8"/>
  <c r="I132" i="8" s="1"/>
  <c r="H131" i="8"/>
  <c r="H130" i="8"/>
  <c r="I130" i="8" s="1"/>
  <c r="H129" i="8"/>
  <c r="I129" i="8" s="1"/>
  <c r="H128" i="8"/>
  <c r="I128" i="8" s="1"/>
  <c r="H127" i="8"/>
  <c r="I127" i="8" s="1"/>
  <c r="H126" i="8"/>
  <c r="I126" i="8" s="1"/>
  <c r="H125" i="8"/>
  <c r="I125" i="8" s="1"/>
  <c r="H124" i="8"/>
  <c r="I124" i="8" s="1"/>
  <c r="H123" i="8"/>
  <c r="I123" i="8" s="1"/>
  <c r="H122" i="8"/>
  <c r="H121" i="8"/>
  <c r="I121" i="8" s="1"/>
  <c r="H120" i="8"/>
  <c r="I120" i="8" s="1"/>
  <c r="H119" i="8"/>
  <c r="H118" i="8"/>
  <c r="I118" i="8" s="1"/>
  <c r="H117" i="8"/>
  <c r="I117" i="8" s="1"/>
  <c r="H116" i="8"/>
  <c r="I116" i="8" s="1"/>
  <c r="H115" i="8"/>
  <c r="I115" i="8" s="1"/>
  <c r="H114" i="8"/>
  <c r="H113" i="8"/>
  <c r="I113" i="8" s="1"/>
  <c r="H112" i="8"/>
  <c r="I112" i="8" s="1"/>
  <c r="H111" i="8"/>
  <c r="I111" i="8" s="1"/>
  <c r="H110" i="8"/>
  <c r="I110" i="8" s="1"/>
  <c r="H109" i="8"/>
  <c r="I109" i="8" s="1"/>
  <c r="H108" i="8"/>
  <c r="I108" i="8" s="1"/>
  <c r="H107" i="8"/>
  <c r="I107" i="8" s="1"/>
  <c r="H106" i="8"/>
  <c r="I106" i="8" s="1"/>
  <c r="H105" i="8"/>
  <c r="I105" i="8" s="1"/>
  <c r="H104" i="8"/>
  <c r="I104" i="8" s="1"/>
  <c r="H103" i="8"/>
  <c r="I103" i="8" s="1"/>
  <c r="H102" i="8"/>
  <c r="I102" i="8" s="1"/>
  <c r="H101" i="8"/>
  <c r="I101" i="8" s="1"/>
  <c r="H100" i="8"/>
  <c r="I100" i="8" s="1"/>
  <c r="H99" i="8"/>
  <c r="I99" i="8" s="1"/>
  <c r="H98" i="8"/>
  <c r="I98" i="8" s="1"/>
  <c r="H97" i="8"/>
  <c r="I97" i="8" s="1"/>
  <c r="H96" i="8"/>
  <c r="I96" i="8" s="1"/>
  <c r="H95" i="8"/>
  <c r="I95" i="8" s="1"/>
  <c r="H94" i="8"/>
  <c r="H93" i="8"/>
  <c r="I93" i="8" s="1"/>
  <c r="H92" i="8"/>
  <c r="I92" i="8" s="1"/>
  <c r="H91" i="8"/>
  <c r="I91" i="8" s="1"/>
  <c r="H90" i="8"/>
  <c r="H89" i="8"/>
  <c r="I89" i="8" s="1"/>
  <c r="H88" i="8"/>
  <c r="I88" i="8" s="1"/>
  <c r="H87" i="8"/>
  <c r="I87" i="8" s="1"/>
  <c r="H86" i="8"/>
  <c r="I86" i="8" s="1"/>
  <c r="H85" i="8"/>
  <c r="I85" i="8" s="1"/>
  <c r="H84" i="8"/>
  <c r="I84" i="8" s="1"/>
  <c r="H83" i="8"/>
  <c r="I83" i="8" s="1"/>
  <c r="H82" i="8"/>
  <c r="I82" i="8" s="1"/>
  <c r="H81" i="8"/>
  <c r="I81" i="8" s="1"/>
  <c r="H80" i="8"/>
  <c r="I80" i="8" s="1"/>
  <c r="H79" i="8"/>
  <c r="I79" i="8" s="1"/>
  <c r="H78" i="8"/>
  <c r="I78" i="8" s="1"/>
  <c r="I77" i="8"/>
  <c r="H77" i="8"/>
  <c r="I76" i="8"/>
  <c r="H76" i="8"/>
  <c r="I75" i="8"/>
  <c r="H75" i="8"/>
  <c r="I74" i="8"/>
  <c r="H74" i="8"/>
  <c r="H73" i="8"/>
  <c r="I73" i="8" s="1"/>
  <c r="H72" i="8"/>
  <c r="I72" i="8" s="1"/>
  <c r="H41" i="8"/>
  <c r="I41" i="8" s="1"/>
  <c r="H42" i="8"/>
  <c r="I42" i="8" s="1"/>
  <c r="H43" i="8"/>
  <c r="I43" i="8" s="1"/>
  <c r="H44" i="8"/>
  <c r="I44" i="8" s="1"/>
  <c r="H45" i="8"/>
  <c r="I45" i="8" s="1"/>
  <c r="H46" i="8"/>
  <c r="I46" i="8" s="1"/>
  <c r="H47" i="8"/>
  <c r="I47" i="8" s="1"/>
  <c r="H48" i="8"/>
  <c r="I48" i="8" s="1"/>
  <c r="H49" i="8"/>
  <c r="H50" i="8"/>
  <c r="I50" i="8" s="1"/>
  <c r="H51" i="8"/>
  <c r="I51" i="8" s="1"/>
  <c r="H52" i="8"/>
  <c r="I52" i="8" s="1"/>
  <c r="H53" i="8"/>
  <c r="I53" i="8" s="1"/>
  <c r="H54" i="8"/>
  <c r="H55" i="8"/>
  <c r="H56" i="8"/>
  <c r="H57" i="8"/>
  <c r="H58" i="8"/>
  <c r="I58" i="8" s="1"/>
  <c r="H40" i="8"/>
  <c r="G59" i="8"/>
  <c r="G163" i="8"/>
  <c r="G164" i="8" s="1"/>
  <c r="H163" i="8"/>
  <c r="H164" i="8" s="1"/>
  <c r="I163" i="8"/>
  <c r="I164" i="8" s="1"/>
  <c r="G156" i="8"/>
  <c r="H156" i="8"/>
  <c r="I156" i="8"/>
  <c r="G148" i="8"/>
  <c r="F25" i="21"/>
  <c r="H59" i="8" l="1"/>
  <c r="F40" i="42"/>
  <c r="H146" i="24"/>
  <c r="H110" i="4"/>
  <c r="H96" i="24"/>
  <c r="I96" i="24" s="1"/>
  <c r="H78" i="4"/>
  <c r="H90" i="4"/>
  <c r="H94" i="4"/>
  <c r="I94" i="4" s="1"/>
  <c r="H97" i="4"/>
  <c r="I97" i="4" s="1"/>
  <c r="H136" i="4"/>
  <c r="I136" i="4" s="1"/>
  <c r="H140" i="4"/>
  <c r="I140" i="4" s="1"/>
  <c r="H85" i="4"/>
  <c r="I85" i="4" s="1"/>
  <c r="I55" i="8"/>
  <c r="I57" i="8"/>
  <c r="I49" i="8"/>
  <c r="I59" i="8" s="1"/>
  <c r="I56" i="8"/>
  <c r="H87" i="4"/>
  <c r="H117" i="4"/>
  <c r="I117" i="4" s="1"/>
  <c r="H121" i="4"/>
  <c r="I121" i="4" s="1"/>
  <c r="H129" i="4"/>
  <c r="I129" i="4" s="1"/>
  <c r="H133" i="4"/>
  <c r="I133" i="4" s="1"/>
  <c r="H73" i="24"/>
  <c r="I40" i="8"/>
  <c r="I94" i="8"/>
  <c r="I114" i="8"/>
  <c r="I122" i="8"/>
  <c r="I54" i="8"/>
  <c r="I119" i="8"/>
  <c r="I131" i="8"/>
  <c r="E35" i="42"/>
  <c r="E63" i="42"/>
  <c r="F156" i="42"/>
  <c r="H29" i="4"/>
  <c r="H75" i="4"/>
  <c r="I75" i="4" s="1"/>
  <c r="H83" i="4"/>
  <c r="G29" i="4"/>
  <c r="I72" i="4"/>
  <c r="I29" i="4"/>
  <c r="G206" i="4"/>
  <c r="G148" i="4"/>
  <c r="G161" i="4" s="1"/>
  <c r="G165" i="4" s="1"/>
  <c r="H79" i="4"/>
  <c r="I79" i="4" s="1"/>
  <c r="H99" i="4"/>
  <c r="I99" i="4" s="1"/>
  <c r="H181" i="4"/>
  <c r="H148" i="8"/>
  <c r="I90" i="8"/>
  <c r="E156" i="42"/>
  <c r="I103" i="4"/>
  <c r="I126" i="4"/>
  <c r="H127" i="4"/>
  <c r="H135" i="4"/>
  <c r="H143" i="4"/>
  <c r="I87" i="4"/>
  <c r="I91" i="4"/>
  <c r="I134" i="4"/>
  <c r="H74" i="4"/>
  <c r="I78" i="4"/>
  <c r="H82" i="4"/>
  <c r="H86" i="4"/>
  <c r="H98" i="4"/>
  <c r="H102" i="4"/>
  <c r="I106" i="4"/>
  <c r="I142" i="4"/>
  <c r="I107" i="4"/>
  <c r="H115" i="4"/>
  <c r="H123" i="4"/>
  <c r="H147" i="4"/>
  <c r="I147" i="4" s="1"/>
  <c r="I94" i="24"/>
  <c r="I89" i="24"/>
  <c r="I78" i="24"/>
  <c r="I146" i="24"/>
  <c r="I98" i="24"/>
  <c r="I93" i="24"/>
  <c r="I82" i="24"/>
  <c r="I77" i="24"/>
  <c r="I145" i="24"/>
  <c r="I118" i="24"/>
  <c r="I97" i="24"/>
  <c r="I86" i="24"/>
  <c r="I81" i="24"/>
  <c r="I101" i="24"/>
  <c r="I90" i="24"/>
  <c r="I85" i="24"/>
  <c r="I74" i="24"/>
  <c r="I25" i="23"/>
  <c r="H25" i="23"/>
  <c r="G25" i="23"/>
  <c r="I18" i="23"/>
  <c r="H18" i="23"/>
  <c r="G240" i="8"/>
  <c r="H240" i="8"/>
  <c r="I240" i="8"/>
  <c r="G200" i="8"/>
  <c r="H200" i="8" s="1"/>
  <c r="I200" i="8" s="1"/>
  <c r="G199" i="8"/>
  <c r="H199" i="8" s="1"/>
  <c r="I199" i="8" s="1"/>
  <c r="H198" i="8"/>
  <c r="I198" i="8" s="1"/>
  <c r="G198" i="8"/>
  <c r="G197" i="8"/>
  <c r="H197" i="8" s="1"/>
  <c r="I197" i="8" s="1"/>
  <c r="G196" i="8"/>
  <c r="H196" i="8" s="1"/>
  <c r="I196" i="8" s="1"/>
  <c r="G195" i="8"/>
  <c r="H195" i="8" s="1"/>
  <c r="I195" i="8" s="1"/>
  <c r="G194" i="8"/>
  <c r="H194" i="8" s="1"/>
  <c r="I194" i="8" s="1"/>
  <c r="G193" i="8"/>
  <c r="H193" i="8" s="1"/>
  <c r="I193" i="8" s="1"/>
  <c r="G192" i="8"/>
  <c r="H192" i="8" s="1"/>
  <c r="I192" i="8" s="1"/>
  <c r="G191" i="8"/>
  <c r="H191" i="8" s="1"/>
  <c r="I191" i="8" s="1"/>
  <c r="H190" i="8"/>
  <c r="I190" i="8" s="1"/>
  <c r="G190" i="8"/>
  <c r="G189" i="8"/>
  <c r="H189" i="8" s="1"/>
  <c r="I189" i="8" s="1"/>
  <c r="G188" i="8"/>
  <c r="H188" i="8" s="1"/>
  <c r="I188" i="8" s="1"/>
  <c r="G187" i="8"/>
  <c r="H187" i="8" s="1"/>
  <c r="I187" i="8" s="1"/>
  <c r="G186" i="8"/>
  <c r="H186" i="8" s="1"/>
  <c r="I186" i="8" s="1"/>
  <c r="G185" i="8"/>
  <c r="H185" i="8" s="1"/>
  <c r="I185" i="8" s="1"/>
  <c r="G184" i="8"/>
  <c r="H184" i="8" s="1"/>
  <c r="I184" i="8" s="1"/>
  <c r="G183" i="8"/>
  <c r="H183" i="8" s="1"/>
  <c r="I183" i="8" s="1"/>
  <c r="H182" i="8"/>
  <c r="I182" i="8" s="1"/>
  <c r="G182" i="8"/>
  <c r="G181" i="8"/>
  <c r="H181" i="8" s="1"/>
  <c r="I181" i="8" s="1"/>
  <c r="G180" i="8"/>
  <c r="H180" i="8" s="1"/>
  <c r="I180" i="8" s="1"/>
  <c r="G179" i="8"/>
  <c r="H179" i="8" s="1"/>
  <c r="I179" i="8" s="1"/>
  <c r="G178" i="8"/>
  <c r="H178" i="8" s="1"/>
  <c r="I178" i="8" s="1"/>
  <c r="G247" i="8"/>
  <c r="H247" i="8" s="1"/>
  <c r="I247" i="8" s="1"/>
  <c r="G246" i="8"/>
  <c r="H246" i="8" s="1"/>
  <c r="I246" i="8" s="1"/>
  <c r="G245" i="8"/>
  <c r="H245" i="8" s="1"/>
  <c r="I245" i="8" s="1"/>
  <c r="G244" i="8"/>
  <c r="H244" i="8" s="1"/>
  <c r="I244" i="8" s="1"/>
  <c r="G243" i="8"/>
  <c r="H243" i="8" s="1"/>
  <c r="I243" i="8" s="1"/>
  <c r="G242" i="8"/>
  <c r="H242" i="8" s="1"/>
  <c r="I242" i="8" s="1"/>
  <c r="G218" i="8"/>
  <c r="G221" i="8" s="1"/>
  <c r="H218" i="8" l="1"/>
  <c r="I90" i="4"/>
  <c r="I73" i="24"/>
  <c r="I110" i="4"/>
  <c r="G248" i="8"/>
  <c r="I148" i="8"/>
  <c r="I83" i="4"/>
  <c r="H148" i="4"/>
  <c r="H206" i="4"/>
  <c r="I181" i="4"/>
  <c r="I135" i="4"/>
  <c r="I123" i="4"/>
  <c r="I98" i="4"/>
  <c r="I86" i="4"/>
  <c r="I115" i="4"/>
  <c r="I102" i="4"/>
  <c r="I82" i="4"/>
  <c r="I74" i="4"/>
  <c r="I143" i="4"/>
  <c r="I127" i="4"/>
  <c r="I218" i="8" l="1"/>
  <c r="I221" i="8" s="1"/>
  <c r="H221" i="8"/>
  <c r="I206" i="4"/>
  <c r="I148" i="4"/>
  <c r="E259" i="42"/>
  <c r="G259" i="42"/>
  <c r="H150" i="15"/>
  <c r="I150" i="15"/>
  <c r="H151" i="15"/>
  <c r="I151" i="15"/>
  <c r="H165" i="15"/>
  <c r="I165" i="15"/>
  <c r="H163" i="14"/>
  <c r="I163" i="14"/>
  <c r="I164" i="14" s="1"/>
  <c r="H164" i="14"/>
  <c r="G163" i="14"/>
  <c r="G164" i="14"/>
  <c r="G156" i="14"/>
  <c r="I156" i="14"/>
  <c r="G151" i="14"/>
  <c r="I151" i="14"/>
  <c r="G70" i="14"/>
  <c r="H70" i="14"/>
  <c r="G66" i="14"/>
  <c r="H66" i="14"/>
  <c r="I66" i="14"/>
  <c r="G63" i="14"/>
  <c r="H63" i="14"/>
  <c r="I63" i="14"/>
  <c r="G59" i="14"/>
  <c r="H59" i="14"/>
  <c r="H65" i="22"/>
  <c r="H147" i="22"/>
  <c r="I147" i="22" s="1"/>
  <c r="H146" i="22"/>
  <c r="I146" i="22" s="1"/>
  <c r="I145" i="22"/>
  <c r="H145" i="22"/>
  <c r="H144" i="22"/>
  <c r="I144" i="22" s="1"/>
  <c r="H143" i="22"/>
  <c r="H142" i="22"/>
  <c r="I142" i="22" s="1"/>
  <c r="H141" i="22"/>
  <c r="I141" i="22" s="1"/>
  <c r="H140" i="22"/>
  <c r="I140" i="22" s="1"/>
  <c r="I139" i="22"/>
  <c r="H139" i="22"/>
  <c r="H138" i="22"/>
  <c r="I138" i="22" s="1"/>
  <c r="I137" i="22"/>
  <c r="H137" i="22"/>
  <c r="H136" i="22"/>
  <c r="I136" i="22" s="1"/>
  <c r="H135" i="22"/>
  <c r="I135" i="22" s="1"/>
  <c r="H134" i="22"/>
  <c r="I134" i="22" s="1"/>
  <c r="H133" i="22"/>
  <c r="I133" i="22" s="1"/>
  <c r="H132" i="22"/>
  <c r="I132" i="22" s="1"/>
  <c r="I131" i="22"/>
  <c r="H131" i="22"/>
  <c r="H130" i="22"/>
  <c r="I130" i="22" s="1"/>
  <c r="I129" i="22"/>
  <c r="H129" i="22"/>
  <c r="H128" i="22"/>
  <c r="I128" i="22" s="1"/>
  <c r="H127" i="22"/>
  <c r="I127" i="22" s="1"/>
  <c r="H126" i="22"/>
  <c r="I126" i="22" s="1"/>
  <c r="H125" i="22"/>
  <c r="I125" i="22" s="1"/>
  <c r="H124" i="22"/>
  <c r="I124" i="22" s="1"/>
  <c r="I123" i="22"/>
  <c r="H123" i="22"/>
  <c r="H122" i="22"/>
  <c r="I122" i="22" s="1"/>
  <c r="I121" i="22"/>
  <c r="H121" i="22"/>
  <c r="H120" i="22"/>
  <c r="I120" i="22" s="1"/>
  <c r="H119" i="22"/>
  <c r="I119" i="22" s="1"/>
  <c r="H118" i="22"/>
  <c r="I117" i="22"/>
  <c r="H117" i="22"/>
  <c r="H116" i="22"/>
  <c r="I116" i="22" s="1"/>
  <c r="H115" i="22"/>
  <c r="I115" i="22" s="1"/>
  <c r="H114" i="22"/>
  <c r="I114" i="22" s="1"/>
  <c r="I113" i="22"/>
  <c r="H113" i="22"/>
  <c r="H112" i="22"/>
  <c r="I112" i="22" s="1"/>
  <c r="H111" i="22"/>
  <c r="I111" i="22" s="1"/>
  <c r="H110" i="22"/>
  <c r="I110" i="22" s="1"/>
  <c r="H109" i="22"/>
  <c r="I109" i="22" s="1"/>
  <c r="H108" i="22"/>
  <c r="I108" i="22" s="1"/>
  <c r="H107" i="22"/>
  <c r="I107" i="22" s="1"/>
  <c r="H106" i="22"/>
  <c r="I106" i="22" s="1"/>
  <c r="I105" i="22"/>
  <c r="H105" i="22"/>
  <c r="H104" i="22"/>
  <c r="I104" i="22" s="1"/>
  <c r="H103" i="22"/>
  <c r="I103" i="22" s="1"/>
  <c r="H102" i="22"/>
  <c r="I102" i="22" s="1"/>
  <c r="H101" i="22"/>
  <c r="I101" i="22" s="1"/>
  <c r="H100" i="22"/>
  <c r="H99" i="22"/>
  <c r="H98" i="22"/>
  <c r="I98" i="22" s="1"/>
  <c r="I97" i="22"/>
  <c r="H97" i="22"/>
  <c r="H96" i="22"/>
  <c r="I96" i="22" s="1"/>
  <c r="H95" i="22"/>
  <c r="H94" i="22"/>
  <c r="I93" i="22"/>
  <c r="H93" i="22"/>
  <c r="H92" i="22"/>
  <c r="H91" i="22"/>
  <c r="H90" i="22"/>
  <c r="H89" i="22"/>
  <c r="H88" i="22"/>
  <c r="I87" i="22"/>
  <c r="H87" i="22"/>
  <c r="H86" i="22"/>
  <c r="I86" i="22" s="1"/>
  <c r="H85" i="22"/>
  <c r="H84" i="22"/>
  <c r="I83" i="22"/>
  <c r="H83" i="22"/>
  <c r="H82" i="22"/>
  <c r="H81" i="22"/>
  <c r="H80" i="22"/>
  <c r="I79" i="22"/>
  <c r="H79" i="22"/>
  <c r="H78" i="22"/>
  <c r="I78" i="22" s="1"/>
  <c r="H77" i="22"/>
  <c r="I77" i="22" s="1"/>
  <c r="H76" i="22"/>
  <c r="I76" i="22" s="1"/>
  <c r="H75" i="22"/>
  <c r="H74" i="22"/>
  <c r="H73" i="22"/>
  <c r="H72" i="22"/>
  <c r="G59" i="22"/>
  <c r="G66" i="22"/>
  <c r="G160" i="22"/>
  <c r="G151" i="22"/>
  <c r="G156" i="22"/>
  <c r="G148" i="22"/>
  <c r="I45" i="22"/>
  <c r="I46" i="22"/>
  <c r="H43" i="22"/>
  <c r="H44" i="22"/>
  <c r="I44" i="22" s="1"/>
  <c r="H45" i="22"/>
  <c r="H46" i="22"/>
  <c r="H47" i="22"/>
  <c r="H48" i="22"/>
  <c r="I48" i="22" s="1"/>
  <c r="I42" i="22"/>
  <c r="H42" i="22"/>
  <c r="G260" i="23"/>
  <c r="H260" i="23"/>
  <c r="J260" i="23"/>
  <c r="K260" i="23"/>
  <c r="K261" i="23" s="1"/>
  <c r="K262" i="23" s="1"/>
  <c r="G248" i="23"/>
  <c r="H248" i="23"/>
  <c r="G240" i="23"/>
  <c r="H240" i="23"/>
  <c r="G225" i="23"/>
  <c r="H225" i="23"/>
  <c r="G221" i="23"/>
  <c r="H221" i="23"/>
  <c r="J221" i="23"/>
  <c r="K221" i="23"/>
  <c r="G216" i="23"/>
  <c r="H216" i="23"/>
  <c r="G212" i="23"/>
  <c r="H212" i="23"/>
  <c r="K212" i="23"/>
  <c r="H79" i="23"/>
  <c r="H110" i="23"/>
  <c r="I110" i="23" s="1"/>
  <c r="H42" i="23"/>
  <c r="H144" i="23"/>
  <c r="H135" i="23"/>
  <c r="I135" i="23" s="1"/>
  <c r="H98" i="23"/>
  <c r="H77" i="23"/>
  <c r="H96" i="23"/>
  <c r="H86" i="23"/>
  <c r="I78" i="23"/>
  <c r="H78" i="23"/>
  <c r="I48" i="23"/>
  <c r="H48" i="23"/>
  <c r="G240" i="4"/>
  <c r="G252" i="4" s="1"/>
  <c r="G257" i="4" s="1"/>
  <c r="G261" i="4" s="1"/>
  <c r="G262" i="4" s="1"/>
  <c r="F240" i="26"/>
  <c r="G240" i="26"/>
  <c r="H240" i="26"/>
  <c r="I240" i="26"/>
  <c r="F248" i="26"/>
  <c r="G248" i="26"/>
  <c r="H248" i="26"/>
  <c r="I248" i="26"/>
  <c r="F251" i="26"/>
  <c r="G251" i="26"/>
  <c r="H251" i="26"/>
  <c r="I251" i="26"/>
  <c r="F256" i="26"/>
  <c r="G256" i="26"/>
  <c r="H256" i="26"/>
  <c r="I256" i="26"/>
  <c r="F260" i="26"/>
  <c r="G260" i="26"/>
  <c r="H260" i="26"/>
  <c r="I260" i="26"/>
  <c r="H240" i="5"/>
  <c r="I240" i="5"/>
  <c r="G240" i="5"/>
  <c r="G25" i="14"/>
  <c r="G25" i="12"/>
  <c r="H25" i="12"/>
  <c r="I25" i="12"/>
  <c r="G18" i="22"/>
  <c r="G25" i="22"/>
  <c r="G25" i="21"/>
  <c r="H25" i="21"/>
  <c r="I25" i="21"/>
  <c r="F153" i="21"/>
  <c r="H212" i="6"/>
  <c r="G212" i="6"/>
  <c r="G177" i="6"/>
  <c r="H177" i="6"/>
  <c r="G178" i="6"/>
  <c r="H178" i="6" s="1"/>
  <c r="G179" i="6"/>
  <c r="H179" i="6" s="1"/>
  <c r="I179" i="6" s="1"/>
  <c r="G180" i="6"/>
  <c r="G181" i="6"/>
  <c r="H181" i="6"/>
  <c r="G182" i="6"/>
  <c r="H182" i="6" s="1"/>
  <c r="I182" i="6"/>
  <c r="G183" i="6"/>
  <c r="H183" i="6"/>
  <c r="I183" i="6" s="1"/>
  <c r="G184" i="6"/>
  <c r="H184" i="6" s="1"/>
  <c r="I184" i="6" s="1"/>
  <c r="G185" i="6"/>
  <c r="H185" i="6" s="1"/>
  <c r="I185" i="6" s="1"/>
  <c r="G186" i="6"/>
  <c r="H186" i="6" s="1"/>
  <c r="I186" i="6" s="1"/>
  <c r="G187" i="6"/>
  <c r="H187" i="6"/>
  <c r="I187" i="6" s="1"/>
  <c r="G188" i="6"/>
  <c r="H188" i="6" s="1"/>
  <c r="I188" i="6" s="1"/>
  <c r="G189" i="6"/>
  <c r="H189" i="6" s="1"/>
  <c r="I189" i="6" s="1"/>
  <c r="G190" i="6"/>
  <c r="H190" i="6" s="1"/>
  <c r="I190" i="6" s="1"/>
  <c r="G191" i="6"/>
  <c r="H191" i="6"/>
  <c r="I191" i="6" s="1"/>
  <c r="G192" i="6"/>
  <c r="H192" i="6" s="1"/>
  <c r="I192" i="6" s="1"/>
  <c r="G193" i="6"/>
  <c r="H193" i="6" s="1"/>
  <c r="I193" i="6" s="1"/>
  <c r="G194" i="6"/>
  <c r="H194" i="6" s="1"/>
  <c r="I194" i="6" s="1"/>
  <c r="G195" i="6"/>
  <c r="H195" i="6"/>
  <c r="I195" i="6" s="1"/>
  <c r="G196" i="6"/>
  <c r="H196" i="6" s="1"/>
  <c r="I196" i="6" s="1"/>
  <c r="G197" i="6"/>
  <c r="H197" i="6" s="1"/>
  <c r="I197" i="6" s="1"/>
  <c r="G198" i="6"/>
  <c r="H198" i="6" s="1"/>
  <c r="I198" i="6" s="1"/>
  <c r="G199" i="6"/>
  <c r="H199" i="6" s="1"/>
  <c r="I199" i="6" s="1"/>
  <c r="G200" i="6"/>
  <c r="H200" i="6" s="1"/>
  <c r="I200" i="6" s="1"/>
  <c r="G201" i="6"/>
  <c r="H201" i="6"/>
  <c r="I201" i="6" s="1"/>
  <c r="G202" i="6"/>
  <c r="H202" i="6" s="1"/>
  <c r="I202" i="6" s="1"/>
  <c r="G176" i="6"/>
  <c r="H176" i="6" s="1"/>
  <c r="G156" i="6"/>
  <c r="G63" i="6"/>
  <c r="G148" i="6"/>
  <c r="G59" i="6"/>
  <c r="G32" i="9"/>
  <c r="G148" i="9"/>
  <c r="H146" i="9"/>
  <c r="I146" i="9" s="1"/>
  <c r="F256" i="9"/>
  <c r="G256" i="9"/>
  <c r="H256" i="9"/>
  <c r="I256" i="9"/>
  <c r="F260" i="9"/>
  <c r="G260" i="9"/>
  <c r="H260" i="9"/>
  <c r="I260" i="9"/>
  <c r="F174" i="9"/>
  <c r="G173" i="9"/>
  <c r="G172" i="9"/>
  <c r="G212" i="10"/>
  <c r="H212" i="10"/>
  <c r="I212" i="10"/>
  <c r="G216" i="10"/>
  <c r="H216" i="10"/>
  <c r="I216" i="10"/>
  <c r="G221" i="10"/>
  <c r="H221" i="10"/>
  <c r="I221" i="10"/>
  <c r="G225" i="10"/>
  <c r="H225" i="10"/>
  <c r="I225" i="10"/>
  <c r="G240" i="10"/>
  <c r="H240" i="10"/>
  <c r="I240" i="10"/>
  <c r="G248" i="10"/>
  <c r="H248" i="10"/>
  <c r="I248" i="10"/>
  <c r="G251" i="10"/>
  <c r="H251" i="10"/>
  <c r="I251" i="10"/>
  <c r="G256" i="10"/>
  <c r="H256" i="10"/>
  <c r="I256" i="10"/>
  <c r="G260" i="10"/>
  <c r="H260" i="10"/>
  <c r="I260" i="10"/>
  <c r="G148" i="10"/>
  <c r="H148" i="10"/>
  <c r="G156" i="10"/>
  <c r="H156" i="10"/>
  <c r="G59" i="10"/>
  <c r="H59" i="10"/>
  <c r="F212" i="10"/>
  <c r="F216" i="10"/>
  <c r="F221" i="10"/>
  <c r="F225" i="10"/>
  <c r="F240" i="10"/>
  <c r="F248" i="10"/>
  <c r="F251" i="10"/>
  <c r="F256" i="10"/>
  <c r="F260" i="10"/>
  <c r="F18" i="8"/>
  <c r="F255" i="11"/>
  <c r="G255" i="11"/>
  <c r="H255" i="11"/>
  <c r="I255" i="11"/>
  <c r="F259" i="11"/>
  <c r="G259" i="11"/>
  <c r="H259" i="11"/>
  <c r="I259" i="11"/>
  <c r="F211" i="11"/>
  <c r="G211" i="11"/>
  <c r="H211" i="11"/>
  <c r="I211" i="11"/>
  <c r="G202" i="11"/>
  <c r="H202" i="11" s="1"/>
  <c r="I202" i="11" s="1"/>
  <c r="G175" i="11"/>
  <c r="F205" i="11"/>
  <c r="G176" i="11"/>
  <c r="H176" i="11" s="1"/>
  <c r="I176" i="11" s="1"/>
  <c r="G177" i="11"/>
  <c r="G178" i="11"/>
  <c r="H178" i="11"/>
  <c r="I178" i="11" s="1"/>
  <c r="G179" i="11"/>
  <c r="H179" i="11"/>
  <c r="I179" i="11" s="1"/>
  <c r="G180" i="11"/>
  <c r="H180" i="11" s="1"/>
  <c r="I180" i="11" s="1"/>
  <c r="G181" i="11"/>
  <c r="H181" i="11" s="1"/>
  <c r="I181" i="11" s="1"/>
  <c r="G182" i="11"/>
  <c r="H182" i="11" s="1"/>
  <c r="I182" i="11" s="1"/>
  <c r="G183" i="11"/>
  <c r="H183" i="11" s="1"/>
  <c r="I183" i="11" s="1"/>
  <c r="G184" i="11"/>
  <c r="H184" i="11" s="1"/>
  <c r="I184" i="11" s="1"/>
  <c r="G185" i="11"/>
  <c r="H185" i="11" s="1"/>
  <c r="I185" i="11" s="1"/>
  <c r="G186" i="11"/>
  <c r="H186" i="11"/>
  <c r="I186" i="11" s="1"/>
  <c r="G187" i="11"/>
  <c r="H187" i="11"/>
  <c r="I187" i="11" s="1"/>
  <c r="G188" i="11"/>
  <c r="H188" i="11" s="1"/>
  <c r="I188" i="11" s="1"/>
  <c r="G189" i="11"/>
  <c r="H189" i="11" s="1"/>
  <c r="I189" i="11" s="1"/>
  <c r="G190" i="11"/>
  <c r="H190" i="11" s="1"/>
  <c r="I190" i="11" s="1"/>
  <c r="G191" i="11"/>
  <c r="H191" i="11" s="1"/>
  <c r="I191" i="11" s="1"/>
  <c r="G192" i="11"/>
  <c r="H192" i="11" s="1"/>
  <c r="I192" i="11" s="1"/>
  <c r="G193" i="11"/>
  <c r="H193" i="11" s="1"/>
  <c r="I193" i="11" s="1"/>
  <c r="G194" i="11"/>
  <c r="H194" i="11"/>
  <c r="I194" i="11" s="1"/>
  <c r="G195" i="11"/>
  <c r="H195" i="11"/>
  <c r="I195" i="11" s="1"/>
  <c r="G196" i="11"/>
  <c r="H196" i="11" s="1"/>
  <c r="I196" i="11" s="1"/>
  <c r="G197" i="11"/>
  <c r="H197" i="11" s="1"/>
  <c r="I197" i="11" s="1"/>
  <c r="G198" i="11"/>
  <c r="H198" i="11" s="1"/>
  <c r="I198" i="11" s="1"/>
  <c r="G199" i="11"/>
  <c r="H199" i="11" s="1"/>
  <c r="I199" i="11" s="1"/>
  <c r="G200" i="11"/>
  <c r="H200" i="11"/>
  <c r="I200" i="11" s="1"/>
  <c r="G201" i="11"/>
  <c r="H201" i="11" s="1"/>
  <c r="I201" i="11" s="1"/>
  <c r="H175" i="11"/>
  <c r="I175" i="11"/>
  <c r="F59" i="11"/>
  <c r="G59" i="11"/>
  <c r="H59" i="11"/>
  <c r="I59" i="11"/>
  <c r="F148" i="11"/>
  <c r="F161" i="11" s="1"/>
  <c r="F165" i="11" s="1"/>
  <c r="G148" i="11"/>
  <c r="G161" i="11" s="1"/>
  <c r="G165" i="11" s="1"/>
  <c r="H148" i="11"/>
  <c r="H161" i="11" s="1"/>
  <c r="H165" i="11" s="1"/>
  <c r="I148" i="11"/>
  <c r="I161" i="11" s="1"/>
  <c r="I165" i="11" s="1"/>
  <c r="J148" i="11"/>
  <c r="F59" i="12"/>
  <c r="G59" i="12"/>
  <c r="H59" i="12"/>
  <c r="G148" i="12"/>
  <c r="H148" i="12"/>
  <c r="I151" i="12"/>
  <c r="G156" i="12"/>
  <c r="H156" i="12"/>
  <c r="I156" i="12"/>
  <c r="H163" i="12"/>
  <c r="H164" i="12"/>
  <c r="I164" i="12"/>
  <c r="E212" i="12"/>
  <c r="E216" i="12"/>
  <c r="E221" i="12"/>
  <c r="E225" i="12"/>
  <c r="E240" i="12"/>
  <c r="E248" i="12"/>
  <c r="E251" i="12"/>
  <c r="E256" i="12"/>
  <c r="E260" i="12"/>
  <c r="G178" i="12"/>
  <c r="H178" i="12" s="1"/>
  <c r="I178" i="12" s="1"/>
  <c r="G179" i="12"/>
  <c r="H179" i="12" s="1"/>
  <c r="I179" i="12" s="1"/>
  <c r="G180" i="12"/>
  <c r="H180" i="12" s="1"/>
  <c r="I180" i="12" s="1"/>
  <c r="G181" i="12"/>
  <c r="H181" i="12"/>
  <c r="I181" i="12" s="1"/>
  <c r="G182" i="12"/>
  <c r="H182" i="12" s="1"/>
  <c r="I182" i="12" s="1"/>
  <c r="G183" i="12"/>
  <c r="H183" i="12"/>
  <c r="I183" i="12" s="1"/>
  <c r="G184" i="12"/>
  <c r="H184" i="12"/>
  <c r="I184" i="12" s="1"/>
  <c r="G185" i="12"/>
  <c r="H185" i="12" s="1"/>
  <c r="I185" i="12" s="1"/>
  <c r="G186" i="12"/>
  <c r="H186" i="12" s="1"/>
  <c r="I186" i="12" s="1"/>
  <c r="G187" i="12"/>
  <c r="H187" i="12" s="1"/>
  <c r="I187" i="12" s="1"/>
  <c r="G188" i="12"/>
  <c r="H188" i="12" s="1"/>
  <c r="I188" i="12" s="1"/>
  <c r="G189" i="12"/>
  <c r="H189" i="12"/>
  <c r="I189" i="12" s="1"/>
  <c r="G190" i="12"/>
  <c r="H190" i="12" s="1"/>
  <c r="I190" i="12" s="1"/>
  <c r="G191" i="12"/>
  <c r="H191" i="12"/>
  <c r="I191" i="12" s="1"/>
  <c r="G192" i="12"/>
  <c r="H192" i="12"/>
  <c r="I192" i="12" s="1"/>
  <c r="G193" i="12"/>
  <c r="H193" i="12" s="1"/>
  <c r="I193" i="12" s="1"/>
  <c r="G194" i="12"/>
  <c r="H194" i="12" s="1"/>
  <c r="I194" i="12" s="1"/>
  <c r="G195" i="12"/>
  <c r="H195" i="12" s="1"/>
  <c r="I195" i="12" s="1"/>
  <c r="G196" i="12"/>
  <c r="H196" i="12" s="1"/>
  <c r="I196" i="12" s="1"/>
  <c r="G197" i="12"/>
  <c r="H197" i="12"/>
  <c r="I197" i="12" s="1"/>
  <c r="G198" i="12"/>
  <c r="H198" i="12" s="1"/>
  <c r="I198" i="12" s="1"/>
  <c r="G199" i="12"/>
  <c r="H199" i="12"/>
  <c r="I199" i="12" s="1"/>
  <c r="G200" i="12"/>
  <c r="H200" i="12"/>
  <c r="I200" i="12" s="1"/>
  <c r="G177" i="12"/>
  <c r="G206" i="12" s="1"/>
  <c r="G148" i="14"/>
  <c r="H148" i="14"/>
  <c r="F212" i="16"/>
  <c r="G212" i="16"/>
  <c r="F206" i="16"/>
  <c r="G182" i="16"/>
  <c r="H182" i="16" s="1"/>
  <c r="I182" i="16" s="1"/>
  <c r="G183" i="16"/>
  <c r="H183" i="16" s="1"/>
  <c r="I183" i="16" s="1"/>
  <c r="G184" i="16"/>
  <c r="H184" i="16"/>
  <c r="I184" i="16" s="1"/>
  <c r="G185" i="16"/>
  <c r="H185" i="16" s="1"/>
  <c r="I185" i="16" s="1"/>
  <c r="G186" i="16"/>
  <c r="H186" i="16" s="1"/>
  <c r="I186" i="16" s="1"/>
  <c r="G187" i="16"/>
  <c r="H187" i="16" s="1"/>
  <c r="I187" i="16" s="1"/>
  <c r="G188" i="16"/>
  <c r="H188" i="16"/>
  <c r="I188" i="16" s="1"/>
  <c r="G189" i="16"/>
  <c r="H189" i="16" s="1"/>
  <c r="I189" i="16"/>
  <c r="G190" i="16"/>
  <c r="H190" i="16"/>
  <c r="I190" i="16" s="1"/>
  <c r="G191" i="16"/>
  <c r="H191" i="16" s="1"/>
  <c r="I191" i="16" s="1"/>
  <c r="G192" i="16"/>
  <c r="H192" i="16" s="1"/>
  <c r="I192" i="16" s="1"/>
  <c r="G193" i="16"/>
  <c r="H193" i="16" s="1"/>
  <c r="I193" i="16" s="1"/>
  <c r="G194" i="16"/>
  <c r="H194" i="16" s="1"/>
  <c r="I194" i="16" s="1"/>
  <c r="G195" i="16"/>
  <c r="H195" i="16" s="1"/>
  <c r="I195" i="16" s="1"/>
  <c r="G196" i="16"/>
  <c r="H196" i="16"/>
  <c r="I196" i="16" s="1"/>
  <c r="G197" i="16"/>
  <c r="H197" i="16" s="1"/>
  <c r="I197" i="16" s="1"/>
  <c r="G198" i="16"/>
  <c r="H198" i="16" s="1"/>
  <c r="I198" i="16" s="1"/>
  <c r="G199" i="16"/>
  <c r="H199" i="16" s="1"/>
  <c r="I199" i="16" s="1"/>
  <c r="G200" i="16"/>
  <c r="H200" i="16"/>
  <c r="I200" i="16" s="1"/>
  <c r="G181" i="16"/>
  <c r="F148" i="16"/>
  <c r="F161" i="16" s="1"/>
  <c r="F165" i="16" s="1"/>
  <c r="G148" i="16"/>
  <c r="H148" i="16"/>
  <c r="I148" i="16"/>
  <c r="F59" i="16"/>
  <c r="G59" i="16"/>
  <c r="H59" i="16"/>
  <c r="I59" i="16"/>
  <c r="F18" i="16"/>
  <c r="F225" i="18"/>
  <c r="G225" i="18"/>
  <c r="G224" i="18"/>
  <c r="H224" i="18" s="1"/>
  <c r="I224" i="18" s="1"/>
  <c r="I225" i="18" s="1"/>
  <c r="F161" i="18"/>
  <c r="F165" i="18" s="1"/>
  <c r="G18" i="18"/>
  <c r="H18" i="18" s="1"/>
  <c r="I18" i="18" s="1"/>
  <c r="H159" i="18"/>
  <c r="G159" i="18"/>
  <c r="H158" i="18"/>
  <c r="H160" i="18" s="1"/>
  <c r="G158" i="18"/>
  <c r="H155" i="18"/>
  <c r="G155" i="18"/>
  <c r="I155" i="18" s="1"/>
  <c r="H154" i="18"/>
  <c r="G154" i="18"/>
  <c r="I154" i="18" s="1"/>
  <c r="H153" i="18"/>
  <c r="G153" i="18"/>
  <c r="H150" i="18"/>
  <c r="H151" i="18" s="1"/>
  <c r="G150" i="18"/>
  <c r="H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69" i="18"/>
  <c r="G68" i="18"/>
  <c r="I66" i="18"/>
  <c r="G65" i="18"/>
  <c r="I63" i="18"/>
  <c r="G62" i="18"/>
  <c r="G61" i="18"/>
  <c r="H59" i="18"/>
  <c r="G58" i="18"/>
  <c r="G261" i="19"/>
  <c r="H156" i="19"/>
  <c r="I156" i="19"/>
  <c r="G156" i="19"/>
  <c r="H153" i="19"/>
  <c r="G153" i="19"/>
  <c r="I153" i="19" s="1"/>
  <c r="H150" i="19"/>
  <c r="H151" i="19" s="1"/>
  <c r="G150" i="19"/>
  <c r="G151" i="19" s="1"/>
  <c r="H148" i="19"/>
  <c r="G147" i="19"/>
  <c r="I147" i="19" s="1"/>
  <c r="G146" i="19"/>
  <c r="I146" i="19" s="1"/>
  <c r="G145" i="19"/>
  <c r="I145" i="19" s="1"/>
  <c r="G144" i="19"/>
  <c r="I144" i="19" s="1"/>
  <c r="G143" i="19"/>
  <c r="I143" i="19" s="1"/>
  <c r="G142" i="19"/>
  <c r="I142" i="19" s="1"/>
  <c r="G141" i="19"/>
  <c r="I141" i="19" s="1"/>
  <c r="G140" i="19"/>
  <c r="I140" i="19" s="1"/>
  <c r="G139" i="19"/>
  <c r="I139" i="19" s="1"/>
  <c r="G138" i="19"/>
  <c r="I138" i="19" s="1"/>
  <c r="G137" i="19"/>
  <c r="I137" i="19" s="1"/>
  <c r="G136" i="19"/>
  <c r="I136" i="19" s="1"/>
  <c r="G135" i="19"/>
  <c r="I135" i="19" s="1"/>
  <c r="G134" i="19"/>
  <c r="I134" i="19" s="1"/>
  <c r="G133" i="19"/>
  <c r="I133" i="19" s="1"/>
  <c r="G132" i="19"/>
  <c r="I132" i="19" s="1"/>
  <c r="G131" i="19"/>
  <c r="I131" i="19" s="1"/>
  <c r="G130" i="19"/>
  <c r="I130" i="19" s="1"/>
  <c r="G129" i="19"/>
  <c r="I129" i="19" s="1"/>
  <c r="G128" i="19"/>
  <c r="I128" i="19" s="1"/>
  <c r="G127" i="19"/>
  <c r="I127" i="19" s="1"/>
  <c r="G126" i="19"/>
  <c r="I126" i="19" s="1"/>
  <c r="G125" i="19"/>
  <c r="I125" i="19" s="1"/>
  <c r="G124" i="19"/>
  <c r="I124" i="19" s="1"/>
  <c r="G123" i="19"/>
  <c r="I123" i="19" s="1"/>
  <c r="G122" i="19"/>
  <c r="G121" i="19"/>
  <c r="G120" i="19"/>
  <c r="G69" i="19"/>
  <c r="I69" i="19" s="1"/>
  <c r="G68" i="19"/>
  <c r="I66" i="19"/>
  <c r="G65" i="19"/>
  <c r="G66" i="19" s="1"/>
  <c r="I63" i="19"/>
  <c r="H63" i="19"/>
  <c r="G61" i="19"/>
  <c r="G63" i="19" s="1"/>
  <c r="H59" i="19"/>
  <c r="G58" i="19"/>
  <c r="G59" i="19" s="1"/>
  <c r="I167" i="15"/>
  <c r="I168" i="15" s="1"/>
  <c r="H166" i="15"/>
  <c r="H167" i="15" s="1"/>
  <c r="H168" i="15" s="1"/>
  <c r="G166" i="15"/>
  <c r="G167" i="15" s="1"/>
  <c r="H159" i="15"/>
  <c r="G159" i="15"/>
  <c r="I159" i="15" s="1"/>
  <c r="H158" i="15"/>
  <c r="G158" i="15"/>
  <c r="G160" i="15" s="1"/>
  <c r="H156" i="15"/>
  <c r="G154" i="15"/>
  <c r="I154" i="15" s="1"/>
  <c r="G153" i="15"/>
  <c r="G150" i="15"/>
  <c r="G151" i="15" s="1"/>
  <c r="H148" i="15"/>
  <c r="G147" i="15"/>
  <c r="I147" i="15" s="1"/>
  <c r="G146" i="15"/>
  <c r="I146" i="15" s="1"/>
  <c r="G145" i="15"/>
  <c r="I145" i="15" s="1"/>
  <c r="G144" i="15"/>
  <c r="I144" i="15" s="1"/>
  <c r="G143" i="15"/>
  <c r="I143" i="15" s="1"/>
  <c r="G142" i="15"/>
  <c r="I142" i="15" s="1"/>
  <c r="G141" i="15"/>
  <c r="I141" i="15" s="1"/>
  <c r="G140" i="15"/>
  <c r="I140" i="15" s="1"/>
  <c r="G139" i="15"/>
  <c r="I139" i="15" s="1"/>
  <c r="G138" i="15"/>
  <c r="I138" i="15" s="1"/>
  <c r="G137" i="15"/>
  <c r="I137" i="15" s="1"/>
  <c r="G136" i="15"/>
  <c r="I136" i="15" s="1"/>
  <c r="G135" i="15"/>
  <c r="I135" i="15" s="1"/>
  <c r="G134" i="15"/>
  <c r="G69" i="15"/>
  <c r="I69" i="15" s="1"/>
  <c r="G68" i="15"/>
  <c r="I66" i="15"/>
  <c r="G65" i="15"/>
  <c r="G66" i="15" s="1"/>
  <c r="I63" i="15"/>
  <c r="G62" i="15"/>
  <c r="G61" i="15"/>
  <c r="H59" i="15"/>
  <c r="G58" i="15"/>
  <c r="G59" i="15" s="1"/>
  <c r="F63" i="19"/>
  <c r="G18" i="19"/>
  <c r="H18" i="19" s="1"/>
  <c r="I18" i="19" s="1"/>
  <c r="F148" i="19"/>
  <c r="F161" i="19" s="1"/>
  <c r="F161" i="15"/>
  <c r="F165" i="15" s="1"/>
  <c r="G182" i="15"/>
  <c r="G183" i="15"/>
  <c r="H183" i="15" s="1"/>
  <c r="I183" i="15" s="1"/>
  <c r="G184" i="15"/>
  <c r="H184" i="15"/>
  <c r="I184" i="15" s="1"/>
  <c r="G185" i="15"/>
  <c r="H185" i="15" s="1"/>
  <c r="I185" i="15" s="1"/>
  <c r="G186" i="15"/>
  <c r="H186" i="15" s="1"/>
  <c r="I186" i="15" s="1"/>
  <c r="G187" i="15"/>
  <c r="H187" i="15" s="1"/>
  <c r="I187" i="15" s="1"/>
  <c r="G188" i="15"/>
  <c r="H188" i="15" s="1"/>
  <c r="I188" i="15" s="1"/>
  <c r="G189" i="15"/>
  <c r="H189" i="15" s="1"/>
  <c r="I189" i="15" s="1"/>
  <c r="G190" i="15"/>
  <c r="H190" i="15" s="1"/>
  <c r="I190" i="15" s="1"/>
  <c r="G191" i="15"/>
  <c r="H191" i="15" s="1"/>
  <c r="I191" i="15" s="1"/>
  <c r="G192" i="15"/>
  <c r="H192" i="15" s="1"/>
  <c r="I192" i="15" s="1"/>
  <c r="G193" i="15"/>
  <c r="H193" i="15" s="1"/>
  <c r="I193" i="15" s="1"/>
  <c r="G194" i="15"/>
  <c r="H194" i="15" s="1"/>
  <c r="I194" i="15" s="1"/>
  <c r="G195" i="15"/>
  <c r="H195" i="15" s="1"/>
  <c r="I195" i="15" s="1"/>
  <c r="G196" i="15"/>
  <c r="H196" i="15"/>
  <c r="I196" i="15" s="1"/>
  <c r="G197" i="15"/>
  <c r="H197" i="15" s="1"/>
  <c r="I197" i="15"/>
  <c r="G198" i="15"/>
  <c r="H198" i="15" s="1"/>
  <c r="I198" i="15" s="1"/>
  <c r="G199" i="15"/>
  <c r="H199" i="15" s="1"/>
  <c r="I199" i="15" s="1"/>
  <c r="G200" i="15"/>
  <c r="H200" i="15"/>
  <c r="I200" i="15" s="1"/>
  <c r="G201" i="15"/>
  <c r="H201" i="15" s="1"/>
  <c r="I201" i="15" s="1"/>
  <c r="G202" i="15"/>
  <c r="H202" i="15" s="1"/>
  <c r="I202" i="15" s="1"/>
  <c r="G203" i="15"/>
  <c r="H203" i="15" s="1"/>
  <c r="I203" i="15" s="1"/>
  <c r="G204" i="15"/>
  <c r="H204" i="15" s="1"/>
  <c r="I204" i="15" s="1"/>
  <c r="G205" i="15"/>
  <c r="H205" i="15" s="1"/>
  <c r="I205" i="15" s="1"/>
  <c r="H181" i="15"/>
  <c r="I181" i="15" s="1"/>
  <c r="G181" i="15"/>
  <c r="G32" i="15"/>
  <c r="H156" i="7"/>
  <c r="I156" i="7"/>
  <c r="G156" i="7"/>
  <c r="G182" i="13"/>
  <c r="H182" i="13" s="1"/>
  <c r="I182" i="13" s="1"/>
  <c r="G183" i="13"/>
  <c r="H183" i="13" s="1"/>
  <c r="I183" i="13" s="1"/>
  <c r="G184" i="13"/>
  <c r="H184" i="13"/>
  <c r="I184" i="13" s="1"/>
  <c r="G185" i="13"/>
  <c r="H185" i="13" s="1"/>
  <c r="I185" i="13" s="1"/>
  <c r="G186" i="13"/>
  <c r="H186" i="13" s="1"/>
  <c r="I186" i="13" s="1"/>
  <c r="G187" i="13"/>
  <c r="H187" i="13" s="1"/>
  <c r="I187" i="13" s="1"/>
  <c r="G188" i="13"/>
  <c r="H188" i="13" s="1"/>
  <c r="I188" i="13" s="1"/>
  <c r="G189" i="13"/>
  <c r="H189" i="13" s="1"/>
  <c r="I189" i="13" s="1"/>
  <c r="G190" i="13"/>
  <c r="H190" i="13"/>
  <c r="I190" i="13" s="1"/>
  <c r="G191" i="13"/>
  <c r="H191" i="13" s="1"/>
  <c r="I191" i="13" s="1"/>
  <c r="G192" i="13"/>
  <c r="H192" i="13" s="1"/>
  <c r="I192" i="13" s="1"/>
  <c r="G193" i="13"/>
  <c r="H193" i="13" s="1"/>
  <c r="I193" i="13" s="1"/>
  <c r="G194" i="13"/>
  <c r="H194" i="13"/>
  <c r="I194" i="13" s="1"/>
  <c r="G195" i="13"/>
  <c r="H195" i="13" s="1"/>
  <c r="I195" i="13" s="1"/>
  <c r="G196" i="13"/>
  <c r="H196" i="13" s="1"/>
  <c r="I196" i="13" s="1"/>
  <c r="G197" i="13"/>
  <c r="H197" i="13" s="1"/>
  <c r="I197" i="13" s="1"/>
  <c r="G198" i="13"/>
  <c r="H198" i="13"/>
  <c r="I198" i="13" s="1"/>
  <c r="G199" i="13"/>
  <c r="H199" i="13" s="1"/>
  <c r="I199" i="13" s="1"/>
  <c r="G200" i="13"/>
  <c r="H200" i="13" s="1"/>
  <c r="I200" i="13" s="1"/>
  <c r="G201" i="13"/>
  <c r="H201" i="13" s="1"/>
  <c r="I201" i="13" s="1"/>
  <c r="G202" i="13"/>
  <c r="H202" i="13"/>
  <c r="I202" i="13" s="1"/>
  <c r="G203" i="13"/>
  <c r="H203" i="13" s="1"/>
  <c r="I203" i="13"/>
  <c r="G204" i="13"/>
  <c r="H204" i="13"/>
  <c r="I204" i="13" s="1"/>
  <c r="G205" i="13"/>
  <c r="H205" i="13" s="1"/>
  <c r="I205" i="13" s="1"/>
  <c r="I181" i="13"/>
  <c r="G181" i="13"/>
  <c r="H181" i="13" s="1"/>
  <c r="G32" i="13"/>
  <c r="G147" i="13"/>
  <c r="H147" i="13" s="1"/>
  <c r="G146" i="13"/>
  <c r="H146" i="13" s="1"/>
  <c r="G145" i="13"/>
  <c r="H145" i="13" s="1"/>
  <c r="G144" i="13"/>
  <c r="H144" i="13" s="1"/>
  <c r="G143" i="13"/>
  <c r="H143" i="13" s="1"/>
  <c r="G142" i="13"/>
  <c r="H142" i="13" s="1"/>
  <c r="G141" i="13"/>
  <c r="H141" i="13" s="1"/>
  <c r="G140" i="13"/>
  <c r="H140" i="13" s="1"/>
  <c r="G139" i="13"/>
  <c r="H139" i="13" s="1"/>
  <c r="G138" i="13"/>
  <c r="H138" i="13" s="1"/>
  <c r="G137" i="13"/>
  <c r="H137" i="13" s="1"/>
  <c r="G136" i="13"/>
  <c r="H136" i="13" s="1"/>
  <c r="G135" i="13"/>
  <c r="H135" i="13" s="1"/>
  <c r="G134" i="13"/>
  <c r="H134" i="13" s="1"/>
  <c r="G133" i="13"/>
  <c r="H133" i="13" s="1"/>
  <c r="G132" i="13"/>
  <c r="H132" i="13" s="1"/>
  <c r="G131" i="13"/>
  <c r="H131" i="13" s="1"/>
  <c r="G130" i="13"/>
  <c r="H130" i="13" s="1"/>
  <c r="G129" i="13"/>
  <c r="H129" i="13" s="1"/>
  <c r="G128" i="13"/>
  <c r="H128" i="13" s="1"/>
  <c r="G127" i="13"/>
  <c r="H127" i="13" s="1"/>
  <c r="G126" i="13"/>
  <c r="H126" i="13" s="1"/>
  <c r="G125" i="13"/>
  <c r="H125" i="13" s="1"/>
  <c r="G124" i="13"/>
  <c r="H124" i="13" s="1"/>
  <c r="G123" i="13"/>
  <c r="H123" i="13" s="1"/>
  <c r="G122" i="13"/>
  <c r="H122" i="13" s="1"/>
  <c r="G121" i="13"/>
  <c r="H121" i="13" s="1"/>
  <c r="G120" i="13"/>
  <c r="H120" i="13" s="1"/>
  <c r="G119" i="13"/>
  <c r="G118" i="13"/>
  <c r="G117" i="13"/>
  <c r="G116" i="13"/>
  <c r="G115" i="13"/>
  <c r="G114" i="13"/>
  <c r="G113" i="13"/>
  <c r="H113" i="13" s="1"/>
  <c r="G112" i="13"/>
  <c r="H112" i="13" s="1"/>
  <c r="G111" i="13"/>
  <c r="H111" i="13" s="1"/>
  <c r="G110" i="13"/>
  <c r="H110" i="13" s="1"/>
  <c r="G109" i="13"/>
  <c r="H109" i="13" s="1"/>
  <c r="G108" i="13"/>
  <c r="H108" i="13" s="1"/>
  <c r="I108" i="13" s="1"/>
  <c r="G107" i="13"/>
  <c r="H107" i="13" s="1"/>
  <c r="I107" i="13" s="1"/>
  <c r="G106" i="13"/>
  <c r="H106" i="13" s="1"/>
  <c r="G105" i="13"/>
  <c r="H105" i="13" s="1"/>
  <c r="G104" i="13"/>
  <c r="H104" i="13" s="1"/>
  <c r="G103" i="13"/>
  <c r="H103" i="13" s="1"/>
  <c r="G102" i="13"/>
  <c r="H102" i="13" s="1"/>
  <c r="I102" i="13" s="1"/>
  <c r="G101" i="13"/>
  <c r="H101" i="13" s="1"/>
  <c r="G100" i="13"/>
  <c r="G99" i="13"/>
  <c r="G98" i="13"/>
  <c r="G97" i="13"/>
  <c r="G96" i="13"/>
  <c r="G95" i="13"/>
  <c r="G94" i="13"/>
  <c r="E94" i="42" s="1"/>
  <c r="G93" i="13"/>
  <c r="G92" i="13"/>
  <c r="G91" i="13"/>
  <c r="G90" i="13"/>
  <c r="G89" i="13"/>
  <c r="G88" i="13"/>
  <c r="G87" i="13"/>
  <c r="G86" i="13"/>
  <c r="G85" i="13"/>
  <c r="H84" i="13"/>
  <c r="G83" i="13"/>
  <c r="G82" i="13"/>
  <c r="G81" i="13"/>
  <c r="G80" i="13"/>
  <c r="G79" i="13"/>
  <c r="G78" i="13"/>
  <c r="G77" i="13"/>
  <c r="G76" i="13"/>
  <c r="G75" i="13"/>
  <c r="G74" i="13"/>
  <c r="G73" i="13"/>
  <c r="H72" i="13"/>
  <c r="G57" i="13"/>
  <c r="E57" i="42" s="1"/>
  <c r="H56" i="13"/>
  <c r="G55" i="13"/>
  <c r="G54" i="13"/>
  <c r="G53" i="13"/>
  <c r="G52" i="13"/>
  <c r="E52" i="42" s="1"/>
  <c r="G51" i="13"/>
  <c r="G50" i="13"/>
  <c r="G49" i="13"/>
  <c r="E49" i="42" s="1"/>
  <c r="G48" i="13"/>
  <c r="E48" i="42" s="1"/>
  <c r="H47" i="13"/>
  <c r="G46" i="13"/>
  <c r="G45" i="13"/>
  <c r="G44" i="13"/>
  <c r="E44" i="42" s="1"/>
  <c r="G43" i="13"/>
  <c r="G42" i="13"/>
  <c r="G41" i="13"/>
  <c r="H32" i="13"/>
  <c r="I32" i="13"/>
  <c r="G182" i="7"/>
  <c r="H182" i="7" s="1"/>
  <c r="I182" i="7" s="1"/>
  <c r="G183" i="7"/>
  <c r="H183" i="7" s="1"/>
  <c r="I183" i="7" s="1"/>
  <c r="G184" i="7"/>
  <c r="H184" i="7" s="1"/>
  <c r="I184" i="7" s="1"/>
  <c r="G185" i="7"/>
  <c r="H185" i="7"/>
  <c r="I185" i="7" s="1"/>
  <c r="G186" i="7"/>
  <c r="H186" i="7" s="1"/>
  <c r="I186" i="7" s="1"/>
  <c r="G187" i="7"/>
  <c r="H187" i="7" s="1"/>
  <c r="I187" i="7" s="1"/>
  <c r="G188" i="7"/>
  <c r="H188" i="7" s="1"/>
  <c r="I188" i="7" s="1"/>
  <c r="G189" i="7"/>
  <c r="H189" i="7"/>
  <c r="I189" i="7" s="1"/>
  <c r="G190" i="7"/>
  <c r="H190" i="7" s="1"/>
  <c r="I190" i="7" s="1"/>
  <c r="G191" i="7"/>
  <c r="H191" i="7" s="1"/>
  <c r="I191" i="7" s="1"/>
  <c r="G192" i="7"/>
  <c r="H192" i="7" s="1"/>
  <c r="I192" i="7" s="1"/>
  <c r="G193" i="7"/>
  <c r="H193" i="7"/>
  <c r="I193" i="7" s="1"/>
  <c r="G194" i="7"/>
  <c r="H194" i="7" s="1"/>
  <c r="I194" i="7" s="1"/>
  <c r="G195" i="7"/>
  <c r="H195" i="7" s="1"/>
  <c r="I195" i="7" s="1"/>
  <c r="G196" i="7"/>
  <c r="H196" i="7" s="1"/>
  <c r="I196" i="7" s="1"/>
  <c r="G197" i="7"/>
  <c r="H197" i="7" s="1"/>
  <c r="I197" i="7" s="1"/>
  <c r="G198" i="7"/>
  <c r="H198" i="7" s="1"/>
  <c r="I198" i="7" s="1"/>
  <c r="G199" i="7"/>
  <c r="H199" i="7" s="1"/>
  <c r="I199" i="7" s="1"/>
  <c r="G200" i="7"/>
  <c r="H200" i="7" s="1"/>
  <c r="I200" i="7" s="1"/>
  <c r="G201" i="7"/>
  <c r="H201" i="7"/>
  <c r="I201" i="7" s="1"/>
  <c r="G202" i="7"/>
  <c r="H202" i="7" s="1"/>
  <c r="I202" i="7" s="1"/>
  <c r="G203" i="7"/>
  <c r="H203" i="7" s="1"/>
  <c r="I203" i="7" s="1"/>
  <c r="G204" i="7"/>
  <c r="H204" i="7" s="1"/>
  <c r="I204" i="7" s="1"/>
  <c r="G181" i="7"/>
  <c r="H181" i="7" s="1"/>
  <c r="I181" i="7" s="1"/>
  <c r="G73" i="7"/>
  <c r="H73" i="7" s="1"/>
  <c r="I73" i="7"/>
  <c r="G74" i="7"/>
  <c r="H74" i="7"/>
  <c r="I74" i="7" s="1"/>
  <c r="G75" i="7"/>
  <c r="H75" i="7"/>
  <c r="I75" i="7" s="1"/>
  <c r="G76" i="7"/>
  <c r="H76" i="7"/>
  <c r="I76" i="7"/>
  <c r="G77" i="7"/>
  <c r="H77" i="7" s="1"/>
  <c r="I77" i="7" s="1"/>
  <c r="G78" i="7"/>
  <c r="H78" i="7"/>
  <c r="I78" i="7" s="1"/>
  <c r="G79" i="7"/>
  <c r="H79" i="7" s="1"/>
  <c r="I79" i="7" s="1"/>
  <c r="G80" i="7"/>
  <c r="H80" i="7"/>
  <c r="I80" i="7"/>
  <c r="G81" i="7"/>
  <c r="H81" i="7" s="1"/>
  <c r="I81" i="7"/>
  <c r="G82" i="7"/>
  <c r="H82" i="7"/>
  <c r="I82" i="7" s="1"/>
  <c r="G83" i="7"/>
  <c r="H83" i="7"/>
  <c r="I83" i="7" s="1"/>
  <c r="G84" i="7"/>
  <c r="E84" i="42" s="1"/>
  <c r="H84" i="7"/>
  <c r="I84" i="7" s="1"/>
  <c r="G85" i="7"/>
  <c r="H85" i="7" s="1"/>
  <c r="I85" i="7"/>
  <c r="G86" i="7"/>
  <c r="H86" i="7" s="1"/>
  <c r="I86" i="7" s="1"/>
  <c r="G87" i="7"/>
  <c r="H87" i="7"/>
  <c r="I87" i="7" s="1"/>
  <c r="G88" i="7"/>
  <c r="H88" i="7" s="1"/>
  <c r="I88" i="7" s="1"/>
  <c r="G89" i="7"/>
  <c r="H89" i="7" s="1"/>
  <c r="I89" i="7"/>
  <c r="G90" i="7"/>
  <c r="H90" i="7"/>
  <c r="I90" i="7" s="1"/>
  <c r="G91" i="7"/>
  <c r="H91" i="7"/>
  <c r="I91" i="7" s="1"/>
  <c r="G92" i="7"/>
  <c r="H92" i="7"/>
  <c r="I92" i="7"/>
  <c r="G93" i="7"/>
  <c r="H93" i="7" s="1"/>
  <c r="I93" i="7" s="1"/>
  <c r="G94" i="7"/>
  <c r="H94" i="7"/>
  <c r="I94" i="7" s="1"/>
  <c r="G95" i="7"/>
  <c r="H95" i="7" s="1"/>
  <c r="I95" i="7" s="1"/>
  <c r="G96" i="7"/>
  <c r="H96" i="7"/>
  <c r="I96" i="7"/>
  <c r="G97" i="7"/>
  <c r="H97" i="7" s="1"/>
  <c r="I97" i="7"/>
  <c r="G98" i="7"/>
  <c r="H98" i="7"/>
  <c r="I98" i="7" s="1"/>
  <c r="G99" i="7"/>
  <c r="H99" i="7"/>
  <c r="I99" i="7" s="1"/>
  <c r="G100" i="7"/>
  <c r="H100" i="7"/>
  <c r="I100" i="7" s="1"/>
  <c r="G101" i="7"/>
  <c r="H101" i="7" s="1"/>
  <c r="I101" i="7"/>
  <c r="G102" i="7"/>
  <c r="H102" i="7" s="1"/>
  <c r="I102" i="7" s="1"/>
  <c r="G103" i="7"/>
  <c r="H103" i="7" s="1"/>
  <c r="I103" i="7" s="1"/>
  <c r="G104" i="7"/>
  <c r="H104" i="7"/>
  <c r="I104" i="7" s="1"/>
  <c r="G105" i="7"/>
  <c r="H105" i="7" s="1"/>
  <c r="I105" i="7" s="1"/>
  <c r="G106" i="7"/>
  <c r="H106" i="7"/>
  <c r="I106" i="7" s="1"/>
  <c r="G107" i="7"/>
  <c r="H107" i="7" s="1"/>
  <c r="I107" i="7" s="1"/>
  <c r="G108" i="7"/>
  <c r="H108" i="7"/>
  <c r="I108" i="7" s="1"/>
  <c r="G109" i="7"/>
  <c r="H109" i="7" s="1"/>
  <c r="I109" i="7" s="1"/>
  <c r="G110" i="7"/>
  <c r="H110" i="7" s="1"/>
  <c r="I110" i="7" s="1"/>
  <c r="G111" i="7"/>
  <c r="H111" i="7" s="1"/>
  <c r="I111" i="7" s="1"/>
  <c r="G112" i="7"/>
  <c r="H112" i="7"/>
  <c r="I112" i="7" s="1"/>
  <c r="G113" i="7"/>
  <c r="H113" i="7" s="1"/>
  <c r="I113" i="7" s="1"/>
  <c r="G114" i="7"/>
  <c r="H114" i="7"/>
  <c r="I114" i="7" s="1"/>
  <c r="G115" i="7"/>
  <c r="H115" i="7" s="1"/>
  <c r="I115" i="7" s="1"/>
  <c r="G116" i="7"/>
  <c r="H116" i="7"/>
  <c r="I116" i="7" s="1"/>
  <c r="G117" i="7"/>
  <c r="H117" i="7" s="1"/>
  <c r="I117" i="7" s="1"/>
  <c r="G118" i="7"/>
  <c r="H118" i="7" s="1"/>
  <c r="I118" i="7" s="1"/>
  <c r="G119" i="7"/>
  <c r="H119" i="7" s="1"/>
  <c r="I119" i="7" s="1"/>
  <c r="G120" i="7"/>
  <c r="H120" i="7"/>
  <c r="I120" i="7" s="1"/>
  <c r="G121" i="7"/>
  <c r="H121" i="7" s="1"/>
  <c r="I121" i="7" s="1"/>
  <c r="G122" i="7"/>
  <c r="H122" i="7"/>
  <c r="I122" i="7" s="1"/>
  <c r="G123" i="7"/>
  <c r="H123" i="7" s="1"/>
  <c r="I123" i="7" s="1"/>
  <c r="G124" i="7"/>
  <c r="H124" i="7"/>
  <c r="I124" i="7" s="1"/>
  <c r="G125" i="7"/>
  <c r="H125" i="7" s="1"/>
  <c r="I125" i="7" s="1"/>
  <c r="G126" i="7"/>
  <c r="H126" i="7" s="1"/>
  <c r="I126" i="7" s="1"/>
  <c r="G127" i="7"/>
  <c r="H127" i="7" s="1"/>
  <c r="I127" i="7" s="1"/>
  <c r="G128" i="7"/>
  <c r="H128" i="7"/>
  <c r="I128" i="7" s="1"/>
  <c r="G129" i="7"/>
  <c r="H129" i="7" s="1"/>
  <c r="I129" i="7" s="1"/>
  <c r="G130" i="7"/>
  <c r="H130" i="7"/>
  <c r="I130" i="7" s="1"/>
  <c r="G131" i="7"/>
  <c r="H131" i="7" s="1"/>
  <c r="I131" i="7" s="1"/>
  <c r="G132" i="7"/>
  <c r="H132" i="7"/>
  <c r="I132" i="7" s="1"/>
  <c r="G133" i="7"/>
  <c r="H133" i="7" s="1"/>
  <c r="I133" i="7" s="1"/>
  <c r="G134" i="7"/>
  <c r="H134" i="7" s="1"/>
  <c r="I134" i="7" s="1"/>
  <c r="G135" i="7"/>
  <c r="H135" i="7" s="1"/>
  <c r="I135" i="7" s="1"/>
  <c r="G136" i="7"/>
  <c r="H136" i="7"/>
  <c r="I136" i="7" s="1"/>
  <c r="G137" i="7"/>
  <c r="H137" i="7" s="1"/>
  <c r="I137" i="7" s="1"/>
  <c r="G138" i="7"/>
  <c r="H138" i="7"/>
  <c r="I138" i="7" s="1"/>
  <c r="G139" i="7"/>
  <c r="H139" i="7" s="1"/>
  <c r="I139" i="7" s="1"/>
  <c r="G140" i="7"/>
  <c r="H140" i="7"/>
  <c r="I140" i="7" s="1"/>
  <c r="G141" i="7"/>
  <c r="H141" i="7" s="1"/>
  <c r="I141" i="7" s="1"/>
  <c r="G142" i="7"/>
  <c r="H142" i="7" s="1"/>
  <c r="I142" i="7" s="1"/>
  <c r="G143" i="7"/>
  <c r="H143" i="7" s="1"/>
  <c r="I143" i="7" s="1"/>
  <c r="G144" i="7"/>
  <c r="H144" i="7"/>
  <c r="I144" i="7" s="1"/>
  <c r="G145" i="7"/>
  <c r="H145" i="7" s="1"/>
  <c r="I145" i="7" s="1"/>
  <c r="G146" i="7"/>
  <c r="H146" i="7"/>
  <c r="I146" i="7" s="1"/>
  <c r="G147" i="7"/>
  <c r="H147" i="7" s="1"/>
  <c r="I147" i="7" s="1"/>
  <c r="G72" i="7"/>
  <c r="E72" i="42" s="1"/>
  <c r="H62" i="7"/>
  <c r="I62" i="7" s="1"/>
  <c r="I63" i="7" s="1"/>
  <c r="G62" i="7"/>
  <c r="G63" i="7" s="1"/>
  <c r="I54" i="7"/>
  <c r="G59" i="7"/>
  <c r="H42" i="7"/>
  <c r="I42" i="7" s="1"/>
  <c r="H43" i="7"/>
  <c r="I43" i="7" s="1"/>
  <c r="H44" i="7"/>
  <c r="I44" i="7" s="1"/>
  <c r="H45" i="7"/>
  <c r="I45" i="7" s="1"/>
  <c r="H46" i="7"/>
  <c r="I46" i="7" s="1"/>
  <c r="H47" i="7"/>
  <c r="I47" i="7" s="1"/>
  <c r="H48" i="7"/>
  <c r="I48" i="7" s="1"/>
  <c r="H49" i="7"/>
  <c r="I49" i="7" s="1"/>
  <c r="H50" i="7"/>
  <c r="I50" i="7" s="1"/>
  <c r="H51" i="7"/>
  <c r="I51" i="7" s="1"/>
  <c r="H52" i="7"/>
  <c r="I52" i="7" s="1"/>
  <c r="H53" i="7"/>
  <c r="I53" i="7" s="1"/>
  <c r="H54" i="7"/>
  <c r="H55" i="7"/>
  <c r="I55" i="7" s="1"/>
  <c r="H56" i="7"/>
  <c r="I56" i="7" s="1"/>
  <c r="H57" i="7"/>
  <c r="I57" i="7" s="1"/>
  <c r="H41" i="7"/>
  <c r="I41" i="7" s="1"/>
  <c r="H18" i="7"/>
  <c r="G18" i="7"/>
  <c r="G156" i="5"/>
  <c r="H155" i="5"/>
  <c r="I155" i="5"/>
  <c r="H154" i="5"/>
  <c r="F59" i="5"/>
  <c r="G69" i="5"/>
  <c r="H69" i="5" s="1"/>
  <c r="F69" i="42" s="1"/>
  <c r="H57" i="5"/>
  <c r="I57" i="5" s="1"/>
  <c r="G56" i="5"/>
  <c r="E56" i="42" s="1"/>
  <c r="G55" i="5"/>
  <c r="H55" i="5" s="1"/>
  <c r="I55" i="5" s="1"/>
  <c r="G54" i="5"/>
  <c r="H54" i="5" s="1"/>
  <c r="I54" i="5" s="1"/>
  <c r="G53" i="5"/>
  <c r="H53" i="5" s="1"/>
  <c r="I53" i="5" s="1"/>
  <c r="G52" i="5"/>
  <c r="H52" i="5" s="1"/>
  <c r="I52" i="5" s="1"/>
  <c r="G51" i="5"/>
  <c r="H51" i="5" s="1"/>
  <c r="I51" i="5" s="1"/>
  <c r="G50" i="5"/>
  <c r="H50" i="5" s="1"/>
  <c r="I50" i="5" s="1"/>
  <c r="H49" i="5"/>
  <c r="I49" i="5" s="1"/>
  <c r="G48" i="5"/>
  <c r="H48" i="5" s="1"/>
  <c r="I48" i="5" s="1"/>
  <c r="G47" i="5"/>
  <c r="E47" i="42" s="1"/>
  <c r="G46" i="5"/>
  <c r="H46" i="5" s="1"/>
  <c r="I46" i="5" s="1"/>
  <c r="G45" i="5"/>
  <c r="H45" i="5" s="1"/>
  <c r="I45" i="5" s="1"/>
  <c r="G44" i="5"/>
  <c r="H44" i="5" s="1"/>
  <c r="I44" i="5" s="1"/>
  <c r="G43" i="5"/>
  <c r="H43" i="5" s="1"/>
  <c r="I43" i="5" s="1"/>
  <c r="G42" i="5"/>
  <c r="H42" i="5" s="1"/>
  <c r="I42" i="5" s="1"/>
  <c r="G41" i="5"/>
  <c r="H41" i="5" s="1"/>
  <c r="I41" i="5" s="1"/>
  <c r="H84" i="5"/>
  <c r="I84" i="5" s="1"/>
  <c r="G83" i="5"/>
  <c r="H83" i="5" s="1"/>
  <c r="G82" i="5"/>
  <c r="H82" i="5" s="1"/>
  <c r="G81" i="5"/>
  <c r="H81" i="5" s="1"/>
  <c r="G80" i="5"/>
  <c r="H80" i="5" s="1"/>
  <c r="H79" i="5"/>
  <c r="G78" i="5"/>
  <c r="H78" i="5" s="1"/>
  <c r="I78" i="5" s="1"/>
  <c r="G77" i="5"/>
  <c r="H77" i="5" s="1"/>
  <c r="G76" i="5"/>
  <c r="H76" i="5" s="1"/>
  <c r="I76" i="5" s="1"/>
  <c r="G75" i="5"/>
  <c r="H75" i="5" s="1"/>
  <c r="I75" i="5" s="1"/>
  <c r="G74" i="5"/>
  <c r="H74" i="5" s="1"/>
  <c r="G73" i="5"/>
  <c r="H73" i="5" s="1"/>
  <c r="I73" i="5" s="1"/>
  <c r="H72" i="5"/>
  <c r="I72" i="5" s="1"/>
  <c r="G133" i="5"/>
  <c r="H133" i="5" s="1"/>
  <c r="I133" i="5" s="1"/>
  <c r="G132" i="5"/>
  <c r="H132" i="5" s="1"/>
  <c r="I132" i="5" s="1"/>
  <c r="G131" i="5"/>
  <c r="H131" i="5" s="1"/>
  <c r="I131" i="5" s="1"/>
  <c r="G130" i="5"/>
  <c r="H130" i="5" s="1"/>
  <c r="I130" i="5" s="1"/>
  <c r="G129" i="5"/>
  <c r="H129" i="5" s="1"/>
  <c r="I129" i="5" s="1"/>
  <c r="G128" i="5"/>
  <c r="H128" i="5" s="1"/>
  <c r="I128" i="5" s="1"/>
  <c r="G127" i="5"/>
  <c r="H127" i="5" s="1"/>
  <c r="I127" i="5" s="1"/>
  <c r="G126" i="5"/>
  <c r="H126" i="5" s="1"/>
  <c r="I126" i="5" s="1"/>
  <c r="G125" i="5"/>
  <c r="H125" i="5" s="1"/>
  <c r="I125" i="5" s="1"/>
  <c r="G124" i="5"/>
  <c r="H124" i="5" s="1"/>
  <c r="I124" i="5" s="1"/>
  <c r="G123" i="5"/>
  <c r="H123" i="5" s="1"/>
  <c r="I123" i="5" s="1"/>
  <c r="G122" i="5"/>
  <c r="H122" i="5" s="1"/>
  <c r="I122" i="5" s="1"/>
  <c r="G121" i="5"/>
  <c r="H121" i="5" s="1"/>
  <c r="I121" i="5" s="1"/>
  <c r="G120" i="5"/>
  <c r="H120" i="5" s="1"/>
  <c r="I120" i="5" s="1"/>
  <c r="G119" i="5"/>
  <c r="H119" i="5" s="1"/>
  <c r="I119" i="5" s="1"/>
  <c r="G118" i="5"/>
  <c r="H118" i="5" s="1"/>
  <c r="I118" i="5" s="1"/>
  <c r="G117" i="5"/>
  <c r="H117" i="5" s="1"/>
  <c r="I117" i="5" s="1"/>
  <c r="G116" i="5"/>
  <c r="H116" i="5" s="1"/>
  <c r="I116" i="5" s="1"/>
  <c r="G115" i="5"/>
  <c r="H115" i="5" s="1"/>
  <c r="I115" i="5" s="1"/>
  <c r="G114" i="5"/>
  <c r="H114" i="5" s="1"/>
  <c r="I114" i="5" s="1"/>
  <c r="G200" i="26"/>
  <c r="H200" i="26" s="1"/>
  <c r="I200" i="26" s="1"/>
  <c r="H180" i="26"/>
  <c r="I180" i="26" s="1"/>
  <c r="G183" i="26"/>
  <c r="H183" i="26" s="1"/>
  <c r="I183" i="26" s="1"/>
  <c r="G182" i="26"/>
  <c r="H182" i="26" s="1"/>
  <c r="I182" i="26" s="1"/>
  <c r="G181" i="26"/>
  <c r="H181" i="26" s="1"/>
  <c r="G180" i="26"/>
  <c r="G119" i="26"/>
  <c r="H119" i="26" s="1"/>
  <c r="I119" i="26" s="1"/>
  <c r="G118" i="26"/>
  <c r="H118" i="26" s="1"/>
  <c r="I118" i="26" s="1"/>
  <c r="G114" i="26"/>
  <c r="H114" i="26" s="1"/>
  <c r="I114" i="26" s="1"/>
  <c r="H84" i="26"/>
  <c r="I84" i="26"/>
  <c r="G81" i="26"/>
  <c r="H81" i="26" s="1"/>
  <c r="I81" i="26" s="1"/>
  <c r="H62" i="26"/>
  <c r="H63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G68" i="26"/>
  <c r="H68" i="26" s="1"/>
  <c r="F68" i="42" s="1"/>
  <c r="G62" i="26"/>
  <c r="I62" i="26" s="1"/>
  <c r="C176" i="42"/>
  <c r="C182" i="42"/>
  <c r="C195" i="42"/>
  <c r="C197" i="42"/>
  <c r="B196" i="42"/>
  <c r="C196" i="42"/>
  <c r="C200" i="42"/>
  <c r="C199" i="42"/>
  <c r="B199" i="42"/>
  <c r="B200" i="42"/>
  <c r="B201" i="42"/>
  <c r="C202" i="42"/>
  <c r="C201" i="42"/>
  <c r="C181" i="42"/>
  <c r="C178" i="42"/>
  <c r="C179" i="42"/>
  <c r="C215" i="42"/>
  <c r="C214" i="42"/>
  <c r="C210" i="42"/>
  <c r="C209" i="42"/>
  <c r="B242" i="42"/>
  <c r="B245" i="42"/>
  <c r="B244" i="42"/>
  <c r="C244" i="42"/>
  <c r="C243" i="42"/>
  <c r="C245" i="42"/>
  <c r="C242" i="42"/>
  <c r="D236" i="7"/>
  <c r="B236" i="42" s="1"/>
  <c r="C237" i="42"/>
  <c r="B237" i="42"/>
  <c r="C238" i="42"/>
  <c r="B238" i="42"/>
  <c r="C232" i="42"/>
  <c r="B232" i="42"/>
  <c r="C233" i="42"/>
  <c r="B233" i="42"/>
  <c r="D28" i="4"/>
  <c r="D21" i="24"/>
  <c r="D20" i="24"/>
  <c r="D7" i="24"/>
  <c r="D17" i="24"/>
  <c r="D17" i="23"/>
  <c r="D7" i="23"/>
  <c r="D10" i="23"/>
  <c r="D24" i="23"/>
  <c r="D22" i="23"/>
  <c r="D21" i="23"/>
  <c r="D20" i="23"/>
  <c r="D24" i="22"/>
  <c r="D22" i="22"/>
  <c r="D21" i="22"/>
  <c r="D20" i="22"/>
  <c r="D17" i="22"/>
  <c r="D7" i="22"/>
  <c r="D24" i="21"/>
  <c r="D22" i="21"/>
  <c r="D21" i="21"/>
  <c r="D20" i="21"/>
  <c r="D17" i="21"/>
  <c r="D10" i="21"/>
  <c r="D24" i="10"/>
  <c r="D22" i="10"/>
  <c r="D21" i="10"/>
  <c r="D20" i="10"/>
  <c r="D17" i="10"/>
  <c r="D24" i="8"/>
  <c r="D22" i="8"/>
  <c r="D21" i="8"/>
  <c r="D20" i="8"/>
  <c r="D17" i="8"/>
  <c r="D6" i="8"/>
  <c r="D24" i="11"/>
  <c r="D22" i="11"/>
  <c r="D21" i="11"/>
  <c r="D20" i="11"/>
  <c r="D17" i="11"/>
  <c r="D22" i="12"/>
  <c r="D21" i="12"/>
  <c r="D24" i="12"/>
  <c r="D17" i="12"/>
  <c r="D24" i="14"/>
  <c r="D22" i="14"/>
  <c r="D21" i="14"/>
  <c r="D20" i="14"/>
  <c r="D17" i="14"/>
  <c r="D24" i="16"/>
  <c r="D22" i="16"/>
  <c r="D21" i="16"/>
  <c r="D20" i="16"/>
  <c r="D17" i="16"/>
  <c r="D24" i="19"/>
  <c r="D22" i="19"/>
  <c r="D21" i="19"/>
  <c r="D20" i="19"/>
  <c r="D17" i="19"/>
  <c r="D7" i="19"/>
  <c r="D24" i="15"/>
  <c r="D22" i="15"/>
  <c r="D21" i="15"/>
  <c r="D20" i="15"/>
  <c r="D17" i="15"/>
  <c r="D24" i="13"/>
  <c r="D22" i="13"/>
  <c r="D21" i="13"/>
  <c r="D20" i="13"/>
  <c r="D17" i="13"/>
  <c r="D7" i="13"/>
  <c r="D24" i="7"/>
  <c r="D22" i="7"/>
  <c r="D21" i="7"/>
  <c r="D20" i="7"/>
  <c r="D17" i="7"/>
  <c r="D10" i="7"/>
  <c r="D7" i="7"/>
  <c r="D24" i="5"/>
  <c r="D22" i="5"/>
  <c r="D21" i="5"/>
  <c r="D20" i="5"/>
  <c r="D17" i="5"/>
  <c r="D10" i="5"/>
  <c r="D7" i="5"/>
  <c r="D24" i="26"/>
  <c r="D22" i="26"/>
  <c r="D21" i="26"/>
  <c r="D20" i="26"/>
  <c r="D17" i="26"/>
  <c r="D10" i="26"/>
  <c r="D7" i="26"/>
  <c r="D16" i="19"/>
  <c r="D9" i="8"/>
  <c r="D16" i="8"/>
  <c r="D14" i="8"/>
  <c r="B14" i="42" s="1"/>
  <c r="D16" i="10"/>
  <c r="D10" i="24"/>
  <c r="E18" i="19"/>
  <c r="E74" i="42" l="1"/>
  <c r="E82" i="42"/>
  <c r="H90" i="13"/>
  <c r="I90" i="13" s="1"/>
  <c r="E90" i="42"/>
  <c r="E118" i="42"/>
  <c r="E68" i="42"/>
  <c r="E145" i="42"/>
  <c r="G151" i="18"/>
  <c r="E150" i="42"/>
  <c r="E151" i="42" s="1"/>
  <c r="G160" i="18"/>
  <c r="E158" i="42"/>
  <c r="I144" i="23"/>
  <c r="F144" i="42"/>
  <c r="F43" i="42"/>
  <c r="I43" i="22"/>
  <c r="B9" i="42"/>
  <c r="B22" i="42"/>
  <c r="E41" i="42"/>
  <c r="E45" i="42"/>
  <c r="E53" i="42"/>
  <c r="E75" i="42"/>
  <c r="E79" i="42"/>
  <c r="E83" i="42"/>
  <c r="E87" i="42"/>
  <c r="H91" i="13"/>
  <c r="I91" i="13" s="1"/>
  <c r="E91" i="42"/>
  <c r="E95" i="42"/>
  <c r="H99" i="13"/>
  <c r="I99" i="13" s="1"/>
  <c r="E99" i="42"/>
  <c r="E58" i="42"/>
  <c r="E69" i="42"/>
  <c r="I77" i="23"/>
  <c r="H148" i="23"/>
  <c r="I42" i="23"/>
  <c r="I59" i="23" s="1"/>
  <c r="H59" i="23"/>
  <c r="I100" i="22"/>
  <c r="F143" i="42"/>
  <c r="I143" i="22"/>
  <c r="H98" i="13"/>
  <c r="E98" i="42"/>
  <c r="I96" i="23"/>
  <c r="I89" i="22"/>
  <c r="B16" i="42"/>
  <c r="E42" i="42"/>
  <c r="E46" i="42"/>
  <c r="E50" i="42"/>
  <c r="E54" i="42"/>
  <c r="E80" i="42"/>
  <c r="E88" i="42"/>
  <c r="E92" i="42"/>
  <c r="E96" i="42"/>
  <c r="H100" i="13"/>
  <c r="I100" i="13" s="1"/>
  <c r="E100" i="42"/>
  <c r="G66" i="18"/>
  <c r="E65" i="42"/>
  <c r="E66" i="42" s="1"/>
  <c r="E143" i="42"/>
  <c r="I159" i="18"/>
  <c r="E159" i="42"/>
  <c r="F251" i="11"/>
  <c r="F256" i="11" s="1"/>
  <c r="F260" i="11" s="1"/>
  <c r="I98" i="23"/>
  <c r="F98" i="42"/>
  <c r="H59" i="22"/>
  <c r="I74" i="22"/>
  <c r="F74" i="42"/>
  <c r="I81" i="22"/>
  <c r="E78" i="42"/>
  <c r="E86" i="42"/>
  <c r="I47" i="22"/>
  <c r="B20" i="42"/>
  <c r="B10" i="42"/>
  <c r="H156" i="5"/>
  <c r="E43" i="42"/>
  <c r="E51" i="42"/>
  <c r="E55" i="42"/>
  <c r="E73" i="42"/>
  <c r="E77" i="42"/>
  <c r="E81" i="42"/>
  <c r="E85" i="42"/>
  <c r="E89" i="42"/>
  <c r="E93" i="42"/>
  <c r="E97" i="42"/>
  <c r="E117" i="42"/>
  <c r="G63" i="18"/>
  <c r="E61" i="42"/>
  <c r="E144" i="42"/>
  <c r="G161" i="9"/>
  <c r="G165" i="9" s="1"/>
  <c r="H252" i="26"/>
  <c r="H257" i="26" s="1"/>
  <c r="H261" i="26" s="1"/>
  <c r="H262" i="26" s="1"/>
  <c r="I86" i="23"/>
  <c r="I79" i="23"/>
  <c r="I92" i="22"/>
  <c r="I95" i="22"/>
  <c r="I65" i="22"/>
  <c r="I66" i="22" s="1"/>
  <c r="F65" i="42"/>
  <c r="F66" i="42" s="1"/>
  <c r="I75" i="22"/>
  <c r="I84" i="22"/>
  <c r="F84" i="42"/>
  <c r="F117" i="42"/>
  <c r="G161" i="22"/>
  <c r="H148" i="22"/>
  <c r="F72" i="42"/>
  <c r="I82" i="22"/>
  <c r="I90" i="22"/>
  <c r="F99" i="42"/>
  <c r="I73" i="22"/>
  <c r="I80" i="22"/>
  <c r="F83" i="42"/>
  <c r="I85" i="22"/>
  <c r="I88" i="22"/>
  <c r="I91" i="22"/>
  <c r="F91" i="42"/>
  <c r="I94" i="22"/>
  <c r="I99" i="22"/>
  <c r="I118" i="22"/>
  <c r="F145" i="42"/>
  <c r="F31" i="42"/>
  <c r="H32" i="15"/>
  <c r="B21" i="42"/>
  <c r="G18" i="8"/>
  <c r="G25" i="8"/>
  <c r="I25" i="8"/>
  <c r="H25" i="8"/>
  <c r="G248" i="42"/>
  <c r="G25" i="10"/>
  <c r="H66" i="22"/>
  <c r="I72" i="22"/>
  <c r="I25" i="14"/>
  <c r="H25" i="14"/>
  <c r="H18" i="8"/>
  <c r="I181" i="26"/>
  <c r="H206" i="26"/>
  <c r="H25" i="7"/>
  <c r="H70" i="26"/>
  <c r="I68" i="26"/>
  <c r="I25" i="7"/>
  <c r="H56" i="5"/>
  <c r="I56" i="5" s="1"/>
  <c r="I18" i="7"/>
  <c r="I59" i="7"/>
  <c r="H43" i="13"/>
  <c r="I47" i="13"/>
  <c r="H51" i="13"/>
  <c r="F51" i="42" s="1"/>
  <c r="H55" i="13"/>
  <c r="F55" i="42" s="1"/>
  <c r="H73" i="13"/>
  <c r="I73" i="13" s="1"/>
  <c r="G148" i="13"/>
  <c r="H148" i="13" s="1"/>
  <c r="I148" i="13" s="1"/>
  <c r="H77" i="13"/>
  <c r="F77" i="42" s="1"/>
  <c r="H81" i="13"/>
  <c r="F81" i="42" s="1"/>
  <c r="H85" i="13"/>
  <c r="F85" i="42" s="1"/>
  <c r="H89" i="13"/>
  <c r="F89" i="42" s="1"/>
  <c r="H93" i="13"/>
  <c r="F93" i="42" s="1"/>
  <c r="H97" i="13"/>
  <c r="F97" i="42" s="1"/>
  <c r="H117" i="13"/>
  <c r="G206" i="16"/>
  <c r="H181" i="16"/>
  <c r="I176" i="6"/>
  <c r="H180" i="6"/>
  <c r="I154" i="5"/>
  <c r="I156" i="5" s="1"/>
  <c r="H63" i="7"/>
  <c r="H72" i="7"/>
  <c r="I72" i="7" s="1"/>
  <c r="H44" i="13"/>
  <c r="F44" i="42" s="1"/>
  <c r="H48" i="13"/>
  <c r="F48" i="42" s="1"/>
  <c r="H52" i="13"/>
  <c r="F52" i="42" s="1"/>
  <c r="I56" i="13"/>
  <c r="H74" i="13"/>
  <c r="H78" i="13"/>
  <c r="I78" i="13" s="1"/>
  <c r="H82" i="13"/>
  <c r="F82" i="42" s="1"/>
  <c r="H86" i="13"/>
  <c r="F86" i="42" s="1"/>
  <c r="H94" i="13"/>
  <c r="F94" i="42" s="1"/>
  <c r="H114" i="13"/>
  <c r="H118" i="13"/>
  <c r="F118" i="42" s="1"/>
  <c r="H25" i="26"/>
  <c r="G18" i="15"/>
  <c r="H18" i="15" s="1"/>
  <c r="I18" i="15" s="1"/>
  <c r="I25" i="19"/>
  <c r="G18" i="16"/>
  <c r="G161" i="16" s="1"/>
  <c r="G165" i="16" s="1"/>
  <c r="G205" i="11"/>
  <c r="I69" i="5"/>
  <c r="H59" i="26"/>
  <c r="G25" i="7"/>
  <c r="G25" i="13"/>
  <c r="H41" i="13"/>
  <c r="F41" i="42" s="1"/>
  <c r="G59" i="13"/>
  <c r="H45" i="13"/>
  <c r="F45" i="42" s="1"/>
  <c r="H49" i="13"/>
  <c r="F49" i="42" s="1"/>
  <c r="H53" i="13"/>
  <c r="F53" i="42" s="1"/>
  <c r="H57" i="13"/>
  <c r="F57" i="42" s="1"/>
  <c r="H75" i="13"/>
  <c r="F75" i="42" s="1"/>
  <c r="H79" i="13"/>
  <c r="F79" i="42" s="1"/>
  <c r="H83" i="13"/>
  <c r="H87" i="13"/>
  <c r="F87" i="42" s="1"/>
  <c r="H95" i="13"/>
  <c r="F95" i="42" s="1"/>
  <c r="H115" i="13"/>
  <c r="H119" i="13"/>
  <c r="I127" i="13"/>
  <c r="I147" i="13"/>
  <c r="G156" i="13"/>
  <c r="G18" i="26"/>
  <c r="G59" i="18"/>
  <c r="I69" i="18"/>
  <c r="I126" i="18"/>
  <c r="I130" i="18"/>
  <c r="I134" i="18"/>
  <c r="I138" i="18"/>
  <c r="I142" i="18"/>
  <c r="I146" i="18"/>
  <c r="G25" i="18"/>
  <c r="H25" i="18" s="1"/>
  <c r="I25" i="18" s="1"/>
  <c r="H47" i="5"/>
  <c r="I47" i="5" s="1"/>
  <c r="I59" i="5" s="1"/>
  <c r="G59" i="5"/>
  <c r="G161" i="5" s="1"/>
  <c r="G165" i="5" s="1"/>
  <c r="G18" i="13"/>
  <c r="G206" i="13"/>
  <c r="H206" i="13" s="1"/>
  <c r="I206" i="13" s="1"/>
  <c r="I156" i="13"/>
  <c r="H156" i="13"/>
  <c r="G206" i="15"/>
  <c r="H206" i="15" s="1"/>
  <c r="I206" i="15" s="1"/>
  <c r="G148" i="19"/>
  <c r="H42" i="13"/>
  <c r="F42" i="42" s="1"/>
  <c r="H46" i="13"/>
  <c r="F46" i="42" s="1"/>
  <c r="H50" i="13"/>
  <c r="F50" i="42" s="1"/>
  <c r="H54" i="13"/>
  <c r="F54" i="42" s="1"/>
  <c r="I72" i="13"/>
  <c r="H76" i="13"/>
  <c r="H80" i="13"/>
  <c r="F80" i="42" s="1"/>
  <c r="I84" i="13"/>
  <c r="H88" i="13"/>
  <c r="F88" i="42" s="1"/>
  <c r="H92" i="13"/>
  <c r="F92" i="42" s="1"/>
  <c r="H96" i="13"/>
  <c r="F96" i="42" s="1"/>
  <c r="H116" i="13"/>
  <c r="I128" i="13"/>
  <c r="I140" i="13"/>
  <c r="G25" i="15"/>
  <c r="H25" i="15" s="1"/>
  <c r="I25" i="15" s="1"/>
  <c r="G148" i="15"/>
  <c r="G156" i="15"/>
  <c r="H160" i="15"/>
  <c r="I121" i="19"/>
  <c r="G25" i="19"/>
  <c r="G148" i="18"/>
  <c r="I127" i="18"/>
  <c r="I131" i="18"/>
  <c r="I135" i="18"/>
  <c r="I139" i="18"/>
  <c r="I143" i="18"/>
  <c r="I147" i="18"/>
  <c r="G156" i="18"/>
  <c r="H225" i="18"/>
  <c r="F261" i="11"/>
  <c r="I141" i="13"/>
  <c r="H182" i="15"/>
  <c r="I182" i="15" s="1"/>
  <c r="G63" i="15"/>
  <c r="G70" i="19"/>
  <c r="I122" i="19"/>
  <c r="I124" i="18"/>
  <c r="I128" i="18"/>
  <c r="I132" i="18"/>
  <c r="I136" i="18"/>
  <c r="I140" i="18"/>
  <c r="I144" i="18"/>
  <c r="H156" i="18"/>
  <c r="H177" i="11"/>
  <c r="I177" i="11" s="1"/>
  <c r="I205" i="11" s="1"/>
  <c r="G251" i="11"/>
  <c r="G256" i="11" s="1"/>
  <c r="G260" i="11" s="1"/>
  <c r="G261" i="11" s="1"/>
  <c r="I142" i="13"/>
  <c r="G70" i="15"/>
  <c r="H25" i="19"/>
  <c r="H161" i="19" s="1"/>
  <c r="H165" i="19" s="1"/>
  <c r="G70" i="18"/>
  <c r="E70" i="42"/>
  <c r="I125" i="18"/>
  <c r="I129" i="18"/>
  <c r="I133" i="18"/>
  <c r="I137" i="18"/>
  <c r="I141" i="18"/>
  <c r="I145" i="18"/>
  <c r="H252" i="10"/>
  <c r="H257" i="10" s="1"/>
  <c r="H261" i="10" s="1"/>
  <c r="G252" i="10"/>
  <c r="G257" i="10" s="1"/>
  <c r="G261" i="10" s="1"/>
  <c r="E173" i="42"/>
  <c r="H173" i="9"/>
  <c r="I178" i="6"/>
  <c r="I177" i="6"/>
  <c r="G161" i="6"/>
  <c r="G165" i="6" s="1"/>
  <c r="I181" i="6"/>
  <c r="H177" i="12"/>
  <c r="H205" i="11"/>
  <c r="H251" i="11" s="1"/>
  <c r="H256" i="11" s="1"/>
  <c r="H260" i="11" s="1"/>
  <c r="H261" i="11" s="1"/>
  <c r="G206" i="6"/>
  <c r="H172" i="9"/>
  <c r="G174" i="9"/>
  <c r="G252" i="9" s="1"/>
  <c r="G257" i="9" s="1"/>
  <c r="G261" i="9" s="1"/>
  <c r="G262" i="9" s="1"/>
  <c r="I58" i="18"/>
  <c r="I59" i="18" s="1"/>
  <c r="I68" i="18"/>
  <c r="I123" i="18"/>
  <c r="I150" i="18"/>
  <c r="I151" i="18" s="1"/>
  <c r="I153" i="18"/>
  <c r="I156" i="18" s="1"/>
  <c r="I158" i="18"/>
  <c r="I160" i="18" s="1"/>
  <c r="I58" i="19"/>
  <c r="I59" i="19" s="1"/>
  <c r="I68" i="19"/>
  <c r="I70" i="19" s="1"/>
  <c r="I120" i="19"/>
  <c r="I150" i="19"/>
  <c r="I151" i="19" s="1"/>
  <c r="I58" i="15"/>
  <c r="I59" i="15" s="1"/>
  <c r="I68" i="15"/>
  <c r="I70" i="15" s="1"/>
  <c r="I134" i="15"/>
  <c r="I148" i="15" s="1"/>
  <c r="I153" i="15"/>
  <c r="I156" i="15" s="1"/>
  <c r="I158" i="15"/>
  <c r="I160" i="15" s="1"/>
  <c r="I92" i="13"/>
  <c r="I95" i="13"/>
  <c r="I96" i="13"/>
  <c r="I98" i="13"/>
  <c r="I101" i="13"/>
  <c r="I103" i="13"/>
  <c r="I104" i="13"/>
  <c r="I105" i="13"/>
  <c r="I106" i="13"/>
  <c r="I109" i="13"/>
  <c r="I110" i="13"/>
  <c r="I111" i="13"/>
  <c r="I112" i="13"/>
  <c r="I113" i="13"/>
  <c r="I114" i="13"/>
  <c r="I116" i="13"/>
  <c r="I117" i="13"/>
  <c r="I119" i="13"/>
  <c r="I120" i="13"/>
  <c r="I121" i="13"/>
  <c r="I122" i="13"/>
  <c r="I123" i="13"/>
  <c r="I124" i="13"/>
  <c r="I125" i="13"/>
  <c r="I126" i="13"/>
  <c r="I129" i="13"/>
  <c r="I130" i="13"/>
  <c r="I131" i="13"/>
  <c r="I132" i="13"/>
  <c r="I133" i="13"/>
  <c r="I134" i="13"/>
  <c r="I135" i="13"/>
  <c r="I136" i="13"/>
  <c r="I137" i="13"/>
  <c r="I138" i="13"/>
  <c r="I139" i="13"/>
  <c r="I143" i="13"/>
  <c r="I144" i="13"/>
  <c r="I145" i="13"/>
  <c r="I146" i="13"/>
  <c r="H59" i="7"/>
  <c r="I74" i="5"/>
  <c r="I77" i="5"/>
  <c r="I79" i="5"/>
  <c r="I80" i="5"/>
  <c r="I81" i="5"/>
  <c r="I82" i="5"/>
  <c r="I83" i="5"/>
  <c r="C262" i="42"/>
  <c r="B262" i="42"/>
  <c r="C250" i="42"/>
  <c r="B250" i="42"/>
  <c r="C236" i="42"/>
  <c r="C234" i="42"/>
  <c r="B234" i="42"/>
  <c r="C231" i="42"/>
  <c r="B231" i="42"/>
  <c r="C230" i="42"/>
  <c r="B230" i="42"/>
  <c r="C229" i="42"/>
  <c r="B229" i="42"/>
  <c r="C228" i="42"/>
  <c r="B228" i="42"/>
  <c r="C227" i="42"/>
  <c r="B227" i="42"/>
  <c r="C224" i="42"/>
  <c r="B224" i="42"/>
  <c r="C223" i="42"/>
  <c r="B223" i="42"/>
  <c r="C219" i="42"/>
  <c r="B219" i="42"/>
  <c r="C218" i="42"/>
  <c r="B218" i="42"/>
  <c r="B215" i="42"/>
  <c r="B214" i="42"/>
  <c r="B210" i="42"/>
  <c r="B209" i="42"/>
  <c r="B208" i="42"/>
  <c r="C205" i="42"/>
  <c r="B205" i="42"/>
  <c r="C204" i="42"/>
  <c r="B204" i="42"/>
  <c r="C203" i="42"/>
  <c r="B203" i="42"/>
  <c r="B202" i="42"/>
  <c r="C198" i="42"/>
  <c r="B198" i="42"/>
  <c r="B195" i="42"/>
  <c r="C194" i="42"/>
  <c r="B194" i="42"/>
  <c r="C193" i="42"/>
  <c r="B193" i="42"/>
  <c r="C192" i="42"/>
  <c r="C191" i="42"/>
  <c r="B191" i="42"/>
  <c r="C190" i="42"/>
  <c r="B190" i="42"/>
  <c r="C189" i="42"/>
  <c r="B189" i="42"/>
  <c r="C188" i="42"/>
  <c r="B188" i="42"/>
  <c r="C187" i="42"/>
  <c r="B187" i="42"/>
  <c r="C186" i="42"/>
  <c r="B186" i="42"/>
  <c r="C185" i="42"/>
  <c r="B185" i="42"/>
  <c r="C184" i="42"/>
  <c r="B184" i="42"/>
  <c r="C183" i="42"/>
  <c r="B183" i="42"/>
  <c r="B182" i="42"/>
  <c r="B181" i="42"/>
  <c r="C180" i="42"/>
  <c r="B179" i="42"/>
  <c r="B178" i="42"/>
  <c r="C177" i="42"/>
  <c r="B177" i="42"/>
  <c r="B176" i="42"/>
  <c r="C173" i="42"/>
  <c r="B173" i="42"/>
  <c r="C172" i="42"/>
  <c r="B172" i="42"/>
  <c r="F63" i="42"/>
  <c r="F35" i="42"/>
  <c r="D16" i="26"/>
  <c r="D12" i="26"/>
  <c r="B12" i="42" s="1"/>
  <c r="G161" i="19" l="1"/>
  <c r="G165" i="19" s="1"/>
  <c r="G262" i="19" s="1"/>
  <c r="F47" i="42"/>
  <c r="I251" i="11"/>
  <c r="I256" i="11" s="1"/>
  <c r="I260" i="11" s="1"/>
  <c r="I261" i="11" s="1"/>
  <c r="F90" i="42"/>
  <c r="F100" i="42"/>
  <c r="F78" i="42"/>
  <c r="I70" i="18"/>
  <c r="I148" i="22"/>
  <c r="F73" i="42"/>
  <c r="F56" i="42"/>
  <c r="G164" i="15"/>
  <c r="G168" i="15" s="1"/>
  <c r="F32" i="42"/>
  <c r="G161" i="8"/>
  <c r="G165" i="8" s="1"/>
  <c r="H161" i="18"/>
  <c r="H165" i="18" s="1"/>
  <c r="G161" i="18"/>
  <c r="G165" i="18" s="1"/>
  <c r="I87" i="13"/>
  <c r="I79" i="13"/>
  <c r="I57" i="13"/>
  <c r="I49" i="13"/>
  <c r="E59" i="42"/>
  <c r="I94" i="13"/>
  <c r="I82" i="13"/>
  <c r="I74" i="13"/>
  <c r="I52" i="13"/>
  <c r="I44" i="13"/>
  <c r="I181" i="16"/>
  <c r="H206" i="16"/>
  <c r="I51" i="13"/>
  <c r="I43" i="13"/>
  <c r="I115" i="13"/>
  <c r="I148" i="19"/>
  <c r="I161" i="19" s="1"/>
  <c r="I165" i="19" s="1"/>
  <c r="H206" i="12"/>
  <c r="I177" i="12"/>
  <c r="I88" i="13"/>
  <c r="I80" i="13"/>
  <c r="I50" i="13"/>
  <c r="I42" i="13"/>
  <c r="H18" i="13"/>
  <c r="I18" i="13"/>
  <c r="I41" i="13"/>
  <c r="H59" i="13"/>
  <c r="I93" i="13"/>
  <c r="I85" i="13"/>
  <c r="I77" i="13"/>
  <c r="I118" i="13"/>
  <c r="F173" i="42"/>
  <c r="I173" i="9"/>
  <c r="H18" i="26"/>
  <c r="I83" i="13"/>
  <c r="I75" i="13"/>
  <c r="I53" i="13"/>
  <c r="I45" i="13"/>
  <c r="H59" i="5"/>
  <c r="H161" i="5" s="1"/>
  <c r="H165" i="5" s="1"/>
  <c r="I86" i="13"/>
  <c r="I48" i="13"/>
  <c r="I55" i="13"/>
  <c r="I148" i="18"/>
  <c r="I161" i="18" s="1"/>
  <c r="I165" i="18" s="1"/>
  <c r="I76" i="13"/>
  <c r="I54" i="13"/>
  <c r="I46" i="13"/>
  <c r="I25" i="13"/>
  <c r="H25" i="13"/>
  <c r="H18" i="16"/>
  <c r="I161" i="5"/>
  <c r="I165" i="5" s="1"/>
  <c r="I180" i="6"/>
  <c r="I97" i="13"/>
  <c r="I89" i="13"/>
  <c r="I81" i="13"/>
  <c r="H174" i="9"/>
  <c r="I172" i="9"/>
  <c r="F70" i="42"/>
  <c r="C59" i="42"/>
  <c r="C206" i="42"/>
  <c r="B174" i="42"/>
  <c r="C216" i="42"/>
  <c r="C174" i="42"/>
  <c r="C225" i="42"/>
  <c r="B225" i="42"/>
  <c r="C263" i="42"/>
  <c r="B263" i="42"/>
  <c r="C251" i="42"/>
  <c r="B251" i="42"/>
  <c r="B216" i="42"/>
  <c r="G165" i="15" l="1"/>
  <c r="I18" i="8"/>
  <c r="F59" i="42"/>
  <c r="I18" i="16"/>
  <c r="I174" i="9"/>
  <c r="I59" i="13"/>
  <c r="H156" i="21"/>
  <c r="D78" i="8"/>
  <c r="B78" i="42" s="1"/>
  <c r="D57" i="5"/>
  <c r="H159" i="8"/>
  <c r="H158" i="8"/>
  <c r="H248" i="8"/>
  <c r="I251" i="8"/>
  <c r="I256" i="8"/>
  <c r="I260" i="8"/>
  <c r="E148" i="26"/>
  <c r="D7" i="18"/>
  <c r="B7" i="42" s="1"/>
  <c r="E18" i="14"/>
  <c r="F13" i="12"/>
  <c r="G13" i="12" s="1"/>
  <c r="H13" i="12" s="1"/>
  <c r="I13" i="12" s="1"/>
  <c r="F12" i="12"/>
  <c r="G12" i="12" s="1"/>
  <c r="H12" i="12" s="1"/>
  <c r="I12" i="12" s="1"/>
  <c r="F58" i="8"/>
  <c r="H148" i="21"/>
  <c r="I164" i="21"/>
  <c r="H164" i="21"/>
  <c r="F164" i="21"/>
  <c r="E164" i="21"/>
  <c r="H160" i="21"/>
  <c r="E160" i="21"/>
  <c r="E247" i="21"/>
  <c r="I58" i="21"/>
  <c r="F28" i="23"/>
  <c r="G28" i="23" s="1"/>
  <c r="D24" i="24"/>
  <c r="D29" i="4"/>
  <c r="H28" i="23" l="1"/>
  <c r="G29" i="23"/>
  <c r="G161" i="23" s="1"/>
  <c r="G165" i="23" s="1"/>
  <c r="H161" i="4"/>
  <c r="H160" i="8"/>
  <c r="H161" i="8" s="1"/>
  <c r="H165" i="8" s="1"/>
  <c r="I28" i="23" l="1"/>
  <c r="I29" i="23" s="1"/>
  <c r="H29" i="23"/>
  <c r="H161" i="23" s="1"/>
  <c r="H165" i="23" s="1"/>
  <c r="D197" i="5"/>
  <c r="B197" i="42" s="1"/>
  <c r="I199" i="42" s="1"/>
  <c r="D180" i="26"/>
  <c r="B180" i="42" s="1"/>
  <c r="I173" i="4" l="1"/>
  <c r="I172" i="4"/>
  <c r="I6" i="23"/>
  <c r="I19" i="23"/>
  <c r="I133" i="21"/>
  <c r="I132" i="21"/>
  <c r="I131" i="21"/>
  <c r="I130" i="21"/>
  <c r="I129" i="21"/>
  <c r="I61" i="6"/>
  <c r="G61" i="42" s="1"/>
  <c r="G63" i="42" s="1"/>
  <c r="I6" i="11"/>
  <c r="I205" i="26"/>
  <c r="I204" i="26"/>
  <c r="I203" i="26"/>
  <c r="I202" i="26"/>
  <c r="I201" i="26"/>
  <c r="I83" i="14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41" i="12"/>
  <c r="I42" i="12"/>
  <c r="I43" i="12"/>
  <c r="I40" i="12"/>
  <c r="F92" i="8"/>
  <c r="F93" i="8"/>
  <c r="F94" i="8"/>
  <c r="F95" i="8"/>
  <c r="F96" i="8"/>
  <c r="F97" i="8"/>
  <c r="F98" i="8"/>
  <c r="F99" i="8"/>
  <c r="F104" i="8"/>
  <c r="F105" i="8"/>
  <c r="F106" i="8"/>
  <c r="F107" i="8"/>
  <c r="F108" i="8"/>
  <c r="F136" i="8"/>
  <c r="F137" i="8"/>
  <c r="F138" i="8"/>
  <c r="F139" i="8"/>
  <c r="F140" i="8"/>
  <c r="F141" i="8"/>
  <c r="F142" i="8"/>
  <c r="F143" i="8"/>
  <c r="F247" i="24"/>
  <c r="G247" i="24" s="1"/>
  <c r="F200" i="24"/>
  <c r="G200" i="24" s="1"/>
  <c r="F199" i="24"/>
  <c r="G199" i="24" s="1"/>
  <c r="F198" i="24"/>
  <c r="G198" i="24" s="1"/>
  <c r="F197" i="24"/>
  <c r="G197" i="24" s="1"/>
  <c r="F196" i="24"/>
  <c r="G196" i="24" s="1"/>
  <c r="F195" i="24"/>
  <c r="G195" i="24" s="1"/>
  <c r="F194" i="24"/>
  <c r="G194" i="24" s="1"/>
  <c r="F193" i="24"/>
  <c r="G193" i="24" s="1"/>
  <c r="F192" i="24"/>
  <c r="G192" i="24" s="1"/>
  <c r="F191" i="24"/>
  <c r="G191" i="24" s="1"/>
  <c r="F190" i="24"/>
  <c r="G190" i="24" s="1"/>
  <c r="F189" i="24"/>
  <c r="G189" i="24" s="1"/>
  <c r="F188" i="24"/>
  <c r="G188" i="24" s="1"/>
  <c r="F187" i="24"/>
  <c r="G187" i="24" s="1"/>
  <c r="F186" i="24"/>
  <c r="G186" i="24" s="1"/>
  <c r="F185" i="24"/>
  <c r="G185" i="24" s="1"/>
  <c r="F184" i="24"/>
  <c r="G184" i="24" s="1"/>
  <c r="F183" i="24"/>
  <c r="G183" i="24" s="1"/>
  <c r="H183" i="24" s="1"/>
  <c r="I183" i="24" s="1"/>
  <c r="F182" i="24"/>
  <c r="G182" i="24" s="1"/>
  <c r="H182" i="24" s="1"/>
  <c r="I182" i="24" s="1"/>
  <c r="F181" i="24"/>
  <c r="G181" i="24" s="1"/>
  <c r="H181" i="24" s="1"/>
  <c r="I181" i="24" s="1"/>
  <c r="F143" i="24"/>
  <c r="G143" i="24" s="1"/>
  <c r="F142" i="24"/>
  <c r="G142" i="24" s="1"/>
  <c r="F141" i="24"/>
  <c r="G141" i="24" s="1"/>
  <c r="F140" i="24"/>
  <c r="G140" i="24" s="1"/>
  <c r="F139" i="24"/>
  <c r="G139" i="24" s="1"/>
  <c r="F138" i="24"/>
  <c r="G138" i="24" s="1"/>
  <c r="F137" i="24"/>
  <c r="G137" i="24" s="1"/>
  <c r="F136" i="24"/>
  <c r="G136" i="24" s="1"/>
  <c r="F135" i="24"/>
  <c r="G135" i="24" s="1"/>
  <c r="F134" i="24"/>
  <c r="G134" i="24" s="1"/>
  <c r="F133" i="24"/>
  <c r="G133" i="24" s="1"/>
  <c r="F132" i="24"/>
  <c r="G132" i="24" s="1"/>
  <c r="F131" i="24"/>
  <c r="G131" i="24" s="1"/>
  <c r="F130" i="24"/>
  <c r="G130" i="24" s="1"/>
  <c r="F129" i="24"/>
  <c r="G129" i="24" s="1"/>
  <c r="F128" i="24"/>
  <c r="G128" i="24" s="1"/>
  <c r="F127" i="24"/>
  <c r="G127" i="24" s="1"/>
  <c r="F126" i="24"/>
  <c r="G126" i="24" s="1"/>
  <c r="F125" i="24"/>
  <c r="G125" i="24" s="1"/>
  <c r="F124" i="24"/>
  <c r="G124" i="24" s="1"/>
  <c r="F123" i="24"/>
  <c r="G123" i="24" s="1"/>
  <c r="F122" i="24"/>
  <c r="G122" i="24" s="1"/>
  <c r="F121" i="24"/>
  <c r="G121" i="24" s="1"/>
  <c r="F120" i="24"/>
  <c r="G120" i="24" s="1"/>
  <c r="F117" i="24"/>
  <c r="G117" i="24" s="1"/>
  <c r="F116" i="24"/>
  <c r="G116" i="24" s="1"/>
  <c r="F115" i="24"/>
  <c r="G115" i="24" s="1"/>
  <c r="F114" i="24"/>
  <c r="G114" i="24" s="1"/>
  <c r="F113" i="24"/>
  <c r="G113" i="24" s="1"/>
  <c r="F112" i="24"/>
  <c r="G112" i="24" s="1"/>
  <c r="F111" i="24"/>
  <c r="G111" i="24" s="1"/>
  <c r="F110" i="24"/>
  <c r="G110" i="24" s="1"/>
  <c r="F109" i="24"/>
  <c r="G109" i="24" s="1"/>
  <c r="F108" i="24"/>
  <c r="G108" i="24" s="1"/>
  <c r="F107" i="24"/>
  <c r="G107" i="24" s="1"/>
  <c r="F106" i="24"/>
  <c r="G106" i="24" s="1"/>
  <c r="F105" i="24"/>
  <c r="G105" i="24" s="1"/>
  <c r="F104" i="24"/>
  <c r="G104" i="24" s="1"/>
  <c r="F103" i="24"/>
  <c r="G103" i="24" s="1"/>
  <c r="F102" i="24"/>
  <c r="G102" i="24" s="1"/>
  <c r="F48" i="24"/>
  <c r="F28" i="24"/>
  <c r="G28" i="24" s="1"/>
  <c r="F200" i="23"/>
  <c r="G200" i="23" s="1"/>
  <c r="H200" i="23" s="1"/>
  <c r="I200" i="23" s="1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G181" i="23" s="1"/>
  <c r="F163" i="23"/>
  <c r="F150" i="23"/>
  <c r="F147" i="23"/>
  <c r="F146" i="23"/>
  <c r="F145" i="23"/>
  <c r="F143" i="23"/>
  <c r="F142" i="23"/>
  <c r="F141" i="23"/>
  <c r="F140" i="23"/>
  <c r="F139" i="23"/>
  <c r="F138" i="23"/>
  <c r="F137" i="23"/>
  <c r="F136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7" i="23"/>
  <c r="F96" i="23"/>
  <c r="F95" i="23"/>
  <c r="F94" i="23"/>
  <c r="F93" i="23"/>
  <c r="F92" i="23"/>
  <c r="F48" i="23"/>
  <c r="F200" i="22"/>
  <c r="G200" i="22" s="1"/>
  <c r="H200" i="22" s="1"/>
  <c r="I200" i="22" s="1"/>
  <c r="F199" i="22"/>
  <c r="G199" i="22" s="1"/>
  <c r="H199" i="22" s="1"/>
  <c r="I199" i="22" s="1"/>
  <c r="F198" i="22"/>
  <c r="G198" i="22" s="1"/>
  <c r="H198" i="22" s="1"/>
  <c r="I198" i="22" s="1"/>
  <c r="F197" i="22"/>
  <c r="G197" i="22" s="1"/>
  <c r="H197" i="22" s="1"/>
  <c r="I197" i="22" s="1"/>
  <c r="F196" i="22"/>
  <c r="G196" i="22" s="1"/>
  <c r="H196" i="22" s="1"/>
  <c r="I196" i="22" s="1"/>
  <c r="F195" i="22"/>
  <c r="G195" i="22" s="1"/>
  <c r="H195" i="22" s="1"/>
  <c r="I195" i="22" s="1"/>
  <c r="F194" i="22"/>
  <c r="G194" i="22" s="1"/>
  <c r="H194" i="22" s="1"/>
  <c r="I194" i="22" s="1"/>
  <c r="F193" i="22"/>
  <c r="G193" i="22" s="1"/>
  <c r="H193" i="22" s="1"/>
  <c r="I193" i="22" s="1"/>
  <c r="F192" i="22"/>
  <c r="G192" i="22" s="1"/>
  <c r="H192" i="22" s="1"/>
  <c r="I192" i="22" s="1"/>
  <c r="F191" i="22"/>
  <c r="G191" i="22" s="1"/>
  <c r="H191" i="22" s="1"/>
  <c r="I191" i="22" s="1"/>
  <c r="F190" i="22"/>
  <c r="G190" i="22" s="1"/>
  <c r="H190" i="22" s="1"/>
  <c r="I190" i="22" s="1"/>
  <c r="F189" i="22"/>
  <c r="G189" i="22" s="1"/>
  <c r="H189" i="22" s="1"/>
  <c r="I189" i="22" s="1"/>
  <c r="F188" i="22"/>
  <c r="G188" i="22" s="1"/>
  <c r="H188" i="22" s="1"/>
  <c r="I188" i="22" s="1"/>
  <c r="F187" i="22"/>
  <c r="G187" i="22" s="1"/>
  <c r="H187" i="22" s="1"/>
  <c r="I187" i="22" s="1"/>
  <c r="F186" i="22"/>
  <c r="G186" i="22" s="1"/>
  <c r="H186" i="22" s="1"/>
  <c r="I186" i="22" s="1"/>
  <c r="F185" i="22"/>
  <c r="G185" i="22" s="1"/>
  <c r="H185" i="22" s="1"/>
  <c r="I185" i="22" s="1"/>
  <c r="F184" i="22"/>
  <c r="G184" i="22" s="1"/>
  <c r="H184" i="22" s="1"/>
  <c r="I184" i="22" s="1"/>
  <c r="F183" i="22"/>
  <c r="G183" i="22" s="1"/>
  <c r="H183" i="22" s="1"/>
  <c r="I183" i="22" s="1"/>
  <c r="F182" i="22"/>
  <c r="G182" i="22" s="1"/>
  <c r="H182" i="22" s="1"/>
  <c r="I182" i="22" s="1"/>
  <c r="F181" i="22"/>
  <c r="G181" i="22" s="1"/>
  <c r="F163" i="22"/>
  <c r="G163" i="22" s="1"/>
  <c r="F159" i="22"/>
  <c r="F158" i="22"/>
  <c r="F155" i="22"/>
  <c r="F154" i="22"/>
  <c r="F153" i="22"/>
  <c r="F150" i="22"/>
  <c r="F136" i="22"/>
  <c r="F135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58" i="21"/>
  <c r="F155" i="21"/>
  <c r="F133" i="21"/>
  <c r="F132" i="21"/>
  <c r="F131" i="21"/>
  <c r="F130" i="21"/>
  <c r="F129" i="21"/>
  <c r="F154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62" i="6"/>
  <c r="F122" i="10"/>
  <c r="F121" i="10"/>
  <c r="F120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13" i="10"/>
  <c r="G13" i="10" s="1"/>
  <c r="H13" i="10" s="1"/>
  <c r="I13" i="10" s="1"/>
  <c r="F12" i="10"/>
  <c r="G12" i="10" s="1"/>
  <c r="H12" i="10" s="1"/>
  <c r="I12" i="10" s="1"/>
  <c r="F11" i="10"/>
  <c r="G11" i="10" s="1"/>
  <c r="H11" i="10" s="1"/>
  <c r="I11" i="10" s="1"/>
  <c r="F10" i="10"/>
  <c r="G10" i="10" s="1"/>
  <c r="H10" i="10" s="1"/>
  <c r="I10" i="10" s="1"/>
  <c r="F9" i="10"/>
  <c r="G9" i="10" s="1"/>
  <c r="H9" i="10" s="1"/>
  <c r="I9" i="10" s="1"/>
  <c r="F8" i="10"/>
  <c r="G8" i="10" s="1"/>
  <c r="H8" i="10" s="1"/>
  <c r="I8" i="10" s="1"/>
  <c r="F7" i="10"/>
  <c r="G7" i="10" s="1"/>
  <c r="H7" i="10" s="1"/>
  <c r="I7" i="10" s="1"/>
  <c r="F6" i="10"/>
  <c r="F215" i="8"/>
  <c r="G215" i="8" s="1"/>
  <c r="H215" i="8" s="1"/>
  <c r="I215" i="8" s="1"/>
  <c r="F214" i="8"/>
  <c r="F177" i="8"/>
  <c r="F176" i="8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200" i="14"/>
  <c r="G200" i="14" s="1"/>
  <c r="H200" i="14" s="1"/>
  <c r="I200" i="14" s="1"/>
  <c r="F199" i="14"/>
  <c r="G199" i="14" s="1"/>
  <c r="H199" i="14" s="1"/>
  <c r="I199" i="14" s="1"/>
  <c r="F198" i="14"/>
  <c r="G198" i="14" s="1"/>
  <c r="H198" i="14" s="1"/>
  <c r="I198" i="14" s="1"/>
  <c r="F197" i="14"/>
  <c r="G197" i="14" s="1"/>
  <c r="H197" i="14" s="1"/>
  <c r="I197" i="14" s="1"/>
  <c r="F196" i="14"/>
  <c r="G196" i="14" s="1"/>
  <c r="H196" i="14" s="1"/>
  <c r="I196" i="14" s="1"/>
  <c r="F195" i="14"/>
  <c r="G195" i="14" s="1"/>
  <c r="H195" i="14" s="1"/>
  <c r="I195" i="14" s="1"/>
  <c r="F194" i="14"/>
  <c r="G194" i="14" s="1"/>
  <c r="H194" i="14" s="1"/>
  <c r="I194" i="14" s="1"/>
  <c r="F193" i="14"/>
  <c r="G193" i="14" s="1"/>
  <c r="H193" i="14" s="1"/>
  <c r="I193" i="14" s="1"/>
  <c r="F192" i="14"/>
  <c r="G192" i="14" s="1"/>
  <c r="H192" i="14" s="1"/>
  <c r="I192" i="14" s="1"/>
  <c r="F191" i="14"/>
  <c r="G191" i="14" s="1"/>
  <c r="H191" i="14" s="1"/>
  <c r="I191" i="14" s="1"/>
  <c r="F190" i="14"/>
  <c r="G190" i="14" s="1"/>
  <c r="H190" i="14" s="1"/>
  <c r="I190" i="14" s="1"/>
  <c r="F189" i="14"/>
  <c r="G189" i="14" s="1"/>
  <c r="H189" i="14" s="1"/>
  <c r="I189" i="14" s="1"/>
  <c r="F188" i="14"/>
  <c r="G188" i="14" s="1"/>
  <c r="H188" i="14" s="1"/>
  <c r="I188" i="14" s="1"/>
  <c r="F187" i="14"/>
  <c r="G187" i="14" s="1"/>
  <c r="H187" i="14" s="1"/>
  <c r="I187" i="14" s="1"/>
  <c r="F186" i="14"/>
  <c r="G186" i="14" s="1"/>
  <c r="H186" i="14" s="1"/>
  <c r="I186" i="14" s="1"/>
  <c r="F185" i="14"/>
  <c r="G185" i="14" s="1"/>
  <c r="H185" i="14" s="1"/>
  <c r="I185" i="14" s="1"/>
  <c r="F184" i="14"/>
  <c r="G184" i="14" s="1"/>
  <c r="H184" i="14" s="1"/>
  <c r="I184" i="14" s="1"/>
  <c r="F183" i="14"/>
  <c r="G183" i="14" s="1"/>
  <c r="F182" i="14"/>
  <c r="G182" i="14" s="1"/>
  <c r="F181" i="14"/>
  <c r="G181" i="14" s="1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13" i="14"/>
  <c r="G13" i="14" s="1"/>
  <c r="H13" i="14" s="1"/>
  <c r="I13" i="14" s="1"/>
  <c r="F12" i="14"/>
  <c r="G12" i="14" s="1"/>
  <c r="H12" i="14" s="1"/>
  <c r="I12" i="14" s="1"/>
  <c r="F11" i="14"/>
  <c r="G11" i="14" s="1"/>
  <c r="H11" i="14" s="1"/>
  <c r="I11" i="14" s="1"/>
  <c r="F10" i="14"/>
  <c r="G10" i="14" s="1"/>
  <c r="H10" i="14" s="1"/>
  <c r="I10" i="14" s="1"/>
  <c r="F9" i="14"/>
  <c r="G9" i="14" s="1"/>
  <c r="H9" i="14" s="1"/>
  <c r="I9" i="14" s="1"/>
  <c r="F205" i="19"/>
  <c r="G205" i="19" s="1"/>
  <c r="F204" i="19"/>
  <c r="G204" i="19" s="1"/>
  <c r="H204" i="19" s="1"/>
  <c r="I204" i="19" s="1"/>
  <c r="F203" i="19"/>
  <c r="G203" i="19" s="1"/>
  <c r="H203" i="19" s="1"/>
  <c r="I203" i="19" s="1"/>
  <c r="F202" i="19"/>
  <c r="G202" i="19" s="1"/>
  <c r="H202" i="19" s="1"/>
  <c r="I202" i="19" s="1"/>
  <c r="F201" i="19"/>
  <c r="G201" i="19" s="1"/>
  <c r="H201" i="19" s="1"/>
  <c r="I201" i="19" s="1"/>
  <c r="F200" i="19"/>
  <c r="G200" i="19" s="1"/>
  <c r="H200" i="19" s="1"/>
  <c r="I200" i="19" s="1"/>
  <c r="F199" i="19"/>
  <c r="G199" i="19" s="1"/>
  <c r="H199" i="19" s="1"/>
  <c r="I199" i="19" s="1"/>
  <c r="F198" i="19"/>
  <c r="G198" i="19" s="1"/>
  <c r="H198" i="19" s="1"/>
  <c r="I198" i="19" s="1"/>
  <c r="F197" i="19"/>
  <c r="G197" i="19" s="1"/>
  <c r="H197" i="19" s="1"/>
  <c r="I197" i="19" s="1"/>
  <c r="F196" i="19"/>
  <c r="G196" i="19" s="1"/>
  <c r="H196" i="19" s="1"/>
  <c r="I196" i="19" s="1"/>
  <c r="F195" i="19"/>
  <c r="G195" i="19" s="1"/>
  <c r="H195" i="19" s="1"/>
  <c r="I195" i="19" s="1"/>
  <c r="F194" i="19"/>
  <c r="G194" i="19" s="1"/>
  <c r="H194" i="19" s="1"/>
  <c r="I194" i="19" s="1"/>
  <c r="F193" i="19"/>
  <c r="G193" i="19" s="1"/>
  <c r="H193" i="19" s="1"/>
  <c r="I193" i="19" s="1"/>
  <c r="F192" i="19"/>
  <c r="G192" i="19" s="1"/>
  <c r="H192" i="19" s="1"/>
  <c r="I192" i="19" s="1"/>
  <c r="F191" i="19"/>
  <c r="G191" i="19" s="1"/>
  <c r="H191" i="19" s="1"/>
  <c r="I191" i="19" s="1"/>
  <c r="F190" i="19"/>
  <c r="G190" i="19" s="1"/>
  <c r="H190" i="19" s="1"/>
  <c r="I190" i="19" s="1"/>
  <c r="F189" i="19"/>
  <c r="G189" i="19" s="1"/>
  <c r="H189" i="19" s="1"/>
  <c r="I189" i="19" s="1"/>
  <c r="F188" i="19"/>
  <c r="G188" i="19" s="1"/>
  <c r="H188" i="19" s="1"/>
  <c r="I188" i="19" s="1"/>
  <c r="F187" i="19"/>
  <c r="G187" i="19" s="1"/>
  <c r="H187" i="19" s="1"/>
  <c r="I187" i="19" s="1"/>
  <c r="F186" i="19"/>
  <c r="G186" i="19" s="1"/>
  <c r="H186" i="19" s="1"/>
  <c r="I186" i="19" s="1"/>
  <c r="F185" i="19"/>
  <c r="G185" i="19" s="1"/>
  <c r="H185" i="19" s="1"/>
  <c r="I185" i="19" s="1"/>
  <c r="F184" i="19"/>
  <c r="G184" i="19" s="1"/>
  <c r="H184" i="19" s="1"/>
  <c r="I184" i="19" s="1"/>
  <c r="F183" i="19"/>
  <c r="G183" i="19" s="1"/>
  <c r="H183" i="19" s="1"/>
  <c r="I183" i="19" s="1"/>
  <c r="F182" i="19"/>
  <c r="G182" i="19" s="1"/>
  <c r="H182" i="19" s="1"/>
  <c r="I182" i="19" s="1"/>
  <c r="F181" i="19"/>
  <c r="G181" i="19" s="1"/>
  <c r="G37" i="7"/>
  <c r="E37" i="42" s="1"/>
  <c r="F238" i="5"/>
  <c r="F237" i="5"/>
  <c r="F236" i="5"/>
  <c r="F235" i="5"/>
  <c r="F234" i="5"/>
  <c r="F233" i="5"/>
  <c r="F232" i="5"/>
  <c r="F231" i="5"/>
  <c r="F230" i="5"/>
  <c r="F229" i="5"/>
  <c r="F228" i="5"/>
  <c r="F205" i="5"/>
  <c r="G205" i="5" s="1"/>
  <c r="H205" i="5" s="1"/>
  <c r="I205" i="5" s="1"/>
  <c r="F204" i="5"/>
  <c r="G204" i="5" s="1"/>
  <c r="H204" i="5" s="1"/>
  <c r="I204" i="5" s="1"/>
  <c r="F203" i="5"/>
  <c r="G203" i="5" s="1"/>
  <c r="H203" i="5" s="1"/>
  <c r="I203" i="5" s="1"/>
  <c r="F202" i="5"/>
  <c r="G202" i="5" s="1"/>
  <c r="H202" i="5" s="1"/>
  <c r="I202" i="5" s="1"/>
  <c r="F201" i="5"/>
  <c r="G201" i="5" s="1"/>
  <c r="H201" i="5" s="1"/>
  <c r="I201" i="5" s="1"/>
  <c r="F200" i="5"/>
  <c r="G200" i="5" s="1"/>
  <c r="H200" i="5" s="1"/>
  <c r="I200" i="5" s="1"/>
  <c r="F199" i="5"/>
  <c r="G199" i="5" s="1"/>
  <c r="H199" i="5" s="1"/>
  <c r="I199" i="5" s="1"/>
  <c r="F198" i="5"/>
  <c r="G198" i="5" s="1"/>
  <c r="H198" i="5" s="1"/>
  <c r="I198" i="5" s="1"/>
  <c r="F197" i="5"/>
  <c r="G197" i="5" s="1"/>
  <c r="H197" i="5" s="1"/>
  <c r="I197" i="5" s="1"/>
  <c r="F196" i="5"/>
  <c r="G196" i="5" s="1"/>
  <c r="H196" i="5" s="1"/>
  <c r="I196" i="5" s="1"/>
  <c r="F195" i="5"/>
  <c r="G195" i="5" s="1"/>
  <c r="H195" i="5" s="1"/>
  <c r="I195" i="5" s="1"/>
  <c r="F194" i="5"/>
  <c r="G194" i="5" s="1"/>
  <c r="H194" i="5" s="1"/>
  <c r="I194" i="5" s="1"/>
  <c r="F193" i="5"/>
  <c r="G193" i="5" s="1"/>
  <c r="H193" i="5" s="1"/>
  <c r="I193" i="5" s="1"/>
  <c r="F192" i="5"/>
  <c r="G192" i="5" s="1"/>
  <c r="H192" i="5" s="1"/>
  <c r="I192" i="5" s="1"/>
  <c r="F191" i="5"/>
  <c r="G191" i="5" s="1"/>
  <c r="H191" i="5" s="1"/>
  <c r="I191" i="5" s="1"/>
  <c r="F190" i="5"/>
  <c r="G190" i="5" s="1"/>
  <c r="H190" i="5" s="1"/>
  <c r="I190" i="5" s="1"/>
  <c r="F189" i="5"/>
  <c r="G189" i="5" s="1"/>
  <c r="H189" i="5" s="1"/>
  <c r="I189" i="5" s="1"/>
  <c r="F188" i="5"/>
  <c r="G188" i="5" s="1"/>
  <c r="H188" i="5" s="1"/>
  <c r="I188" i="5" s="1"/>
  <c r="F187" i="5"/>
  <c r="G187" i="5" s="1"/>
  <c r="H187" i="5" s="1"/>
  <c r="I187" i="5" s="1"/>
  <c r="F186" i="5"/>
  <c r="G186" i="5" s="1"/>
  <c r="H186" i="5" s="1"/>
  <c r="I186" i="5" s="1"/>
  <c r="F185" i="5"/>
  <c r="G185" i="5" s="1"/>
  <c r="H185" i="5" s="1"/>
  <c r="I185" i="5" s="1"/>
  <c r="F184" i="5"/>
  <c r="G184" i="5" s="1"/>
  <c r="H184" i="5" s="1"/>
  <c r="I184" i="5" s="1"/>
  <c r="F183" i="5"/>
  <c r="G183" i="5" s="1"/>
  <c r="H183" i="5" s="1"/>
  <c r="I183" i="5" s="1"/>
  <c r="F182" i="5"/>
  <c r="G182" i="5" s="1"/>
  <c r="H182" i="5" s="1"/>
  <c r="I182" i="5" s="1"/>
  <c r="F181" i="5"/>
  <c r="G181" i="5" s="1"/>
  <c r="F205" i="26"/>
  <c r="F204" i="26"/>
  <c r="F203" i="26"/>
  <c r="F202" i="26"/>
  <c r="F201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0" i="26"/>
  <c r="F79" i="26"/>
  <c r="F78" i="26"/>
  <c r="F77" i="26"/>
  <c r="F76" i="26"/>
  <c r="F75" i="26"/>
  <c r="F74" i="26"/>
  <c r="D83" i="22"/>
  <c r="B83" i="42" s="1"/>
  <c r="D137" i="22"/>
  <c r="B137" i="42" s="1"/>
  <c r="D89" i="22"/>
  <c r="B89" i="42" s="1"/>
  <c r="D72" i="19"/>
  <c r="D57" i="19"/>
  <c r="D57" i="15"/>
  <c r="D72" i="15"/>
  <c r="D133" i="15"/>
  <c r="B133" i="42" s="1"/>
  <c r="D81" i="5"/>
  <c r="B81" i="42" s="1"/>
  <c r="D57" i="26"/>
  <c r="D56" i="26"/>
  <c r="B56" i="42" s="1"/>
  <c r="D55" i="26"/>
  <c r="B55" i="42" s="1"/>
  <c r="D50" i="26"/>
  <c r="D49" i="26"/>
  <c r="B49" i="42" s="1"/>
  <c r="D47" i="13"/>
  <c r="B47" i="42" s="1"/>
  <c r="H106" i="24" l="1"/>
  <c r="E105" i="42"/>
  <c r="E119" i="42"/>
  <c r="H120" i="24"/>
  <c r="H132" i="24"/>
  <c r="E131" i="42"/>
  <c r="E139" i="42"/>
  <c r="H140" i="24"/>
  <c r="H189" i="24"/>
  <c r="E189" i="42"/>
  <c r="H197" i="24"/>
  <c r="E197" i="42"/>
  <c r="H205" i="19"/>
  <c r="I205" i="19" s="1"/>
  <c r="E205" i="42"/>
  <c r="H103" i="24"/>
  <c r="E102" i="42"/>
  <c r="E106" i="42"/>
  <c r="H107" i="24"/>
  <c r="H111" i="24"/>
  <c r="E110" i="42"/>
  <c r="H115" i="24"/>
  <c r="E114" i="42"/>
  <c r="H121" i="24"/>
  <c r="E120" i="42"/>
  <c r="H125" i="24"/>
  <c r="E124" i="42"/>
  <c r="H129" i="24"/>
  <c r="E128" i="42"/>
  <c r="H133" i="24"/>
  <c r="E132" i="42"/>
  <c r="H137" i="24"/>
  <c r="E136" i="42"/>
  <c r="H141" i="24"/>
  <c r="E140" i="42"/>
  <c r="H186" i="24"/>
  <c r="E186" i="42"/>
  <c r="H190" i="24"/>
  <c r="E190" i="42"/>
  <c r="H194" i="24"/>
  <c r="E194" i="42"/>
  <c r="H198" i="24"/>
  <c r="E198" i="42"/>
  <c r="H110" i="24"/>
  <c r="E109" i="42"/>
  <c r="H124" i="24"/>
  <c r="E123" i="42"/>
  <c r="H193" i="24"/>
  <c r="E193" i="42"/>
  <c r="G164" i="22"/>
  <c r="G165" i="22" s="1"/>
  <c r="H163" i="22"/>
  <c r="H181" i="23"/>
  <c r="G252" i="23"/>
  <c r="G257" i="23" s="1"/>
  <c r="G261" i="23" s="1"/>
  <c r="G262" i="23" s="1"/>
  <c r="G206" i="23"/>
  <c r="H28" i="24"/>
  <c r="G29" i="24"/>
  <c r="E28" i="42" s="1"/>
  <c r="E29" i="42" s="1"/>
  <c r="H104" i="24"/>
  <c r="E103" i="42"/>
  <c r="H108" i="24"/>
  <c r="E107" i="42"/>
  <c r="H112" i="24"/>
  <c r="E111" i="42"/>
  <c r="H116" i="24"/>
  <c r="E115" i="42"/>
  <c r="H122" i="24"/>
  <c r="E121" i="42"/>
  <c r="H126" i="24"/>
  <c r="E125" i="42"/>
  <c r="H130" i="24"/>
  <c r="E129" i="42"/>
  <c r="H134" i="24"/>
  <c r="E133" i="42"/>
  <c r="H138" i="24"/>
  <c r="E137" i="42"/>
  <c r="H142" i="24"/>
  <c r="E141" i="42"/>
  <c r="H187" i="24"/>
  <c r="E187" i="42"/>
  <c r="H191" i="24"/>
  <c r="E191" i="42"/>
  <c r="H195" i="24"/>
  <c r="E195" i="42"/>
  <c r="H199" i="24"/>
  <c r="E199" i="42"/>
  <c r="I59" i="12"/>
  <c r="H181" i="5"/>
  <c r="G206" i="5"/>
  <c r="H102" i="24"/>
  <c r="E101" i="42"/>
  <c r="H114" i="24"/>
  <c r="E113" i="42"/>
  <c r="H128" i="24"/>
  <c r="E127" i="42"/>
  <c r="H136" i="24"/>
  <c r="E135" i="42"/>
  <c r="H185" i="24"/>
  <c r="E185" i="42"/>
  <c r="H247" i="24"/>
  <c r="B72" i="42"/>
  <c r="G206" i="22"/>
  <c r="H181" i="22"/>
  <c r="I181" i="22" s="1"/>
  <c r="H105" i="24"/>
  <c r="E104" i="42"/>
  <c r="H109" i="24"/>
  <c r="E108" i="42"/>
  <c r="H113" i="24"/>
  <c r="E112" i="42"/>
  <c r="H117" i="24"/>
  <c r="E116" i="42"/>
  <c r="H123" i="24"/>
  <c r="E122" i="42"/>
  <c r="H127" i="24"/>
  <c r="E126" i="42"/>
  <c r="H131" i="24"/>
  <c r="E130" i="42"/>
  <c r="H135" i="24"/>
  <c r="E134" i="42"/>
  <c r="E138" i="42"/>
  <c r="H139" i="24"/>
  <c r="H143" i="24"/>
  <c r="E142" i="42"/>
  <c r="H184" i="24"/>
  <c r="E184" i="42"/>
  <c r="H188" i="24"/>
  <c r="E188" i="42"/>
  <c r="H192" i="24"/>
  <c r="E192" i="42"/>
  <c r="H196" i="24"/>
  <c r="E196" i="42"/>
  <c r="H200" i="24"/>
  <c r="E200" i="42"/>
  <c r="E38" i="42"/>
  <c r="G176" i="8"/>
  <c r="G177" i="8"/>
  <c r="G214" i="8"/>
  <c r="H182" i="14"/>
  <c r="I182" i="14" s="1"/>
  <c r="E182" i="42"/>
  <c r="H183" i="14"/>
  <c r="I183" i="14" s="1"/>
  <c r="E183" i="42"/>
  <c r="G38" i="7"/>
  <c r="H37" i="7"/>
  <c r="F37" i="42" s="1"/>
  <c r="H181" i="19"/>
  <c r="G206" i="19"/>
  <c r="G252" i="19" s="1"/>
  <c r="G206" i="14"/>
  <c r="G252" i="14" s="1"/>
  <c r="H181" i="14"/>
  <c r="E181" i="42"/>
  <c r="I147" i="23"/>
  <c r="I248" i="8"/>
  <c r="D154" i="13"/>
  <c r="D154" i="10"/>
  <c r="D154" i="19"/>
  <c r="D86" i="23"/>
  <c r="B86" i="42" s="1"/>
  <c r="D77" i="23"/>
  <c r="B77" i="42" s="1"/>
  <c r="D62" i="5"/>
  <c r="D46" i="13"/>
  <c r="B46" i="42" s="1"/>
  <c r="D50" i="7"/>
  <c r="B50" i="42" s="1"/>
  <c r="D57" i="7"/>
  <c r="B57" i="42" s="1"/>
  <c r="D53" i="7"/>
  <c r="B53" i="42" s="1"/>
  <c r="D68" i="26"/>
  <c r="I185" i="24" l="1"/>
  <c r="I187" i="24"/>
  <c r="F129" i="42"/>
  <c r="I130" i="24"/>
  <c r="F121" i="42"/>
  <c r="I122" i="24"/>
  <c r="I104" i="24"/>
  <c r="F103" i="42"/>
  <c r="I140" i="24"/>
  <c r="F139" i="42"/>
  <c r="I120" i="24"/>
  <c r="F119" i="42"/>
  <c r="I195" i="24"/>
  <c r="I138" i="24"/>
  <c r="F137" i="42"/>
  <c r="I112" i="24"/>
  <c r="F111" i="42"/>
  <c r="B148" i="42"/>
  <c r="I196" i="24"/>
  <c r="I188" i="24"/>
  <c r="I143" i="24"/>
  <c r="F142" i="42"/>
  <c r="I135" i="24"/>
  <c r="F134" i="42"/>
  <c r="I127" i="24"/>
  <c r="F126" i="42"/>
  <c r="F116" i="42"/>
  <c r="I117" i="24"/>
  <c r="F108" i="42"/>
  <c r="I109" i="24"/>
  <c r="I102" i="24"/>
  <c r="F101" i="42"/>
  <c r="H206" i="23"/>
  <c r="H252" i="23"/>
  <c r="H257" i="23" s="1"/>
  <c r="H261" i="23" s="1"/>
  <c r="H262" i="23" s="1"/>
  <c r="I181" i="23"/>
  <c r="I193" i="24"/>
  <c r="I110" i="24"/>
  <c r="F109" i="42"/>
  <c r="I194" i="24"/>
  <c r="I186" i="24"/>
  <c r="F136" i="42"/>
  <c r="I137" i="24"/>
  <c r="F128" i="42"/>
  <c r="I129" i="24"/>
  <c r="I121" i="24"/>
  <c r="F120" i="42"/>
  <c r="I111" i="24"/>
  <c r="F110" i="42"/>
  <c r="I103" i="24"/>
  <c r="F102" i="42"/>
  <c r="I197" i="24"/>
  <c r="I247" i="24"/>
  <c r="I136" i="24"/>
  <c r="F135" i="42"/>
  <c r="F113" i="42"/>
  <c r="I114" i="24"/>
  <c r="I199" i="24"/>
  <c r="I191" i="24"/>
  <c r="F141" i="42"/>
  <c r="I142" i="24"/>
  <c r="I134" i="24"/>
  <c r="F133" i="42"/>
  <c r="I126" i="24"/>
  <c r="F125" i="42"/>
  <c r="I116" i="24"/>
  <c r="F115" i="42"/>
  <c r="I108" i="24"/>
  <c r="F107" i="42"/>
  <c r="I28" i="24"/>
  <c r="I29" i="24" s="1"/>
  <c r="H29" i="24"/>
  <c r="F28" i="42" s="1"/>
  <c r="F29" i="42" s="1"/>
  <c r="I163" i="22"/>
  <c r="I164" i="22" s="1"/>
  <c r="H164" i="22"/>
  <c r="I107" i="24"/>
  <c r="F106" i="42"/>
  <c r="I128" i="24"/>
  <c r="F127" i="42"/>
  <c r="I139" i="24"/>
  <c r="F138" i="42"/>
  <c r="I200" i="24"/>
  <c r="I192" i="24"/>
  <c r="I184" i="24"/>
  <c r="I131" i="24"/>
  <c r="F130" i="42"/>
  <c r="I123" i="24"/>
  <c r="F122" i="42"/>
  <c r="F112" i="42"/>
  <c r="I113" i="24"/>
  <c r="F104" i="42"/>
  <c r="I105" i="24"/>
  <c r="I181" i="5"/>
  <c r="I206" i="5" s="1"/>
  <c r="H206" i="5"/>
  <c r="I124" i="24"/>
  <c r="F123" i="42"/>
  <c r="I198" i="24"/>
  <c r="I190" i="24"/>
  <c r="I141" i="24"/>
  <c r="F140" i="42"/>
  <c r="F132" i="42"/>
  <c r="I133" i="24"/>
  <c r="I125" i="24"/>
  <c r="F124" i="42"/>
  <c r="I115" i="24"/>
  <c r="F114" i="42"/>
  <c r="I189" i="24"/>
  <c r="I132" i="24"/>
  <c r="F131" i="42"/>
  <c r="I106" i="24"/>
  <c r="F105" i="42"/>
  <c r="B68" i="42"/>
  <c r="B154" i="42"/>
  <c r="H214" i="8"/>
  <c r="G216" i="8"/>
  <c r="H176" i="8"/>
  <c r="G206" i="8"/>
  <c r="H177" i="8"/>
  <c r="I177" i="8" s="1"/>
  <c r="G18" i="10"/>
  <c r="G161" i="10" s="1"/>
  <c r="F38" i="42"/>
  <c r="I37" i="7"/>
  <c r="H38" i="7"/>
  <c r="H206" i="14"/>
  <c r="I181" i="14"/>
  <c r="I181" i="19"/>
  <c r="H206" i="19"/>
  <c r="H252" i="19" s="1"/>
  <c r="D239" i="5"/>
  <c r="I206" i="23" l="1"/>
  <c r="I176" i="8"/>
  <c r="H206" i="8"/>
  <c r="I214" i="8"/>
  <c r="H216" i="8"/>
  <c r="G165" i="10"/>
  <c r="G262" i="10" s="1"/>
  <c r="I206" i="19"/>
  <c r="I252" i="19" s="1"/>
  <c r="I38" i="7"/>
  <c r="F239" i="5"/>
  <c r="F227" i="5" s="1"/>
  <c r="B239" i="42"/>
  <c r="B257" i="42"/>
  <c r="B59" i="42"/>
  <c r="D192" i="13"/>
  <c r="I216" i="8" l="1"/>
  <c r="B259" i="42"/>
  <c r="B192" i="42"/>
  <c r="B206" i="42" s="1"/>
  <c r="I18" i="26"/>
  <c r="D18" i="26"/>
  <c r="E18" i="26"/>
  <c r="F18" i="26"/>
  <c r="D206" i="14"/>
  <c r="D174" i="9"/>
  <c r="E174" i="9"/>
  <c r="E211" i="11"/>
  <c r="D211" i="11"/>
  <c r="E98" i="2" l="1"/>
  <c r="H70" i="2"/>
  <c r="G70" i="2"/>
  <c r="F70" i="2"/>
  <c r="D70" i="2"/>
  <c r="H66" i="2"/>
  <c r="G66" i="2"/>
  <c r="F66" i="2"/>
  <c r="D66" i="2"/>
  <c r="H63" i="2"/>
  <c r="G63" i="2"/>
  <c r="F63" i="2"/>
  <c r="D63" i="2"/>
  <c r="H59" i="2"/>
  <c r="G59" i="2"/>
  <c r="F59" i="2"/>
  <c r="D59" i="2"/>
  <c r="H38" i="2"/>
  <c r="G38" i="2"/>
  <c r="F38" i="2"/>
  <c r="D38" i="2"/>
  <c r="H32" i="2"/>
  <c r="G32" i="2"/>
  <c r="F32" i="2"/>
  <c r="D32" i="2"/>
  <c r="H29" i="2"/>
  <c r="G29" i="2"/>
  <c r="F29" i="2"/>
  <c r="D29" i="2"/>
  <c r="H25" i="2"/>
  <c r="G25" i="2"/>
  <c r="F25" i="2"/>
  <c r="D25" i="2"/>
  <c r="H18" i="2"/>
  <c r="G18" i="2"/>
  <c r="F18" i="2"/>
  <c r="D18" i="2"/>
  <c r="D254" i="2"/>
  <c r="D255" i="2" s="1"/>
  <c r="D250" i="2"/>
  <c r="D251" i="2" s="1"/>
  <c r="D245" i="2"/>
  <c r="D246" i="2" s="1"/>
  <c r="D243" i="2"/>
  <c r="D247" i="2" s="1"/>
  <c r="D247" i="21"/>
  <c r="B243" i="42" s="1"/>
  <c r="E59" i="21"/>
  <c r="H59" i="21"/>
  <c r="D59" i="21"/>
  <c r="E70" i="21"/>
  <c r="D148" i="21"/>
  <c r="E134" i="21"/>
  <c r="C134" i="42" s="1"/>
  <c r="E66" i="21"/>
  <c r="E63" i="21"/>
  <c r="E115" i="22"/>
  <c r="C115" i="42" s="1"/>
  <c r="E89" i="22"/>
  <c r="C89" i="42" s="1"/>
  <c r="C148" i="42" s="1"/>
  <c r="E18" i="23"/>
  <c r="H260" i="4"/>
  <c r="E260" i="4"/>
  <c r="H256" i="4"/>
  <c r="E256" i="4"/>
  <c r="H251" i="4"/>
  <c r="E251" i="4"/>
  <c r="E248" i="4"/>
  <c r="H240" i="4"/>
  <c r="E240" i="4"/>
  <c r="E29" i="4"/>
  <c r="E164" i="4"/>
  <c r="E148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68" i="4"/>
  <c r="I69" i="4"/>
  <c r="I208" i="4"/>
  <c r="I209" i="4"/>
  <c r="I210" i="4"/>
  <c r="I216" i="4"/>
  <c r="I221" i="4"/>
  <c r="I225" i="4"/>
  <c r="I240" i="4"/>
  <c r="I251" i="4"/>
  <c r="I256" i="4"/>
  <c r="I260" i="4"/>
  <c r="E254" i="2"/>
  <c r="E255" i="2" s="1"/>
  <c r="E250" i="2"/>
  <c r="E251" i="2" s="1"/>
  <c r="E245" i="2"/>
  <c r="E246" i="2" s="1"/>
  <c r="E242" i="2"/>
  <c r="E241" i="2"/>
  <c r="E240" i="2"/>
  <c r="E239" i="2"/>
  <c r="E238" i="2"/>
  <c r="E237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19" i="2"/>
  <c r="E218" i="2"/>
  <c r="E215" i="2"/>
  <c r="E214" i="2"/>
  <c r="E213" i="2"/>
  <c r="E210" i="2"/>
  <c r="E209" i="2"/>
  <c r="E206" i="2"/>
  <c r="E205" i="2"/>
  <c r="E204" i="2"/>
  <c r="E203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2" i="2"/>
  <c r="E181" i="2"/>
  <c r="E180" i="2"/>
  <c r="E179" i="2"/>
  <c r="E178" i="2"/>
  <c r="E177" i="2"/>
  <c r="E175" i="2"/>
  <c r="E174" i="2"/>
  <c r="E173" i="2"/>
  <c r="E172" i="2"/>
  <c r="E171" i="2"/>
  <c r="E168" i="2"/>
  <c r="E167" i="2"/>
  <c r="E158" i="2"/>
  <c r="E154" i="2"/>
  <c r="E153" i="2"/>
  <c r="E150" i="2"/>
  <c r="E149" i="2"/>
  <c r="E148" i="2"/>
  <c r="E145" i="2"/>
  <c r="E146" i="2" s="1"/>
  <c r="E142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0" i="2"/>
  <c r="E119" i="2"/>
  <c r="E118" i="2"/>
  <c r="E117" i="2"/>
  <c r="E116" i="2"/>
  <c r="E114" i="2"/>
  <c r="E113" i="2"/>
  <c r="E112" i="2"/>
  <c r="E111" i="2"/>
  <c r="E106" i="2"/>
  <c r="E105" i="2"/>
  <c r="E104" i="2"/>
  <c r="E102" i="2"/>
  <c r="E101" i="2"/>
  <c r="E100" i="2"/>
  <c r="E94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4" i="2"/>
  <c r="E73" i="2"/>
  <c r="E72" i="2"/>
  <c r="E69" i="2"/>
  <c r="E68" i="2"/>
  <c r="E65" i="2"/>
  <c r="E66" i="2" s="1"/>
  <c r="E62" i="2"/>
  <c r="E61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8" i="2" s="1"/>
  <c r="E34" i="2"/>
  <c r="E35" i="2" s="1"/>
  <c r="E31" i="2"/>
  <c r="E32" i="2" s="1"/>
  <c r="E28" i="2"/>
  <c r="E29" i="2" s="1"/>
  <c r="E17" i="2"/>
  <c r="E16" i="2"/>
  <c r="E15" i="2"/>
  <c r="E14" i="2"/>
  <c r="E13" i="2"/>
  <c r="E12" i="2"/>
  <c r="E11" i="2"/>
  <c r="E10" i="2"/>
  <c r="E9" i="2"/>
  <c r="E8" i="2"/>
  <c r="E7" i="2"/>
  <c r="I70" i="4" l="1"/>
  <c r="H252" i="4"/>
  <c r="H257" i="4" s="1"/>
  <c r="I59" i="4"/>
  <c r="E148" i="21"/>
  <c r="I161" i="4"/>
  <c r="I165" i="4" s="1"/>
  <c r="E161" i="4"/>
  <c r="E165" i="4" s="1"/>
  <c r="E143" i="2"/>
  <c r="I212" i="4"/>
  <c r="I252" i="4" s="1"/>
  <c r="I257" i="4" s="1"/>
  <c r="H165" i="4"/>
  <c r="D252" i="2"/>
  <c r="D256" i="2" s="1"/>
  <c r="D257" i="2" s="1"/>
  <c r="D258" i="2" s="1"/>
  <c r="E252" i="4"/>
  <c r="E257" i="4" s="1"/>
  <c r="E261" i="4" s="1"/>
  <c r="H261" i="4"/>
  <c r="I174" i="4"/>
  <c r="E220" i="2"/>
  <c r="E151" i="2"/>
  <c r="E169" i="2"/>
  <c r="E211" i="2"/>
  <c r="E207" i="2"/>
  <c r="E235" i="2"/>
  <c r="E243" i="2"/>
  <c r="E216" i="2"/>
  <c r="E70" i="2"/>
  <c r="E155" i="2"/>
  <c r="E63" i="2"/>
  <c r="E18" i="2"/>
  <c r="E25" i="2"/>
  <c r="E262" i="4" l="1"/>
  <c r="I261" i="4"/>
  <c r="H262" i="4"/>
  <c r="J66" i="40"/>
  <c r="K66" i="40" s="1"/>
  <c r="L66" i="40" s="1"/>
  <c r="M66" i="40" s="1"/>
  <c r="N66" i="40" s="1"/>
  <c r="O66" i="40" s="1"/>
  <c r="J65" i="40"/>
  <c r="K65" i="40" s="1"/>
  <c r="L65" i="40" s="1"/>
  <c r="M65" i="40" s="1"/>
  <c r="N65" i="40" s="1"/>
  <c r="O65" i="40" s="1"/>
  <c r="J64" i="40"/>
  <c r="K64" i="40" s="1"/>
  <c r="L64" i="40" s="1"/>
  <c r="M64" i="40" s="1"/>
  <c r="N64" i="40" s="1"/>
  <c r="O64" i="40" s="1"/>
  <c r="M53" i="40"/>
  <c r="N53" i="40" s="1"/>
  <c r="O53" i="40" s="1"/>
  <c r="J53" i="40"/>
  <c r="K53" i="40" s="1"/>
  <c r="M52" i="40"/>
  <c r="N52" i="40" s="1"/>
  <c r="O52" i="40" s="1"/>
  <c r="J52" i="40"/>
  <c r="K52" i="40" s="1"/>
  <c r="M51" i="40"/>
  <c r="N51" i="40" s="1"/>
  <c r="O51" i="40" s="1"/>
  <c r="J49" i="40"/>
  <c r="K49" i="40" s="1"/>
  <c r="L49" i="40" s="1"/>
  <c r="M49" i="40" s="1"/>
  <c r="N49" i="40" s="1"/>
  <c r="O49" i="40" s="1"/>
  <c r="M40" i="40"/>
  <c r="N40" i="40" s="1"/>
  <c r="O40" i="40" s="1"/>
  <c r="L39" i="40"/>
  <c r="M39" i="40" s="1"/>
  <c r="N39" i="40" s="1"/>
  <c r="O39" i="40" s="1"/>
  <c r="J38" i="40"/>
  <c r="K38" i="40" s="1"/>
  <c r="L38" i="40" s="1"/>
  <c r="M38" i="40" s="1"/>
  <c r="N38" i="40" s="1"/>
  <c r="O38" i="40" s="1"/>
  <c r="J37" i="40"/>
  <c r="K37" i="40" s="1"/>
  <c r="L37" i="40" s="1"/>
  <c r="M37" i="40" s="1"/>
  <c r="N37" i="40" s="1"/>
  <c r="O37" i="40" s="1"/>
  <c r="L29" i="40"/>
  <c r="M29" i="40" s="1"/>
  <c r="N29" i="40" s="1"/>
  <c r="O29" i="40" s="1"/>
  <c r="J29" i="40"/>
  <c r="L27" i="40"/>
  <c r="M27" i="40" s="1"/>
  <c r="N27" i="40" s="1"/>
  <c r="O27" i="40" s="1"/>
  <c r="J27" i="40"/>
  <c r="O13" i="40"/>
  <c r="N13" i="40"/>
  <c r="M13" i="40"/>
  <c r="L13" i="40"/>
  <c r="E206" i="5" l="1"/>
  <c r="D206" i="5"/>
  <c r="E248" i="24" l="1"/>
  <c r="D248" i="24"/>
  <c r="D206" i="4" l="1"/>
  <c r="D18" i="10" l="1"/>
  <c r="E18" i="10"/>
  <c r="H18" i="10"/>
  <c r="I25" i="10" l="1"/>
  <c r="G206" i="26" l="1"/>
  <c r="G252" i="26" s="1"/>
  <c r="G257" i="26" s="1"/>
  <c r="G261" i="26" s="1"/>
  <c r="G163" i="26"/>
  <c r="G164" i="26" s="1"/>
  <c r="G70" i="26"/>
  <c r="G148" i="26"/>
  <c r="G63" i="26"/>
  <c r="G59" i="26"/>
  <c r="G32" i="26"/>
  <c r="G25" i="26"/>
  <c r="G161" i="26" l="1"/>
  <c r="G165" i="26" s="1"/>
  <c r="G262" i="26" s="1"/>
  <c r="H163" i="7" l="1"/>
  <c r="H164" i="7" s="1"/>
  <c r="H159" i="7"/>
  <c r="H158" i="7"/>
  <c r="H160" i="7" l="1"/>
  <c r="H161" i="7" s="1"/>
  <c r="H165" i="7" s="1"/>
  <c r="H212" i="16"/>
  <c r="H163" i="16"/>
  <c r="H164" i="16" s="1"/>
  <c r="H159" i="16"/>
  <c r="H158" i="16"/>
  <c r="H155" i="16"/>
  <c r="H154" i="16"/>
  <c r="H153" i="16"/>
  <c r="H150" i="16"/>
  <c r="H225" i="14"/>
  <c r="H159" i="14"/>
  <c r="H158" i="14"/>
  <c r="H155" i="14"/>
  <c r="H154" i="14"/>
  <c r="H153" i="14"/>
  <c r="H150" i="14"/>
  <c r="H151" i="14" s="1"/>
  <c r="H163" i="10"/>
  <c r="H164" i="10" s="1"/>
  <c r="H25" i="10"/>
  <c r="H161" i="10" s="1"/>
  <c r="H200" i="9"/>
  <c r="F200" i="42" s="1"/>
  <c r="H199" i="9"/>
  <c r="F199" i="42" s="1"/>
  <c r="H182" i="9"/>
  <c r="F182" i="42" s="1"/>
  <c r="H181" i="9"/>
  <c r="F181" i="42" s="1"/>
  <c r="H163" i="9"/>
  <c r="H164" i="9" s="1"/>
  <c r="H159" i="9"/>
  <c r="H158" i="9"/>
  <c r="H160" i="9" s="1"/>
  <c r="H155" i="9"/>
  <c r="H154" i="9"/>
  <c r="H153" i="9"/>
  <c r="H150" i="9"/>
  <c r="H151" i="9" s="1"/>
  <c r="H148" i="9"/>
  <c r="H32" i="9"/>
  <c r="H206" i="6"/>
  <c r="H163" i="6"/>
  <c r="H164" i="6" s="1"/>
  <c r="H156" i="6"/>
  <c r="H148" i="6"/>
  <c r="H63" i="6"/>
  <c r="H59" i="6"/>
  <c r="H205" i="21"/>
  <c r="H165" i="21"/>
  <c r="H206" i="22"/>
  <c r="H159" i="22"/>
  <c r="H158" i="22"/>
  <c r="H160" i="22" s="1"/>
  <c r="H155" i="22"/>
  <c r="I155" i="22" s="1"/>
  <c r="H153" i="22"/>
  <c r="H150" i="22"/>
  <c r="H151" i="22" s="1"/>
  <c r="H25" i="22"/>
  <c r="I163" i="23"/>
  <c r="I159" i="23"/>
  <c r="I160" i="23" s="1"/>
  <c r="I150" i="23"/>
  <c r="I151" i="23" s="1"/>
  <c r="I148" i="23"/>
  <c r="H159" i="24"/>
  <c r="F158" i="42" s="1"/>
  <c r="H158" i="24"/>
  <c r="H160" i="24" s="1"/>
  <c r="H155" i="24"/>
  <c r="H154" i="24"/>
  <c r="H153" i="24"/>
  <c r="H156" i="24" s="1"/>
  <c r="H150" i="24"/>
  <c r="H151" i="24" s="1"/>
  <c r="F150" i="42" s="1"/>
  <c r="H156" i="14" l="1"/>
  <c r="F159" i="42"/>
  <c r="I153" i="22"/>
  <c r="I156" i="22" s="1"/>
  <c r="H156" i="22"/>
  <c r="H161" i="22" s="1"/>
  <c r="H165" i="22" s="1"/>
  <c r="H165" i="10"/>
  <c r="H262" i="10" s="1"/>
  <c r="F164" i="42"/>
  <c r="I164" i="23"/>
  <c r="F151" i="42"/>
  <c r="H156" i="9"/>
  <c r="H160" i="14"/>
  <c r="H159" i="2"/>
  <c r="H158" i="2"/>
  <c r="H161" i="9"/>
  <c r="H165" i="9" s="1"/>
  <c r="H161" i="16"/>
  <c r="H165" i="16" s="1"/>
  <c r="H161" i="6"/>
  <c r="H165" i="6" s="1"/>
  <c r="H156" i="2" l="1"/>
  <c r="H160" i="2" s="1"/>
  <c r="H261" i="2" s="1"/>
  <c r="J25" i="1" l="1"/>
  <c r="J24" i="1"/>
  <c r="J23" i="1"/>
  <c r="J22" i="1"/>
  <c r="J21" i="1"/>
  <c r="J20" i="1"/>
  <c r="J19" i="1"/>
  <c r="J15" i="1"/>
  <c r="J14" i="1"/>
  <c r="J13" i="1"/>
  <c r="J12" i="1"/>
  <c r="J11" i="1"/>
  <c r="J10" i="1"/>
  <c r="J9" i="1"/>
  <c r="J6" i="1"/>
  <c r="D151" i="6" l="1"/>
  <c r="E151" i="6"/>
  <c r="F151" i="6"/>
  <c r="I151" i="6"/>
  <c r="F66" i="22" l="1"/>
  <c r="F25" i="12"/>
  <c r="F25" i="8"/>
  <c r="F25" i="22"/>
  <c r="F18" i="22"/>
  <c r="F25" i="23"/>
  <c r="F18" i="24"/>
  <c r="D25" i="26"/>
  <c r="E25" i="26"/>
  <c r="F28" i="26"/>
  <c r="I28" i="26"/>
  <c r="D29" i="26"/>
  <c r="E29" i="26"/>
  <c r="D32" i="26"/>
  <c r="E32" i="26"/>
  <c r="F34" i="26"/>
  <c r="F35" i="26" s="1"/>
  <c r="D35" i="26"/>
  <c r="E35" i="26"/>
  <c r="I35" i="26"/>
  <c r="D38" i="26"/>
  <c r="E38" i="26"/>
  <c r="F38" i="26"/>
  <c r="I38" i="26"/>
  <c r="F40" i="26"/>
  <c r="F58" i="26"/>
  <c r="I58" i="26" s="1"/>
  <c r="D59" i="26"/>
  <c r="E59" i="26"/>
  <c r="F61" i="26"/>
  <c r="F63" i="26" s="1"/>
  <c r="D63" i="26"/>
  <c r="E63" i="26"/>
  <c r="I63" i="26"/>
  <c r="F65" i="26"/>
  <c r="F66" i="26" s="1"/>
  <c r="D66" i="26"/>
  <c r="E66" i="26"/>
  <c r="I66" i="26"/>
  <c r="F69" i="26"/>
  <c r="I69" i="26" s="1"/>
  <c r="D70" i="26"/>
  <c r="E70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D148" i="26"/>
  <c r="F150" i="26"/>
  <c r="D151" i="26"/>
  <c r="E151" i="26"/>
  <c r="F153" i="26"/>
  <c r="F154" i="26"/>
  <c r="F155" i="26"/>
  <c r="D156" i="26"/>
  <c r="E156" i="26"/>
  <c r="F158" i="26"/>
  <c r="I158" i="26" s="1"/>
  <c r="F159" i="26"/>
  <c r="I159" i="26" s="1"/>
  <c r="D160" i="26"/>
  <c r="E160" i="26"/>
  <c r="F163" i="26"/>
  <c r="F164" i="26" s="1"/>
  <c r="D164" i="26"/>
  <c r="E164" i="26"/>
  <c r="I164" i="26"/>
  <c r="F172" i="26"/>
  <c r="F173" i="26"/>
  <c r="I173" i="26" s="1"/>
  <c r="D174" i="26"/>
  <c r="E174" i="26"/>
  <c r="F174" i="26"/>
  <c r="F176" i="26"/>
  <c r="I176" i="26" s="1"/>
  <c r="F177" i="26"/>
  <c r="I177" i="26" s="1"/>
  <c r="F178" i="26"/>
  <c r="I178" i="26" s="1"/>
  <c r="F179" i="26"/>
  <c r="I179" i="26" s="1"/>
  <c r="D206" i="26"/>
  <c r="F208" i="26"/>
  <c r="I208" i="26" s="1"/>
  <c r="F209" i="26"/>
  <c r="I209" i="26" s="1"/>
  <c r="F210" i="26"/>
  <c r="I210" i="26" s="1"/>
  <c r="F211" i="26"/>
  <c r="I211" i="26" s="1"/>
  <c r="D212" i="26"/>
  <c r="E212" i="26"/>
  <c r="F214" i="26"/>
  <c r="F215" i="26"/>
  <c r="D216" i="26"/>
  <c r="E216" i="26"/>
  <c r="I216" i="26"/>
  <c r="F218" i="26"/>
  <c r="F219" i="26"/>
  <c r="F220" i="26"/>
  <c r="D221" i="26"/>
  <c r="E221" i="26"/>
  <c r="I221" i="26"/>
  <c r="F223" i="26"/>
  <c r="F224" i="26"/>
  <c r="D225" i="26"/>
  <c r="E225" i="26"/>
  <c r="I225" i="26"/>
  <c r="D240" i="26"/>
  <c r="E240" i="26"/>
  <c r="D248" i="26"/>
  <c r="E248" i="26"/>
  <c r="D251" i="26"/>
  <c r="E251" i="26"/>
  <c r="D256" i="26"/>
  <c r="E256" i="26"/>
  <c r="D260" i="26"/>
  <c r="E260" i="26"/>
  <c r="D18" i="5"/>
  <c r="E18" i="5"/>
  <c r="D25" i="5"/>
  <c r="E25" i="5"/>
  <c r="D29" i="5"/>
  <c r="E29" i="5"/>
  <c r="D32" i="5"/>
  <c r="E32" i="5"/>
  <c r="D35" i="5"/>
  <c r="E35" i="5"/>
  <c r="D38" i="5"/>
  <c r="E38" i="5"/>
  <c r="E59" i="5"/>
  <c r="D63" i="5"/>
  <c r="E63" i="5"/>
  <c r="D66" i="5"/>
  <c r="E66" i="5"/>
  <c r="D70" i="5"/>
  <c r="E70" i="5"/>
  <c r="D148" i="5"/>
  <c r="E148" i="5"/>
  <c r="D151" i="5"/>
  <c r="E151" i="5"/>
  <c r="D156" i="5"/>
  <c r="E156" i="5"/>
  <c r="F158" i="5"/>
  <c r="F159" i="5"/>
  <c r="D160" i="5"/>
  <c r="E160" i="5"/>
  <c r="F163" i="5"/>
  <c r="F164" i="5" s="1"/>
  <c r="D164" i="5"/>
  <c r="E164" i="5"/>
  <c r="F172" i="5"/>
  <c r="F173" i="5"/>
  <c r="D174" i="5"/>
  <c r="E174" i="5"/>
  <c r="F176" i="5"/>
  <c r="F177" i="5"/>
  <c r="F178" i="5"/>
  <c r="F179" i="5"/>
  <c r="F180" i="5"/>
  <c r="F208" i="5"/>
  <c r="F209" i="5"/>
  <c r="F210" i="5"/>
  <c r="F211" i="5"/>
  <c r="D212" i="5"/>
  <c r="E212" i="5"/>
  <c r="F214" i="5"/>
  <c r="F215" i="5"/>
  <c r="D216" i="5"/>
  <c r="E216" i="5"/>
  <c r="F218" i="5"/>
  <c r="F219" i="5"/>
  <c r="F220" i="5"/>
  <c r="D221" i="5"/>
  <c r="E221" i="5"/>
  <c r="F223" i="5"/>
  <c r="F224" i="5"/>
  <c r="D225" i="5"/>
  <c r="E225" i="5"/>
  <c r="D240" i="5"/>
  <c r="E240" i="5"/>
  <c r="F242" i="5"/>
  <c r="G242" i="5" s="1"/>
  <c r="F243" i="5"/>
  <c r="G243" i="5" s="1"/>
  <c r="H243" i="5" s="1"/>
  <c r="I243" i="5" s="1"/>
  <c r="F244" i="5"/>
  <c r="G244" i="5" s="1"/>
  <c r="F245" i="5"/>
  <c r="G245" i="5" s="1"/>
  <c r="H245" i="5" s="1"/>
  <c r="I245" i="5" s="1"/>
  <c r="F246" i="5"/>
  <c r="G246" i="5" s="1"/>
  <c r="H246" i="5" s="1"/>
  <c r="I246" i="5" s="1"/>
  <c r="F247" i="5"/>
  <c r="G247" i="5" s="1"/>
  <c r="H247" i="5" s="1"/>
  <c r="I247" i="5" s="1"/>
  <c r="D248" i="5"/>
  <c r="E248" i="5"/>
  <c r="F250" i="5"/>
  <c r="G250" i="5" s="1"/>
  <c r="D251" i="5"/>
  <c r="E251" i="5"/>
  <c r="F255" i="5"/>
  <c r="G255" i="5" s="1"/>
  <c r="D256" i="5"/>
  <c r="E256" i="5"/>
  <c r="F259" i="5"/>
  <c r="G259" i="5" s="1"/>
  <c r="D260" i="5"/>
  <c r="E260" i="5"/>
  <c r="D18" i="7"/>
  <c r="E18" i="7"/>
  <c r="D25" i="7"/>
  <c r="E25" i="7"/>
  <c r="F28" i="7"/>
  <c r="D29" i="7"/>
  <c r="E29" i="7"/>
  <c r="F31" i="7"/>
  <c r="F32" i="7" s="1"/>
  <c r="D32" i="7"/>
  <c r="E32" i="7"/>
  <c r="F34" i="7"/>
  <c r="F35" i="7" s="1"/>
  <c r="D35" i="7"/>
  <c r="E35" i="7"/>
  <c r="D38" i="7"/>
  <c r="E38" i="7"/>
  <c r="F40" i="7"/>
  <c r="F58" i="7"/>
  <c r="D59" i="7"/>
  <c r="E59" i="7"/>
  <c r="F61" i="7"/>
  <c r="F63" i="7" s="1"/>
  <c r="D63" i="7"/>
  <c r="E63" i="7"/>
  <c r="F65" i="7"/>
  <c r="F66" i="7" s="1"/>
  <c r="D66" i="7"/>
  <c r="E66" i="7"/>
  <c r="F68" i="7"/>
  <c r="F69" i="7"/>
  <c r="D70" i="7"/>
  <c r="E70" i="7"/>
  <c r="D148" i="7"/>
  <c r="E148" i="7"/>
  <c r="D151" i="7"/>
  <c r="E151" i="7"/>
  <c r="D156" i="7"/>
  <c r="E156" i="7"/>
  <c r="I158" i="7"/>
  <c r="I159" i="7"/>
  <c r="D160" i="7"/>
  <c r="E160" i="7"/>
  <c r="D164" i="7"/>
  <c r="E164" i="7"/>
  <c r="I164" i="7"/>
  <c r="I172" i="7"/>
  <c r="I173" i="7"/>
  <c r="D174" i="7"/>
  <c r="E174" i="7"/>
  <c r="I176" i="7"/>
  <c r="I177" i="7"/>
  <c r="I178" i="7"/>
  <c r="I179" i="7"/>
  <c r="I180" i="7"/>
  <c r="D206" i="7"/>
  <c r="E206" i="7"/>
  <c r="D212" i="7"/>
  <c r="E212" i="7"/>
  <c r="D216" i="7"/>
  <c r="E216" i="7"/>
  <c r="D221" i="7"/>
  <c r="E221" i="7"/>
  <c r="D225" i="7"/>
  <c r="E225" i="7"/>
  <c r="D240" i="7"/>
  <c r="E240" i="7"/>
  <c r="D248" i="7"/>
  <c r="E248" i="7"/>
  <c r="D251" i="7"/>
  <c r="E251" i="7"/>
  <c r="D256" i="7"/>
  <c r="E256" i="7"/>
  <c r="D260" i="7"/>
  <c r="E260" i="7"/>
  <c r="D18" i="13"/>
  <c r="E18" i="13"/>
  <c r="D25" i="13"/>
  <c r="E25" i="13"/>
  <c r="D29" i="13"/>
  <c r="E29" i="13"/>
  <c r="D32" i="13"/>
  <c r="E32" i="13"/>
  <c r="D35" i="13"/>
  <c r="E35" i="13"/>
  <c r="D38" i="13"/>
  <c r="E38" i="13"/>
  <c r="D59" i="13"/>
  <c r="E59" i="13"/>
  <c r="D63" i="13"/>
  <c r="E63" i="13"/>
  <c r="D66" i="13"/>
  <c r="E66" i="13"/>
  <c r="D70" i="13"/>
  <c r="E70" i="13"/>
  <c r="D148" i="13"/>
  <c r="E148" i="13"/>
  <c r="D151" i="13"/>
  <c r="E151" i="13"/>
  <c r="D156" i="13"/>
  <c r="E156" i="13"/>
  <c r="D160" i="13"/>
  <c r="E160" i="13"/>
  <c r="D164" i="13"/>
  <c r="E164" i="13"/>
  <c r="D174" i="13"/>
  <c r="E174" i="13"/>
  <c r="D206" i="13"/>
  <c r="E206" i="13"/>
  <c r="D212" i="13"/>
  <c r="E212" i="13"/>
  <c r="D216" i="13"/>
  <c r="E216" i="13"/>
  <c r="D221" i="13"/>
  <c r="E221" i="13"/>
  <c r="D225" i="13"/>
  <c r="E225" i="13"/>
  <c r="D240" i="13"/>
  <c r="E240" i="13"/>
  <c r="D248" i="13"/>
  <c r="E248" i="13"/>
  <c r="D251" i="13"/>
  <c r="E251" i="13"/>
  <c r="D256" i="13"/>
  <c r="E256" i="13"/>
  <c r="F259" i="13"/>
  <c r="G259" i="13" s="1"/>
  <c r="D260" i="13"/>
  <c r="E260" i="13"/>
  <c r="D18" i="15"/>
  <c r="E18" i="15"/>
  <c r="D25" i="15"/>
  <c r="E25" i="15"/>
  <c r="D29" i="15"/>
  <c r="E29" i="15"/>
  <c r="D32" i="15"/>
  <c r="E32" i="15"/>
  <c r="D35" i="15"/>
  <c r="E35" i="15"/>
  <c r="D38" i="15"/>
  <c r="E38" i="15"/>
  <c r="D59" i="15"/>
  <c r="E59" i="15"/>
  <c r="D63" i="15"/>
  <c r="E63" i="15"/>
  <c r="D66" i="15"/>
  <c r="E66" i="15"/>
  <c r="D70" i="15"/>
  <c r="E70" i="15"/>
  <c r="D148" i="15"/>
  <c r="E148" i="15"/>
  <c r="D151" i="15"/>
  <c r="E151" i="15"/>
  <c r="D156" i="15"/>
  <c r="E156" i="15"/>
  <c r="D160" i="15"/>
  <c r="E160" i="15"/>
  <c r="D164" i="15"/>
  <c r="E164" i="15"/>
  <c r="D174" i="15"/>
  <c r="E174" i="15"/>
  <c r="E176" i="2"/>
  <c r="E183" i="2"/>
  <c r="E206" i="15"/>
  <c r="D212" i="15"/>
  <c r="E212" i="15"/>
  <c r="D216" i="15"/>
  <c r="E216" i="15"/>
  <c r="D221" i="15"/>
  <c r="E221" i="15"/>
  <c r="D225" i="15"/>
  <c r="E225" i="15"/>
  <c r="D240" i="15"/>
  <c r="E240" i="15"/>
  <c r="D248" i="15"/>
  <c r="E248" i="15"/>
  <c r="D251" i="15"/>
  <c r="E251" i="15"/>
  <c r="D256" i="15"/>
  <c r="E256" i="15"/>
  <c r="F259" i="15"/>
  <c r="G259" i="15" s="1"/>
  <c r="D260" i="15"/>
  <c r="E260" i="15"/>
  <c r="D18" i="19"/>
  <c r="D25" i="19"/>
  <c r="E25" i="19"/>
  <c r="D29" i="19"/>
  <c r="E29" i="19"/>
  <c r="D32" i="19"/>
  <c r="E32" i="19"/>
  <c r="D35" i="19"/>
  <c r="E35" i="19"/>
  <c r="D38" i="19"/>
  <c r="E38" i="19"/>
  <c r="D59" i="19"/>
  <c r="E59" i="19"/>
  <c r="D63" i="19"/>
  <c r="E63" i="19"/>
  <c r="D66" i="19"/>
  <c r="E66" i="19"/>
  <c r="D70" i="19"/>
  <c r="E70" i="19"/>
  <c r="D148" i="19"/>
  <c r="D151" i="19"/>
  <c r="E151" i="19"/>
  <c r="D156" i="19"/>
  <c r="E156" i="19"/>
  <c r="D160" i="19"/>
  <c r="E160" i="19"/>
  <c r="F163" i="19"/>
  <c r="F164" i="19" s="1"/>
  <c r="D164" i="19"/>
  <c r="E164" i="19"/>
  <c r="F172" i="19"/>
  <c r="F173" i="19"/>
  <c r="D174" i="19"/>
  <c r="E174" i="19"/>
  <c r="F174" i="19"/>
  <c r="F176" i="19"/>
  <c r="F177" i="19"/>
  <c r="F178" i="19"/>
  <c r="F179" i="19"/>
  <c r="F180" i="19"/>
  <c r="D206" i="19"/>
  <c r="E206" i="19"/>
  <c r="F208" i="19"/>
  <c r="F209" i="19"/>
  <c r="F210" i="19"/>
  <c r="F211" i="19"/>
  <c r="D212" i="19"/>
  <c r="E212" i="19"/>
  <c r="F214" i="19"/>
  <c r="F215" i="19"/>
  <c r="D216" i="19"/>
  <c r="E216" i="19"/>
  <c r="F218" i="19"/>
  <c r="F219" i="19"/>
  <c r="F220" i="19"/>
  <c r="D221" i="19"/>
  <c r="E221" i="19"/>
  <c r="F223" i="19"/>
  <c r="F224" i="19"/>
  <c r="D225" i="19"/>
  <c r="E225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D240" i="19"/>
  <c r="E240" i="19"/>
  <c r="F242" i="19"/>
  <c r="F243" i="19"/>
  <c r="F244" i="19"/>
  <c r="F245" i="19"/>
  <c r="F246" i="19"/>
  <c r="F247" i="19"/>
  <c r="D248" i="19"/>
  <c r="E248" i="19"/>
  <c r="F250" i="19"/>
  <c r="D251" i="19"/>
  <c r="E251" i="19"/>
  <c r="F255" i="19"/>
  <c r="D256" i="19"/>
  <c r="E256" i="19"/>
  <c r="F259" i="19"/>
  <c r="H259" i="19" s="1"/>
  <c r="H260" i="19" s="1"/>
  <c r="H261" i="19" s="1"/>
  <c r="H262" i="19" s="1"/>
  <c r="D260" i="19"/>
  <c r="E260" i="19"/>
  <c r="I260" i="19"/>
  <c r="I261" i="19" s="1"/>
  <c r="I262" i="19" s="1"/>
  <c r="D18" i="18"/>
  <c r="E18" i="18"/>
  <c r="D25" i="18"/>
  <c r="E25" i="18"/>
  <c r="D29" i="18"/>
  <c r="E29" i="18"/>
  <c r="D32" i="18"/>
  <c r="E32" i="18"/>
  <c r="D35" i="18"/>
  <c r="E35" i="18"/>
  <c r="D38" i="18"/>
  <c r="E38" i="18"/>
  <c r="D59" i="18"/>
  <c r="E59" i="18"/>
  <c r="D63" i="18"/>
  <c r="E63" i="18"/>
  <c r="D66" i="18"/>
  <c r="E66" i="18"/>
  <c r="D70" i="18"/>
  <c r="E70" i="18"/>
  <c r="D148" i="18"/>
  <c r="E148" i="18"/>
  <c r="D151" i="18"/>
  <c r="E151" i="18"/>
  <c r="D156" i="18"/>
  <c r="E156" i="18"/>
  <c r="D160" i="18"/>
  <c r="E160" i="18"/>
  <c r="D164" i="18"/>
  <c r="E164" i="18"/>
  <c r="D174" i="18"/>
  <c r="E174" i="18"/>
  <c r="D206" i="18"/>
  <c r="E206" i="18"/>
  <c r="D212" i="18"/>
  <c r="E212" i="18"/>
  <c r="D216" i="18"/>
  <c r="E216" i="18"/>
  <c r="D221" i="18"/>
  <c r="E221" i="18"/>
  <c r="D225" i="18"/>
  <c r="E225" i="18"/>
  <c r="D240" i="18"/>
  <c r="E240" i="18"/>
  <c r="D248" i="18"/>
  <c r="E248" i="18"/>
  <c r="D251" i="18"/>
  <c r="E251" i="18"/>
  <c r="D256" i="18"/>
  <c r="E256" i="18"/>
  <c r="F259" i="18"/>
  <c r="G259" i="18" s="1"/>
  <c r="D260" i="18"/>
  <c r="E260" i="18"/>
  <c r="D18" i="16"/>
  <c r="E18" i="16"/>
  <c r="D25" i="16"/>
  <c r="D29" i="16"/>
  <c r="E29" i="16"/>
  <c r="D32" i="16"/>
  <c r="E32" i="16"/>
  <c r="D35" i="16"/>
  <c r="E35" i="16"/>
  <c r="D38" i="16"/>
  <c r="E38" i="16"/>
  <c r="D59" i="16"/>
  <c r="E59" i="16"/>
  <c r="D63" i="16"/>
  <c r="E63" i="16"/>
  <c r="D66" i="16"/>
  <c r="E66" i="16"/>
  <c r="D70" i="16"/>
  <c r="E70" i="16"/>
  <c r="D148" i="16"/>
  <c r="E148" i="16"/>
  <c r="D151" i="16"/>
  <c r="E151" i="16"/>
  <c r="D156" i="16"/>
  <c r="E156" i="16"/>
  <c r="D160" i="16"/>
  <c r="E160" i="16"/>
  <c r="D164" i="16"/>
  <c r="E164" i="16"/>
  <c r="I164" i="16"/>
  <c r="I172" i="16"/>
  <c r="I173" i="16"/>
  <c r="D174" i="16"/>
  <c r="E174" i="16"/>
  <c r="I177" i="16"/>
  <c r="I178" i="16"/>
  <c r="I179" i="16"/>
  <c r="I180" i="16"/>
  <c r="I201" i="16"/>
  <c r="I202" i="16"/>
  <c r="I203" i="16"/>
  <c r="I204" i="16"/>
  <c r="D206" i="16"/>
  <c r="E206" i="16"/>
  <c r="I210" i="16"/>
  <c r="I211" i="16"/>
  <c r="D212" i="16"/>
  <c r="E212" i="16"/>
  <c r="H214" i="16"/>
  <c r="H215" i="16"/>
  <c r="D216" i="16"/>
  <c r="E216" i="16"/>
  <c r="I216" i="16"/>
  <c r="H218" i="16"/>
  <c r="H219" i="16"/>
  <c r="H220" i="16"/>
  <c r="D221" i="16"/>
  <c r="E221" i="16"/>
  <c r="I221" i="16"/>
  <c r="H223" i="16"/>
  <c r="H224" i="16"/>
  <c r="D225" i="16"/>
  <c r="E225" i="16"/>
  <c r="I225" i="16"/>
  <c r="H228" i="16"/>
  <c r="H229" i="16"/>
  <c r="H231" i="16"/>
  <c r="H232" i="16"/>
  <c r="H234" i="16"/>
  <c r="H235" i="16"/>
  <c r="H236" i="16"/>
  <c r="H237" i="16"/>
  <c r="H238" i="16"/>
  <c r="H239" i="16"/>
  <c r="D240" i="16"/>
  <c r="E240" i="16"/>
  <c r="I240" i="16"/>
  <c r="H242" i="16"/>
  <c r="H243" i="16"/>
  <c r="H244" i="16"/>
  <c r="H245" i="16"/>
  <c r="H246" i="16"/>
  <c r="H247" i="16"/>
  <c r="D248" i="16"/>
  <c r="E248" i="16"/>
  <c r="I248" i="16"/>
  <c r="D251" i="16"/>
  <c r="E251" i="16"/>
  <c r="I251" i="16"/>
  <c r="D256" i="16"/>
  <c r="E256" i="16"/>
  <c r="I256" i="16"/>
  <c r="F259" i="16"/>
  <c r="G259" i="16" s="1"/>
  <c r="G260" i="16" s="1"/>
  <c r="G261" i="16" s="1"/>
  <c r="G262" i="16" s="1"/>
  <c r="D260" i="16"/>
  <c r="E260" i="16"/>
  <c r="I260" i="16"/>
  <c r="F7" i="14"/>
  <c r="G7" i="14" s="1"/>
  <c r="F8" i="14"/>
  <c r="G8" i="14" s="1"/>
  <c r="H8" i="14" s="1"/>
  <c r="I8" i="14" s="1"/>
  <c r="D18" i="14"/>
  <c r="D25" i="14"/>
  <c r="E25" i="14"/>
  <c r="F25" i="14"/>
  <c r="F28" i="14"/>
  <c r="F29" i="14" s="1"/>
  <c r="I28" i="14"/>
  <c r="D29" i="14"/>
  <c r="E29" i="14"/>
  <c r="F31" i="14"/>
  <c r="F32" i="14" s="1"/>
  <c r="D32" i="14"/>
  <c r="E32" i="14"/>
  <c r="I32" i="14"/>
  <c r="F34" i="14"/>
  <c r="F35" i="14" s="1"/>
  <c r="D35" i="14"/>
  <c r="E35" i="14"/>
  <c r="I35" i="14"/>
  <c r="F37" i="14"/>
  <c r="F38" i="14" s="1"/>
  <c r="D38" i="14"/>
  <c r="E38" i="14"/>
  <c r="I38" i="14"/>
  <c r="F40" i="14"/>
  <c r="F42" i="14"/>
  <c r="F43" i="14"/>
  <c r="F44" i="14"/>
  <c r="F45" i="14"/>
  <c r="F46" i="14"/>
  <c r="F47" i="14"/>
  <c r="F48" i="14"/>
  <c r="F49" i="14"/>
  <c r="F50" i="14"/>
  <c r="F51" i="14"/>
  <c r="I51" i="14" s="1"/>
  <c r="F52" i="14"/>
  <c r="I52" i="14" s="1"/>
  <c r="F53" i="14"/>
  <c r="I53" i="14" s="1"/>
  <c r="F54" i="14"/>
  <c r="I54" i="14" s="1"/>
  <c r="F55" i="14"/>
  <c r="I55" i="14" s="1"/>
  <c r="F56" i="14"/>
  <c r="I56" i="14" s="1"/>
  <c r="F57" i="14"/>
  <c r="I57" i="14" s="1"/>
  <c r="F58" i="14"/>
  <c r="I58" i="14" s="1"/>
  <c r="D59" i="14"/>
  <c r="E59" i="14"/>
  <c r="F61" i="14"/>
  <c r="F62" i="14"/>
  <c r="D63" i="14"/>
  <c r="E63" i="14"/>
  <c r="F65" i="14"/>
  <c r="F66" i="14" s="1"/>
  <c r="D66" i="14"/>
  <c r="E66" i="14"/>
  <c r="F68" i="14"/>
  <c r="I68" i="14" s="1"/>
  <c r="F69" i="14"/>
  <c r="I69" i="14" s="1"/>
  <c r="D70" i="14"/>
  <c r="E70" i="14"/>
  <c r="F72" i="14"/>
  <c r="F73" i="14"/>
  <c r="F74" i="14"/>
  <c r="I74" i="14" s="1"/>
  <c r="F75" i="14"/>
  <c r="I75" i="14" s="1"/>
  <c r="F76" i="14"/>
  <c r="I76" i="14" s="1"/>
  <c r="F77" i="14"/>
  <c r="I77" i="14" s="1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F145" i="14"/>
  <c r="I145" i="14" s="1"/>
  <c r="F146" i="14"/>
  <c r="I146" i="14" s="1"/>
  <c r="F147" i="14"/>
  <c r="I147" i="14" s="1"/>
  <c r="D148" i="14"/>
  <c r="E148" i="14"/>
  <c r="F150" i="14"/>
  <c r="D151" i="14"/>
  <c r="E151" i="14"/>
  <c r="F153" i="14"/>
  <c r="F154" i="14"/>
  <c r="F155" i="14"/>
  <c r="D156" i="14"/>
  <c r="E156" i="14"/>
  <c r="F158" i="14"/>
  <c r="I158" i="14" s="1"/>
  <c r="F159" i="14"/>
  <c r="D160" i="14"/>
  <c r="E160" i="14"/>
  <c r="F163" i="14"/>
  <c r="F164" i="14" s="1"/>
  <c r="D164" i="14"/>
  <c r="E164" i="14"/>
  <c r="F172" i="14"/>
  <c r="I172" i="14" s="1"/>
  <c r="F173" i="14"/>
  <c r="I173" i="14" s="1"/>
  <c r="D174" i="14"/>
  <c r="E174" i="14"/>
  <c r="F176" i="14"/>
  <c r="F177" i="14"/>
  <c r="I177" i="14" s="1"/>
  <c r="F178" i="14"/>
  <c r="I178" i="14" s="1"/>
  <c r="F179" i="14"/>
  <c r="I179" i="14" s="1"/>
  <c r="F180" i="14"/>
  <c r="I180" i="14" s="1"/>
  <c r="F201" i="14"/>
  <c r="F202" i="14"/>
  <c r="F203" i="14"/>
  <c r="F204" i="14"/>
  <c r="E206" i="14"/>
  <c r="F208" i="14"/>
  <c r="F209" i="14"/>
  <c r="F210" i="14"/>
  <c r="F211" i="14"/>
  <c r="D212" i="14"/>
  <c r="E212" i="14"/>
  <c r="F214" i="14"/>
  <c r="F215" i="14"/>
  <c r="D216" i="14"/>
  <c r="E216" i="14"/>
  <c r="F218" i="14"/>
  <c r="F219" i="14"/>
  <c r="F220" i="14"/>
  <c r="D221" i="14"/>
  <c r="E221" i="14"/>
  <c r="F224" i="14"/>
  <c r="F225" i="14" s="1"/>
  <c r="D225" i="14"/>
  <c r="E225" i="14"/>
  <c r="F227" i="14"/>
  <c r="H227" i="14" s="1"/>
  <c r="F228" i="14"/>
  <c r="H228" i="14" s="1"/>
  <c r="F229" i="14"/>
  <c r="H229" i="14" s="1"/>
  <c r="F230" i="14"/>
  <c r="H230" i="14" s="1"/>
  <c r="F231" i="14"/>
  <c r="H231" i="14" s="1"/>
  <c r="F232" i="14"/>
  <c r="H232" i="14" s="1"/>
  <c r="F234" i="14"/>
  <c r="H234" i="14" s="1"/>
  <c r="F235" i="14"/>
  <c r="H235" i="14" s="1"/>
  <c r="F236" i="14"/>
  <c r="H236" i="14" s="1"/>
  <c r="F237" i="14"/>
  <c r="H237" i="14" s="1"/>
  <c r="F238" i="14"/>
  <c r="H238" i="14" s="1"/>
  <c r="F239" i="14"/>
  <c r="H239" i="14" s="1"/>
  <c r="D240" i="14"/>
  <c r="E240" i="14"/>
  <c r="F242" i="14"/>
  <c r="H242" i="14" s="1"/>
  <c r="F243" i="14"/>
  <c r="H243" i="14" s="1"/>
  <c r="F244" i="14"/>
  <c r="H244" i="14" s="1"/>
  <c r="F245" i="14"/>
  <c r="H245" i="14" s="1"/>
  <c r="F246" i="14"/>
  <c r="H246" i="14" s="1"/>
  <c r="F247" i="14"/>
  <c r="H247" i="14" s="1"/>
  <c r="D248" i="14"/>
  <c r="E248" i="14"/>
  <c r="F250" i="14"/>
  <c r="D251" i="14"/>
  <c r="E251" i="14"/>
  <c r="F255" i="14"/>
  <c r="D256" i="14"/>
  <c r="E256" i="14"/>
  <c r="F259" i="14"/>
  <c r="H259" i="14" s="1"/>
  <c r="H260" i="14" s="1"/>
  <c r="D260" i="14"/>
  <c r="E260" i="14"/>
  <c r="F7" i="12"/>
  <c r="G7" i="12" s="1"/>
  <c r="F8" i="12"/>
  <c r="G8" i="12" s="1"/>
  <c r="H8" i="12" s="1"/>
  <c r="I8" i="12" s="1"/>
  <c r="F9" i="12"/>
  <c r="G9" i="12" s="1"/>
  <c r="H9" i="12" s="1"/>
  <c r="I9" i="12" s="1"/>
  <c r="F10" i="12"/>
  <c r="G10" i="12" s="1"/>
  <c r="H10" i="12" s="1"/>
  <c r="I10" i="12" s="1"/>
  <c r="F11" i="12"/>
  <c r="G11" i="12" s="1"/>
  <c r="H11" i="12" s="1"/>
  <c r="I11" i="12" s="1"/>
  <c r="D18" i="12"/>
  <c r="E18" i="12"/>
  <c r="D25" i="12"/>
  <c r="E25" i="12"/>
  <c r="F28" i="12"/>
  <c r="I28" i="12"/>
  <c r="D29" i="12"/>
  <c r="E29" i="12"/>
  <c r="F29" i="12"/>
  <c r="F31" i="12"/>
  <c r="F32" i="12" s="1"/>
  <c r="D32" i="12"/>
  <c r="E32" i="12"/>
  <c r="I32" i="12"/>
  <c r="F34" i="12"/>
  <c r="F35" i="12" s="1"/>
  <c r="D35" i="12"/>
  <c r="E35" i="12"/>
  <c r="I35" i="12"/>
  <c r="F37" i="12"/>
  <c r="F38" i="12" s="1"/>
  <c r="D38" i="12"/>
  <c r="E38" i="12"/>
  <c r="I38" i="12"/>
  <c r="D59" i="12"/>
  <c r="E59" i="12"/>
  <c r="F61" i="12"/>
  <c r="F62" i="12"/>
  <c r="D63" i="12"/>
  <c r="E63" i="12"/>
  <c r="I63" i="12"/>
  <c r="F65" i="12"/>
  <c r="F66" i="12" s="1"/>
  <c r="D66" i="12"/>
  <c r="E66" i="12"/>
  <c r="I66" i="12"/>
  <c r="F68" i="12"/>
  <c r="I68" i="12" s="1"/>
  <c r="F69" i="12"/>
  <c r="I69" i="12" s="1"/>
  <c r="D70" i="12"/>
  <c r="E70" i="12"/>
  <c r="F135" i="12"/>
  <c r="F136" i="12"/>
  <c r="I136" i="12" s="1"/>
  <c r="F137" i="12"/>
  <c r="I137" i="12" s="1"/>
  <c r="F138" i="12"/>
  <c r="I138" i="12" s="1"/>
  <c r="F139" i="12"/>
  <c r="I139" i="12" s="1"/>
  <c r="F140" i="12"/>
  <c r="I140" i="12" s="1"/>
  <c r="F141" i="12"/>
  <c r="I141" i="12" s="1"/>
  <c r="F142" i="12"/>
  <c r="I142" i="12" s="1"/>
  <c r="F143" i="12"/>
  <c r="I143" i="12" s="1"/>
  <c r="F144" i="12"/>
  <c r="I144" i="12" s="1"/>
  <c r="F145" i="12"/>
  <c r="I145" i="12" s="1"/>
  <c r="F146" i="12"/>
  <c r="I146" i="12" s="1"/>
  <c r="F147" i="12"/>
  <c r="I147" i="12" s="1"/>
  <c r="D148" i="12"/>
  <c r="E148" i="12"/>
  <c r="F150" i="12"/>
  <c r="D151" i="12"/>
  <c r="E151" i="12"/>
  <c r="F153" i="12"/>
  <c r="F156" i="12" s="1"/>
  <c r="D156" i="12"/>
  <c r="E156" i="12"/>
  <c r="F158" i="12"/>
  <c r="I158" i="12" s="1"/>
  <c r="F159" i="12"/>
  <c r="I159" i="12" s="1"/>
  <c r="D160" i="12"/>
  <c r="E160" i="12"/>
  <c r="F163" i="12"/>
  <c r="F164" i="12" s="1"/>
  <c r="D164" i="12"/>
  <c r="E164" i="12"/>
  <c r="F172" i="12"/>
  <c r="I172" i="12" s="1"/>
  <c r="F173" i="12"/>
  <c r="I173" i="12" s="1"/>
  <c r="D174" i="12"/>
  <c r="E174" i="12"/>
  <c r="I176" i="12"/>
  <c r="F201" i="12"/>
  <c r="F202" i="12"/>
  <c r="I202" i="12" s="1"/>
  <c r="F203" i="12"/>
  <c r="I203" i="12" s="1"/>
  <c r="F204" i="12"/>
  <c r="I204" i="12" s="1"/>
  <c r="D206" i="12"/>
  <c r="E206" i="12"/>
  <c r="F208" i="12"/>
  <c r="G208" i="12" s="1"/>
  <c r="F209" i="12"/>
  <c r="G209" i="12" s="1"/>
  <c r="H209" i="12" s="1"/>
  <c r="I209" i="12" s="1"/>
  <c r="F210" i="12"/>
  <c r="G210" i="12" s="1"/>
  <c r="H210" i="12" s="1"/>
  <c r="I210" i="12" s="1"/>
  <c r="F211" i="12"/>
  <c r="G211" i="12" s="1"/>
  <c r="H211" i="12" s="1"/>
  <c r="I211" i="12" s="1"/>
  <c r="D212" i="12"/>
  <c r="F214" i="12"/>
  <c r="G214" i="12" s="1"/>
  <c r="F215" i="12"/>
  <c r="G215" i="12" s="1"/>
  <c r="H215" i="12" s="1"/>
  <c r="I215" i="12" s="1"/>
  <c r="D216" i="12"/>
  <c r="F218" i="12"/>
  <c r="G218" i="12" s="1"/>
  <c r="F219" i="12"/>
  <c r="G219" i="12" s="1"/>
  <c r="H219" i="12" s="1"/>
  <c r="I219" i="12" s="1"/>
  <c r="F220" i="12"/>
  <c r="G220" i="12" s="1"/>
  <c r="H220" i="12" s="1"/>
  <c r="I220" i="12" s="1"/>
  <c r="D221" i="12"/>
  <c r="F223" i="12"/>
  <c r="G223" i="12" s="1"/>
  <c r="F224" i="12"/>
  <c r="G224" i="12" s="1"/>
  <c r="H224" i="12" s="1"/>
  <c r="I224" i="12" s="1"/>
  <c r="D225" i="12"/>
  <c r="F227" i="12"/>
  <c r="G227" i="12" s="1"/>
  <c r="F228" i="12"/>
  <c r="G228" i="12" s="1"/>
  <c r="H228" i="12" s="1"/>
  <c r="I228" i="12" s="1"/>
  <c r="F229" i="12"/>
  <c r="G229" i="12" s="1"/>
  <c r="H229" i="12" s="1"/>
  <c r="I229" i="12" s="1"/>
  <c r="F230" i="12"/>
  <c r="G230" i="12" s="1"/>
  <c r="H230" i="12" s="1"/>
  <c r="I230" i="12" s="1"/>
  <c r="F231" i="12"/>
  <c r="G231" i="12" s="1"/>
  <c r="H231" i="12" s="1"/>
  <c r="I231" i="12" s="1"/>
  <c r="F232" i="12"/>
  <c r="G232" i="12" s="1"/>
  <c r="H232" i="12" s="1"/>
  <c r="I232" i="12" s="1"/>
  <c r="F233" i="12"/>
  <c r="G233" i="12" s="1"/>
  <c r="H233" i="12" s="1"/>
  <c r="I233" i="12" s="1"/>
  <c r="F234" i="12"/>
  <c r="G234" i="12" s="1"/>
  <c r="H234" i="12" s="1"/>
  <c r="I234" i="12" s="1"/>
  <c r="F235" i="12"/>
  <c r="G235" i="12" s="1"/>
  <c r="H235" i="12" s="1"/>
  <c r="I235" i="12" s="1"/>
  <c r="F236" i="12"/>
  <c r="G236" i="12" s="1"/>
  <c r="H236" i="12" s="1"/>
  <c r="I236" i="12" s="1"/>
  <c r="F237" i="12"/>
  <c r="G237" i="12" s="1"/>
  <c r="H237" i="12" s="1"/>
  <c r="I237" i="12" s="1"/>
  <c r="F238" i="12"/>
  <c r="G238" i="12" s="1"/>
  <c r="H238" i="12" s="1"/>
  <c r="I238" i="12" s="1"/>
  <c r="F239" i="12"/>
  <c r="G239" i="12" s="1"/>
  <c r="H239" i="12" s="1"/>
  <c r="I239" i="12" s="1"/>
  <c r="D240" i="12"/>
  <c r="F242" i="12"/>
  <c r="G242" i="12" s="1"/>
  <c r="F243" i="12"/>
  <c r="G243" i="12" s="1"/>
  <c r="H243" i="12" s="1"/>
  <c r="I243" i="12" s="1"/>
  <c r="F244" i="12"/>
  <c r="G244" i="12" s="1"/>
  <c r="H244" i="12" s="1"/>
  <c r="I244" i="12" s="1"/>
  <c r="F245" i="12"/>
  <c r="G245" i="12" s="1"/>
  <c r="H245" i="12" s="1"/>
  <c r="I245" i="12" s="1"/>
  <c r="F246" i="12"/>
  <c r="G246" i="12" s="1"/>
  <c r="H246" i="12" s="1"/>
  <c r="I246" i="12" s="1"/>
  <c r="F247" i="12"/>
  <c r="G247" i="12" s="1"/>
  <c r="H247" i="12" s="1"/>
  <c r="I247" i="12" s="1"/>
  <c r="D248" i="12"/>
  <c r="F250" i="12"/>
  <c r="G250" i="12" s="1"/>
  <c r="D251" i="12"/>
  <c r="F255" i="12"/>
  <c r="G255" i="12" s="1"/>
  <c r="D256" i="12"/>
  <c r="F259" i="12"/>
  <c r="G259" i="12" s="1"/>
  <c r="D260" i="12"/>
  <c r="D18" i="11"/>
  <c r="E18" i="11"/>
  <c r="D25" i="11"/>
  <c r="E25" i="11"/>
  <c r="D29" i="11"/>
  <c r="E29" i="11"/>
  <c r="D32" i="11"/>
  <c r="E32" i="11"/>
  <c r="D35" i="11"/>
  <c r="E35" i="11"/>
  <c r="D38" i="11"/>
  <c r="E38" i="11"/>
  <c r="D59" i="11"/>
  <c r="E59" i="11"/>
  <c r="D63" i="11"/>
  <c r="E63" i="11"/>
  <c r="D66" i="11"/>
  <c r="E66" i="11"/>
  <c r="D70" i="11"/>
  <c r="E70" i="11"/>
  <c r="D148" i="11"/>
  <c r="E148" i="11"/>
  <c r="D151" i="11"/>
  <c r="E151" i="11"/>
  <c r="D156" i="11"/>
  <c r="E156" i="11"/>
  <c r="D160" i="11"/>
  <c r="E160" i="11"/>
  <c r="D164" i="11"/>
  <c r="E164" i="11"/>
  <c r="D173" i="11"/>
  <c r="E173" i="11"/>
  <c r="D205" i="11"/>
  <c r="E205" i="11"/>
  <c r="D215" i="11"/>
  <c r="E215" i="11"/>
  <c r="D220" i="11"/>
  <c r="E220" i="11"/>
  <c r="D224" i="11"/>
  <c r="E224" i="11"/>
  <c r="D239" i="11"/>
  <c r="E239" i="11"/>
  <c r="D247" i="11"/>
  <c r="E247" i="11"/>
  <c r="D250" i="11"/>
  <c r="E250" i="11"/>
  <c r="D255" i="11"/>
  <c r="E255" i="11"/>
  <c r="D259" i="11"/>
  <c r="E259" i="11"/>
  <c r="D18" i="8"/>
  <c r="E18" i="8"/>
  <c r="D25" i="8"/>
  <c r="E25" i="8"/>
  <c r="I28" i="8"/>
  <c r="D29" i="8"/>
  <c r="E29" i="8"/>
  <c r="D32" i="8"/>
  <c r="E32" i="8"/>
  <c r="I32" i="8"/>
  <c r="D35" i="8"/>
  <c r="E35" i="8"/>
  <c r="I35" i="8"/>
  <c r="D38" i="8"/>
  <c r="E38" i="8"/>
  <c r="I38" i="8"/>
  <c r="D59" i="8"/>
  <c r="E59" i="8"/>
  <c r="F61" i="8"/>
  <c r="D63" i="8"/>
  <c r="E63" i="8"/>
  <c r="I63" i="8"/>
  <c r="F65" i="8"/>
  <c r="D66" i="8"/>
  <c r="E66" i="8"/>
  <c r="I66" i="8"/>
  <c r="F68" i="8"/>
  <c r="F69" i="8"/>
  <c r="D70" i="8"/>
  <c r="E70" i="8"/>
  <c r="F145" i="8"/>
  <c r="F146" i="8"/>
  <c r="D148" i="8"/>
  <c r="E148" i="8"/>
  <c r="F150" i="8"/>
  <c r="D151" i="8"/>
  <c r="E151" i="8"/>
  <c r="F153" i="8"/>
  <c r="F154" i="8"/>
  <c r="F155" i="8"/>
  <c r="D156" i="8"/>
  <c r="E156" i="8"/>
  <c r="F158" i="8"/>
  <c r="F159" i="8"/>
  <c r="D160" i="8"/>
  <c r="E160" i="8"/>
  <c r="F163" i="8"/>
  <c r="F164" i="8" s="1"/>
  <c r="D164" i="8"/>
  <c r="E164" i="8"/>
  <c r="F172" i="8"/>
  <c r="F173" i="8"/>
  <c r="I173" i="8" s="1"/>
  <c r="D174" i="8"/>
  <c r="E174" i="8"/>
  <c r="F201" i="8"/>
  <c r="F202" i="8"/>
  <c r="F203" i="8"/>
  <c r="F204" i="8"/>
  <c r="D206" i="8"/>
  <c r="E206" i="8"/>
  <c r="F208" i="8"/>
  <c r="F209" i="8"/>
  <c r="F210" i="8"/>
  <c r="F211" i="8"/>
  <c r="I211" i="8" s="1"/>
  <c r="D212" i="8"/>
  <c r="E212" i="8"/>
  <c r="D216" i="8"/>
  <c r="E216" i="8"/>
  <c r="F216" i="8"/>
  <c r="F219" i="8"/>
  <c r="F220" i="8"/>
  <c r="D221" i="8"/>
  <c r="E221" i="8"/>
  <c r="F223" i="8"/>
  <c r="F224" i="8"/>
  <c r="D225" i="8"/>
  <c r="E225" i="8"/>
  <c r="I225" i="8"/>
  <c r="F238" i="8"/>
  <c r="D240" i="42" s="1"/>
  <c r="F239" i="8"/>
  <c r="D240" i="8"/>
  <c r="E240" i="8"/>
  <c r="E248" i="8"/>
  <c r="F250" i="8"/>
  <c r="D251" i="8"/>
  <c r="E251" i="8"/>
  <c r="F255" i="8"/>
  <c r="D256" i="8"/>
  <c r="E256" i="8"/>
  <c r="F259" i="8"/>
  <c r="D260" i="8"/>
  <c r="E260" i="8"/>
  <c r="D25" i="10"/>
  <c r="E25" i="10"/>
  <c r="F25" i="10"/>
  <c r="F28" i="10"/>
  <c r="I28" i="10"/>
  <c r="D29" i="10"/>
  <c r="E29" i="10"/>
  <c r="F31" i="10"/>
  <c r="D32" i="10"/>
  <c r="E32" i="10"/>
  <c r="I32" i="10"/>
  <c r="F34" i="10"/>
  <c r="D35" i="10"/>
  <c r="E35" i="10"/>
  <c r="I35" i="10"/>
  <c r="F37" i="10"/>
  <c r="D38" i="10"/>
  <c r="E38" i="10"/>
  <c r="I38" i="10"/>
  <c r="F40" i="10"/>
  <c r="F58" i="10"/>
  <c r="D59" i="10"/>
  <c r="E59" i="10"/>
  <c r="F61" i="10"/>
  <c r="F62" i="10"/>
  <c r="D63" i="10"/>
  <c r="E63" i="10"/>
  <c r="I63" i="10"/>
  <c r="F65" i="10"/>
  <c r="D66" i="10"/>
  <c r="E66" i="10"/>
  <c r="I66" i="10"/>
  <c r="F68" i="10"/>
  <c r="F69" i="10"/>
  <c r="D70" i="10"/>
  <c r="E70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D148" i="10"/>
  <c r="E148" i="10"/>
  <c r="F150" i="10"/>
  <c r="D151" i="10"/>
  <c r="E151" i="10"/>
  <c r="F153" i="10"/>
  <c r="F155" i="10"/>
  <c r="D156" i="10"/>
  <c r="E156" i="10"/>
  <c r="F158" i="10"/>
  <c r="I158" i="10" s="1"/>
  <c r="F159" i="10"/>
  <c r="I159" i="10" s="1"/>
  <c r="D160" i="10"/>
  <c r="E160" i="10"/>
  <c r="F163" i="10"/>
  <c r="F164" i="10" s="1"/>
  <c r="D164" i="10"/>
  <c r="E164" i="10"/>
  <c r="I164" i="10"/>
  <c r="F172" i="10"/>
  <c r="F173" i="10"/>
  <c r="I173" i="10" s="1"/>
  <c r="D174" i="10"/>
  <c r="E174" i="10"/>
  <c r="F176" i="10"/>
  <c r="I176" i="10" s="1"/>
  <c r="F177" i="10"/>
  <c r="F178" i="10"/>
  <c r="I178" i="10" s="1"/>
  <c r="F179" i="10"/>
  <c r="I179" i="10" s="1"/>
  <c r="F180" i="10"/>
  <c r="I180" i="10" s="1"/>
  <c r="F182" i="10"/>
  <c r="I182" i="10" s="1"/>
  <c r="F183" i="10"/>
  <c r="I183" i="10" s="1"/>
  <c r="F184" i="10"/>
  <c r="I184" i="10" s="1"/>
  <c r="F185" i="10"/>
  <c r="I185" i="10" s="1"/>
  <c r="F186" i="10"/>
  <c r="I186" i="10" s="1"/>
  <c r="F187" i="10"/>
  <c r="I187" i="10" s="1"/>
  <c r="F188" i="10"/>
  <c r="I188" i="10" s="1"/>
  <c r="F189" i="10"/>
  <c r="I189" i="10" s="1"/>
  <c r="F190" i="10"/>
  <c r="I190" i="10" s="1"/>
  <c r="F191" i="10"/>
  <c r="I191" i="10" s="1"/>
  <c r="F192" i="10"/>
  <c r="I192" i="10" s="1"/>
  <c r="F193" i="10"/>
  <c r="I193" i="10" s="1"/>
  <c r="F194" i="10"/>
  <c r="I194" i="10" s="1"/>
  <c r="F195" i="10"/>
  <c r="I195" i="10" s="1"/>
  <c r="F196" i="10"/>
  <c r="I196" i="10" s="1"/>
  <c r="F197" i="10"/>
  <c r="I197" i="10" s="1"/>
  <c r="F198" i="10"/>
  <c r="I198" i="10" s="1"/>
  <c r="F199" i="10"/>
  <c r="I199" i="10" s="1"/>
  <c r="F201" i="10"/>
  <c r="I201" i="10" s="1"/>
  <c r="F202" i="10"/>
  <c r="I202" i="10" s="1"/>
  <c r="F203" i="10"/>
  <c r="I203" i="10" s="1"/>
  <c r="F204" i="10"/>
  <c r="I204" i="10" s="1"/>
  <c r="D206" i="10"/>
  <c r="E206" i="10"/>
  <c r="D212" i="10"/>
  <c r="E212" i="10"/>
  <c r="D216" i="10"/>
  <c r="E216" i="10"/>
  <c r="D221" i="10"/>
  <c r="E221" i="10"/>
  <c r="D225" i="10"/>
  <c r="E225" i="10"/>
  <c r="D240" i="10"/>
  <c r="E240" i="10"/>
  <c r="D248" i="10"/>
  <c r="E248" i="10"/>
  <c r="D251" i="10"/>
  <c r="E251" i="10"/>
  <c r="D256" i="10"/>
  <c r="E256" i="10"/>
  <c r="D260" i="10"/>
  <c r="E260" i="10"/>
  <c r="F7" i="9"/>
  <c r="G7" i="9" s="1"/>
  <c r="H7" i="9" s="1"/>
  <c r="I7" i="9" s="1"/>
  <c r="F8" i="9"/>
  <c r="G8" i="9" s="1"/>
  <c r="H8" i="9" s="1"/>
  <c r="I8" i="9" s="1"/>
  <c r="F9" i="9"/>
  <c r="G9" i="9" s="1"/>
  <c r="H9" i="9" s="1"/>
  <c r="I9" i="9" s="1"/>
  <c r="F10" i="9"/>
  <c r="G10" i="9" s="1"/>
  <c r="H10" i="9" s="1"/>
  <c r="I10" i="9" s="1"/>
  <c r="F11" i="9"/>
  <c r="G11" i="9" s="1"/>
  <c r="H11" i="9" s="1"/>
  <c r="I11" i="9" s="1"/>
  <c r="F12" i="9"/>
  <c r="G12" i="9" s="1"/>
  <c r="H12" i="9" s="1"/>
  <c r="I12" i="9" s="1"/>
  <c r="F13" i="9"/>
  <c r="G13" i="9" s="1"/>
  <c r="H13" i="9" s="1"/>
  <c r="I13" i="9" s="1"/>
  <c r="F14" i="9"/>
  <c r="F15" i="9"/>
  <c r="F16" i="9"/>
  <c r="F17" i="9"/>
  <c r="G17" i="9" s="1"/>
  <c r="H17" i="9" s="1"/>
  <c r="I17" i="9" s="1"/>
  <c r="D18" i="9"/>
  <c r="E18" i="9"/>
  <c r="F20" i="9"/>
  <c r="G20" i="9" s="1"/>
  <c r="F21" i="9"/>
  <c r="G21" i="9" s="1"/>
  <c r="F22" i="9"/>
  <c r="G22" i="9" s="1"/>
  <c r="F23" i="9"/>
  <c r="G23" i="9" s="1"/>
  <c r="H23" i="9" s="1"/>
  <c r="I23" i="9" s="1"/>
  <c r="F24" i="9"/>
  <c r="G24" i="9" s="1"/>
  <c r="D25" i="9"/>
  <c r="E25" i="9"/>
  <c r="F28" i="9"/>
  <c r="F29" i="9" s="1"/>
  <c r="I28" i="9"/>
  <c r="D29" i="9"/>
  <c r="E29" i="9"/>
  <c r="D32" i="9"/>
  <c r="E32" i="9"/>
  <c r="F34" i="9"/>
  <c r="F35" i="9" s="1"/>
  <c r="D35" i="9"/>
  <c r="E35" i="9"/>
  <c r="I35" i="9"/>
  <c r="F37" i="9"/>
  <c r="F38" i="9" s="1"/>
  <c r="D38" i="9"/>
  <c r="E38" i="9"/>
  <c r="I38" i="9"/>
  <c r="F40" i="9"/>
  <c r="F41" i="9"/>
  <c r="I41" i="9" s="1"/>
  <c r="F42" i="9"/>
  <c r="I42" i="9" s="1"/>
  <c r="F43" i="9"/>
  <c r="I43" i="9" s="1"/>
  <c r="F44" i="9"/>
  <c r="I44" i="9" s="1"/>
  <c r="F45" i="9"/>
  <c r="I45" i="9" s="1"/>
  <c r="F46" i="9"/>
  <c r="I46" i="9" s="1"/>
  <c r="F47" i="9"/>
  <c r="I47" i="9" s="1"/>
  <c r="F48" i="9"/>
  <c r="I48" i="9" s="1"/>
  <c r="F49" i="9"/>
  <c r="I49" i="9" s="1"/>
  <c r="F50" i="9"/>
  <c r="I50" i="9" s="1"/>
  <c r="F51" i="9"/>
  <c r="I51" i="9" s="1"/>
  <c r="F52" i="9"/>
  <c r="I52" i="9" s="1"/>
  <c r="F53" i="9"/>
  <c r="I53" i="9" s="1"/>
  <c r="F54" i="9"/>
  <c r="I54" i="9" s="1"/>
  <c r="F55" i="9"/>
  <c r="I55" i="9" s="1"/>
  <c r="F56" i="9"/>
  <c r="I56" i="9" s="1"/>
  <c r="F57" i="9"/>
  <c r="I57" i="9" s="1"/>
  <c r="F58" i="9"/>
  <c r="I58" i="9" s="1"/>
  <c r="D59" i="9"/>
  <c r="E59" i="9"/>
  <c r="F61" i="9"/>
  <c r="F62" i="9"/>
  <c r="D63" i="9"/>
  <c r="E63" i="9"/>
  <c r="I63" i="9"/>
  <c r="F65" i="9"/>
  <c r="F66" i="9" s="1"/>
  <c r="D66" i="9"/>
  <c r="E66" i="9"/>
  <c r="I66" i="9"/>
  <c r="F68" i="9"/>
  <c r="I68" i="9" s="1"/>
  <c r="F69" i="9"/>
  <c r="D70" i="9"/>
  <c r="E70" i="9"/>
  <c r="F72" i="9"/>
  <c r="I72" i="9" s="1"/>
  <c r="F73" i="9"/>
  <c r="I73" i="9" s="1"/>
  <c r="F74" i="9"/>
  <c r="F75" i="9"/>
  <c r="I75" i="9" s="1"/>
  <c r="F76" i="9"/>
  <c r="I76" i="9" s="1"/>
  <c r="F77" i="9"/>
  <c r="I77" i="9" s="1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I90" i="9" s="1"/>
  <c r="G90" i="42" s="1"/>
  <c r="F91" i="9"/>
  <c r="I91" i="9" s="1"/>
  <c r="G91" i="42" s="1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I131" i="9" s="1"/>
  <c r="F132" i="9"/>
  <c r="F133" i="9"/>
  <c r="F134" i="9"/>
  <c r="F135" i="9"/>
  <c r="F136" i="9"/>
  <c r="F137" i="9"/>
  <c r="F138" i="9"/>
  <c r="F139" i="9"/>
  <c r="F140" i="9"/>
  <c r="I140" i="9" s="1"/>
  <c r="F141" i="9"/>
  <c r="I141" i="9" s="1"/>
  <c r="F142" i="9"/>
  <c r="I142" i="9" s="1"/>
  <c r="F143" i="9"/>
  <c r="F144" i="9"/>
  <c r="F145" i="9"/>
  <c r="I145" i="9" s="1"/>
  <c r="F147" i="9"/>
  <c r="I147" i="9" s="1"/>
  <c r="D148" i="9"/>
  <c r="E148" i="9"/>
  <c r="F150" i="9"/>
  <c r="I150" i="9" s="1"/>
  <c r="D151" i="9"/>
  <c r="E151" i="9"/>
  <c r="F153" i="9"/>
  <c r="F154" i="9"/>
  <c r="I154" i="9" s="1"/>
  <c r="F155" i="9"/>
  <c r="I155" i="9" s="1"/>
  <c r="D156" i="9"/>
  <c r="E156" i="9"/>
  <c r="F158" i="9"/>
  <c r="F159" i="9"/>
  <c r="I159" i="9" s="1"/>
  <c r="D160" i="9"/>
  <c r="E160" i="9"/>
  <c r="F163" i="9"/>
  <c r="F164" i="9" s="1"/>
  <c r="D164" i="9"/>
  <c r="E164" i="9"/>
  <c r="I164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I204" i="9"/>
  <c r="D206" i="9"/>
  <c r="E206" i="9"/>
  <c r="F208" i="9"/>
  <c r="F209" i="9"/>
  <c r="F210" i="9"/>
  <c r="H210" i="9" s="1"/>
  <c r="F211" i="9"/>
  <c r="D212" i="9"/>
  <c r="E212" i="9"/>
  <c r="F214" i="9"/>
  <c r="H214" i="9" s="1"/>
  <c r="F215" i="9"/>
  <c r="H215" i="9" s="1"/>
  <c r="D216" i="9"/>
  <c r="E216" i="9"/>
  <c r="I216" i="9"/>
  <c r="F218" i="9"/>
  <c r="H218" i="9" s="1"/>
  <c r="F219" i="9"/>
  <c r="H219" i="9" s="1"/>
  <c r="F220" i="9"/>
  <c r="H220" i="9" s="1"/>
  <c r="D221" i="9"/>
  <c r="E221" i="9"/>
  <c r="I221" i="9"/>
  <c r="F223" i="9"/>
  <c r="H223" i="9" s="1"/>
  <c r="F224" i="9"/>
  <c r="H224" i="9" s="1"/>
  <c r="D225" i="9"/>
  <c r="E225" i="9"/>
  <c r="I225" i="9"/>
  <c r="F227" i="9"/>
  <c r="H227" i="9" s="1"/>
  <c r="F228" i="9"/>
  <c r="H228" i="9" s="1"/>
  <c r="F229" i="9"/>
  <c r="H229" i="9" s="1"/>
  <c r="F230" i="9"/>
  <c r="H230" i="9" s="1"/>
  <c r="F231" i="9"/>
  <c r="H231" i="9" s="1"/>
  <c r="F232" i="9"/>
  <c r="H232" i="9" s="1"/>
  <c r="F233" i="9"/>
  <c r="H233" i="9" s="1"/>
  <c r="F234" i="9"/>
  <c r="H234" i="9" s="1"/>
  <c r="F235" i="9"/>
  <c r="H235" i="9" s="1"/>
  <c r="F236" i="9"/>
  <c r="H236" i="9" s="1"/>
  <c r="F237" i="9"/>
  <c r="H237" i="9" s="1"/>
  <c r="F238" i="9"/>
  <c r="H238" i="9" s="1"/>
  <c r="F239" i="9"/>
  <c r="H239" i="9" s="1"/>
  <c r="D240" i="9"/>
  <c r="E240" i="9"/>
  <c r="I240" i="9"/>
  <c r="F242" i="9"/>
  <c r="H242" i="9" s="1"/>
  <c r="F243" i="9"/>
  <c r="H243" i="9" s="1"/>
  <c r="F244" i="9"/>
  <c r="H244" i="9" s="1"/>
  <c r="F245" i="9"/>
  <c r="H245" i="9" s="1"/>
  <c r="F246" i="9"/>
  <c r="H246" i="9" s="1"/>
  <c r="F247" i="9"/>
  <c r="H247" i="9" s="1"/>
  <c r="D248" i="9"/>
  <c r="E248" i="9"/>
  <c r="I248" i="9"/>
  <c r="F250" i="9"/>
  <c r="H250" i="9" s="1"/>
  <c r="H251" i="9" s="1"/>
  <c r="D251" i="9"/>
  <c r="E251" i="9"/>
  <c r="I251" i="9"/>
  <c r="D256" i="9"/>
  <c r="E256" i="9"/>
  <c r="D260" i="9"/>
  <c r="E260" i="9"/>
  <c r="F7" i="6"/>
  <c r="G7" i="6" s="1"/>
  <c r="F8" i="6"/>
  <c r="G8" i="6" s="1"/>
  <c r="H8" i="6" s="1"/>
  <c r="I8" i="6" s="1"/>
  <c r="F9" i="6"/>
  <c r="G9" i="6" s="1"/>
  <c r="F10" i="6"/>
  <c r="G10" i="6" s="1"/>
  <c r="F11" i="6"/>
  <c r="F12" i="6"/>
  <c r="F13" i="6"/>
  <c r="D18" i="6"/>
  <c r="E18" i="6"/>
  <c r="D25" i="6"/>
  <c r="E25" i="6"/>
  <c r="F25" i="6"/>
  <c r="F28" i="6"/>
  <c r="I28" i="6"/>
  <c r="D29" i="6"/>
  <c r="E29" i="6"/>
  <c r="F29" i="6"/>
  <c r="F31" i="6"/>
  <c r="F32" i="6" s="1"/>
  <c r="D32" i="6"/>
  <c r="E32" i="6"/>
  <c r="I32" i="6"/>
  <c r="F34" i="6"/>
  <c r="F35" i="6" s="1"/>
  <c r="D35" i="6"/>
  <c r="E35" i="6"/>
  <c r="I35" i="6"/>
  <c r="F37" i="6"/>
  <c r="F38" i="6" s="1"/>
  <c r="D38" i="6"/>
  <c r="E38" i="6"/>
  <c r="I38" i="6"/>
  <c r="F40" i="6"/>
  <c r="I40" i="6" s="1"/>
  <c r="F41" i="6"/>
  <c r="I41" i="6" s="1"/>
  <c r="F42" i="6"/>
  <c r="I42" i="6" s="1"/>
  <c r="F43" i="6"/>
  <c r="I43" i="6" s="1"/>
  <c r="F44" i="6"/>
  <c r="I44" i="6" s="1"/>
  <c r="F45" i="6"/>
  <c r="I45" i="6" s="1"/>
  <c r="F46" i="6"/>
  <c r="I46" i="6" s="1"/>
  <c r="F47" i="6"/>
  <c r="I47" i="6" s="1"/>
  <c r="G47" i="42" s="1"/>
  <c r="F48" i="6"/>
  <c r="D48" i="42" s="1"/>
  <c r="F49" i="6"/>
  <c r="I49" i="6" s="1"/>
  <c r="F51" i="6"/>
  <c r="I51" i="6" s="1"/>
  <c r="F52" i="6"/>
  <c r="I52" i="6" s="1"/>
  <c r="F53" i="6"/>
  <c r="I53" i="6" s="1"/>
  <c r="F54" i="6"/>
  <c r="I54" i="6" s="1"/>
  <c r="F55" i="6"/>
  <c r="I55" i="6" s="1"/>
  <c r="F56" i="6"/>
  <c r="I56" i="6" s="1"/>
  <c r="F57" i="6"/>
  <c r="I57" i="6" s="1"/>
  <c r="F58" i="6"/>
  <c r="I58" i="6" s="1"/>
  <c r="D59" i="6"/>
  <c r="E59" i="6"/>
  <c r="D63" i="6"/>
  <c r="E63" i="6"/>
  <c r="I63" i="6"/>
  <c r="F65" i="6"/>
  <c r="F66" i="6" s="1"/>
  <c r="D66" i="6"/>
  <c r="E66" i="6"/>
  <c r="I66" i="6"/>
  <c r="F68" i="6"/>
  <c r="I68" i="6" s="1"/>
  <c r="F69" i="6"/>
  <c r="D70" i="6"/>
  <c r="E70" i="6"/>
  <c r="F72" i="6"/>
  <c r="F73" i="6"/>
  <c r="F74" i="6"/>
  <c r="F75" i="6"/>
  <c r="F76" i="6"/>
  <c r="F77" i="6"/>
  <c r="F145" i="6"/>
  <c r="I145" i="6" s="1"/>
  <c r="F146" i="6"/>
  <c r="I146" i="6" s="1"/>
  <c r="F147" i="6"/>
  <c r="I147" i="6" s="1"/>
  <c r="D148" i="6"/>
  <c r="E148" i="6"/>
  <c r="F153" i="6"/>
  <c r="F155" i="6"/>
  <c r="D156" i="6"/>
  <c r="E156" i="6"/>
  <c r="F158" i="6"/>
  <c r="I158" i="6" s="1"/>
  <c r="F159" i="6"/>
  <c r="I159" i="6" s="1"/>
  <c r="D160" i="6"/>
  <c r="E160" i="6"/>
  <c r="F163" i="6"/>
  <c r="F164" i="6" s="1"/>
  <c r="D164" i="6"/>
  <c r="E164" i="6"/>
  <c r="I164" i="6"/>
  <c r="F172" i="6"/>
  <c r="I172" i="6" s="1"/>
  <c r="F173" i="6"/>
  <c r="I173" i="6" s="1"/>
  <c r="D174" i="6"/>
  <c r="E174" i="6"/>
  <c r="F203" i="6"/>
  <c r="I203" i="6" s="1"/>
  <c r="F204" i="6"/>
  <c r="I204" i="6" s="1"/>
  <c r="D206" i="6"/>
  <c r="E206" i="6"/>
  <c r="F208" i="6"/>
  <c r="I208" i="6" s="1"/>
  <c r="F209" i="6"/>
  <c r="I209" i="6" s="1"/>
  <c r="F210" i="6"/>
  <c r="I210" i="6" s="1"/>
  <c r="D212" i="6"/>
  <c r="E212" i="6"/>
  <c r="F214" i="6"/>
  <c r="G214" i="6" s="1"/>
  <c r="F215" i="6"/>
  <c r="G215" i="6" s="1"/>
  <c r="H215" i="6" s="1"/>
  <c r="I215" i="6" s="1"/>
  <c r="D216" i="6"/>
  <c r="E216" i="6"/>
  <c r="F218" i="6"/>
  <c r="G218" i="6" s="1"/>
  <c r="F219" i="6"/>
  <c r="G219" i="6" s="1"/>
  <c r="H219" i="6" s="1"/>
  <c r="I219" i="6" s="1"/>
  <c r="F220" i="6"/>
  <c r="G220" i="6" s="1"/>
  <c r="H220" i="6" s="1"/>
  <c r="I220" i="6" s="1"/>
  <c r="D221" i="6"/>
  <c r="E221" i="6"/>
  <c r="F223" i="6"/>
  <c r="G223" i="6" s="1"/>
  <c r="F224" i="6"/>
  <c r="G224" i="6" s="1"/>
  <c r="H224" i="6" s="1"/>
  <c r="I224" i="6" s="1"/>
  <c r="D225" i="6"/>
  <c r="E225" i="6"/>
  <c r="F227" i="6"/>
  <c r="G227" i="6" s="1"/>
  <c r="F228" i="6"/>
  <c r="G228" i="6" s="1"/>
  <c r="H228" i="6" s="1"/>
  <c r="I228" i="6" s="1"/>
  <c r="F229" i="6"/>
  <c r="G229" i="6" s="1"/>
  <c r="H229" i="6" s="1"/>
  <c r="I229" i="6" s="1"/>
  <c r="F230" i="6"/>
  <c r="G230" i="6" s="1"/>
  <c r="H230" i="6" s="1"/>
  <c r="I230" i="6" s="1"/>
  <c r="F231" i="6"/>
  <c r="G231" i="6" s="1"/>
  <c r="H231" i="6" s="1"/>
  <c r="I231" i="6" s="1"/>
  <c r="F232" i="6"/>
  <c r="G232" i="6" s="1"/>
  <c r="H232" i="6" s="1"/>
  <c r="I232" i="6" s="1"/>
  <c r="F233" i="6"/>
  <c r="G233" i="6" s="1"/>
  <c r="H233" i="6" s="1"/>
  <c r="I233" i="6" s="1"/>
  <c r="F234" i="6"/>
  <c r="G234" i="6" s="1"/>
  <c r="H234" i="6" s="1"/>
  <c r="I234" i="6" s="1"/>
  <c r="F235" i="6"/>
  <c r="G235" i="6" s="1"/>
  <c r="H235" i="6" s="1"/>
  <c r="I235" i="6" s="1"/>
  <c r="F236" i="6"/>
  <c r="G236" i="6" s="1"/>
  <c r="H236" i="6" s="1"/>
  <c r="I236" i="6" s="1"/>
  <c r="F237" i="6"/>
  <c r="G237" i="6" s="1"/>
  <c r="H237" i="6" s="1"/>
  <c r="I237" i="6" s="1"/>
  <c r="F238" i="6"/>
  <c r="G238" i="6" s="1"/>
  <c r="H238" i="6" s="1"/>
  <c r="I238" i="6" s="1"/>
  <c r="F239" i="6"/>
  <c r="G239" i="6" s="1"/>
  <c r="H239" i="6" s="1"/>
  <c r="I239" i="6" s="1"/>
  <c r="D240" i="6"/>
  <c r="E240" i="6"/>
  <c r="F242" i="6"/>
  <c r="G242" i="6" s="1"/>
  <c r="F243" i="6"/>
  <c r="G243" i="6" s="1"/>
  <c r="H243" i="6" s="1"/>
  <c r="I243" i="6" s="1"/>
  <c r="F244" i="6"/>
  <c r="G244" i="6" s="1"/>
  <c r="H244" i="6" s="1"/>
  <c r="I244" i="6" s="1"/>
  <c r="F245" i="6"/>
  <c r="G245" i="6" s="1"/>
  <c r="H245" i="6" s="1"/>
  <c r="I245" i="6" s="1"/>
  <c r="F246" i="6"/>
  <c r="G246" i="6" s="1"/>
  <c r="H246" i="6" s="1"/>
  <c r="I246" i="6" s="1"/>
  <c r="F247" i="6"/>
  <c r="G247" i="6" s="1"/>
  <c r="H247" i="6" s="1"/>
  <c r="I247" i="6" s="1"/>
  <c r="D248" i="6"/>
  <c r="E248" i="6"/>
  <c r="F250" i="6"/>
  <c r="G250" i="6" s="1"/>
  <c r="D251" i="6"/>
  <c r="E251" i="6"/>
  <c r="F255" i="6"/>
  <c r="G255" i="6" s="1"/>
  <c r="D256" i="6"/>
  <c r="E256" i="6"/>
  <c r="F259" i="6"/>
  <c r="G259" i="6" s="1"/>
  <c r="D260" i="6"/>
  <c r="E260" i="6"/>
  <c r="D18" i="21"/>
  <c r="E18" i="21"/>
  <c r="F18" i="21"/>
  <c r="D25" i="21"/>
  <c r="E25" i="21"/>
  <c r="F28" i="21"/>
  <c r="D29" i="21"/>
  <c r="E29" i="21"/>
  <c r="F31" i="21"/>
  <c r="F32" i="21" s="1"/>
  <c r="D32" i="21"/>
  <c r="E32" i="21"/>
  <c r="F34" i="21"/>
  <c r="F35" i="21" s="1"/>
  <c r="D35" i="21"/>
  <c r="E35" i="21"/>
  <c r="F37" i="21"/>
  <c r="F38" i="21" s="1"/>
  <c r="D38" i="21"/>
  <c r="E38" i="21"/>
  <c r="F40" i="21"/>
  <c r="F147" i="21"/>
  <c r="F150" i="21"/>
  <c r="D151" i="21"/>
  <c r="E151" i="21"/>
  <c r="F154" i="21"/>
  <c r="D156" i="21"/>
  <c r="E156" i="21"/>
  <c r="F159" i="21"/>
  <c r="F160" i="21" s="1"/>
  <c r="D160" i="21"/>
  <c r="D164" i="21"/>
  <c r="F171" i="21"/>
  <c r="F172" i="21"/>
  <c r="D173" i="21"/>
  <c r="E173" i="21"/>
  <c r="F175" i="21"/>
  <c r="I175" i="21" s="1"/>
  <c r="F176" i="21"/>
  <c r="I176" i="21" s="1"/>
  <c r="F177" i="21"/>
  <c r="I177" i="21" s="1"/>
  <c r="F178" i="21"/>
  <c r="I178" i="21" s="1"/>
  <c r="F179" i="21"/>
  <c r="I179" i="21" s="1"/>
  <c r="F200" i="21"/>
  <c r="I200" i="21" s="1"/>
  <c r="F201" i="21"/>
  <c r="F202" i="21"/>
  <c r="F203" i="21"/>
  <c r="I203" i="21" s="1"/>
  <c r="D205" i="21"/>
  <c r="E205" i="21"/>
  <c r="F207" i="21"/>
  <c r="F208" i="21"/>
  <c r="H208" i="21" s="1"/>
  <c r="F209" i="21"/>
  <c r="F210" i="21"/>
  <c r="D211" i="21"/>
  <c r="E211" i="21"/>
  <c r="F213" i="21"/>
  <c r="H213" i="21" s="1"/>
  <c r="F214" i="21"/>
  <c r="H214" i="21" s="1"/>
  <c r="D215" i="21"/>
  <c r="B211" i="42" s="1"/>
  <c r="B212" i="42" s="1"/>
  <c r="E215" i="21"/>
  <c r="C211" i="42" s="1"/>
  <c r="C212" i="42" s="1"/>
  <c r="I215" i="21"/>
  <c r="F217" i="21"/>
  <c r="H217" i="21" s="1"/>
  <c r="F218" i="21"/>
  <c r="H218" i="21" s="1"/>
  <c r="F219" i="21"/>
  <c r="H219" i="21" s="1"/>
  <c r="D220" i="21"/>
  <c r="E220" i="21"/>
  <c r="I220" i="21"/>
  <c r="F222" i="21"/>
  <c r="F223" i="21"/>
  <c r="H223" i="21" s="1"/>
  <c r="D224" i="21"/>
  <c r="B220" i="42" s="1"/>
  <c r="B221" i="42" s="1"/>
  <c r="E224" i="21"/>
  <c r="C220" i="42" s="1"/>
  <c r="C221" i="42" s="1"/>
  <c r="I224" i="21"/>
  <c r="F226" i="21"/>
  <c r="H226" i="21" s="1"/>
  <c r="F227" i="21"/>
  <c r="H227" i="21" s="1"/>
  <c r="F228" i="21"/>
  <c r="H228" i="21" s="1"/>
  <c r="F229" i="21"/>
  <c r="H229" i="21" s="1"/>
  <c r="F230" i="21"/>
  <c r="H230" i="21" s="1"/>
  <c r="F231" i="21"/>
  <c r="H231" i="21" s="1"/>
  <c r="F232" i="21"/>
  <c r="H232" i="21" s="1"/>
  <c r="F233" i="21"/>
  <c r="H233" i="21" s="1"/>
  <c r="F234" i="21"/>
  <c r="H234" i="21" s="1"/>
  <c r="F235" i="21"/>
  <c r="H235" i="21" s="1"/>
  <c r="F236" i="21"/>
  <c r="H236" i="21" s="1"/>
  <c r="F237" i="21"/>
  <c r="H237" i="21" s="1"/>
  <c r="F238" i="21"/>
  <c r="H238" i="21" s="1"/>
  <c r="D239" i="21"/>
  <c r="B235" i="42" s="1"/>
  <c r="B240" i="42" s="1"/>
  <c r="E239" i="21"/>
  <c r="C235" i="42" s="1"/>
  <c r="C240" i="42" s="1"/>
  <c r="I239" i="21"/>
  <c r="F241" i="21"/>
  <c r="H241" i="21" s="1"/>
  <c r="F242" i="21"/>
  <c r="H242" i="21" s="1"/>
  <c r="F244" i="21"/>
  <c r="H244" i="21" s="1"/>
  <c r="F245" i="21"/>
  <c r="H245" i="21" s="1"/>
  <c r="F246" i="21"/>
  <c r="H246" i="21" s="1"/>
  <c r="I247" i="21"/>
  <c r="F249" i="21"/>
  <c r="H249" i="21" s="1"/>
  <c r="H250" i="21" s="1"/>
  <c r="D250" i="21"/>
  <c r="B246" i="42" s="1"/>
  <c r="E250" i="21"/>
  <c r="C246" i="42" s="1"/>
  <c r="C248" i="42" s="1"/>
  <c r="C252" i="42" s="1"/>
  <c r="I250" i="21"/>
  <c r="F254" i="21"/>
  <c r="D255" i="21"/>
  <c r="E255" i="21"/>
  <c r="I255" i="21"/>
  <c r="F258" i="21"/>
  <c r="D259" i="21"/>
  <c r="E259" i="21"/>
  <c r="I259" i="21"/>
  <c r="D18" i="22"/>
  <c r="E18" i="22"/>
  <c r="D25" i="22"/>
  <c r="E25" i="22"/>
  <c r="F28" i="22"/>
  <c r="I28" i="22"/>
  <c r="D29" i="22"/>
  <c r="E29" i="22"/>
  <c r="F31" i="22"/>
  <c r="F32" i="22" s="1"/>
  <c r="D32" i="22"/>
  <c r="E32" i="22"/>
  <c r="I32" i="22"/>
  <c r="F34" i="22"/>
  <c r="F35" i="22" s="1"/>
  <c r="D35" i="22"/>
  <c r="E35" i="22"/>
  <c r="I35" i="22"/>
  <c r="F37" i="22"/>
  <c r="F38" i="22" s="1"/>
  <c r="D38" i="22"/>
  <c r="E38" i="22"/>
  <c r="I38" i="22"/>
  <c r="F40" i="22"/>
  <c r="I40" i="22" s="1"/>
  <c r="F41" i="22"/>
  <c r="I41" i="22" s="1"/>
  <c r="F49" i="22"/>
  <c r="I49" i="22" s="1"/>
  <c r="F50" i="22"/>
  <c r="F51" i="22"/>
  <c r="I51" i="22" s="1"/>
  <c r="F52" i="22"/>
  <c r="I52" i="22" s="1"/>
  <c r="F53" i="22"/>
  <c r="I53" i="22" s="1"/>
  <c r="F54" i="22"/>
  <c r="I54" i="22" s="1"/>
  <c r="F55" i="22"/>
  <c r="I55" i="22" s="1"/>
  <c r="F56" i="22"/>
  <c r="I56" i="22" s="1"/>
  <c r="F57" i="22"/>
  <c r="I57" i="22" s="1"/>
  <c r="F58" i="22"/>
  <c r="I58" i="22" s="1"/>
  <c r="D59" i="22"/>
  <c r="E59" i="22"/>
  <c r="F61" i="22"/>
  <c r="F62" i="22"/>
  <c r="D63" i="22"/>
  <c r="E63" i="22"/>
  <c r="I63" i="22"/>
  <c r="D66" i="22"/>
  <c r="E66" i="22"/>
  <c r="F68" i="22"/>
  <c r="I68" i="22" s="1"/>
  <c r="F69" i="22"/>
  <c r="I69" i="22" s="1"/>
  <c r="D70" i="22"/>
  <c r="E70" i="22"/>
  <c r="D148" i="22"/>
  <c r="E148" i="22"/>
  <c r="D151" i="22"/>
  <c r="E151" i="22"/>
  <c r="D156" i="22"/>
  <c r="E156" i="22"/>
  <c r="I158" i="22"/>
  <c r="I159" i="22"/>
  <c r="D160" i="22"/>
  <c r="E160" i="22"/>
  <c r="F164" i="22"/>
  <c r="D164" i="22"/>
  <c r="E164" i="22"/>
  <c r="F172" i="22"/>
  <c r="I172" i="22" s="1"/>
  <c r="I173" i="22"/>
  <c r="D174" i="22"/>
  <c r="E174" i="22"/>
  <c r="F176" i="22"/>
  <c r="I176" i="22" s="1"/>
  <c r="F177" i="22"/>
  <c r="I177" i="22" s="1"/>
  <c r="F178" i="22"/>
  <c r="I178" i="22" s="1"/>
  <c r="F179" i="22"/>
  <c r="I179" i="22" s="1"/>
  <c r="F180" i="22"/>
  <c r="I180" i="22" s="1"/>
  <c r="F201" i="22"/>
  <c r="F202" i="22"/>
  <c r="F203" i="22"/>
  <c r="F204" i="22"/>
  <c r="D206" i="22"/>
  <c r="E206" i="22"/>
  <c r="F208" i="22"/>
  <c r="G208" i="22" s="1"/>
  <c r="F209" i="22"/>
  <c r="G209" i="22" s="1"/>
  <c r="I209" i="22" s="1"/>
  <c r="F210" i="22"/>
  <c r="G210" i="22" s="1"/>
  <c r="F211" i="22"/>
  <c r="G211" i="22" s="1"/>
  <c r="I211" i="22" s="1"/>
  <c r="D212" i="22"/>
  <c r="E212" i="22"/>
  <c r="F214" i="22"/>
  <c r="F215" i="22"/>
  <c r="D216" i="22"/>
  <c r="E216" i="22"/>
  <c r="F218" i="22"/>
  <c r="F219" i="22"/>
  <c r="G219" i="22" s="1"/>
  <c r="I219" i="22" s="1"/>
  <c r="F220" i="22"/>
  <c r="D221" i="22"/>
  <c r="E221" i="22"/>
  <c r="F223" i="22"/>
  <c r="F224" i="22"/>
  <c r="D225" i="22"/>
  <c r="E225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D240" i="22"/>
  <c r="E240" i="22"/>
  <c r="F242" i="22"/>
  <c r="F243" i="22"/>
  <c r="F244" i="22"/>
  <c r="F245" i="22"/>
  <c r="F246" i="22"/>
  <c r="F247" i="22"/>
  <c r="D248" i="22"/>
  <c r="E248" i="22"/>
  <c r="F250" i="22"/>
  <c r="G250" i="22" s="1"/>
  <c r="D251" i="22"/>
  <c r="E251" i="22"/>
  <c r="F255" i="22"/>
  <c r="D256" i="22"/>
  <c r="E256" i="22"/>
  <c r="F259" i="22"/>
  <c r="G259" i="22" s="1"/>
  <c r="D260" i="22"/>
  <c r="E260" i="22"/>
  <c r="D18" i="23"/>
  <c r="D25" i="23"/>
  <c r="E25" i="23"/>
  <c r="D29" i="23"/>
  <c r="E29" i="23"/>
  <c r="F29" i="23"/>
  <c r="F31" i="23"/>
  <c r="F32" i="23" s="1"/>
  <c r="D32" i="23"/>
  <c r="E32" i="23"/>
  <c r="J32" i="23"/>
  <c r="F34" i="23"/>
  <c r="F35" i="23" s="1"/>
  <c r="D35" i="23"/>
  <c r="E35" i="23"/>
  <c r="J35" i="23"/>
  <c r="F37" i="23"/>
  <c r="F38" i="23" s="1"/>
  <c r="D38" i="23"/>
  <c r="E38" i="23"/>
  <c r="J38" i="23"/>
  <c r="F40" i="23"/>
  <c r="J40" i="23" s="1"/>
  <c r="F41" i="23"/>
  <c r="J41" i="23" s="1"/>
  <c r="F42" i="23"/>
  <c r="J42" i="23" s="1"/>
  <c r="F43" i="23"/>
  <c r="J43" i="23" s="1"/>
  <c r="F44" i="23"/>
  <c r="J44" i="23" s="1"/>
  <c r="F45" i="23"/>
  <c r="J45" i="23" s="1"/>
  <c r="F46" i="23"/>
  <c r="J46" i="23" s="1"/>
  <c r="F47" i="23"/>
  <c r="J47" i="23" s="1"/>
  <c r="F49" i="23"/>
  <c r="J49" i="23" s="1"/>
  <c r="F50" i="23"/>
  <c r="J50" i="23" s="1"/>
  <c r="F51" i="23"/>
  <c r="J51" i="23" s="1"/>
  <c r="F52" i="23"/>
  <c r="J52" i="23" s="1"/>
  <c r="F53" i="23"/>
  <c r="J53" i="23" s="1"/>
  <c r="F54" i="23"/>
  <c r="J54" i="23" s="1"/>
  <c r="F55" i="23"/>
  <c r="J55" i="23" s="1"/>
  <c r="F56" i="23"/>
  <c r="J56" i="23" s="1"/>
  <c r="F57" i="23"/>
  <c r="J57" i="23" s="1"/>
  <c r="F58" i="23"/>
  <c r="J58" i="23" s="1"/>
  <c r="D59" i="23"/>
  <c r="E59" i="23"/>
  <c r="F61" i="23"/>
  <c r="F62" i="23"/>
  <c r="D63" i="23"/>
  <c r="E63" i="23"/>
  <c r="J63" i="23"/>
  <c r="F65" i="23"/>
  <c r="F66" i="23" s="1"/>
  <c r="D66" i="23"/>
  <c r="E66" i="23"/>
  <c r="J66" i="23"/>
  <c r="F68" i="23"/>
  <c r="J68" i="23" s="1"/>
  <c r="F69" i="23"/>
  <c r="J69" i="23" s="1"/>
  <c r="D70" i="23"/>
  <c r="E70" i="23"/>
  <c r="D148" i="23"/>
  <c r="E148" i="23"/>
  <c r="D151" i="23"/>
  <c r="E151" i="23"/>
  <c r="F154" i="23"/>
  <c r="D156" i="23"/>
  <c r="E156" i="23"/>
  <c r="J158" i="23"/>
  <c r="F159" i="23"/>
  <c r="D160" i="23"/>
  <c r="E160" i="23"/>
  <c r="F164" i="23"/>
  <c r="D164" i="23"/>
  <c r="E164" i="23"/>
  <c r="J164" i="23"/>
  <c r="F172" i="23"/>
  <c r="J172" i="23" s="1"/>
  <c r="J173" i="23"/>
  <c r="D174" i="23"/>
  <c r="E174" i="23"/>
  <c r="F176" i="23"/>
  <c r="J176" i="23" s="1"/>
  <c r="F177" i="23"/>
  <c r="J177" i="23" s="1"/>
  <c r="F178" i="23"/>
  <c r="J178" i="23" s="1"/>
  <c r="F179" i="23"/>
  <c r="J179" i="23" s="1"/>
  <c r="F180" i="23"/>
  <c r="J180" i="23" s="1"/>
  <c r="F201" i="23"/>
  <c r="J201" i="23" s="1"/>
  <c r="F202" i="23"/>
  <c r="J202" i="23" s="1"/>
  <c r="F203" i="23"/>
  <c r="J203" i="23" s="1"/>
  <c r="F204" i="23"/>
  <c r="J204" i="23" s="1"/>
  <c r="D206" i="23"/>
  <c r="E206" i="23"/>
  <c r="F208" i="23"/>
  <c r="F209" i="23"/>
  <c r="F210" i="23"/>
  <c r="I210" i="23" s="1"/>
  <c r="F211" i="23"/>
  <c r="D212" i="23"/>
  <c r="E212" i="23"/>
  <c r="F214" i="23"/>
  <c r="I214" i="23" s="1"/>
  <c r="F215" i="23"/>
  <c r="I215" i="23" s="1"/>
  <c r="D216" i="23"/>
  <c r="E216" i="23"/>
  <c r="J216" i="23"/>
  <c r="F218" i="23"/>
  <c r="I218" i="23" s="1"/>
  <c r="F219" i="23"/>
  <c r="I219" i="23" s="1"/>
  <c r="F220" i="23"/>
  <c r="I220" i="23" s="1"/>
  <c r="D221" i="23"/>
  <c r="E221" i="23"/>
  <c r="F223" i="23"/>
  <c r="I223" i="23" s="1"/>
  <c r="F224" i="23"/>
  <c r="I224" i="23" s="1"/>
  <c r="D225" i="23"/>
  <c r="E225" i="23"/>
  <c r="J225" i="23"/>
  <c r="F227" i="23"/>
  <c r="I227" i="23" s="1"/>
  <c r="F228" i="23"/>
  <c r="I228" i="23" s="1"/>
  <c r="F229" i="23"/>
  <c r="I229" i="23" s="1"/>
  <c r="F230" i="23"/>
  <c r="I230" i="23" s="1"/>
  <c r="F231" i="23"/>
  <c r="I231" i="23" s="1"/>
  <c r="F232" i="23"/>
  <c r="I232" i="23" s="1"/>
  <c r="F233" i="23"/>
  <c r="I233" i="23" s="1"/>
  <c r="F234" i="23"/>
  <c r="I234" i="23" s="1"/>
  <c r="F235" i="23"/>
  <c r="I235" i="23" s="1"/>
  <c r="F236" i="23"/>
  <c r="I236" i="23" s="1"/>
  <c r="F237" i="23"/>
  <c r="I237" i="23" s="1"/>
  <c r="F238" i="23"/>
  <c r="I238" i="23" s="1"/>
  <c r="F239" i="23"/>
  <c r="I239" i="23" s="1"/>
  <c r="D240" i="23"/>
  <c r="E240" i="23"/>
  <c r="J240" i="23"/>
  <c r="F242" i="23"/>
  <c r="I242" i="23" s="1"/>
  <c r="F243" i="23"/>
  <c r="I243" i="23" s="1"/>
  <c r="F244" i="23"/>
  <c r="I244" i="23" s="1"/>
  <c r="F245" i="23"/>
  <c r="I245" i="23" s="1"/>
  <c r="F246" i="23"/>
  <c r="I246" i="23" s="1"/>
  <c r="F247" i="23"/>
  <c r="D248" i="23"/>
  <c r="E248" i="23"/>
  <c r="J248" i="23"/>
  <c r="F250" i="23"/>
  <c r="D251" i="23"/>
  <c r="E251" i="23"/>
  <c r="J251" i="23"/>
  <c r="F255" i="23"/>
  <c r="I255" i="23" s="1"/>
  <c r="I256" i="23" s="1"/>
  <c r="D256" i="23"/>
  <c r="E256" i="23"/>
  <c r="J256" i="23"/>
  <c r="F259" i="23"/>
  <c r="D260" i="23"/>
  <c r="E260" i="23"/>
  <c r="D18" i="24"/>
  <c r="B17" i="42" s="1"/>
  <c r="B18" i="42" s="1"/>
  <c r="E18" i="24"/>
  <c r="D25" i="24"/>
  <c r="E25" i="24"/>
  <c r="C25" i="42" s="1"/>
  <c r="F25" i="24"/>
  <c r="D29" i="24"/>
  <c r="E29" i="24"/>
  <c r="C28" i="42" s="1"/>
  <c r="F29" i="24"/>
  <c r="D28" i="42" s="1"/>
  <c r="D29" i="42" s="1"/>
  <c r="F31" i="24"/>
  <c r="D32" i="24"/>
  <c r="B31" i="42" s="1"/>
  <c r="B32" i="42" s="1"/>
  <c r="E32" i="24"/>
  <c r="C31" i="42" s="1"/>
  <c r="C32" i="42" s="1"/>
  <c r="I32" i="24"/>
  <c r="G31" i="42" s="1"/>
  <c r="G32" i="42" s="1"/>
  <c r="F34" i="24"/>
  <c r="D35" i="24"/>
  <c r="B34" i="42" s="1"/>
  <c r="B35" i="42" s="1"/>
  <c r="E35" i="24"/>
  <c r="C34" i="42" s="1"/>
  <c r="C35" i="42" s="1"/>
  <c r="I35" i="24"/>
  <c r="G34" i="42" s="1"/>
  <c r="G35" i="42" s="1"/>
  <c r="F37" i="24"/>
  <c r="D38" i="24"/>
  <c r="B37" i="42" s="1"/>
  <c r="B38" i="42" s="1"/>
  <c r="E38" i="24"/>
  <c r="C37" i="42" s="1"/>
  <c r="C38" i="42" s="1"/>
  <c r="I38" i="24"/>
  <c r="G37" i="42" s="1"/>
  <c r="G38" i="42" s="1"/>
  <c r="F40" i="24"/>
  <c r="D40" i="42" s="1"/>
  <c r="F41" i="24"/>
  <c r="D41" i="42" s="1"/>
  <c r="F42" i="24"/>
  <c r="D42" i="42" s="1"/>
  <c r="F43" i="24"/>
  <c r="D43" i="42" s="1"/>
  <c r="F44" i="24"/>
  <c r="D44" i="42" s="1"/>
  <c r="F45" i="24"/>
  <c r="D45" i="42" s="1"/>
  <c r="F46" i="24"/>
  <c r="D46" i="42" s="1"/>
  <c r="F47" i="24"/>
  <c r="D47" i="42" s="1"/>
  <c r="F49" i="24"/>
  <c r="D49" i="42" s="1"/>
  <c r="F50" i="24"/>
  <c r="D50" i="42" s="1"/>
  <c r="F51" i="24"/>
  <c r="D51" i="42" s="1"/>
  <c r="F52" i="24"/>
  <c r="D52" i="42" s="1"/>
  <c r="F53" i="24"/>
  <c r="D53" i="42" s="1"/>
  <c r="F54" i="24"/>
  <c r="D54" i="42" s="1"/>
  <c r="F55" i="24"/>
  <c r="D55" i="42" s="1"/>
  <c r="F56" i="24"/>
  <c r="D56" i="42" s="1"/>
  <c r="F57" i="24"/>
  <c r="D57" i="42" s="1"/>
  <c r="F58" i="24"/>
  <c r="D59" i="24"/>
  <c r="E59" i="24"/>
  <c r="F61" i="24"/>
  <c r="F62" i="24"/>
  <c r="D63" i="24"/>
  <c r="B62" i="42" s="1"/>
  <c r="B63" i="42" s="1"/>
  <c r="E63" i="24"/>
  <c r="C62" i="42" s="1"/>
  <c r="C63" i="42" s="1"/>
  <c r="I63" i="24"/>
  <c r="F65" i="24"/>
  <c r="D66" i="24"/>
  <c r="B65" i="42" s="1"/>
  <c r="B66" i="42" s="1"/>
  <c r="E66" i="24"/>
  <c r="C65" i="42" s="1"/>
  <c r="C66" i="42" s="1"/>
  <c r="I66" i="24"/>
  <c r="G65" i="42" s="1"/>
  <c r="G66" i="42" s="1"/>
  <c r="F68" i="24"/>
  <c r="F69" i="24"/>
  <c r="I69" i="24" s="1"/>
  <c r="D70" i="24"/>
  <c r="B69" i="42" s="1"/>
  <c r="B70" i="42" s="1"/>
  <c r="E70" i="24"/>
  <c r="C69" i="42" s="1"/>
  <c r="C70" i="42" s="1"/>
  <c r="F147" i="24"/>
  <c r="G147" i="24" s="1"/>
  <c r="D148" i="24"/>
  <c r="E148" i="24"/>
  <c r="F150" i="24"/>
  <c r="D151" i="24"/>
  <c r="B150" i="42" s="1"/>
  <c r="B151" i="42" s="1"/>
  <c r="E151" i="24"/>
  <c r="C150" i="42" s="1"/>
  <c r="C151" i="42" s="1"/>
  <c r="F153" i="24"/>
  <c r="F154" i="24"/>
  <c r="F155" i="24"/>
  <c r="D156" i="24"/>
  <c r="B155" i="42" s="1"/>
  <c r="B156" i="42" s="1"/>
  <c r="E156" i="24"/>
  <c r="C155" i="42" s="1"/>
  <c r="F158" i="24"/>
  <c r="F159" i="24"/>
  <c r="I159" i="24" s="1"/>
  <c r="D160" i="24"/>
  <c r="B159" i="42" s="1"/>
  <c r="E160" i="24"/>
  <c r="C159" i="42" s="1"/>
  <c r="F163" i="24"/>
  <c r="D164" i="24"/>
  <c r="E164" i="24"/>
  <c r="F172" i="24"/>
  <c r="D174" i="24"/>
  <c r="E174" i="24"/>
  <c r="F176" i="24"/>
  <c r="G176" i="24" s="1"/>
  <c r="F177" i="24"/>
  <c r="G177" i="24" s="1"/>
  <c r="F178" i="24"/>
  <c r="G178" i="24" s="1"/>
  <c r="F179" i="24"/>
  <c r="G179" i="24" s="1"/>
  <c r="F180" i="24"/>
  <c r="G180" i="24" s="1"/>
  <c r="F201" i="24"/>
  <c r="G201" i="24" s="1"/>
  <c r="F202" i="24"/>
  <c r="G202" i="24" s="1"/>
  <c r="F203" i="24"/>
  <c r="G203" i="24" s="1"/>
  <c r="F204" i="24"/>
  <c r="G204" i="24" s="1"/>
  <c r="D206" i="24"/>
  <c r="E206" i="24"/>
  <c r="F208" i="24"/>
  <c r="G208" i="24" s="1"/>
  <c r="F209" i="24"/>
  <c r="G209" i="24" s="1"/>
  <c r="F210" i="24"/>
  <c r="G210" i="24" s="1"/>
  <c r="F211" i="24"/>
  <c r="G211" i="24" s="1"/>
  <c r="D212" i="24"/>
  <c r="E212" i="24"/>
  <c r="F214" i="24"/>
  <c r="F215" i="24"/>
  <c r="D216" i="24"/>
  <c r="E216" i="24"/>
  <c r="F218" i="24"/>
  <c r="F219" i="24"/>
  <c r="F220" i="24"/>
  <c r="G220" i="24" s="1"/>
  <c r="D221" i="24"/>
  <c r="E221" i="24"/>
  <c r="F223" i="24"/>
  <c r="F224" i="24"/>
  <c r="G224" i="24" s="1"/>
  <c r="D225" i="24"/>
  <c r="E225" i="24"/>
  <c r="F227" i="24"/>
  <c r="F228" i="24"/>
  <c r="G228" i="24" s="1"/>
  <c r="F229" i="24"/>
  <c r="G229" i="24" s="1"/>
  <c r="F230" i="24"/>
  <c r="G230" i="24" s="1"/>
  <c r="F231" i="24"/>
  <c r="G231" i="24" s="1"/>
  <c r="F232" i="24"/>
  <c r="G232" i="24" s="1"/>
  <c r="F233" i="24"/>
  <c r="G233" i="24" s="1"/>
  <c r="F234" i="24"/>
  <c r="G234" i="24" s="1"/>
  <c r="F235" i="24"/>
  <c r="G235" i="24" s="1"/>
  <c r="F236" i="24"/>
  <c r="G236" i="24" s="1"/>
  <c r="F237" i="24"/>
  <c r="G237" i="24" s="1"/>
  <c r="F238" i="24"/>
  <c r="G238" i="24" s="1"/>
  <c r="H238" i="24" s="1"/>
  <c r="F239" i="24"/>
  <c r="G239" i="24" s="1"/>
  <c r="H239" i="24" s="1"/>
  <c r="I239" i="24" s="1"/>
  <c r="D240" i="24"/>
  <c r="E240" i="24"/>
  <c r="F242" i="24"/>
  <c r="F243" i="24"/>
  <c r="F244" i="24"/>
  <c r="F245" i="24"/>
  <c r="F246" i="24"/>
  <c r="F250" i="24"/>
  <c r="D251" i="24"/>
  <c r="E251" i="24"/>
  <c r="D256" i="24"/>
  <c r="E256" i="24"/>
  <c r="I256" i="24"/>
  <c r="F259" i="24"/>
  <c r="D260" i="24"/>
  <c r="E260" i="24"/>
  <c r="I7" i="4"/>
  <c r="I8" i="4"/>
  <c r="I9" i="4"/>
  <c r="I10" i="4"/>
  <c r="I11" i="4"/>
  <c r="I12" i="4"/>
  <c r="I13" i="4"/>
  <c r="I14" i="4"/>
  <c r="I15" i="4"/>
  <c r="I16" i="4"/>
  <c r="I17" i="4"/>
  <c r="D18" i="4"/>
  <c r="I20" i="4"/>
  <c r="I22" i="4"/>
  <c r="I23" i="4"/>
  <c r="I24" i="4"/>
  <c r="D25" i="4"/>
  <c r="D32" i="4"/>
  <c r="D35" i="4"/>
  <c r="D38" i="4"/>
  <c r="D59" i="4"/>
  <c r="D63" i="4"/>
  <c r="D66" i="4"/>
  <c r="D70" i="4"/>
  <c r="D148" i="4"/>
  <c r="D151" i="4"/>
  <c r="D156" i="4"/>
  <c r="D160" i="4"/>
  <c r="D164" i="4"/>
  <c r="D174" i="4"/>
  <c r="D212" i="4"/>
  <c r="D216" i="4"/>
  <c r="D221" i="4"/>
  <c r="D225" i="4"/>
  <c r="D240" i="4"/>
  <c r="D248" i="4"/>
  <c r="D251" i="4"/>
  <c r="D256" i="4"/>
  <c r="D260" i="4"/>
  <c r="B25" i="1"/>
  <c r="B26" i="27"/>
  <c r="A27" i="27"/>
  <c r="D14" i="32"/>
  <c r="G14" i="32"/>
  <c r="D19" i="32"/>
  <c r="G19" i="32"/>
  <c r="B25" i="32"/>
  <c r="F25" i="32"/>
  <c r="D262" i="42" l="1"/>
  <c r="D263" i="42" s="1"/>
  <c r="G259" i="24"/>
  <c r="H235" i="24"/>
  <c r="H231" i="24"/>
  <c r="F240" i="24"/>
  <c r="G227" i="24"/>
  <c r="H224" i="24"/>
  <c r="D214" i="42"/>
  <c r="G214" i="24"/>
  <c r="H210" i="24"/>
  <c r="E210" i="42"/>
  <c r="H201" i="24"/>
  <c r="E201" i="42"/>
  <c r="H177" i="24"/>
  <c r="I177" i="24" s="1"/>
  <c r="E177" i="42"/>
  <c r="D172" i="42"/>
  <c r="G172" i="24"/>
  <c r="C257" i="42"/>
  <c r="C156" i="42"/>
  <c r="I225" i="23"/>
  <c r="G260" i="22"/>
  <c r="I259" i="22"/>
  <c r="I260" i="22" s="1"/>
  <c r="H244" i="22"/>
  <c r="G244" i="22"/>
  <c r="I244" i="22" s="1"/>
  <c r="H236" i="22"/>
  <c r="G236" i="22"/>
  <c r="I236" i="22" s="1"/>
  <c r="H232" i="22"/>
  <c r="G232" i="22"/>
  <c r="I232" i="22" s="1"/>
  <c r="H228" i="22"/>
  <c r="G228" i="22"/>
  <c r="I228" i="22" s="1"/>
  <c r="H224" i="22"/>
  <c r="G224" i="22"/>
  <c r="I224" i="22" s="1"/>
  <c r="H220" i="22"/>
  <c r="G220" i="22"/>
  <c r="I208" i="22"/>
  <c r="G12" i="6"/>
  <c r="D12" i="42"/>
  <c r="H24" i="9"/>
  <c r="E24" i="42"/>
  <c r="H20" i="9"/>
  <c r="E20" i="42"/>
  <c r="G16" i="9"/>
  <c r="H16" i="9" s="1"/>
  <c r="I16" i="9" s="1"/>
  <c r="D16" i="42"/>
  <c r="E16" i="42" s="1"/>
  <c r="F16" i="42" s="1"/>
  <c r="G16" i="42" s="1"/>
  <c r="D173" i="42"/>
  <c r="D174" i="42" s="1"/>
  <c r="H259" i="15"/>
  <c r="G260" i="15"/>
  <c r="G261" i="15" s="1"/>
  <c r="G262" i="15" s="1"/>
  <c r="H250" i="5"/>
  <c r="G251" i="5"/>
  <c r="G248" i="5"/>
  <c r="H242" i="5"/>
  <c r="I172" i="26"/>
  <c r="D242" i="42"/>
  <c r="G242" i="24"/>
  <c r="D245" i="42"/>
  <c r="G245" i="24"/>
  <c r="H234" i="24"/>
  <c r="D223" i="42"/>
  <c r="G223" i="24"/>
  <c r="H204" i="24"/>
  <c r="E204" i="42"/>
  <c r="H176" i="24"/>
  <c r="E176" i="42"/>
  <c r="B24" i="42"/>
  <c r="B25" i="42" s="1"/>
  <c r="I221" i="23"/>
  <c r="H247" i="22"/>
  <c r="G247" i="22"/>
  <c r="H243" i="22"/>
  <c r="G243" i="22"/>
  <c r="H239" i="22"/>
  <c r="G239" i="22"/>
  <c r="I239" i="22" s="1"/>
  <c r="H235" i="22"/>
  <c r="G235" i="22"/>
  <c r="I235" i="22" s="1"/>
  <c r="H231" i="22"/>
  <c r="G231" i="22"/>
  <c r="I231" i="22" s="1"/>
  <c r="H227" i="22"/>
  <c r="G227" i="22"/>
  <c r="I227" i="22" s="1"/>
  <c r="H223" i="22"/>
  <c r="G223" i="22"/>
  <c r="H215" i="22"/>
  <c r="G215" i="22"/>
  <c r="G11" i="6"/>
  <c r="D11" i="42"/>
  <c r="H7" i="6"/>
  <c r="E7" i="42"/>
  <c r="G15" i="9"/>
  <c r="H15" i="9" s="1"/>
  <c r="I15" i="9" s="1"/>
  <c r="D15" i="42"/>
  <c r="D224" i="42"/>
  <c r="D225" i="42" s="1"/>
  <c r="H7" i="12"/>
  <c r="G18" i="12"/>
  <c r="G161" i="12" s="1"/>
  <c r="G165" i="12" s="1"/>
  <c r="G256" i="5"/>
  <c r="H255" i="5"/>
  <c r="G246" i="24"/>
  <c r="I238" i="24"/>
  <c r="H230" i="24"/>
  <c r="H220" i="24"/>
  <c r="E220" i="42"/>
  <c r="H209" i="24"/>
  <c r="E209" i="42"/>
  <c r="H180" i="24"/>
  <c r="I180" i="24" s="1"/>
  <c r="E180" i="42"/>
  <c r="D244" i="42"/>
  <c r="G244" i="24"/>
  <c r="H237" i="24"/>
  <c r="H233" i="24"/>
  <c r="H229" i="24"/>
  <c r="D219" i="42"/>
  <c r="G219" i="24"/>
  <c r="H208" i="24"/>
  <c r="E208" i="42"/>
  <c r="H203" i="24"/>
  <c r="E203" i="42"/>
  <c r="H179" i="24"/>
  <c r="I179" i="24" s="1"/>
  <c r="E179" i="42"/>
  <c r="H147" i="24"/>
  <c r="E146" i="42"/>
  <c r="E148" i="42" s="1"/>
  <c r="G148" i="24"/>
  <c r="G161" i="24" s="1"/>
  <c r="G165" i="24" s="1"/>
  <c r="B28" i="42"/>
  <c r="B29" i="42" s="1"/>
  <c r="I216" i="23"/>
  <c r="G251" i="22"/>
  <c r="I250" i="22"/>
  <c r="I251" i="22" s="1"/>
  <c r="H246" i="22"/>
  <c r="G246" i="22"/>
  <c r="I246" i="22" s="1"/>
  <c r="H242" i="22"/>
  <c r="G242" i="22"/>
  <c r="I242" i="22" s="1"/>
  <c r="H238" i="22"/>
  <c r="F238" i="42" s="1"/>
  <c r="G238" i="22"/>
  <c r="I238" i="22" s="1"/>
  <c r="H234" i="22"/>
  <c r="G234" i="22"/>
  <c r="I234" i="22" s="1"/>
  <c r="H230" i="22"/>
  <c r="G230" i="22"/>
  <c r="E230" i="42" s="1"/>
  <c r="H218" i="22"/>
  <c r="G218" i="22"/>
  <c r="I218" i="22" s="1"/>
  <c r="H214" i="22"/>
  <c r="G214" i="22"/>
  <c r="I214" i="22" s="1"/>
  <c r="G212" i="22"/>
  <c r="I210" i="22"/>
  <c r="I212" i="22" s="1"/>
  <c r="I160" i="22"/>
  <c r="H10" i="6"/>
  <c r="E10" i="42"/>
  <c r="H22" i="9"/>
  <c r="E22" i="42"/>
  <c r="G14" i="9"/>
  <c r="D14" i="42"/>
  <c r="G28" i="42"/>
  <c r="I70" i="14"/>
  <c r="H259" i="13"/>
  <c r="G260" i="13"/>
  <c r="G261" i="13" s="1"/>
  <c r="G262" i="13" s="1"/>
  <c r="H259" i="5"/>
  <c r="G260" i="5"/>
  <c r="G252" i="5"/>
  <c r="G257" i="5" s="1"/>
  <c r="G261" i="5" s="1"/>
  <c r="G262" i="5" s="1"/>
  <c r="H244" i="5"/>
  <c r="I244" i="5" s="1"/>
  <c r="D250" i="42"/>
  <c r="D251" i="42" s="1"/>
  <c r="G250" i="24"/>
  <c r="H250" i="24" s="1"/>
  <c r="I250" i="24" s="1"/>
  <c r="I251" i="24" s="1"/>
  <c r="D243" i="42"/>
  <c r="G243" i="24"/>
  <c r="H236" i="24"/>
  <c r="E236" i="42"/>
  <c r="H232" i="24"/>
  <c r="E232" i="42"/>
  <c r="H228" i="24"/>
  <c r="E228" i="42"/>
  <c r="D218" i="42"/>
  <c r="G218" i="24"/>
  <c r="G215" i="24"/>
  <c r="D215" i="42"/>
  <c r="D216" i="42" s="1"/>
  <c r="H211" i="24"/>
  <c r="E211" i="42"/>
  <c r="H202" i="24"/>
  <c r="E202" i="42"/>
  <c r="H178" i="24"/>
  <c r="I178" i="24" s="1"/>
  <c r="E178" i="42"/>
  <c r="D59" i="42"/>
  <c r="I240" i="23"/>
  <c r="H255" i="22"/>
  <c r="H256" i="22" s="1"/>
  <c r="G255" i="22"/>
  <c r="H245" i="22"/>
  <c r="G245" i="22"/>
  <c r="I245" i="22" s="1"/>
  <c r="H237" i="22"/>
  <c r="G237" i="22"/>
  <c r="I237" i="22" s="1"/>
  <c r="H233" i="22"/>
  <c r="G233" i="22"/>
  <c r="I233" i="22" s="1"/>
  <c r="H229" i="22"/>
  <c r="G229" i="22"/>
  <c r="I229" i="22" s="1"/>
  <c r="I206" i="22"/>
  <c r="G13" i="6"/>
  <c r="H13" i="6" s="1"/>
  <c r="I13" i="6" s="1"/>
  <c r="D13" i="42"/>
  <c r="H9" i="6"/>
  <c r="E9" i="42"/>
  <c r="H21" i="9"/>
  <c r="E21" i="42"/>
  <c r="D158" i="42"/>
  <c r="D68" i="42"/>
  <c r="D61" i="42"/>
  <c r="H7" i="14"/>
  <c r="G18" i="14"/>
  <c r="G161" i="14" s="1"/>
  <c r="G165" i="14" s="1"/>
  <c r="D148" i="42"/>
  <c r="I208" i="8"/>
  <c r="I203" i="8"/>
  <c r="I159" i="8"/>
  <c r="I69" i="8"/>
  <c r="H250" i="8"/>
  <c r="G250" i="8"/>
  <c r="I202" i="8"/>
  <c r="F66" i="8"/>
  <c r="H255" i="8"/>
  <c r="H256" i="8" s="1"/>
  <c r="G255" i="8"/>
  <c r="G256" i="8" s="1"/>
  <c r="I210" i="8"/>
  <c r="I201" i="8"/>
  <c r="D156" i="42"/>
  <c r="H259" i="8"/>
  <c r="H260" i="8" s="1"/>
  <c r="G259" i="8"/>
  <c r="G260" i="8" s="1"/>
  <c r="I209" i="8"/>
  <c r="I140" i="10"/>
  <c r="G140" i="42" s="1"/>
  <c r="I136" i="10"/>
  <c r="I132" i="10"/>
  <c r="I128" i="10"/>
  <c r="I69" i="10"/>
  <c r="I147" i="10"/>
  <c r="I143" i="10"/>
  <c r="I139" i="10"/>
  <c r="I135" i="10"/>
  <c r="I131" i="10"/>
  <c r="G131" i="42" s="1"/>
  <c r="I127" i="10"/>
  <c r="F66" i="10"/>
  <c r="I58" i="10"/>
  <c r="I155" i="10"/>
  <c r="I156" i="10" s="1"/>
  <c r="I146" i="10"/>
  <c r="I142" i="10"/>
  <c r="G142" i="42" s="1"/>
  <c r="I138" i="10"/>
  <c r="I134" i="10"/>
  <c r="I130" i="10"/>
  <c r="I126" i="10"/>
  <c r="F38" i="10"/>
  <c r="F35" i="10"/>
  <c r="F32" i="10"/>
  <c r="F156" i="10"/>
  <c r="I145" i="10"/>
  <c r="G145" i="42" s="1"/>
  <c r="I141" i="10"/>
  <c r="G141" i="42" s="1"/>
  <c r="I137" i="10"/>
  <c r="I133" i="10"/>
  <c r="I129" i="10"/>
  <c r="I125" i="10"/>
  <c r="G221" i="6"/>
  <c r="H218" i="6"/>
  <c r="H255" i="6"/>
  <c r="G256" i="6"/>
  <c r="I212" i="6"/>
  <c r="I201" i="12"/>
  <c r="F206" i="12"/>
  <c r="I160" i="12"/>
  <c r="H259" i="18"/>
  <c r="G260" i="18"/>
  <c r="G261" i="18" s="1"/>
  <c r="G262" i="18" s="1"/>
  <c r="G251" i="6"/>
  <c r="H250" i="6"/>
  <c r="G260" i="6"/>
  <c r="H259" i="6"/>
  <c r="F148" i="10"/>
  <c r="I206" i="12"/>
  <c r="I135" i="12"/>
  <c r="I148" i="12" s="1"/>
  <c r="F148" i="12"/>
  <c r="H255" i="14"/>
  <c r="H256" i="14" s="1"/>
  <c r="G255" i="14"/>
  <c r="I72" i="14"/>
  <c r="F148" i="14"/>
  <c r="H242" i="6"/>
  <c r="G248" i="6"/>
  <c r="H214" i="6"/>
  <c r="G216" i="6"/>
  <c r="I172" i="10"/>
  <c r="I174" i="10" s="1"/>
  <c r="C29" i="42"/>
  <c r="C165" i="42" s="1"/>
  <c r="H227" i="6"/>
  <c r="G240" i="6"/>
  <c r="G225" i="6"/>
  <c r="H223" i="6"/>
  <c r="I40" i="10"/>
  <c r="F59" i="10"/>
  <c r="E252" i="12"/>
  <c r="E257" i="12" s="1"/>
  <c r="I176" i="14"/>
  <c r="I206" i="14" s="1"/>
  <c r="F206" i="14"/>
  <c r="H259" i="12"/>
  <c r="G260" i="12"/>
  <c r="H255" i="12"/>
  <c r="G256" i="12"/>
  <c r="H250" i="12"/>
  <c r="G251" i="12"/>
  <c r="H242" i="12"/>
  <c r="G248" i="12"/>
  <c r="H227" i="12"/>
  <c r="G240" i="12"/>
  <c r="H223" i="12"/>
  <c r="G225" i="12"/>
  <c r="H218" i="12"/>
  <c r="G221" i="12"/>
  <c r="H214" i="12"/>
  <c r="G216" i="12"/>
  <c r="H208" i="12"/>
  <c r="G212" i="12"/>
  <c r="G252" i="12" s="1"/>
  <c r="G257" i="12" s="1"/>
  <c r="G261" i="12" s="1"/>
  <c r="G262" i="12" s="1"/>
  <c r="I58" i="24"/>
  <c r="G57" i="42" s="1"/>
  <c r="I54" i="24"/>
  <c r="G53" i="42" s="1"/>
  <c r="I52" i="24"/>
  <c r="G51" i="42" s="1"/>
  <c r="I47" i="24"/>
  <c r="G46" i="42" s="1"/>
  <c r="I45" i="24"/>
  <c r="G44" i="42" s="1"/>
  <c r="I43" i="24"/>
  <c r="G42" i="42" s="1"/>
  <c r="I41" i="24"/>
  <c r="F164" i="24"/>
  <c r="I55" i="24"/>
  <c r="G54" i="42" s="1"/>
  <c r="I53" i="24"/>
  <c r="G52" i="42" s="1"/>
  <c r="I51" i="24"/>
  <c r="I49" i="24"/>
  <c r="G48" i="42" s="1"/>
  <c r="I46" i="24"/>
  <c r="G45" i="42" s="1"/>
  <c r="I44" i="24"/>
  <c r="G43" i="42" s="1"/>
  <c r="I42" i="24"/>
  <c r="G41" i="42" s="1"/>
  <c r="I40" i="24"/>
  <c r="F38" i="24"/>
  <c r="F35" i="24"/>
  <c r="D34" i="42" s="1"/>
  <c r="D35" i="42" s="1"/>
  <c r="F32" i="24"/>
  <c r="I201" i="21"/>
  <c r="I48" i="6"/>
  <c r="I138" i="9"/>
  <c r="I136" i="9"/>
  <c r="I134" i="9"/>
  <c r="I132" i="9"/>
  <c r="I129" i="9"/>
  <c r="I127" i="9"/>
  <c r="I125" i="9"/>
  <c r="I123" i="9"/>
  <c r="G123" i="42" s="1"/>
  <c r="I121" i="9"/>
  <c r="G121" i="42" s="1"/>
  <c r="I119" i="9"/>
  <c r="G119" i="42" s="1"/>
  <c r="I117" i="9"/>
  <c r="G117" i="42" s="1"/>
  <c r="I115" i="9"/>
  <c r="G115" i="42" s="1"/>
  <c r="I113" i="9"/>
  <c r="G113" i="42" s="1"/>
  <c r="I111" i="9"/>
  <c r="G111" i="42" s="1"/>
  <c r="I109" i="9"/>
  <c r="G109" i="42" s="1"/>
  <c r="I107" i="9"/>
  <c r="G107" i="42" s="1"/>
  <c r="I105" i="9"/>
  <c r="G105" i="42" s="1"/>
  <c r="I103" i="9"/>
  <c r="G103" i="42" s="1"/>
  <c r="I101" i="9"/>
  <c r="G101" i="42" s="1"/>
  <c r="I99" i="9"/>
  <c r="G99" i="42" s="1"/>
  <c r="I97" i="9"/>
  <c r="G97" i="42" s="1"/>
  <c r="I95" i="9"/>
  <c r="G95" i="42" s="1"/>
  <c r="I93" i="9"/>
  <c r="G93" i="42" s="1"/>
  <c r="I89" i="9"/>
  <c r="G89" i="42" s="1"/>
  <c r="I87" i="9"/>
  <c r="G87" i="42" s="1"/>
  <c r="I85" i="9"/>
  <c r="G85" i="42" s="1"/>
  <c r="I83" i="9"/>
  <c r="G83" i="42" s="1"/>
  <c r="I81" i="9"/>
  <c r="G81" i="42" s="1"/>
  <c r="I80" i="9"/>
  <c r="G80" i="42" s="1"/>
  <c r="I78" i="9"/>
  <c r="G78" i="42" s="1"/>
  <c r="F256" i="5"/>
  <c r="I68" i="24"/>
  <c r="F66" i="24"/>
  <c r="D65" i="42" s="1"/>
  <c r="D66" i="42" s="1"/>
  <c r="I56" i="24"/>
  <c r="G55" i="42" s="1"/>
  <c r="I50" i="24"/>
  <c r="G49" i="42" s="1"/>
  <c r="I202" i="21"/>
  <c r="G198" i="42" s="1"/>
  <c r="B160" i="42"/>
  <c r="I147" i="21"/>
  <c r="I143" i="9"/>
  <c r="I139" i="9"/>
  <c r="I137" i="9"/>
  <c r="I135" i="9"/>
  <c r="I133" i="9"/>
  <c r="I130" i="9"/>
  <c r="I128" i="9"/>
  <c r="I126" i="9"/>
  <c r="I124" i="9"/>
  <c r="G124" i="42" s="1"/>
  <c r="I122" i="9"/>
  <c r="G122" i="42" s="1"/>
  <c r="I120" i="9"/>
  <c r="G120" i="42" s="1"/>
  <c r="I118" i="9"/>
  <c r="G118" i="42" s="1"/>
  <c r="I116" i="9"/>
  <c r="G116" i="42" s="1"/>
  <c r="I114" i="9"/>
  <c r="G114" i="42" s="1"/>
  <c r="I112" i="9"/>
  <c r="G112" i="42" s="1"/>
  <c r="I110" i="9"/>
  <c r="G110" i="42" s="1"/>
  <c r="I108" i="9"/>
  <c r="G108" i="42" s="1"/>
  <c r="I106" i="9"/>
  <c r="G106" i="42" s="1"/>
  <c r="I104" i="9"/>
  <c r="G104" i="42" s="1"/>
  <c r="I102" i="9"/>
  <c r="G102" i="42" s="1"/>
  <c r="I100" i="9"/>
  <c r="G100" i="42" s="1"/>
  <c r="I98" i="9"/>
  <c r="G98" i="42" s="1"/>
  <c r="I96" i="9"/>
  <c r="G96" i="42" s="1"/>
  <c r="I94" i="9"/>
  <c r="G94" i="42" s="1"/>
  <c r="I92" i="9"/>
  <c r="G92" i="42" s="1"/>
  <c r="I88" i="9"/>
  <c r="G88" i="42" s="1"/>
  <c r="I86" i="9"/>
  <c r="G86" i="42" s="1"/>
  <c r="I84" i="9"/>
  <c r="G84" i="42" s="1"/>
  <c r="I82" i="9"/>
  <c r="G82" i="42" s="1"/>
  <c r="I79" i="9"/>
  <c r="G79" i="42" s="1"/>
  <c r="I204" i="8"/>
  <c r="I158" i="8"/>
  <c r="I68" i="8"/>
  <c r="F63" i="8"/>
  <c r="I247" i="23"/>
  <c r="I248" i="23" s="1"/>
  <c r="I156" i="23"/>
  <c r="I161" i="23" s="1"/>
  <c r="F148" i="21"/>
  <c r="D161" i="4"/>
  <c r="D165" i="4" s="1"/>
  <c r="H251" i="8"/>
  <c r="H252" i="8" s="1"/>
  <c r="H257" i="8" s="1"/>
  <c r="H261" i="8" s="1"/>
  <c r="H262" i="8" s="1"/>
  <c r="E161" i="21"/>
  <c r="E165" i="21" s="1"/>
  <c r="H10" i="1" s="1"/>
  <c r="D11" i="27" s="1"/>
  <c r="E161" i="15"/>
  <c r="F256" i="23"/>
  <c r="F221" i="5"/>
  <c r="F260" i="19"/>
  <c r="D252" i="14"/>
  <c r="D257" i="14" s="1"/>
  <c r="F260" i="14"/>
  <c r="F251" i="12"/>
  <c r="E201" i="2"/>
  <c r="E247" i="2" s="1"/>
  <c r="E252" i="2" s="1"/>
  <c r="E256" i="2" s="1"/>
  <c r="E260" i="2" s="1"/>
  <c r="F174" i="24"/>
  <c r="F256" i="24"/>
  <c r="F151" i="14"/>
  <c r="F256" i="6"/>
  <c r="I59" i="21"/>
  <c r="F59" i="21"/>
  <c r="E159" i="2"/>
  <c r="F260" i="12"/>
  <c r="I75" i="6"/>
  <c r="G75" i="42" s="1"/>
  <c r="I199" i="9"/>
  <c r="G199" i="42" s="1"/>
  <c r="I144" i="9"/>
  <c r="G144" i="42" s="1"/>
  <c r="F256" i="19"/>
  <c r="I182" i="9"/>
  <c r="G182" i="42" s="1"/>
  <c r="F151" i="12"/>
  <c r="F256" i="22"/>
  <c r="I172" i="21"/>
  <c r="I72" i="6"/>
  <c r="G72" i="42" s="1"/>
  <c r="F251" i="9"/>
  <c r="F260" i="5"/>
  <c r="F29" i="22"/>
  <c r="I77" i="6"/>
  <c r="G77" i="42" s="1"/>
  <c r="I73" i="6"/>
  <c r="I181" i="9"/>
  <c r="G181" i="42" s="1"/>
  <c r="F63" i="14"/>
  <c r="H216" i="16"/>
  <c r="F256" i="14"/>
  <c r="H184" i="9"/>
  <c r="F184" i="42" s="1"/>
  <c r="H216" i="22"/>
  <c r="B2" i="29"/>
  <c r="F206" i="5"/>
  <c r="H233" i="16"/>
  <c r="H227" i="16"/>
  <c r="H230" i="16"/>
  <c r="H248" i="14"/>
  <c r="H240" i="14"/>
  <c r="F251" i="14"/>
  <c r="H250" i="14"/>
  <c r="H251" i="14" s="1"/>
  <c r="I184" i="9"/>
  <c r="G184" i="42" s="1"/>
  <c r="F260" i="6"/>
  <c r="F251" i="6"/>
  <c r="H215" i="21"/>
  <c r="H240" i="22"/>
  <c r="F248" i="24"/>
  <c r="H225" i="9"/>
  <c r="H216" i="9"/>
  <c r="I198" i="9"/>
  <c r="H198" i="9"/>
  <c r="F198" i="42" s="1"/>
  <c r="I186" i="9"/>
  <c r="G186" i="42" s="1"/>
  <c r="H186" i="9"/>
  <c r="F186" i="42" s="1"/>
  <c r="I179" i="9"/>
  <c r="H179" i="9"/>
  <c r="F179" i="42" s="1"/>
  <c r="I197" i="9"/>
  <c r="H197" i="9"/>
  <c r="F197" i="42" s="1"/>
  <c r="I193" i="9"/>
  <c r="G193" i="42" s="1"/>
  <c r="H193" i="9"/>
  <c r="F193" i="42" s="1"/>
  <c r="I189" i="9"/>
  <c r="G189" i="42" s="1"/>
  <c r="H189" i="9"/>
  <c r="F189" i="42" s="1"/>
  <c r="I185" i="9"/>
  <c r="G185" i="42" s="1"/>
  <c r="H185" i="9"/>
  <c r="F185" i="42" s="1"/>
  <c r="I178" i="9"/>
  <c r="H178" i="9"/>
  <c r="F178" i="42" s="1"/>
  <c r="H221" i="9"/>
  <c r="I209" i="9"/>
  <c r="H209" i="9"/>
  <c r="I196" i="9"/>
  <c r="G196" i="42" s="1"/>
  <c r="H196" i="9"/>
  <c r="F196" i="42" s="1"/>
  <c r="I192" i="9"/>
  <c r="G192" i="42" s="1"/>
  <c r="H192" i="9"/>
  <c r="F192" i="42" s="1"/>
  <c r="I188" i="9"/>
  <c r="G188" i="42" s="1"/>
  <c r="H188" i="9"/>
  <c r="F188" i="42" s="1"/>
  <c r="I177" i="9"/>
  <c r="H177" i="9"/>
  <c r="F177" i="42" s="1"/>
  <c r="H240" i="9"/>
  <c r="I211" i="9"/>
  <c r="H211" i="9"/>
  <c r="I202" i="9"/>
  <c r="H202" i="9"/>
  <c r="I194" i="9"/>
  <c r="G194" i="42" s="1"/>
  <c r="H194" i="9"/>
  <c r="F194" i="42" s="1"/>
  <c r="I190" i="9"/>
  <c r="G190" i="42" s="1"/>
  <c r="H190" i="9"/>
  <c r="F190" i="42" s="1"/>
  <c r="I183" i="9"/>
  <c r="G183" i="42" s="1"/>
  <c r="H183" i="9"/>
  <c r="F183" i="42" s="1"/>
  <c r="H248" i="9"/>
  <c r="I201" i="9"/>
  <c r="H201" i="9"/>
  <c r="I208" i="9"/>
  <c r="H208" i="9"/>
  <c r="I203" i="9"/>
  <c r="H203" i="9"/>
  <c r="I195" i="9"/>
  <c r="G195" i="42" s="1"/>
  <c r="H195" i="9"/>
  <c r="F195" i="42" s="1"/>
  <c r="I191" i="9"/>
  <c r="G191" i="42" s="1"/>
  <c r="H191" i="9"/>
  <c r="F191" i="42" s="1"/>
  <c r="I187" i="9"/>
  <c r="G187" i="42" s="1"/>
  <c r="H187" i="9"/>
  <c r="F187" i="42" s="1"/>
  <c r="I180" i="9"/>
  <c r="H180" i="9"/>
  <c r="F180" i="42" s="1"/>
  <c r="I176" i="9"/>
  <c r="H176" i="9"/>
  <c r="F176" i="42" s="1"/>
  <c r="F225" i="5"/>
  <c r="F260" i="13"/>
  <c r="F260" i="15"/>
  <c r="F251" i="19"/>
  <c r="F216" i="19"/>
  <c r="F260" i="18"/>
  <c r="H250" i="16"/>
  <c r="H251" i="16" s="1"/>
  <c r="H221" i="16"/>
  <c r="F260" i="16"/>
  <c r="H259" i="16"/>
  <c r="H260" i="16" s="1"/>
  <c r="H248" i="16"/>
  <c r="H255" i="16"/>
  <c r="H256" i="16" s="1"/>
  <c r="H225" i="16"/>
  <c r="F256" i="12"/>
  <c r="F260" i="22"/>
  <c r="H259" i="22"/>
  <c r="H260" i="22" s="1"/>
  <c r="H209" i="22"/>
  <c r="I18" i="22"/>
  <c r="H208" i="22"/>
  <c r="F221" i="22"/>
  <c r="H219" i="22"/>
  <c r="H221" i="22" s="1"/>
  <c r="H211" i="22"/>
  <c r="H248" i="22"/>
  <c r="F251" i="22"/>
  <c r="H250" i="22"/>
  <c r="H251" i="22" s="1"/>
  <c r="H225" i="22"/>
  <c r="H210" i="22"/>
  <c r="I18" i="10"/>
  <c r="F18" i="10"/>
  <c r="F259" i="21"/>
  <c r="H258" i="21"/>
  <c r="H259" i="21" s="1"/>
  <c r="F255" i="21"/>
  <c r="H254" i="21"/>
  <c r="H255" i="21" s="1"/>
  <c r="J209" i="23"/>
  <c r="I209" i="23"/>
  <c r="J211" i="23"/>
  <c r="I211" i="23"/>
  <c r="J208" i="23"/>
  <c r="I208" i="23"/>
  <c r="F251" i="23"/>
  <c r="I250" i="23"/>
  <c r="J210" i="23"/>
  <c r="F260" i="23"/>
  <c r="I259" i="23"/>
  <c r="I260" i="23" s="1"/>
  <c r="H220" i="21"/>
  <c r="F250" i="21"/>
  <c r="D246" i="42" s="1"/>
  <c r="H239" i="21"/>
  <c r="H247" i="21"/>
  <c r="I207" i="21"/>
  <c r="H207" i="21"/>
  <c r="I210" i="21"/>
  <c r="H210" i="21"/>
  <c r="F224" i="21"/>
  <c r="D220" i="42" s="1"/>
  <c r="D221" i="42" s="1"/>
  <c r="H222" i="21"/>
  <c r="H224" i="21" s="1"/>
  <c r="I209" i="21"/>
  <c r="H209" i="21"/>
  <c r="F205" i="42" s="1"/>
  <c r="I206" i="26"/>
  <c r="F251" i="5"/>
  <c r="F174" i="5"/>
  <c r="F260" i="8"/>
  <c r="F256" i="8"/>
  <c r="F251" i="8"/>
  <c r="I206" i="8"/>
  <c r="F225" i="24"/>
  <c r="F260" i="24"/>
  <c r="H256" i="24"/>
  <c r="F160" i="26"/>
  <c r="I200" i="9"/>
  <c r="G200" i="42" s="1"/>
  <c r="E206" i="26"/>
  <c r="E252" i="26" s="1"/>
  <c r="E257" i="26" s="1"/>
  <c r="E261" i="26" s="1"/>
  <c r="F174" i="6"/>
  <c r="D248" i="8"/>
  <c r="D252" i="8" s="1"/>
  <c r="D257" i="8" s="1"/>
  <c r="D261" i="8" s="1"/>
  <c r="F151" i="9"/>
  <c r="F216" i="23"/>
  <c r="F148" i="23"/>
  <c r="F63" i="10"/>
  <c r="F63" i="23"/>
  <c r="I76" i="6"/>
  <c r="F63" i="6"/>
  <c r="E252" i="5"/>
  <c r="E257" i="5" s="1"/>
  <c r="E261" i="5" s="1"/>
  <c r="I70" i="26"/>
  <c r="F156" i="26"/>
  <c r="F70" i="26"/>
  <c r="I29" i="6"/>
  <c r="F59" i="26"/>
  <c r="F63" i="24"/>
  <c r="F225" i="22"/>
  <c r="F215" i="21"/>
  <c r="F216" i="6"/>
  <c r="I150" i="10"/>
  <c r="F151" i="10"/>
  <c r="I150" i="26"/>
  <c r="F151" i="26"/>
  <c r="F248" i="19"/>
  <c r="D252" i="26"/>
  <c r="D257" i="26" s="1"/>
  <c r="D261" i="26" s="1"/>
  <c r="F220" i="21"/>
  <c r="F221" i="6"/>
  <c r="F225" i="9"/>
  <c r="F240" i="8"/>
  <c r="F221" i="8"/>
  <c r="F151" i="8"/>
  <c r="F225" i="12"/>
  <c r="F221" i="12"/>
  <c r="F18" i="14"/>
  <c r="F225" i="19"/>
  <c r="F151" i="22"/>
  <c r="D161" i="9"/>
  <c r="D165" i="9" s="1"/>
  <c r="G12" i="1" s="1"/>
  <c r="F148" i="8"/>
  <c r="E161" i="16"/>
  <c r="E165" i="16" s="1"/>
  <c r="H18" i="1" s="1"/>
  <c r="D19" i="27" s="1"/>
  <c r="E252" i="19"/>
  <c r="E257" i="19" s="1"/>
  <c r="E261" i="19" s="1"/>
  <c r="E161" i="11"/>
  <c r="E165" i="11" s="1"/>
  <c r="H15" i="1" s="1"/>
  <c r="D16" i="27" s="1"/>
  <c r="F212" i="24"/>
  <c r="F148" i="22"/>
  <c r="F160" i="6"/>
  <c r="D252" i="4"/>
  <c r="F70" i="24"/>
  <c r="D69" i="42" s="1"/>
  <c r="D70" i="42" s="1"/>
  <c r="J25" i="23"/>
  <c r="F70" i="22"/>
  <c r="F156" i="21"/>
  <c r="F156" i="14"/>
  <c r="I159" i="14"/>
  <c r="F160" i="14"/>
  <c r="F221" i="24"/>
  <c r="F174" i="23"/>
  <c r="F216" i="22"/>
  <c r="F25" i="9"/>
  <c r="I29" i="12"/>
  <c r="E161" i="18"/>
  <c r="E165" i="18" s="1"/>
  <c r="H19" i="1" s="1"/>
  <c r="D20" i="27" s="1"/>
  <c r="F63" i="9"/>
  <c r="F225" i="8"/>
  <c r="E251" i="11"/>
  <c r="E256" i="11" s="1"/>
  <c r="E260" i="11" s="1"/>
  <c r="I16" i="27" s="1"/>
  <c r="F248" i="5"/>
  <c r="E161" i="12"/>
  <c r="E165" i="12" s="1"/>
  <c r="H16" i="1" s="1"/>
  <c r="D17" i="27" s="1"/>
  <c r="F221" i="14"/>
  <c r="F206" i="26"/>
  <c r="F32" i="26" s="1"/>
  <c r="F221" i="26"/>
  <c r="F216" i="26"/>
  <c r="F18" i="7"/>
  <c r="F25" i="26"/>
  <c r="D161" i="22"/>
  <c r="D165" i="22" s="1"/>
  <c r="G9" i="1" s="1"/>
  <c r="E161" i="9"/>
  <c r="E165" i="9" s="1"/>
  <c r="H12" i="1" s="1"/>
  <c r="D13" i="27" s="1"/>
  <c r="E36" i="29"/>
  <c r="E161" i="5"/>
  <c r="E165" i="5" s="1"/>
  <c r="H24" i="1" s="1"/>
  <c r="D25" i="27" s="1"/>
  <c r="D161" i="13"/>
  <c r="D165" i="13" s="1"/>
  <c r="G22" i="1" s="1"/>
  <c r="E165" i="15"/>
  <c r="H21" i="1" s="1"/>
  <c r="D22" i="27" s="1"/>
  <c r="E252" i="16"/>
  <c r="E257" i="16" s="1"/>
  <c r="E261" i="16" s="1"/>
  <c r="I19" i="27" s="1"/>
  <c r="D161" i="16"/>
  <c r="D165" i="16" s="1"/>
  <c r="G18" i="1" s="1"/>
  <c r="D261" i="14"/>
  <c r="F174" i="14"/>
  <c r="D252" i="12"/>
  <c r="D257" i="12" s="1"/>
  <c r="D261" i="12" s="1"/>
  <c r="F174" i="12"/>
  <c r="D251" i="11"/>
  <c r="D256" i="11" s="1"/>
  <c r="D260" i="11" s="1"/>
  <c r="E252" i="8"/>
  <c r="E257" i="8" s="1"/>
  <c r="E261" i="8" s="1"/>
  <c r="F174" i="10"/>
  <c r="E161" i="10"/>
  <c r="D252" i="22"/>
  <c r="D257" i="22" s="1"/>
  <c r="D261" i="22" s="1"/>
  <c r="F174" i="22"/>
  <c r="E252" i="23"/>
  <c r="E257" i="23" s="1"/>
  <c r="E261" i="23" s="1"/>
  <c r="I9" i="27" s="1"/>
  <c r="D161" i="23"/>
  <c r="D165" i="23" s="1"/>
  <c r="G8" i="1" s="1"/>
  <c r="I25" i="4"/>
  <c r="I262" i="4" s="1"/>
  <c r="J159" i="23"/>
  <c r="J160" i="23" s="1"/>
  <c r="F160" i="23"/>
  <c r="I208" i="21"/>
  <c r="F211" i="21"/>
  <c r="H14" i="32"/>
  <c r="D252" i="24"/>
  <c r="D257" i="24" s="1"/>
  <c r="D261" i="24" s="1"/>
  <c r="I57" i="24"/>
  <c r="G56" i="42" s="1"/>
  <c r="F221" i="23"/>
  <c r="D252" i="23"/>
  <c r="D257" i="23" s="1"/>
  <c r="D261" i="23" s="1"/>
  <c r="F240" i="22"/>
  <c r="F206" i="22"/>
  <c r="I50" i="22"/>
  <c r="I59" i="22" s="1"/>
  <c r="I171" i="21"/>
  <c r="I173" i="21" s="1"/>
  <c r="F173" i="21"/>
  <c r="I174" i="14"/>
  <c r="I252" i="14" s="1"/>
  <c r="F251" i="24"/>
  <c r="F240" i="23"/>
  <c r="F156" i="8"/>
  <c r="F59" i="8"/>
  <c r="F59" i="7"/>
  <c r="I7" i="27"/>
  <c r="H6" i="1"/>
  <c r="D7" i="27" s="1"/>
  <c r="E252" i="24"/>
  <c r="E257" i="24" s="1"/>
  <c r="E261" i="24" s="1"/>
  <c r="I8" i="27" s="1"/>
  <c r="I158" i="24"/>
  <c r="I160" i="24" s="1"/>
  <c r="F160" i="24"/>
  <c r="D159" i="42" s="1"/>
  <c r="F248" i="23"/>
  <c r="F151" i="23"/>
  <c r="E161" i="23"/>
  <c r="E165" i="23" s="1"/>
  <c r="H8" i="1" s="1"/>
  <c r="D9" i="27" s="1"/>
  <c r="E161" i="22"/>
  <c r="E165" i="22" s="1"/>
  <c r="H9" i="1" s="1"/>
  <c r="D10" i="27" s="1"/>
  <c r="F59" i="22"/>
  <c r="F247" i="21"/>
  <c r="I159" i="21"/>
  <c r="I160" i="21" s="1"/>
  <c r="I74" i="6"/>
  <c r="F148" i="6"/>
  <c r="F59" i="6"/>
  <c r="F206" i="9"/>
  <c r="I150" i="21"/>
  <c r="I151" i="21" s="1"/>
  <c r="F151" i="21"/>
  <c r="F216" i="24"/>
  <c r="D161" i="24"/>
  <c r="D165" i="24" s="1"/>
  <c r="E161" i="24"/>
  <c r="E165" i="24" s="1"/>
  <c r="H7" i="1" s="1"/>
  <c r="D8" i="27" s="1"/>
  <c r="F156" i="23"/>
  <c r="F59" i="23"/>
  <c r="J29" i="23"/>
  <c r="F63" i="22"/>
  <c r="I29" i="22"/>
  <c r="F239" i="21"/>
  <c r="E251" i="21"/>
  <c r="E256" i="21" s="1"/>
  <c r="E260" i="21" s="1"/>
  <c r="F248" i="6"/>
  <c r="F240" i="6"/>
  <c r="I74" i="9"/>
  <c r="F148" i="9"/>
  <c r="D252" i="10"/>
  <c r="D257" i="10" s="1"/>
  <c r="D261" i="10" s="1"/>
  <c r="I177" i="10"/>
  <c r="F206" i="10"/>
  <c r="I208" i="16"/>
  <c r="F225" i="23"/>
  <c r="F18" i="23"/>
  <c r="F248" i="22"/>
  <c r="E252" i="22"/>
  <c r="E257" i="22" s="1"/>
  <c r="E261" i="22" s="1"/>
  <c r="I10" i="27" s="1"/>
  <c r="F29" i="21"/>
  <c r="F225" i="6"/>
  <c r="F212" i="6"/>
  <c r="I29" i="9"/>
  <c r="F70" i="10"/>
  <c r="I68" i="10"/>
  <c r="G68" i="42" s="1"/>
  <c r="F248" i="8"/>
  <c r="F212" i="8"/>
  <c r="D161" i="8"/>
  <c r="D165" i="8" s="1"/>
  <c r="G14" i="1" s="1"/>
  <c r="D252" i="6"/>
  <c r="D257" i="6" s="1"/>
  <c r="D261" i="6" s="1"/>
  <c r="I40" i="9"/>
  <c r="F59" i="9"/>
  <c r="D161" i="10"/>
  <c r="I29" i="10"/>
  <c r="E161" i="14"/>
  <c r="E165" i="14" s="1"/>
  <c r="H17" i="1" s="1"/>
  <c r="D18" i="27" s="1"/>
  <c r="D161" i="14"/>
  <c r="D165" i="14" s="1"/>
  <c r="G17" i="1" s="1"/>
  <c r="I73" i="14"/>
  <c r="I40" i="14"/>
  <c r="I59" i="14" s="1"/>
  <c r="F59" i="14"/>
  <c r="F221" i="9"/>
  <c r="F216" i="9"/>
  <c r="F174" i="8"/>
  <c r="I172" i="8"/>
  <c r="G173" i="42" s="1"/>
  <c r="F70" i="12"/>
  <c r="F212" i="14"/>
  <c r="D161" i="18"/>
  <c r="D165" i="18" s="1"/>
  <c r="G19" i="1" s="1"/>
  <c r="F29" i="10"/>
  <c r="F18" i="12"/>
  <c r="F248" i="14"/>
  <c r="D36" i="29"/>
  <c r="E252" i="18"/>
  <c r="E257" i="18" s="1"/>
  <c r="E261" i="18" s="1"/>
  <c r="F240" i="5"/>
  <c r="I29" i="8"/>
  <c r="D161" i="11"/>
  <c r="D165" i="11" s="1"/>
  <c r="G15" i="1" s="1"/>
  <c r="F248" i="12"/>
  <c r="F212" i="12"/>
  <c r="E252" i="14"/>
  <c r="E257" i="14" s="1"/>
  <c r="E261" i="14" s="1"/>
  <c r="I176" i="16"/>
  <c r="I206" i="16" s="1"/>
  <c r="F240" i="19"/>
  <c r="D252" i="9"/>
  <c r="D257" i="9" s="1"/>
  <c r="D261" i="9" s="1"/>
  <c r="E161" i="8"/>
  <c r="E165" i="8" s="1"/>
  <c r="H14" i="1" s="1"/>
  <c r="D15" i="27" s="1"/>
  <c r="F160" i="12"/>
  <c r="F216" i="14"/>
  <c r="I29" i="14"/>
  <c r="D252" i="16"/>
  <c r="D257" i="16" s="1"/>
  <c r="D261" i="16" s="1"/>
  <c r="D252" i="18"/>
  <c r="D257" i="18" s="1"/>
  <c r="D261" i="18" s="1"/>
  <c r="F212" i="19"/>
  <c r="E148" i="19"/>
  <c r="E161" i="19" s="1"/>
  <c r="E165" i="19" s="1"/>
  <c r="H20" i="1" s="1"/>
  <c r="D21" i="27" s="1"/>
  <c r="F240" i="12"/>
  <c r="F216" i="12"/>
  <c r="F63" i="12"/>
  <c r="F240" i="14"/>
  <c r="D161" i="19"/>
  <c r="D165" i="19" s="1"/>
  <c r="G20" i="1" s="1"/>
  <c r="E252" i="15"/>
  <c r="E257" i="15" s="1"/>
  <c r="E261" i="15" s="1"/>
  <c r="D161" i="15"/>
  <c r="D165" i="15" s="1"/>
  <c r="G21" i="1" s="1"/>
  <c r="D252" i="7"/>
  <c r="D257" i="7" s="1"/>
  <c r="D261" i="7" s="1"/>
  <c r="I174" i="26"/>
  <c r="F29" i="7"/>
  <c r="E252" i="13"/>
  <c r="E257" i="13" s="1"/>
  <c r="E261" i="13" s="1"/>
  <c r="E161" i="13"/>
  <c r="E165" i="13" s="1"/>
  <c r="H22" i="1" s="1"/>
  <c r="D23" i="27" s="1"/>
  <c r="E252" i="7"/>
  <c r="E257" i="7" s="1"/>
  <c r="E261" i="7" s="1"/>
  <c r="I24" i="27" s="1"/>
  <c r="I160" i="7"/>
  <c r="E161" i="7"/>
  <c r="E165" i="7" s="1"/>
  <c r="H23" i="1" s="1"/>
  <c r="D24" i="27" s="1"/>
  <c r="D206" i="15"/>
  <c r="D252" i="15" s="1"/>
  <c r="D257" i="15" s="1"/>
  <c r="D261" i="15" s="1"/>
  <c r="D161" i="7"/>
  <c r="D165" i="7" s="1"/>
  <c r="G23" i="1" s="1"/>
  <c r="F212" i="5"/>
  <c r="D252" i="5"/>
  <c r="D257" i="5" s="1"/>
  <c r="D261" i="5" s="1"/>
  <c r="E161" i="26"/>
  <c r="E165" i="26" s="1"/>
  <c r="H25" i="1" s="1"/>
  <c r="D26" i="27" s="1"/>
  <c r="I160" i="26"/>
  <c r="D161" i="26"/>
  <c r="D165" i="26" s="1"/>
  <c r="G25" i="1" s="1"/>
  <c r="F29" i="26"/>
  <c r="F216" i="5"/>
  <c r="F160" i="5"/>
  <c r="F225" i="26"/>
  <c r="I29" i="26"/>
  <c r="F25" i="7"/>
  <c r="J174" i="23"/>
  <c r="I18" i="4"/>
  <c r="G29" i="42"/>
  <c r="I25" i="22"/>
  <c r="D161" i="6"/>
  <c r="D165" i="6" s="1"/>
  <c r="G11" i="1" s="1"/>
  <c r="I174" i="12"/>
  <c r="D161" i="12"/>
  <c r="D165" i="12" s="1"/>
  <c r="G16" i="1" s="1"/>
  <c r="I174" i="16"/>
  <c r="J206" i="23"/>
  <c r="I70" i="22"/>
  <c r="I160" i="6"/>
  <c r="J70" i="23"/>
  <c r="I174" i="6"/>
  <c r="I59" i="6"/>
  <c r="I158" i="9"/>
  <c r="F160" i="9"/>
  <c r="I69" i="9"/>
  <c r="F70" i="9"/>
  <c r="I160" i="10"/>
  <c r="I160" i="8"/>
  <c r="I70" i="8"/>
  <c r="I70" i="12"/>
  <c r="D161" i="21"/>
  <c r="D165" i="21" s="1"/>
  <c r="G10" i="1" s="1"/>
  <c r="F240" i="9"/>
  <c r="E252" i="9"/>
  <c r="E257" i="9" s="1"/>
  <c r="E261" i="9" s="1"/>
  <c r="F18" i="9"/>
  <c r="I69" i="6"/>
  <c r="F70" i="6"/>
  <c r="I210" i="9"/>
  <c r="F212" i="9"/>
  <c r="I153" i="9"/>
  <c r="G153" i="42" s="1"/>
  <c r="F156" i="9"/>
  <c r="I212" i="8"/>
  <c r="H19" i="32"/>
  <c r="F206" i="24"/>
  <c r="F156" i="24"/>
  <c r="F151" i="24"/>
  <c r="D150" i="42" s="1"/>
  <c r="D151" i="42" s="1"/>
  <c r="F148" i="24"/>
  <c r="F59" i="24"/>
  <c r="F212" i="23"/>
  <c r="F206" i="23"/>
  <c r="J156" i="23"/>
  <c r="J151" i="23"/>
  <c r="F70" i="23"/>
  <c r="J59" i="23"/>
  <c r="F212" i="22"/>
  <c r="F160" i="22"/>
  <c r="F156" i="22"/>
  <c r="I151" i="22"/>
  <c r="F205" i="21"/>
  <c r="D251" i="21"/>
  <c r="E252" i="6"/>
  <c r="E257" i="6" s="1"/>
  <c r="E261" i="6" s="1"/>
  <c r="F206" i="6"/>
  <c r="F156" i="6"/>
  <c r="E161" i="6"/>
  <c r="E165" i="6" s="1"/>
  <c r="H11" i="1" s="1"/>
  <c r="D12" i="27" s="1"/>
  <c r="F18" i="6"/>
  <c r="F248" i="9"/>
  <c r="E252" i="10"/>
  <c r="E257" i="10" s="1"/>
  <c r="E261" i="10" s="1"/>
  <c r="E261" i="12"/>
  <c r="F221" i="19"/>
  <c r="D252" i="19"/>
  <c r="D257" i="19" s="1"/>
  <c r="D261" i="19" s="1"/>
  <c r="F206" i="19"/>
  <c r="F160" i="10"/>
  <c r="F206" i="8"/>
  <c r="F160" i="8"/>
  <c r="I151" i="8"/>
  <c r="F70" i="8"/>
  <c r="F70" i="14"/>
  <c r="I174" i="7"/>
  <c r="I212" i="26"/>
  <c r="I148" i="26"/>
  <c r="D252" i="13"/>
  <c r="D257" i="13" s="1"/>
  <c r="D261" i="13" s="1"/>
  <c r="I25" i="26"/>
  <c r="F70" i="7"/>
  <c r="F212" i="26"/>
  <c r="F148" i="26"/>
  <c r="I174" i="22"/>
  <c r="I25" i="6"/>
  <c r="I32" i="9"/>
  <c r="I156" i="21"/>
  <c r="I206" i="6"/>
  <c r="I156" i="6"/>
  <c r="I151" i="9"/>
  <c r="I212" i="23" l="1"/>
  <c r="G205" i="42"/>
  <c r="B161" i="42"/>
  <c r="G133" i="42"/>
  <c r="G126" i="42"/>
  <c r="G139" i="42"/>
  <c r="G128" i="42"/>
  <c r="I259" i="5"/>
  <c r="I260" i="5" s="1"/>
  <c r="H260" i="5"/>
  <c r="I22" i="9"/>
  <c r="G22" i="42" s="1"/>
  <c r="F22" i="42"/>
  <c r="I147" i="24"/>
  <c r="I148" i="24" s="1"/>
  <c r="F146" i="42"/>
  <c r="F148" i="42" s="1"/>
  <c r="H148" i="24"/>
  <c r="H161" i="24" s="1"/>
  <c r="H165" i="24" s="1"/>
  <c r="J7" i="1" s="1"/>
  <c r="I203" i="24"/>
  <c r="F203" i="42"/>
  <c r="I233" i="24"/>
  <c r="G233" i="42" s="1"/>
  <c r="F233" i="42"/>
  <c r="H246" i="24"/>
  <c r="E246" i="42"/>
  <c r="E206" i="42"/>
  <c r="H223" i="24"/>
  <c r="E223" i="42"/>
  <c r="H245" i="24"/>
  <c r="E245" i="42"/>
  <c r="D248" i="42"/>
  <c r="I242" i="5"/>
  <c r="I248" i="5" s="1"/>
  <c r="H248" i="5"/>
  <c r="H252" i="5" s="1"/>
  <c r="H257" i="5" s="1"/>
  <c r="H261" i="5" s="1"/>
  <c r="H262" i="5" s="1"/>
  <c r="I24" i="9"/>
  <c r="G24" i="42" s="1"/>
  <c r="F24" i="42"/>
  <c r="I201" i="24"/>
  <c r="F201" i="42"/>
  <c r="I235" i="24"/>
  <c r="G235" i="42" s="1"/>
  <c r="F235" i="42"/>
  <c r="J212" i="23"/>
  <c r="I161" i="22"/>
  <c r="I165" i="22" s="1"/>
  <c r="G73" i="42"/>
  <c r="I148" i="14"/>
  <c r="G137" i="42"/>
  <c r="G130" i="42"/>
  <c r="G146" i="42"/>
  <c r="G127" i="42"/>
  <c r="G143" i="42"/>
  <c r="G132" i="42"/>
  <c r="I7" i="14"/>
  <c r="I18" i="14" s="1"/>
  <c r="H18" i="14"/>
  <c r="H161" i="14" s="1"/>
  <c r="H165" i="14" s="1"/>
  <c r="J17" i="1" s="1"/>
  <c r="I9" i="6"/>
  <c r="G9" i="42" s="1"/>
  <c r="F9" i="42"/>
  <c r="G256" i="22"/>
  <c r="I255" i="22"/>
  <c r="I256" i="22" s="1"/>
  <c r="I202" i="24"/>
  <c r="G202" i="42" s="1"/>
  <c r="F202" i="42"/>
  <c r="H215" i="24"/>
  <c r="E215" i="42"/>
  <c r="I228" i="24"/>
  <c r="G228" i="42" s="1"/>
  <c r="F228" i="42"/>
  <c r="I236" i="24"/>
  <c r="G236" i="42" s="1"/>
  <c r="F236" i="42"/>
  <c r="E212" i="42"/>
  <c r="E229" i="42"/>
  <c r="E237" i="42"/>
  <c r="I209" i="24"/>
  <c r="F209" i="42"/>
  <c r="I230" i="24"/>
  <c r="F230" i="42"/>
  <c r="I7" i="6"/>
  <c r="F7" i="42"/>
  <c r="G216" i="22"/>
  <c r="G252" i="22" s="1"/>
  <c r="G257" i="22" s="1"/>
  <c r="G261" i="22" s="1"/>
  <c r="G262" i="22" s="1"/>
  <c r="I215" i="22"/>
  <c r="I216" i="22" s="1"/>
  <c r="G248" i="22"/>
  <c r="I243" i="22"/>
  <c r="I176" i="24"/>
  <c r="H206" i="24"/>
  <c r="H260" i="15"/>
  <c r="H261" i="15" s="1"/>
  <c r="H262" i="15" s="1"/>
  <c r="I259" i="15"/>
  <c r="I260" i="15" s="1"/>
  <c r="I261" i="15" s="1"/>
  <c r="I262" i="15" s="1"/>
  <c r="E25" i="42"/>
  <c r="G221" i="22"/>
  <c r="I220" i="22"/>
  <c r="I221" i="22" s="1"/>
  <c r="C161" i="42"/>
  <c r="E224" i="42"/>
  <c r="E231" i="42"/>
  <c r="H259" i="24"/>
  <c r="G260" i="24"/>
  <c r="E262" i="42"/>
  <c r="E263" i="42" s="1"/>
  <c r="G74" i="42"/>
  <c r="G150" i="42"/>
  <c r="I205" i="21"/>
  <c r="G40" i="42"/>
  <c r="G125" i="42"/>
  <c r="G134" i="42"/>
  <c r="G136" i="42"/>
  <c r="G203" i="42"/>
  <c r="G209" i="42"/>
  <c r="H218" i="24"/>
  <c r="E218" i="42"/>
  <c r="H243" i="24"/>
  <c r="E243" i="42"/>
  <c r="H260" i="13"/>
  <c r="H261" i="13" s="1"/>
  <c r="H262" i="13" s="1"/>
  <c r="I259" i="13"/>
  <c r="I260" i="13" s="1"/>
  <c r="I261" i="13" s="1"/>
  <c r="I262" i="13" s="1"/>
  <c r="H14" i="9"/>
  <c r="E14" i="42"/>
  <c r="I10" i="6"/>
  <c r="G10" i="42" s="1"/>
  <c r="F10" i="42"/>
  <c r="I208" i="24"/>
  <c r="F208" i="42"/>
  <c r="I229" i="24"/>
  <c r="G229" i="42" s="1"/>
  <c r="F229" i="42"/>
  <c r="I237" i="24"/>
  <c r="G237" i="42" s="1"/>
  <c r="F237" i="42"/>
  <c r="I7" i="12"/>
  <c r="I18" i="12" s="1"/>
  <c r="H18" i="12"/>
  <c r="H161" i="12" s="1"/>
  <c r="H165" i="12" s="1"/>
  <c r="J16" i="1" s="1"/>
  <c r="D18" i="42"/>
  <c r="D161" i="42" s="1"/>
  <c r="D165" i="42" s="1"/>
  <c r="E234" i="42"/>
  <c r="F252" i="26"/>
  <c r="F257" i="26" s="1"/>
  <c r="F261" i="26" s="1"/>
  <c r="G197" i="42"/>
  <c r="I20" i="9"/>
  <c r="F20" i="42"/>
  <c r="H12" i="6"/>
  <c r="E12" i="42"/>
  <c r="D257" i="42"/>
  <c r="D259" i="42" s="1"/>
  <c r="C259" i="42"/>
  <c r="C260" i="42" s="1"/>
  <c r="C264" i="42" s="1"/>
  <c r="I210" i="24"/>
  <c r="G210" i="42" s="1"/>
  <c r="F210" i="42"/>
  <c r="I224" i="24"/>
  <c r="G224" i="42" s="1"/>
  <c r="F224" i="42"/>
  <c r="I231" i="24"/>
  <c r="G231" i="42" s="1"/>
  <c r="F231" i="42"/>
  <c r="G158" i="42"/>
  <c r="G50" i="42"/>
  <c r="G252" i="6"/>
  <c r="G257" i="6" s="1"/>
  <c r="G261" i="6" s="1"/>
  <c r="G262" i="6" s="1"/>
  <c r="G129" i="42"/>
  <c r="G138" i="42"/>
  <c r="G135" i="42"/>
  <c r="I21" i="9"/>
  <c r="G21" i="42" s="1"/>
  <c r="F21" i="42"/>
  <c r="I211" i="24"/>
  <c r="G211" i="42" s="1"/>
  <c r="F211" i="42"/>
  <c r="I232" i="24"/>
  <c r="G232" i="42" s="1"/>
  <c r="F232" i="42"/>
  <c r="G240" i="22"/>
  <c r="I230" i="22"/>
  <c r="I240" i="22" s="1"/>
  <c r="H219" i="24"/>
  <c r="E219" i="42"/>
  <c r="E233" i="42"/>
  <c r="H244" i="24"/>
  <c r="E244" i="42"/>
  <c r="I220" i="24"/>
  <c r="G220" i="42" s="1"/>
  <c r="F220" i="42"/>
  <c r="G238" i="42"/>
  <c r="H256" i="5"/>
  <c r="I255" i="5"/>
  <c r="I256" i="5" s="1"/>
  <c r="H11" i="6"/>
  <c r="E11" i="42"/>
  <c r="E18" i="42" s="1"/>
  <c r="I223" i="22"/>
  <c r="I225" i="22" s="1"/>
  <c r="G225" i="22"/>
  <c r="I247" i="22"/>
  <c r="E247" i="42"/>
  <c r="I204" i="24"/>
  <c r="G204" i="42" s="1"/>
  <c r="F204" i="42"/>
  <c r="I234" i="24"/>
  <c r="G234" i="42" s="1"/>
  <c r="F234" i="42"/>
  <c r="G248" i="24"/>
  <c r="H242" i="24"/>
  <c r="E242" i="42"/>
  <c r="I252" i="26"/>
  <c r="I257" i="26" s="1"/>
  <c r="I261" i="26" s="1"/>
  <c r="I250" i="5"/>
  <c r="I251" i="5" s="1"/>
  <c r="H251" i="5"/>
  <c r="H172" i="24"/>
  <c r="E172" i="42"/>
  <c r="E174" i="42" s="1"/>
  <c r="H214" i="24"/>
  <c r="E214" i="42"/>
  <c r="E216" i="42" s="1"/>
  <c r="H227" i="24"/>
  <c r="G240" i="24"/>
  <c r="E227" i="42"/>
  <c r="E240" i="42" s="1"/>
  <c r="E235" i="42"/>
  <c r="I59" i="24"/>
  <c r="G251" i="8"/>
  <c r="G252" i="8" s="1"/>
  <c r="G257" i="8" s="1"/>
  <c r="G261" i="8" s="1"/>
  <c r="G262" i="8" s="1"/>
  <c r="I161" i="8"/>
  <c r="I165" i="8" s="1"/>
  <c r="D212" i="42"/>
  <c r="D252" i="42" s="1"/>
  <c r="D206" i="42"/>
  <c r="G159" i="42"/>
  <c r="G156" i="42"/>
  <c r="C265" i="42"/>
  <c r="I165" i="23"/>
  <c r="F252" i="10"/>
  <c r="F257" i="10" s="1"/>
  <c r="F261" i="10" s="1"/>
  <c r="D165" i="10"/>
  <c r="G13" i="1" s="1"/>
  <c r="B164" i="42"/>
  <c r="E165" i="10"/>
  <c r="H13" i="1" s="1"/>
  <c r="D14" i="27" s="1"/>
  <c r="D27" i="27" s="1"/>
  <c r="C164" i="42"/>
  <c r="I59" i="10"/>
  <c r="I148" i="10"/>
  <c r="G177" i="42"/>
  <c r="F206" i="42"/>
  <c r="F161" i="14"/>
  <c r="F165" i="14" s="1"/>
  <c r="I17" i="1" s="1"/>
  <c r="E18" i="27" s="1"/>
  <c r="G179" i="42"/>
  <c r="I70" i="24"/>
  <c r="I161" i="24" s="1"/>
  <c r="I165" i="24" s="1"/>
  <c r="G176" i="42"/>
  <c r="I255" i="14"/>
  <c r="I256" i="14" s="1"/>
  <c r="I257" i="14" s="1"/>
  <c r="I261" i="14" s="1"/>
  <c r="G256" i="14"/>
  <c r="G257" i="14" s="1"/>
  <c r="G261" i="14" s="1"/>
  <c r="G262" i="14" s="1"/>
  <c r="I255" i="6"/>
  <c r="I256" i="6" s="1"/>
  <c r="H256" i="6"/>
  <c r="F252" i="9"/>
  <c r="F257" i="9" s="1"/>
  <c r="F261" i="9" s="1"/>
  <c r="G178" i="42"/>
  <c r="I227" i="6"/>
  <c r="I240" i="6" s="1"/>
  <c r="H240" i="6"/>
  <c r="H248" i="6"/>
  <c r="I242" i="6"/>
  <c r="I248" i="6" s="1"/>
  <c r="I259" i="18"/>
  <c r="I260" i="18" s="1"/>
  <c r="I261" i="18" s="1"/>
  <c r="I262" i="18" s="1"/>
  <c r="H260" i="18"/>
  <c r="H261" i="18" s="1"/>
  <c r="H262" i="18" s="1"/>
  <c r="I218" i="6"/>
  <c r="I221" i="6" s="1"/>
  <c r="H221" i="6"/>
  <c r="H216" i="6"/>
  <c r="I214" i="6"/>
  <c r="I216" i="6" s="1"/>
  <c r="F161" i="12"/>
  <c r="F165" i="12" s="1"/>
  <c r="F161" i="10"/>
  <c r="G180" i="42"/>
  <c r="I223" i="6"/>
  <c r="I225" i="6" s="1"/>
  <c r="H225" i="6"/>
  <c r="I259" i="6"/>
  <c r="I260" i="6" s="1"/>
  <c r="H260" i="6"/>
  <c r="I250" i="6"/>
  <c r="I251" i="6" s="1"/>
  <c r="H251" i="6"/>
  <c r="I161" i="12"/>
  <c r="I165" i="12" s="1"/>
  <c r="K16" i="1" s="1"/>
  <c r="I208" i="12"/>
  <c r="H212" i="12"/>
  <c r="I214" i="12"/>
  <c r="H216" i="12"/>
  <c r="I218" i="12"/>
  <c r="H221" i="12"/>
  <c r="I223" i="12"/>
  <c r="H225" i="12"/>
  <c r="I227" i="12"/>
  <c r="H240" i="12"/>
  <c r="I242" i="12"/>
  <c r="H248" i="12"/>
  <c r="I250" i="12"/>
  <c r="I251" i="12" s="1"/>
  <c r="H251" i="12"/>
  <c r="I255" i="12"/>
  <c r="I256" i="12" s="1"/>
  <c r="H256" i="12"/>
  <c r="I259" i="12"/>
  <c r="I260" i="12" s="1"/>
  <c r="H260" i="12"/>
  <c r="D256" i="21"/>
  <c r="D260" i="21" s="1"/>
  <c r="B247" i="42"/>
  <c r="B248" i="42" s="1"/>
  <c r="F250" i="42"/>
  <c r="G151" i="42"/>
  <c r="I148" i="21"/>
  <c r="H251" i="24"/>
  <c r="H221" i="24"/>
  <c r="I251" i="23"/>
  <c r="I252" i="23" s="1"/>
  <c r="I257" i="23" s="1"/>
  <c r="I261" i="23" s="1"/>
  <c r="G250" i="42"/>
  <c r="H248" i="24"/>
  <c r="I206" i="24"/>
  <c r="H216" i="24"/>
  <c r="H240" i="24"/>
  <c r="F161" i="21"/>
  <c r="F165" i="21" s="1"/>
  <c r="I165" i="21"/>
  <c r="G6" i="1"/>
  <c r="D257" i="4"/>
  <c r="D261" i="4" s="1"/>
  <c r="D262" i="4" s="1"/>
  <c r="H252" i="14"/>
  <c r="H257" i="14" s="1"/>
  <c r="H261" i="14" s="1"/>
  <c r="H262" i="14" s="1"/>
  <c r="I156" i="26"/>
  <c r="H243" i="2"/>
  <c r="H240" i="16"/>
  <c r="H252" i="16" s="1"/>
  <c r="H257" i="16" s="1"/>
  <c r="H261" i="16" s="1"/>
  <c r="H262" i="16" s="1"/>
  <c r="C36" i="29"/>
  <c r="H212" i="9"/>
  <c r="H212" i="22"/>
  <c r="H252" i="22" s="1"/>
  <c r="H257" i="22" s="1"/>
  <c r="H261" i="22" s="1"/>
  <c r="H262" i="22" s="1"/>
  <c r="I206" i="9"/>
  <c r="H206" i="9"/>
  <c r="K16" i="27"/>
  <c r="H245" i="2"/>
  <c r="H246" i="2" s="1"/>
  <c r="I211" i="21"/>
  <c r="I251" i="21" s="1"/>
  <c r="I256" i="21" s="1"/>
  <c r="I260" i="21" s="1"/>
  <c r="K11" i="27" s="1"/>
  <c r="H211" i="21"/>
  <c r="H251" i="21" s="1"/>
  <c r="F247" i="42" s="1"/>
  <c r="H250" i="2"/>
  <c r="H251" i="2" s="1"/>
  <c r="H225" i="24"/>
  <c r="H212" i="24"/>
  <c r="H260" i="24"/>
  <c r="H254" i="2"/>
  <c r="H255" i="2" s="1"/>
  <c r="I151" i="10"/>
  <c r="I59" i="26"/>
  <c r="D262" i="13"/>
  <c r="E261" i="11"/>
  <c r="J148" i="23"/>
  <c r="J161" i="23" s="1"/>
  <c r="J165" i="23" s="1"/>
  <c r="F251" i="21"/>
  <c r="L12" i="27"/>
  <c r="F252" i="19"/>
  <c r="F257" i="19" s="1"/>
  <c r="F261" i="19" s="1"/>
  <c r="J21" i="27" s="1"/>
  <c r="I161" i="16"/>
  <c r="I165" i="16" s="1"/>
  <c r="I59" i="9"/>
  <c r="I151" i="26"/>
  <c r="I212" i="16"/>
  <c r="J7" i="27"/>
  <c r="I18" i="1"/>
  <c r="E19" i="27" s="1"/>
  <c r="I160" i="14"/>
  <c r="I161" i="14" s="1"/>
  <c r="I165" i="14" s="1"/>
  <c r="D262" i="18"/>
  <c r="D262" i="9"/>
  <c r="F261" i="13"/>
  <c r="J23" i="27" s="1"/>
  <c r="K26" i="27"/>
  <c r="E24" i="32" s="1"/>
  <c r="G24" i="32" s="1"/>
  <c r="E2" i="29"/>
  <c r="D262" i="12"/>
  <c r="I148" i="6"/>
  <c r="I212" i="24"/>
  <c r="F252" i="5"/>
  <c r="F257" i="5" s="1"/>
  <c r="F261" i="5" s="1"/>
  <c r="K20" i="27"/>
  <c r="E17" i="32" s="1"/>
  <c r="G17" i="32" s="1"/>
  <c r="I10" i="1"/>
  <c r="E11" i="27" s="1"/>
  <c r="F161" i="26"/>
  <c r="F165" i="26" s="1"/>
  <c r="I25" i="1" s="1"/>
  <c r="E26" i="27" s="1"/>
  <c r="I15" i="1"/>
  <c r="E16" i="27" s="1"/>
  <c r="D262" i="8"/>
  <c r="D262" i="24"/>
  <c r="K20" i="1"/>
  <c r="F252" i="14"/>
  <c r="F257" i="14" s="1"/>
  <c r="F261" i="14" s="1"/>
  <c r="F161" i="23"/>
  <c r="F165" i="23" s="1"/>
  <c r="I8" i="1" s="1"/>
  <c r="E9" i="27" s="1"/>
  <c r="F252" i="24"/>
  <c r="F257" i="24" s="1"/>
  <c r="F261" i="24" s="1"/>
  <c r="J8" i="27" s="1"/>
  <c r="D262" i="22"/>
  <c r="D262" i="23"/>
  <c r="E262" i="23"/>
  <c r="I70" i="9"/>
  <c r="D262" i="26"/>
  <c r="E262" i="7"/>
  <c r="D262" i="15"/>
  <c r="D262" i="19"/>
  <c r="F261" i="18"/>
  <c r="F261" i="16"/>
  <c r="F262" i="16" s="1"/>
  <c r="D262" i="16"/>
  <c r="E262" i="16"/>
  <c r="F252" i="12"/>
  <c r="F257" i="12" s="1"/>
  <c r="F261" i="12" s="1"/>
  <c r="J16" i="27"/>
  <c r="F161" i="6"/>
  <c r="F165" i="6" s="1"/>
  <c r="I11" i="1" s="1"/>
  <c r="E12" i="27" s="1"/>
  <c r="F252" i="22"/>
  <c r="F257" i="22" s="1"/>
  <c r="F261" i="22" s="1"/>
  <c r="E262" i="22"/>
  <c r="G7" i="1"/>
  <c r="E262" i="24"/>
  <c r="I22" i="1"/>
  <c r="E23" i="27" s="1"/>
  <c r="I23" i="1"/>
  <c r="E24" i="27" s="1"/>
  <c r="M17" i="27"/>
  <c r="J13" i="27"/>
  <c r="E262" i="19"/>
  <c r="I21" i="27"/>
  <c r="K24" i="27"/>
  <c r="E22" i="32" s="1"/>
  <c r="G22" i="32" s="1"/>
  <c r="J24" i="27"/>
  <c r="F252" i="23"/>
  <c r="F257" i="23" s="1"/>
  <c r="F261" i="23" s="1"/>
  <c r="E262" i="26"/>
  <c r="I26" i="27"/>
  <c r="E262" i="13"/>
  <c r="I23" i="27"/>
  <c r="D262" i="7"/>
  <c r="I206" i="10"/>
  <c r="I252" i="10" s="1"/>
  <c r="I257" i="10" s="1"/>
  <c r="I261" i="10" s="1"/>
  <c r="D261" i="11"/>
  <c r="K22" i="27"/>
  <c r="E20" i="32" s="1"/>
  <c r="G20" i="32" s="1"/>
  <c r="I156" i="9"/>
  <c r="I19" i="1"/>
  <c r="E20" i="27" s="1"/>
  <c r="I16" i="1"/>
  <c r="E17" i="27" s="1"/>
  <c r="F252" i="6"/>
  <c r="F257" i="6" s="1"/>
  <c r="F261" i="6" s="1"/>
  <c r="K9" i="1"/>
  <c r="J14" i="27"/>
  <c r="E262" i="15"/>
  <c r="I22" i="27"/>
  <c r="E262" i="14"/>
  <c r="I18" i="27"/>
  <c r="E262" i="18"/>
  <c r="I20" i="27"/>
  <c r="I174" i="8"/>
  <c r="I252" i="8" s="1"/>
  <c r="I257" i="8" s="1"/>
  <c r="I261" i="8" s="1"/>
  <c r="I70" i="10"/>
  <c r="K15" i="1"/>
  <c r="D262" i="14"/>
  <c r="F261" i="15"/>
  <c r="J22" i="27" s="1"/>
  <c r="F252" i="8"/>
  <c r="F257" i="8" s="1"/>
  <c r="F261" i="8" s="1"/>
  <c r="J15" i="27" s="1"/>
  <c r="I148" i="9"/>
  <c r="I70" i="6"/>
  <c r="D262" i="6"/>
  <c r="F165" i="19"/>
  <c r="E262" i="8"/>
  <c r="I15" i="27"/>
  <c r="E262" i="5"/>
  <c r="I25" i="27"/>
  <c r="I6" i="1"/>
  <c r="D261" i="21"/>
  <c r="J252" i="23"/>
  <c r="J257" i="23" s="1"/>
  <c r="E262" i="12"/>
  <c r="I17" i="27"/>
  <c r="I13" i="27"/>
  <c r="E262" i="9"/>
  <c r="E261" i="21"/>
  <c r="I11" i="27"/>
  <c r="I160" i="9"/>
  <c r="F161" i="8"/>
  <c r="F165" i="8" s="1"/>
  <c r="F161" i="22"/>
  <c r="F165" i="22" s="1"/>
  <c r="I9" i="1" s="1"/>
  <c r="E10" i="27" s="1"/>
  <c r="E262" i="10"/>
  <c r="I14" i="27"/>
  <c r="E262" i="6"/>
  <c r="I12" i="27"/>
  <c r="I212" i="9"/>
  <c r="L16" i="27"/>
  <c r="F161" i="24"/>
  <c r="F165" i="24" s="1"/>
  <c r="I7" i="1" s="1"/>
  <c r="E8" i="27" s="1"/>
  <c r="E165" i="42" l="1"/>
  <c r="E161" i="42"/>
  <c r="H252" i="9"/>
  <c r="H257" i="9" s="1"/>
  <c r="H261" i="9" s="1"/>
  <c r="H262" i="9" s="1"/>
  <c r="I244" i="24"/>
  <c r="F244" i="42"/>
  <c r="I14" i="9"/>
  <c r="F14" i="42"/>
  <c r="I243" i="24"/>
  <c r="F243" i="42"/>
  <c r="G230" i="42"/>
  <c r="I223" i="24"/>
  <c r="F223" i="42"/>
  <c r="F225" i="42" s="1"/>
  <c r="H252" i="6"/>
  <c r="H257" i="6" s="1"/>
  <c r="H261" i="6" s="1"/>
  <c r="H262" i="6" s="1"/>
  <c r="G69" i="42"/>
  <c r="I227" i="24"/>
  <c r="F227" i="42"/>
  <c r="F240" i="42" s="1"/>
  <c r="I172" i="24"/>
  <c r="F172" i="42"/>
  <c r="F174" i="42" s="1"/>
  <c r="E248" i="42"/>
  <c r="I11" i="6"/>
  <c r="G11" i="42" s="1"/>
  <c r="F11" i="42"/>
  <c r="F18" i="42" s="1"/>
  <c r="F161" i="42" s="1"/>
  <c r="I12" i="6"/>
  <c r="G12" i="42" s="1"/>
  <c r="F12" i="42"/>
  <c r="F262" i="26"/>
  <c r="E221" i="42"/>
  <c r="I248" i="22"/>
  <c r="I246" i="24"/>
  <c r="F246" i="42"/>
  <c r="J261" i="23"/>
  <c r="K9" i="27" s="1"/>
  <c r="B252" i="42"/>
  <c r="B260" i="42" s="1"/>
  <c r="B264" i="42" s="1"/>
  <c r="B265" i="42" s="1"/>
  <c r="I242" i="24"/>
  <c r="F242" i="42"/>
  <c r="F25" i="42"/>
  <c r="I218" i="24"/>
  <c r="F218" i="42"/>
  <c r="I259" i="24"/>
  <c r="F262" i="42"/>
  <c r="F263" i="42" s="1"/>
  <c r="G7" i="42"/>
  <c r="I18" i="6"/>
  <c r="I215" i="24"/>
  <c r="G215" i="42" s="1"/>
  <c r="F215" i="42"/>
  <c r="G201" i="42"/>
  <c r="I245" i="24"/>
  <c r="F245" i="42"/>
  <c r="I262" i="23"/>
  <c r="I214" i="24"/>
  <c r="F214" i="42"/>
  <c r="G252" i="24"/>
  <c r="G257" i="24" s="1"/>
  <c r="G261" i="24" s="1"/>
  <c r="G262" i="24" s="1"/>
  <c r="I219" i="24"/>
  <c r="G219" i="42" s="1"/>
  <c r="F219" i="42"/>
  <c r="G20" i="42"/>
  <c r="G25" i="42" s="1"/>
  <c r="I25" i="9"/>
  <c r="G208" i="42"/>
  <c r="I252" i="22"/>
  <c r="I257" i="22" s="1"/>
  <c r="I261" i="22" s="1"/>
  <c r="K10" i="27" s="1"/>
  <c r="I252" i="5"/>
  <c r="I257" i="5" s="1"/>
  <c r="I261" i="5" s="1"/>
  <c r="I262" i="5" s="1"/>
  <c r="E225" i="42"/>
  <c r="B165" i="42"/>
  <c r="G70" i="42"/>
  <c r="D260" i="42"/>
  <c r="D264" i="42" s="1"/>
  <c r="D265" i="42" s="1"/>
  <c r="G251" i="42"/>
  <c r="F251" i="42"/>
  <c r="K8" i="1"/>
  <c r="J262" i="23"/>
  <c r="J8" i="1"/>
  <c r="F9" i="27" s="1"/>
  <c r="D262" i="10"/>
  <c r="H26" i="1"/>
  <c r="I161" i="10"/>
  <c r="F165" i="10"/>
  <c r="I13" i="1" s="1"/>
  <c r="E14" i="27" s="1"/>
  <c r="G206" i="42"/>
  <c r="I262" i="14"/>
  <c r="K18" i="27"/>
  <c r="G59" i="42"/>
  <c r="J18" i="27"/>
  <c r="F262" i="14"/>
  <c r="J20" i="27"/>
  <c r="F262" i="18"/>
  <c r="I252" i="6"/>
  <c r="I257" i="6" s="1"/>
  <c r="I261" i="6" s="1"/>
  <c r="I252" i="9"/>
  <c r="I257" i="9" s="1"/>
  <c r="I261" i="9" s="1"/>
  <c r="H252" i="12"/>
  <c r="H257" i="12" s="1"/>
  <c r="H261" i="12" s="1"/>
  <c r="H262" i="12" s="1"/>
  <c r="I248" i="12"/>
  <c r="I240" i="12"/>
  <c r="I225" i="12"/>
  <c r="I221" i="12"/>
  <c r="I216" i="12"/>
  <c r="I212" i="12"/>
  <c r="I252" i="12"/>
  <c r="I257" i="12" s="1"/>
  <c r="I261" i="12" s="1"/>
  <c r="J17" i="27"/>
  <c r="F262" i="12"/>
  <c r="G212" i="42"/>
  <c r="G148" i="42"/>
  <c r="F212" i="42"/>
  <c r="F256" i="21"/>
  <c r="F260" i="21" s="1"/>
  <c r="J11" i="27" s="1"/>
  <c r="H256" i="21"/>
  <c r="H260" i="21" s="1"/>
  <c r="H261" i="21" s="1"/>
  <c r="H252" i="24"/>
  <c r="H257" i="24" s="1"/>
  <c r="H261" i="24" s="1"/>
  <c r="H262" i="24" s="1"/>
  <c r="I161" i="7"/>
  <c r="I165" i="7" s="1"/>
  <c r="K23" i="1" s="1"/>
  <c r="K24" i="1"/>
  <c r="A2" i="29"/>
  <c r="K21" i="27"/>
  <c r="E18" i="32" s="1"/>
  <c r="G18" i="32" s="1"/>
  <c r="M21" i="1"/>
  <c r="H22" i="27" s="1"/>
  <c r="K13" i="27"/>
  <c r="K6" i="1"/>
  <c r="L7" i="27"/>
  <c r="L18" i="27"/>
  <c r="M9" i="27"/>
  <c r="B36" i="29"/>
  <c r="M10" i="1"/>
  <c r="H11" i="27" s="1"/>
  <c r="F36" i="29"/>
  <c r="L10" i="1"/>
  <c r="G11" i="27" s="1"/>
  <c r="M8" i="1"/>
  <c r="K22" i="1"/>
  <c r="M23" i="27"/>
  <c r="M24" i="1"/>
  <c r="H25" i="27" s="1"/>
  <c r="L24" i="1"/>
  <c r="G25" i="27" s="1"/>
  <c r="I262" i="8"/>
  <c r="E7" i="27"/>
  <c r="K23" i="27"/>
  <c r="E21" i="32" s="1"/>
  <c r="G21" i="32" s="1"/>
  <c r="F262" i="13"/>
  <c r="J19" i="27"/>
  <c r="M12" i="27"/>
  <c r="F262" i="22"/>
  <c r="L25" i="27"/>
  <c r="M11" i="27"/>
  <c r="L22" i="27"/>
  <c r="J26" i="27"/>
  <c r="F262" i="23"/>
  <c r="L25" i="1"/>
  <c r="G26" i="27" s="1"/>
  <c r="L20" i="1"/>
  <c r="G21" i="27" s="1"/>
  <c r="M19" i="27"/>
  <c r="J10" i="27"/>
  <c r="K25" i="27"/>
  <c r="E23" i="32" s="1"/>
  <c r="G23" i="32" s="1"/>
  <c r="K14" i="27"/>
  <c r="I252" i="16"/>
  <c r="I257" i="16" s="1"/>
  <c r="I261" i="16" s="1"/>
  <c r="I262" i="16" s="1"/>
  <c r="I2" i="29"/>
  <c r="L19" i="27"/>
  <c r="L8" i="1"/>
  <c r="M25" i="1"/>
  <c r="H26" i="27" s="1"/>
  <c r="I32" i="26"/>
  <c r="I161" i="26" s="1"/>
  <c r="I165" i="26" s="1"/>
  <c r="I262" i="26" s="1"/>
  <c r="L18" i="1"/>
  <c r="G19" i="27" s="1"/>
  <c r="I161" i="6"/>
  <c r="I165" i="6" s="1"/>
  <c r="J25" i="27"/>
  <c r="L24" i="27"/>
  <c r="J9" i="27"/>
  <c r="L9" i="1"/>
  <c r="G10" i="27" s="1"/>
  <c r="K15" i="27"/>
  <c r="L11" i="27"/>
  <c r="L26" i="27"/>
  <c r="F262" i="6"/>
  <c r="M23" i="1"/>
  <c r="H24" i="27" s="1"/>
  <c r="I27" i="27"/>
  <c r="J12" i="27"/>
  <c r="M16" i="27"/>
  <c r="L23" i="1"/>
  <c r="G24" i="27" s="1"/>
  <c r="L21" i="1"/>
  <c r="G22" i="27" s="1"/>
  <c r="M25" i="27"/>
  <c r="M20" i="1"/>
  <c r="H21" i="27" s="1"/>
  <c r="M14" i="1"/>
  <c r="H15" i="27" s="1"/>
  <c r="M18" i="1"/>
  <c r="H19" i="27" s="1"/>
  <c r="M26" i="27"/>
  <c r="L14" i="1"/>
  <c r="G15" i="27" s="1"/>
  <c r="F7" i="27"/>
  <c r="I21" i="1"/>
  <c r="E22" i="27" s="1"/>
  <c r="F262" i="15"/>
  <c r="L17" i="27"/>
  <c r="F17" i="27"/>
  <c r="I20" i="1"/>
  <c r="E21" i="27" s="1"/>
  <c r="F262" i="19"/>
  <c r="M24" i="27"/>
  <c r="C24" i="32"/>
  <c r="D24" i="32" s="1"/>
  <c r="H24" i="32" s="1"/>
  <c r="M18" i="27"/>
  <c r="L15" i="1"/>
  <c r="G16" i="27" s="1"/>
  <c r="M19" i="1"/>
  <c r="H20" i="27" s="1"/>
  <c r="L14" i="27"/>
  <c r="L17" i="1"/>
  <c r="G18" i="27" s="1"/>
  <c r="L9" i="27"/>
  <c r="F32" i="9"/>
  <c r="F161" i="9" s="1"/>
  <c r="I14" i="1"/>
  <c r="L12" i="1"/>
  <c r="G13" i="27" s="1"/>
  <c r="L21" i="27"/>
  <c r="F262" i="24"/>
  <c r="C21" i="32"/>
  <c r="D21" i="32" s="1"/>
  <c r="F23" i="27"/>
  <c r="M11" i="1"/>
  <c r="H12" i="27" s="1"/>
  <c r="C22" i="32"/>
  <c r="D22" i="32" s="1"/>
  <c r="H22" i="32" s="1"/>
  <c r="F24" i="27"/>
  <c r="F262" i="8"/>
  <c r="F10" i="27"/>
  <c r="F25" i="27"/>
  <c r="C23" i="32"/>
  <c r="D23" i="32" s="1"/>
  <c r="G262" i="42" l="1"/>
  <c r="G263" i="42" s="1"/>
  <c r="I260" i="24"/>
  <c r="F248" i="42"/>
  <c r="I262" i="22"/>
  <c r="F252" i="42"/>
  <c r="F216" i="42"/>
  <c r="F221" i="42"/>
  <c r="I248" i="24"/>
  <c r="E252" i="42"/>
  <c r="E260" i="42" s="1"/>
  <c r="E264" i="42" s="1"/>
  <c r="E265" i="42" s="1"/>
  <c r="G227" i="42"/>
  <c r="G240" i="42" s="1"/>
  <c r="I240" i="24"/>
  <c r="G223" i="42"/>
  <c r="G225" i="42" s="1"/>
  <c r="I225" i="24"/>
  <c r="G214" i="42"/>
  <c r="G216" i="42" s="1"/>
  <c r="I216" i="24"/>
  <c r="G218" i="42"/>
  <c r="G221" i="42" s="1"/>
  <c r="I221" i="24"/>
  <c r="G14" i="42"/>
  <c r="G18" i="42" s="1"/>
  <c r="G161" i="42" s="1"/>
  <c r="I18" i="9"/>
  <c r="I161" i="9" s="1"/>
  <c r="I165" i="9" s="1"/>
  <c r="I262" i="9" s="1"/>
  <c r="G252" i="42"/>
  <c r="F165" i="42"/>
  <c r="G172" i="42"/>
  <c r="G174" i="42" s="1"/>
  <c r="I174" i="24"/>
  <c r="I252" i="24" s="1"/>
  <c r="I257" i="24" s="1"/>
  <c r="K8" i="27"/>
  <c r="I261" i="24"/>
  <c r="I262" i="24" s="1"/>
  <c r="F260" i="42"/>
  <c r="F262" i="10"/>
  <c r="I165" i="10"/>
  <c r="I262" i="10" s="1"/>
  <c r="G164" i="42"/>
  <c r="F261" i="21"/>
  <c r="I262" i="6"/>
  <c r="K12" i="27"/>
  <c r="F165" i="9"/>
  <c r="F262" i="9" s="1"/>
  <c r="I262" i="12"/>
  <c r="K17" i="27"/>
  <c r="E15" i="32" s="1"/>
  <c r="G15" i="32" s="1"/>
  <c r="M8" i="27"/>
  <c r="L8" i="27"/>
  <c r="K19" i="27"/>
  <c r="E16" i="32" s="1"/>
  <c r="G16" i="32" s="1"/>
  <c r="H247" i="2"/>
  <c r="H252" i="2" s="1"/>
  <c r="H256" i="2" s="1"/>
  <c r="K7" i="27"/>
  <c r="E12" i="32" s="1"/>
  <c r="A36" i="29"/>
  <c r="M7" i="27"/>
  <c r="M20" i="27"/>
  <c r="L22" i="1"/>
  <c r="G23" i="27" s="1"/>
  <c r="L23" i="27"/>
  <c r="L19" i="1"/>
  <c r="G20" i="27" s="1"/>
  <c r="C20" i="32"/>
  <c r="D20" i="32" s="1"/>
  <c r="H20" i="32" s="1"/>
  <c r="K21" i="1"/>
  <c r="I261" i="21"/>
  <c r="K10" i="1"/>
  <c r="L11" i="1"/>
  <c r="G12" i="27" s="1"/>
  <c r="F15" i="27"/>
  <c r="K14" i="1"/>
  <c r="F8" i="27"/>
  <c r="K7" i="1"/>
  <c r="F14" i="27"/>
  <c r="F13" i="27"/>
  <c r="K12" i="1"/>
  <c r="K11" i="1"/>
  <c r="F18" i="27"/>
  <c r="K17" i="1"/>
  <c r="F26" i="27"/>
  <c r="K25" i="1"/>
  <c r="H9" i="27"/>
  <c r="G9" i="27"/>
  <c r="H21" i="32"/>
  <c r="F22" i="27"/>
  <c r="C17" i="32"/>
  <c r="D17" i="32" s="1"/>
  <c r="H17" i="32" s="1"/>
  <c r="F11" i="27"/>
  <c r="M22" i="27"/>
  <c r="J27" i="27"/>
  <c r="F12" i="27"/>
  <c r="H23" i="32"/>
  <c r="G2" i="29"/>
  <c r="H2" i="29"/>
  <c r="C2" i="29"/>
  <c r="F2" i="29"/>
  <c r="D2" i="29"/>
  <c r="M22" i="1"/>
  <c r="H23" i="27" s="1"/>
  <c r="L6" i="1"/>
  <c r="G7" i="27" s="1"/>
  <c r="E13" i="32"/>
  <c r="G13" i="32" s="1"/>
  <c r="L10" i="27"/>
  <c r="L7" i="1"/>
  <c r="G8" i="27" s="1"/>
  <c r="L20" i="27"/>
  <c r="M17" i="1"/>
  <c r="H18" i="27" s="1"/>
  <c r="M7" i="1"/>
  <c r="H8" i="27" s="1"/>
  <c r="L13" i="1"/>
  <c r="G14" i="27" s="1"/>
  <c r="F16" i="27"/>
  <c r="C15" i="32"/>
  <c r="D15" i="32" s="1"/>
  <c r="H15" i="32" s="1"/>
  <c r="M9" i="1"/>
  <c r="H10" i="27" s="1"/>
  <c r="E15" i="27"/>
  <c r="C18" i="32"/>
  <c r="D18" i="32" s="1"/>
  <c r="H18" i="32" s="1"/>
  <c r="F21" i="27"/>
  <c r="M10" i="27"/>
  <c r="C12" i="32"/>
  <c r="G260" i="42" l="1"/>
  <c r="F264" i="42"/>
  <c r="K13" i="1"/>
  <c r="I12" i="1"/>
  <c r="E13" i="27" s="1"/>
  <c r="H257" i="2"/>
  <c r="H258" i="2" s="1"/>
  <c r="H260" i="2"/>
  <c r="H262" i="2" s="1"/>
  <c r="K19" i="1"/>
  <c r="K27" i="27"/>
  <c r="L13" i="27"/>
  <c r="F20" i="27"/>
  <c r="M12" i="1"/>
  <c r="H13" i="27" s="1"/>
  <c r="C13" i="32"/>
  <c r="D13" i="32" s="1"/>
  <c r="H13" i="32" s="1"/>
  <c r="M6" i="1"/>
  <c r="H7" i="27" s="1"/>
  <c r="M16" i="1"/>
  <c r="H17" i="27" s="1"/>
  <c r="M14" i="27"/>
  <c r="M13" i="1"/>
  <c r="H14" i="27" s="1"/>
  <c r="M15" i="1"/>
  <c r="H16" i="27" s="1"/>
  <c r="L16" i="1"/>
  <c r="L26" i="1" s="1"/>
  <c r="M21" i="27"/>
  <c r="D12" i="32"/>
  <c r="G12" i="32"/>
  <c r="E25" i="32"/>
  <c r="F265" i="42" l="1"/>
  <c r="G264" i="42"/>
  <c r="M13" i="27"/>
  <c r="M26" i="1"/>
  <c r="L15" i="27"/>
  <c r="L27" i="27" s="1"/>
  <c r="M15" i="27"/>
  <c r="H27" i="27"/>
  <c r="G17" i="27"/>
  <c r="G27" i="27" s="1"/>
  <c r="G25" i="32"/>
  <c r="H12" i="32"/>
  <c r="M27" i="27" l="1"/>
  <c r="F161" i="5"/>
  <c r="F165" i="5" s="1"/>
  <c r="F262" i="5" s="1"/>
  <c r="E56" i="2"/>
  <c r="E59" i="2" s="1"/>
  <c r="E156" i="2" s="1"/>
  <c r="E160" i="2" s="1"/>
  <c r="E261" i="2" s="1"/>
  <c r="E262" i="2" s="1"/>
  <c r="D59" i="5"/>
  <c r="D161" i="5" l="1"/>
  <c r="D165" i="5" s="1"/>
  <c r="I24" i="1"/>
  <c r="E257" i="2"/>
  <c r="E258" i="2"/>
  <c r="I26" i="1" l="1"/>
  <c r="E25" i="27"/>
  <c r="E27" i="27" s="1"/>
  <c r="D262" i="5"/>
  <c r="G24" i="1"/>
  <c r="G26" i="1" s="1"/>
  <c r="G165" i="42" l="1"/>
  <c r="G265" i="42" l="1"/>
  <c r="J18" i="1"/>
  <c r="C16" i="32" s="1"/>
  <c r="K18" i="1"/>
  <c r="K26" i="1" s="1"/>
  <c r="J26" i="1" l="1"/>
  <c r="F19" i="27"/>
  <c r="F27" i="27" s="1"/>
  <c r="C25" i="32"/>
  <c r="D16" i="32"/>
  <c r="D25" i="32" l="1"/>
  <c r="H16" i="32"/>
  <c r="H25" i="32" s="1"/>
  <c r="N136" i="44" l="1"/>
  <c r="N152" i="44"/>
  <c r="T136" i="44"/>
  <c r="M136" i="44"/>
  <c r="M152" i="44"/>
  <c r="S136" i="44"/>
  <c r="O136" i="44"/>
  <c r="O152" i="44"/>
  <c r="P152" i="44"/>
  <c r="P136" i="44"/>
  <c r="R136" i="44"/>
  <c r="U136" i="44"/>
</calcChain>
</file>

<file path=xl/comments1.xml><?xml version="1.0" encoding="utf-8"?>
<comments xmlns="http://schemas.openxmlformats.org/spreadsheetml/2006/main">
  <authors>
    <author>Sarel</author>
  </authors>
  <commentList>
    <comment ref="G155" authorId="0" shapeId="0">
      <text>
        <r>
          <rPr>
            <b/>
            <sz val="9"/>
            <color indexed="81"/>
            <rFont val="Tahoma"/>
            <family val="2"/>
          </rPr>
          <t>Sarel: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5" authorId="0" shapeId="0">
      <text>
        <r>
          <rPr>
            <b/>
            <sz val="9"/>
            <color indexed="81"/>
            <rFont val="Tahoma"/>
            <family val="2"/>
          </rPr>
          <t>Sarel: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<sst xmlns="http://schemas.openxmlformats.org/spreadsheetml/2006/main" count="7373" uniqueCount="952">
  <si>
    <t>RATES</t>
  </si>
  <si>
    <t>EXECUTIVE &amp; COUNCIL</t>
  </si>
  <si>
    <t>FINANCE &amp; ADMINSTRATION</t>
  </si>
  <si>
    <t>HEALTH</t>
  </si>
  <si>
    <t>COMMUNITY &amp; SOCIAL</t>
  </si>
  <si>
    <t>HOUSING</t>
  </si>
  <si>
    <t>SPORTS  &amp; RECREATION</t>
  </si>
  <si>
    <t>WASTE MANAGEMENT</t>
  </si>
  <si>
    <t>WASTE WATER MANAGEMENT</t>
  </si>
  <si>
    <t>ROADS TRANSPORT</t>
  </si>
  <si>
    <t>WATER</t>
  </si>
  <si>
    <t>ELECTRICTY</t>
  </si>
  <si>
    <t>COUNCIL GENERAL</t>
  </si>
  <si>
    <t>PROPERTIES</t>
  </si>
  <si>
    <t>PUBLIC WORKS</t>
  </si>
  <si>
    <t>TRAFFIC</t>
  </si>
  <si>
    <t>LIBRARIES</t>
  </si>
  <si>
    <t>TOWN HALL &amp; OFFICES</t>
  </si>
  <si>
    <t>SEWERAGE</t>
  </si>
  <si>
    <t>REFUSE</t>
  </si>
  <si>
    <t>SUMMARY</t>
  </si>
  <si>
    <t>VOTE</t>
  </si>
  <si>
    <t>DETAILS</t>
  </si>
  <si>
    <t>ACTUAL</t>
  </si>
  <si>
    <t>BUDGET</t>
  </si>
  <si>
    <t xml:space="preserve">YEAR TO DATE </t>
  </si>
  <si>
    <t>PROJECTED</t>
  </si>
  <si>
    <t>2003/2004</t>
  </si>
  <si>
    <t>2004/2005</t>
  </si>
  <si>
    <t>31/10/2004</t>
  </si>
  <si>
    <t>2005/2006</t>
  </si>
  <si>
    <t>2006/2007</t>
  </si>
  <si>
    <t>2007/2008</t>
  </si>
  <si>
    <t>EMPLOYEE: REMUNERATION</t>
  </si>
  <si>
    <t>Allowance: Entertainment</t>
  </si>
  <si>
    <t>Allowance: Housing</t>
  </si>
  <si>
    <t>Allowance: Private facilities</t>
  </si>
  <si>
    <t>Bonusses</t>
  </si>
  <si>
    <t>Executive Package</t>
  </si>
  <si>
    <t>Salaries</t>
  </si>
  <si>
    <t>EMPLOYEE: SOCIAL CONTRIBUTIONS</t>
  </si>
  <si>
    <t>Contributions: Medical Aid</t>
  </si>
  <si>
    <t>Contributions: Pension Fund</t>
  </si>
  <si>
    <t>Contributions: Provident Fund</t>
  </si>
  <si>
    <t>Group Life Insurance</t>
  </si>
  <si>
    <t>UIF</t>
  </si>
  <si>
    <t>GENERAL EXPENSES</t>
  </si>
  <si>
    <t>COUNCILLORS REMUNERATION</t>
  </si>
  <si>
    <t>Remuneration</t>
  </si>
  <si>
    <t>WORKING CAPITAL RESERVE</t>
  </si>
  <si>
    <t>COLLECTION- Debt Collection</t>
  </si>
  <si>
    <t>Collection costs</t>
  </si>
  <si>
    <t>DEPRECIATION</t>
  </si>
  <si>
    <t>Depreciation</t>
  </si>
  <si>
    <t>REPAIRS AND MAINTENANCE</t>
  </si>
  <si>
    <t>Air Conditioning</t>
  </si>
  <si>
    <t>Building</t>
  </si>
  <si>
    <t>Computer Equipment</t>
  </si>
  <si>
    <t>Grounds/ gardens</t>
  </si>
  <si>
    <t>Office Equipment</t>
  </si>
  <si>
    <t>Vehicles</t>
  </si>
  <si>
    <t>CONTRACTED SERVICES</t>
  </si>
  <si>
    <t>GENERAL EXPENDITURE OTHER</t>
  </si>
  <si>
    <t>Insurance</t>
  </si>
  <si>
    <t>CONTRIBUTIONS TO CAPITAL OUTLAY</t>
  </si>
  <si>
    <t>TRANFERS TO PROVISIONS</t>
  </si>
  <si>
    <t>RENT OF FACILITIES &amp; EQUIPMENT</t>
  </si>
  <si>
    <t>INTEREST EARNED</t>
  </si>
  <si>
    <t>Bank account</t>
  </si>
  <si>
    <t>External investments</t>
  </si>
  <si>
    <t>INTEREST EARNED- outstanding debtors</t>
  </si>
  <si>
    <t>Long term debtors</t>
  </si>
  <si>
    <t>Sundry debtors</t>
  </si>
  <si>
    <t>FINES</t>
  </si>
  <si>
    <t>OPERATING GRANTS &amp; SUBSIDIES</t>
  </si>
  <si>
    <t>Equitable share</t>
  </si>
  <si>
    <t>Financial management grant</t>
  </si>
  <si>
    <t>IWS</t>
  </si>
  <si>
    <t>MIG</t>
  </si>
  <si>
    <t>OTHER INCOME</t>
  </si>
  <si>
    <t>SURPLUS SALE OF ASSET</t>
  </si>
  <si>
    <t>Surplus</t>
  </si>
  <si>
    <t>GROSS TOTAL</t>
  </si>
  <si>
    <t>Overtime</t>
  </si>
  <si>
    <t>Allowance: Sundry</t>
  </si>
  <si>
    <t>Allowance: Standby</t>
  </si>
  <si>
    <t>Motors &amp; pumps</t>
  </si>
  <si>
    <t>Roads &amp; stormwater</t>
  </si>
  <si>
    <t>Plant &amp; equipment</t>
  </si>
  <si>
    <t>Speed control equipment</t>
  </si>
  <si>
    <t>Road signs &amp; paint</t>
  </si>
  <si>
    <t>Distribution</t>
  </si>
  <si>
    <t>Landfilling</t>
  </si>
  <si>
    <t>Street lights</t>
  </si>
  <si>
    <t>Transformers</t>
  </si>
  <si>
    <t>Electrical meters</t>
  </si>
  <si>
    <t>BULK PURCHASES</t>
  </si>
  <si>
    <t>Electricity</t>
  </si>
  <si>
    <t>PROPERTY RATES</t>
  </si>
  <si>
    <t>Property rates</t>
  </si>
  <si>
    <t>USER CHARGES</t>
  </si>
  <si>
    <t>Pound fees</t>
  </si>
  <si>
    <t>Building plans</t>
  </si>
  <si>
    <t>Redundant material</t>
  </si>
  <si>
    <t>Clearance certificates</t>
  </si>
  <si>
    <t>Valuation certificates</t>
  </si>
  <si>
    <t>Debtors</t>
  </si>
  <si>
    <t>Surplus cash</t>
  </si>
  <si>
    <t>Libraries</t>
  </si>
  <si>
    <t>Electricity consumption</t>
  </si>
  <si>
    <t>Sewage blockages</t>
  </si>
  <si>
    <t>Sewage connections</t>
  </si>
  <si>
    <t>Sewage service charges</t>
  </si>
  <si>
    <t>Electricity connections</t>
  </si>
  <si>
    <t>Refuse removal</t>
  </si>
  <si>
    <t>Commonage</t>
  </si>
  <si>
    <t>Lost books</t>
  </si>
  <si>
    <t>Tombstones</t>
  </si>
  <si>
    <t>Water consumption</t>
  </si>
  <si>
    <t>Wood sales</t>
  </si>
  <si>
    <t>Ground sales</t>
  </si>
  <si>
    <t>MUNICIPAL MANAGER</t>
  </si>
  <si>
    <t>ELECTRICITY</t>
  </si>
  <si>
    <t>Commission</t>
  </si>
  <si>
    <t>Network</t>
  </si>
  <si>
    <t>Radios</t>
  </si>
  <si>
    <t>FUNCTION</t>
  </si>
  <si>
    <t>SUB</t>
  </si>
  <si>
    <t xml:space="preserve">EXPENDITURE ALLOCATION PER VOTE </t>
  </si>
  <si>
    <t>EXPENDITURE</t>
  </si>
  <si>
    <t>INCOME</t>
  </si>
  <si>
    <t>Electrification programme</t>
  </si>
  <si>
    <t>Electricity free basic</t>
  </si>
  <si>
    <t>Water free basic</t>
  </si>
  <si>
    <t>Water</t>
  </si>
  <si>
    <t>EMPLOYEE REMUNERATION</t>
  </si>
  <si>
    <t>COUNCILLOR REMUNERATION</t>
  </si>
  <si>
    <t>WORKING CAPITAL</t>
  </si>
  <si>
    <t xml:space="preserve">BULK PURCHASES </t>
  </si>
  <si>
    <t>GENERAL EXPENDITURE</t>
  </si>
  <si>
    <t xml:space="preserve">CONTRIBUTIONS TO CAPITAL </t>
  </si>
  <si>
    <t>CONTRIBUTIONS TO PROVISIONS</t>
  </si>
  <si>
    <t>REPAIRS  &amp; MAINTENANCE</t>
  </si>
  <si>
    <t>INTEREST &amp; REDEMPTION</t>
  </si>
  <si>
    <t>CORPORATE SERVICES</t>
  </si>
  <si>
    <t>PARKS &amp; RECREATION</t>
  </si>
  <si>
    <t>DEBTORS</t>
  </si>
  <si>
    <t>BAD DEBT PROVISION</t>
  </si>
  <si>
    <t>CORPORATE SERVICE</t>
  </si>
  <si>
    <t xml:space="preserve">WATER </t>
  </si>
  <si>
    <t xml:space="preserve">SUMMARISED EXPENDITURE AND INCOME  PER VOTE </t>
  </si>
  <si>
    <t>MASILONYANA LOCAL MUNICIPALITY</t>
  </si>
  <si>
    <t>Function</t>
  </si>
  <si>
    <t>Appropriations</t>
  </si>
  <si>
    <t>Funding</t>
  </si>
  <si>
    <t>Surplus /</t>
  </si>
  <si>
    <t>Capital</t>
  </si>
  <si>
    <t>Operating</t>
  </si>
  <si>
    <t>Total</t>
  </si>
  <si>
    <t>Own Source</t>
  </si>
  <si>
    <t>External</t>
  </si>
  <si>
    <t>(Deficit)</t>
  </si>
  <si>
    <t xml:space="preserve">Executive &amp; Council </t>
  </si>
  <si>
    <t>Finance &amp; Admin</t>
  </si>
  <si>
    <t>Planning and Development</t>
  </si>
  <si>
    <t>Housing</t>
  </si>
  <si>
    <t>Public Safety</t>
  </si>
  <si>
    <t>Sport &amp; Recreation</t>
  </si>
  <si>
    <t>Environmental Protection</t>
  </si>
  <si>
    <t>Waste Management</t>
  </si>
  <si>
    <t>Road Transport</t>
  </si>
  <si>
    <t xml:space="preserve">TOTAL </t>
  </si>
  <si>
    <t>F2.1 - HIGH LEVEL BUDGET SUMMARY FOR COUNCIL ADOPTION</t>
  </si>
  <si>
    <t>HIGH LEVEL BUDGET SUMMARY</t>
  </si>
  <si>
    <t>Waste Water Management</t>
  </si>
  <si>
    <t xml:space="preserve">MASILONYANA </t>
  </si>
  <si>
    <t>LOCAL MUNICIPALITY</t>
  </si>
  <si>
    <t>FS181</t>
  </si>
  <si>
    <t>2008/2009</t>
  </si>
  <si>
    <t>2009/2010</t>
  </si>
  <si>
    <t>Finance support grant</t>
  </si>
  <si>
    <t>Tranformation &amp; Governance</t>
  </si>
  <si>
    <t>Primary health care</t>
  </si>
  <si>
    <t>Photocopies , fax &amp; telephone</t>
  </si>
  <si>
    <t>Integrated development support programme</t>
  </si>
  <si>
    <t>Town planning scheme</t>
  </si>
  <si>
    <t>Water meters</t>
  </si>
  <si>
    <t>DEFICIT ON SALE OF ASSETS</t>
  </si>
  <si>
    <t>Deficit on sale</t>
  </si>
  <si>
    <t>DIRECT OPERATING EXPENDITURE</t>
  </si>
  <si>
    <t>Adminstration costs</t>
  </si>
  <si>
    <t>TOTAL OPERATING EXPENDITURE</t>
  </si>
  <si>
    <t>OPERATING INCOME GENERATED</t>
  </si>
  <si>
    <t>INCOME FOREGONE</t>
  </si>
  <si>
    <t>Rebates</t>
  </si>
  <si>
    <t>INTERNAL RECOVERIES</t>
  </si>
  <si>
    <t>Administartion costs</t>
  </si>
  <si>
    <t>TOTAL OPERATING INCOME</t>
  </si>
  <si>
    <t>EXTERNAL INTEREST</t>
  </si>
  <si>
    <t>Tender fees- non refundable</t>
  </si>
  <si>
    <t>MSIG</t>
  </si>
  <si>
    <t>RAND</t>
  </si>
  <si>
    <t>SEWERAGE TARIFFS</t>
  </si>
  <si>
    <t>43.60</t>
  </si>
  <si>
    <t>46.43</t>
  </si>
  <si>
    <t>49.68</t>
  </si>
  <si>
    <t>Households</t>
  </si>
  <si>
    <t>Business</t>
  </si>
  <si>
    <t>152.60</t>
  </si>
  <si>
    <t>162.52</t>
  </si>
  <si>
    <t>173.90</t>
  </si>
  <si>
    <t>REFUSE REMOVAL</t>
  </si>
  <si>
    <t>30.00</t>
  </si>
  <si>
    <t>31.95</t>
  </si>
  <si>
    <t>34.19</t>
  </si>
  <si>
    <t>Businesses</t>
  </si>
  <si>
    <t>37.00</t>
  </si>
  <si>
    <t>39.41</t>
  </si>
  <si>
    <t>42.17</t>
  </si>
  <si>
    <t>WATER CONSUMPTION</t>
  </si>
  <si>
    <t>Minimum charge</t>
  </si>
  <si>
    <t>21.50</t>
  </si>
  <si>
    <t>22.90</t>
  </si>
  <si>
    <t>24.50</t>
  </si>
  <si>
    <t>Free Basic</t>
  </si>
  <si>
    <t>2.00</t>
  </si>
  <si>
    <t>2.13</t>
  </si>
  <si>
    <t>2.28</t>
  </si>
  <si>
    <t>12+ Kiloliter</t>
  </si>
  <si>
    <t>2.20</t>
  </si>
  <si>
    <t>2.34</t>
  </si>
  <si>
    <t>2.50</t>
  </si>
  <si>
    <t>DOMESTIC</t>
  </si>
  <si>
    <t>19.50</t>
  </si>
  <si>
    <t>20.77</t>
  </si>
  <si>
    <t>21.83</t>
  </si>
  <si>
    <t>Per kwh</t>
  </si>
  <si>
    <t>0.35164</t>
  </si>
  <si>
    <t>0.37</t>
  </si>
  <si>
    <t>0.39</t>
  </si>
  <si>
    <t>2010/2011</t>
  </si>
  <si>
    <t>Allowance: Cell phone</t>
  </si>
  <si>
    <t>Dividends</t>
  </si>
  <si>
    <t>Community Facilities</t>
  </si>
  <si>
    <t>Garden refuse removal</t>
  </si>
  <si>
    <t>2011/2012</t>
  </si>
  <si>
    <t>Internet Services</t>
  </si>
  <si>
    <t>Financial management reforms</t>
  </si>
  <si>
    <t>BUSINESS ( ALL TOWNS)</t>
  </si>
  <si>
    <t>PUBLIC SERVICE INFRASTRUCTURE</t>
  </si>
  <si>
    <t>VERKEERDEVLEI</t>
  </si>
  <si>
    <t>STATE ( ALL TOWNS)</t>
  </si>
  <si>
    <t>Free basic to indigents</t>
  </si>
  <si>
    <t>Indigents 50 Kwh free</t>
  </si>
  <si>
    <t>Building material removal 6 cubic metre</t>
  </si>
  <si>
    <t>Gogta ( Financial Relief Grant)</t>
  </si>
  <si>
    <t>Sundry ( Reminder Fees)</t>
  </si>
  <si>
    <t>2012/2013</t>
  </si>
  <si>
    <t xml:space="preserve">INTERNAL CHARGES </t>
  </si>
  <si>
    <t>Fuel</t>
  </si>
  <si>
    <t>Chemicals</t>
  </si>
  <si>
    <t>Computer Software</t>
  </si>
  <si>
    <t>Floral arrangements</t>
  </si>
  <si>
    <t>Refreshments</t>
  </si>
  <si>
    <t>Stationery costs</t>
  </si>
  <si>
    <t>Materials/Consumables</t>
  </si>
  <si>
    <t>Departmental Electricity</t>
  </si>
  <si>
    <t>Trade publications/ Periodicals</t>
  </si>
  <si>
    <t>Uniforms</t>
  </si>
  <si>
    <t>Cellular Phone Charges</t>
  </si>
  <si>
    <t>Postage</t>
  </si>
  <si>
    <t>Telephones</t>
  </si>
  <si>
    <t>Entertainment</t>
  </si>
  <si>
    <t>Seminars/ Training Courses/ Congresses</t>
  </si>
  <si>
    <t>Travelling &amp;subsistence</t>
  </si>
  <si>
    <t>Advertisements</t>
  </si>
  <si>
    <t>Audit  external</t>
  </si>
  <si>
    <t>Bank Charges</t>
  </si>
  <si>
    <t>Branding internal</t>
  </si>
  <si>
    <t>Books &amp; publications</t>
  </si>
  <si>
    <t>Donations</t>
  </si>
  <si>
    <t>Capacity Development Programmes</t>
  </si>
  <si>
    <t>Campaigns</t>
  </si>
  <si>
    <t>Cleaning services</t>
  </si>
  <si>
    <t>Community participation</t>
  </si>
  <si>
    <t>Consolidations &amp; rezoning</t>
  </si>
  <si>
    <t>Consultant fees</t>
  </si>
  <si>
    <t>Contingencies</t>
  </si>
  <si>
    <t>Disaster relief</t>
  </si>
  <si>
    <t>Discretionary fund</t>
  </si>
  <si>
    <t>District Aids Council</t>
  </si>
  <si>
    <t>Election costs</t>
  </si>
  <si>
    <t>Experential training/ employee assistance</t>
  </si>
  <si>
    <t>Fire service</t>
  </si>
  <si>
    <t>Financial system changes</t>
  </si>
  <si>
    <t>Furniture &amp; equipment</t>
  </si>
  <si>
    <t>Free basic electric</t>
  </si>
  <si>
    <t>Grant In Aid</t>
  </si>
  <si>
    <t>Grave numbers</t>
  </si>
  <si>
    <t>IDP review</t>
  </si>
  <si>
    <t>Interest paid</t>
  </si>
  <si>
    <t>Lease charges Fleet Management</t>
  </si>
  <si>
    <t>Legal Services</t>
  </si>
  <si>
    <t>Levies RSC</t>
  </si>
  <si>
    <t>Levy  Bargaining council</t>
  </si>
  <si>
    <t>Levy  skills development</t>
  </si>
  <si>
    <t>Local government trasformation</t>
  </si>
  <si>
    <t>Lisence fees- financial system</t>
  </si>
  <si>
    <t>Lisence and Registration Fees</t>
  </si>
  <si>
    <t>Membership Fees  Salga</t>
  </si>
  <si>
    <t>Membership Fees  Professional Staff</t>
  </si>
  <si>
    <t>Pauper burials</t>
  </si>
  <si>
    <t>Post retirement medical liability</t>
  </si>
  <si>
    <t>Powers &amp; functions</t>
  </si>
  <si>
    <t>Publicity</t>
  </si>
  <si>
    <t>Public participation &amp; education</t>
  </si>
  <si>
    <t>Public awareness</t>
  </si>
  <si>
    <t>Rent  plant &amp; equipment</t>
  </si>
  <si>
    <t>Rent  offices equipment</t>
  </si>
  <si>
    <t>Rent  offices</t>
  </si>
  <si>
    <t>Security services</t>
  </si>
  <si>
    <t>Special programmes  Disability</t>
  </si>
  <si>
    <t>Special programmes  Gender</t>
  </si>
  <si>
    <t>Special programmes  HIV/AIDS</t>
  </si>
  <si>
    <t>Special programmes  Moral regeneration</t>
  </si>
  <si>
    <t>Special programmes  Youth</t>
  </si>
  <si>
    <t>Study assistance</t>
  </si>
  <si>
    <t>Translations</t>
  </si>
  <si>
    <t>Valuation costs</t>
  </si>
  <si>
    <t>Water Free Basic</t>
  </si>
  <si>
    <t>Creditors Arrears</t>
  </si>
  <si>
    <t>Training</t>
  </si>
  <si>
    <t>Rent  water dispenser</t>
  </si>
  <si>
    <t>Departmental Water</t>
  </si>
  <si>
    <t>Internal borrowings</t>
  </si>
  <si>
    <t>External borrowings</t>
  </si>
  <si>
    <t>Furniture and Equipment</t>
  </si>
  <si>
    <t>Capital programmes</t>
  </si>
  <si>
    <t>Accrued leave &amp; Bonusses</t>
  </si>
  <si>
    <t>Capital development fund</t>
  </si>
  <si>
    <t xml:space="preserve">Water meter testing </t>
  </si>
  <si>
    <t>Working capital ( Provision Bad Debts)</t>
  </si>
  <si>
    <t>Communal hall rent</t>
  </si>
  <si>
    <t>Grave Fees</t>
  </si>
  <si>
    <t>House rent</t>
  </si>
  <si>
    <t>Plant &amp; equipment rent</t>
  </si>
  <si>
    <t>Office rent</t>
  </si>
  <si>
    <t xml:space="preserve">Site rent </t>
  </si>
  <si>
    <t>Traffic fines</t>
  </si>
  <si>
    <t>Overdue book fines</t>
  </si>
  <si>
    <t>Allowance: Locomotion Fixed</t>
  </si>
  <si>
    <t>Audit internal</t>
  </si>
  <si>
    <t>OFFICE OF THE MAYOR</t>
  </si>
  <si>
    <t>OFFICE OF THE SPEAKER</t>
  </si>
  <si>
    <t>OFFICE OF THE MUNICIPAL MANAGER</t>
  </si>
  <si>
    <t>ASSESMENT RATES</t>
  </si>
  <si>
    <t>FINANCIAL SERVICES</t>
  </si>
  <si>
    <t>SOCIAL &amp; COMMUNITY SERVICES</t>
  </si>
  <si>
    <t>CEMETARIES ( SOCIAL AND COMMUNITY SERVICES)</t>
  </si>
  <si>
    <t>LIBRARIES ( SOCIAL AND COMMUNITY SERVICES)</t>
  </si>
  <si>
    <t>HOUSING ( SOCIAL AND COMMUNITY SERVICES)</t>
  </si>
  <si>
    <t>TRAFFIC ( SOCIAL AND COMMUNITY SERVICES)</t>
  </si>
  <si>
    <t>PARKS &amp; RECREATION ( SOCIAL AND COMMUNITY SERVICES)</t>
  </si>
  <si>
    <t>REFUSE SERVICES ( SOCIAL AND COMMUNITY SERVICES)</t>
  </si>
  <si>
    <t>SEWERAGE SERVICES ( INFRASTRUCTURE SERVICES)</t>
  </si>
  <si>
    <t>PUBLIC WORKS ( INFRASTRUCTURE SERVICES)</t>
  </si>
  <si>
    <t>WATER SERVICES ( INFRASTRUCTURE SERVICES)</t>
  </si>
  <si>
    <t>ELECTRICITY SERVICES ( INFRASTRUCTURE SERVICES)</t>
  </si>
  <si>
    <t>SOCIAL &amp; COMMUNITY SERVICE</t>
  </si>
  <si>
    <t>CEMETARIES</t>
  </si>
  <si>
    <t>COMMUNITY &amp; SOCIAL SERVICES</t>
  </si>
  <si>
    <t>Lisence fees- financial system( VIP)</t>
  </si>
  <si>
    <t>Selling of sites</t>
  </si>
  <si>
    <t>Advertisements ( Masilonyana News)</t>
  </si>
  <si>
    <t>Community participation funded by MSIG</t>
  </si>
  <si>
    <t>Audit internal ( Funded by FMG ) Audit committee</t>
  </si>
  <si>
    <t>Contigencies</t>
  </si>
  <si>
    <t>Accrued leave</t>
  </si>
  <si>
    <t xml:space="preserve">Accrued leave </t>
  </si>
  <si>
    <t>TARIFFS MASILONYANA MUNICIPALITY</t>
  </si>
  <si>
    <t>APPROVED TARIFFS</t>
  </si>
  <si>
    <t>0-10 Kiloliter</t>
  </si>
  <si>
    <t>10-12 Kiloliter</t>
  </si>
  <si>
    <t>Municipal Systems Improvement Grant</t>
  </si>
  <si>
    <t>2013/2014</t>
  </si>
  <si>
    <t>INCOME &amp; EXPENDITURE  FOR THE YEAR ENDING 30 JUNE 2012</t>
  </si>
  <si>
    <t>Long Service Bonus</t>
  </si>
  <si>
    <t>Long service bonus</t>
  </si>
  <si>
    <t>Salary increase</t>
  </si>
  <si>
    <t>Assumptions and inputs</t>
  </si>
  <si>
    <t>Inflation</t>
  </si>
  <si>
    <t>Section 57</t>
  </si>
  <si>
    <t>Councilors</t>
  </si>
  <si>
    <t>Provision for Bad Debts(Collection Rates)</t>
  </si>
  <si>
    <t>0.0%</t>
  </si>
  <si>
    <t xml:space="preserve">Advertisements </t>
  </si>
  <si>
    <t>Free basic electric ( Indigent subsidy)</t>
  </si>
  <si>
    <t>Water Free Basic ( Indigent subsidy)</t>
  </si>
  <si>
    <t>ADJ BUDGET</t>
  </si>
  <si>
    <t>Postage ( Consumer Accounts)</t>
  </si>
  <si>
    <t>PMS Implementation</t>
  </si>
  <si>
    <t>Financial Assets ( Scanners)</t>
  </si>
  <si>
    <t>Property rates (Indigent subsidy)</t>
  </si>
  <si>
    <t>Refuse removal (Indigent subsidy)</t>
  </si>
  <si>
    <t>Sewerage blockages</t>
  </si>
  <si>
    <t>Sewerage connections</t>
  </si>
  <si>
    <t>Sewerage service charges</t>
  </si>
  <si>
    <t>Sewerage service charges ( Indigent subsidy)</t>
  </si>
  <si>
    <t>Water Free Basic (Indigent subsidy)</t>
  </si>
  <si>
    <t>2014/2015</t>
  </si>
  <si>
    <t xml:space="preserve">Valuation costs </t>
  </si>
  <si>
    <t xml:space="preserve">Financial system changes </t>
  </si>
  <si>
    <t>`</t>
  </si>
  <si>
    <t>ORIGINAL BUDGET</t>
  </si>
  <si>
    <t>ADJUSTED BUDGET</t>
  </si>
  <si>
    <t>FULL YEAR</t>
  </si>
  <si>
    <t>2015/2016</t>
  </si>
  <si>
    <t>EXPENDITURE  FOR THE YEAR ENDING 30 JUNE 2014</t>
  </si>
  <si>
    <t>INCOME  FOR THE YEAR ENDING 30 JUNE 2014</t>
  </si>
  <si>
    <t>Allocation of sites</t>
  </si>
  <si>
    <t>Second phase of Paving, Upgrading of gravel roads (including stormwater), which will be EPWP</t>
  </si>
  <si>
    <t>building a new library and the promise made by MEC Khothule on building a Sports complex in Tshepong</t>
  </si>
  <si>
    <t>Tshepong Brick making project</t>
  </si>
  <si>
    <t>AMOUNT</t>
  </si>
  <si>
    <t>FINANCIAL YEAR</t>
  </si>
  <si>
    <t xml:space="preserve">Upgrading of buildings &amp; offices </t>
  </si>
  <si>
    <t>Upgrading, maintenance &amp; installation of high mast lights</t>
  </si>
  <si>
    <t>Streets naming project</t>
  </si>
  <si>
    <t>Building of offices in Tshepong</t>
  </si>
  <si>
    <t>Fencing of oxidation ponds</t>
  </si>
  <si>
    <t>Constantly engaging the FS-Health Department on matters affecting patients and erection of the Ambulance / Bus stop</t>
  </si>
  <si>
    <t>Installation of 505 domestic water meters, 2 Zone meters &amp; 5 bulk-water meters</t>
  </si>
  <si>
    <t xml:space="preserve">Upgrading of oxidation ponds </t>
  </si>
  <si>
    <t>Cleaning of cemeteries in all 5 towns</t>
  </si>
  <si>
    <t>SOUTPAN</t>
  </si>
  <si>
    <t xml:space="preserve">Township establishment (Allocation of sites) </t>
  </si>
  <si>
    <t>Derelict Erven of which owners / occupants could not be traced; The derelict erven were disposed &amp; re-sold to the interested parties</t>
  </si>
  <si>
    <t>Second phase of Paving, Upgrading of gravel roads (including stormwater), which will be EPWP (labour intensive) project</t>
  </si>
  <si>
    <t>MLM to continue engaging the Dept of Sports, Arts &amp; Culture about building a Sports complex in Ikgomotseng</t>
  </si>
  <si>
    <t>Upgrading of buildings &amp; offices ; MLM offices, second phase &amp; completion of the Ikgomotseng community hall to resume by April 2013</t>
  </si>
  <si>
    <t>Soutpan / Ikgomotseng, Water treatment plant (R9.2 million) – 2013/2014 financial year</t>
  </si>
  <si>
    <t>Installation of 1027 water meters, 2 zone meters &amp; 5 bulk water meters (The project is under construction)</t>
  </si>
  <si>
    <t xml:space="preserve">Provision of Mega Liter storage reservoir, </t>
  </si>
  <si>
    <t xml:space="preserve">Upgrading of bulk water supply </t>
  </si>
  <si>
    <t xml:space="preserve"> Upgrading, maintenance &amp; installation of high mast lights (Continuous)</t>
  </si>
  <si>
    <t>THEUNISSEN</t>
  </si>
  <si>
    <t>Derelict Ervin of which owners / occupants could not be traced; The derelict ervin were disposed &amp; re-sold to the interested parties</t>
  </si>
  <si>
    <t>Second phase of Paving, Upgrading of gravel roads (including storm-water), which will be EPWP (labour intensive) project</t>
  </si>
  <si>
    <t>Patching of potholes (30/06/2013) and continuous (36 jobs created)</t>
  </si>
  <si>
    <t>MLM to continue engaging the Premier’s Office &amp; the Mining houses about ZR Mahabane Brick making project</t>
  </si>
  <si>
    <t>Paving bricks for paving of streets to be purchased from the Z.R Mahabane brick making project</t>
  </si>
  <si>
    <t xml:space="preserve"> MLM to continue engaging the Dept of Sports, Arts &amp; Culture about funding the second &amp; final phase of Masilo Sports Complex</t>
  </si>
  <si>
    <t>Upgrading of buildings &amp; offices (30/06/2013 &amp; continuous); MLM offices, halls renovated &amp; sports grounds to follow in July 2013</t>
  </si>
  <si>
    <t>Erection of new cemeteries in Masilo &amp; Makeleketla</t>
  </si>
  <si>
    <t>MLM will still continue to engage Mining houses &amp; provincial departments to fund the fencing of cemeteries and paving roads leading to the cemeteries</t>
  </si>
  <si>
    <t>MLM to continue engaging the FS-Dept of Sports, Arts &amp; Culture to absorb Library services</t>
  </si>
  <si>
    <t>Refuse removal; 5 Tipper trucks to be leased from Goverment Garage</t>
  </si>
  <si>
    <t>Upgrading of water purification plant (30/06/2014)</t>
  </si>
  <si>
    <t>Construction of new surfaced roads and storm-water</t>
  </si>
  <si>
    <t>Grading of all (existing) gravel roads</t>
  </si>
  <si>
    <t>Maintenance of (existing) &amp; construction of new high mast lights</t>
  </si>
  <si>
    <t xml:space="preserve">Construction on new roads &amp; storm-water  </t>
  </si>
  <si>
    <t xml:space="preserve">Replacing asbestos pipe between Theunissen &amp; Brandfort </t>
  </si>
  <si>
    <t xml:space="preserve">Upgrading of water purification plant </t>
  </si>
  <si>
    <r>
      <rPr>
        <sz val="10"/>
        <color rgb="FF000000"/>
        <rFont val="Calibri"/>
        <family val="2"/>
      </rPr>
      <t xml:space="preserve">Installation of 3720 water meters, 2 zone meters &amp; 4 bulk water meters </t>
    </r>
    <r>
      <rPr>
        <i/>
        <sz val="10"/>
        <color rgb="FF000000"/>
        <rFont val="Calibri"/>
        <family val="2"/>
      </rPr>
      <t>(Project still ongoing/under construction)</t>
    </r>
  </si>
  <si>
    <r>
      <rPr>
        <sz val="10"/>
        <color rgb="FF000000"/>
        <rFont val="Calibri"/>
        <family val="2"/>
      </rPr>
      <t xml:space="preserve">Construction of clear water pump station;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</si>
  <si>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 Earth Dams;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</si>
  <si>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2ML resevoir;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</si>
  <si>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t>BRANDFORT</t>
  </si>
  <si>
    <t xml:space="preserve">Upgrading of buildings &amp; offices (30/06/2013 &amp; continuous); MLM offices, halls renovated &amp; sports grounds to follow in July 2013 </t>
  </si>
  <si>
    <t>MLM to engage Mining houses about funding the second phase of renovating Ipeleng Community Hall</t>
  </si>
  <si>
    <t>Majwemasweu Sports Complex which will be done in phases</t>
  </si>
  <si>
    <t>Fencing of cemeteries; (for THN, Winburg &amp; Brandfort)</t>
  </si>
  <si>
    <t>Refuse removal; 5 Tipper trucks to be leased from Govt Garage</t>
  </si>
  <si>
    <t>Winnie Mandela Museum – (Project of Lejweleputswa District Municipality, FS &amp; National Department of Arts &amp; Culture)</t>
  </si>
  <si>
    <t xml:space="preserve">Upgrading of water purification plant (30/06/2015) MLM in a process of registering the project </t>
  </si>
  <si>
    <r>
      <rPr>
        <sz val="10"/>
        <color rgb="FF000000"/>
        <rFont val="Calibri"/>
        <family val="2"/>
      </rPr>
      <t>Upgrading of Water Purification Plant, Phase 1; (The 1</t>
    </r>
    <r>
      <rPr>
        <vertAlign val="superscript"/>
        <sz val="10"/>
        <color rgb="FF000000"/>
        <rFont val="Calibri"/>
        <family val="2"/>
      </rPr>
      <t>st</t>
    </r>
    <r>
      <rPr>
        <sz val="10"/>
        <color rgb="FF000000"/>
        <rFont val="Calibri"/>
        <family val="2"/>
      </rPr>
      <t xml:space="preserve"> Phase is complete &amp; the 2</t>
    </r>
    <r>
      <rPr>
        <vertAlign val="superscript"/>
        <sz val="10"/>
        <color rgb="FF000000"/>
        <rFont val="Calibri"/>
        <family val="2"/>
      </rPr>
      <t>nd</t>
    </r>
    <r>
      <rPr>
        <sz val="10"/>
        <color rgb="FF000000"/>
        <rFont val="Calibri"/>
        <family val="2"/>
      </rPr>
      <t xml:space="preserve"> Phase to start immediately after MIG approval</t>
    </r>
  </si>
  <si>
    <t>Upgrading of Waste Disposal Site; The project could not be implemented with the available budget, therefore budget maintenance has been submitted</t>
  </si>
  <si>
    <t>Installation of 2719 Water Meters &amp; 3 Bulk-Water Meters; (The project is still under-construction</t>
  </si>
  <si>
    <t xml:space="preserve">Upgrading of Water-Purification Plant Phase 2; </t>
  </si>
  <si>
    <t>Construction of Brandfort Sports Center; (To be implemented in phases)</t>
  </si>
  <si>
    <t>WINBURG</t>
  </si>
  <si>
    <t>Township establishment (Allocation of sites); MLM Council still to approve the layout plan for Winburg / Makeleketla, the plan has been submitted to the Township Board for approval</t>
  </si>
  <si>
    <t>MLM to engage Mining houses about funding the second phase of renovating Winburg Sports Grounds</t>
  </si>
  <si>
    <t>Makeleketla Sports Complex which will be done in phases to the value of R7.4 (MIG Fund); the project is under construction</t>
  </si>
  <si>
    <t>Fencing of cemeteries; (R1.5m for THN, Winburg &amp; Brandfort)</t>
  </si>
  <si>
    <t>Erection of new cemeteries; (R641 000) for both Makeleketla &amp; Masilo</t>
  </si>
  <si>
    <t>Eradication of 1261 buckets (R28.5m); project still under construction &amp; experiencing challenges of hard rock lying beneath the surface</t>
  </si>
  <si>
    <t>Upgrading of existing Waste-Water treatment works (R14.5m); The project is been divided into mechanical &amp; civil works and is at construction stage</t>
  </si>
  <si>
    <t>Upgrading of storm-water drainage (R3.1m) &amp; the project is complete</t>
  </si>
  <si>
    <t>Construction of 0.8km residential distributor streets (R5.9m) &amp; the project is complete</t>
  </si>
  <si>
    <t>Installation of 3122 water meters &amp; 3 zone meters (R7.4m) &amp; the project is under construction</t>
  </si>
  <si>
    <t>Construction &amp; surface of 1.5km distributor road &amp; storm-water drainage, phase 2 (R11.5m) &amp; still has to go through the procurement process</t>
  </si>
  <si>
    <t>Winburg / Makeleketla Sports Center (R7.4m) &amp; the project is Under-Construction</t>
  </si>
  <si>
    <t>Construction of 4ML reservoir (R9m) &amp; the project will be implemented in 2014/2015</t>
  </si>
  <si>
    <t xml:space="preserve">Upgrading of water treatment works (R24.7m), project still to be registered &amp; will be implemented on 2014/2015 financial year </t>
  </si>
  <si>
    <t>RBIG</t>
  </si>
  <si>
    <t>SOURCE OF FUNDING</t>
  </si>
  <si>
    <t>LIST OF PROJECTS AS PER THE IDP</t>
  </si>
  <si>
    <t>Dept of Sports,Arts &amp; Culture</t>
  </si>
  <si>
    <t>Provincial Departments</t>
  </si>
  <si>
    <t>Donations/Bursaries</t>
  </si>
  <si>
    <t>Legal Services ( Ass Man appointed)</t>
  </si>
  <si>
    <t>Cash Collecting service</t>
  </si>
  <si>
    <t>Cash Collecting Service</t>
  </si>
  <si>
    <t>EPWP</t>
  </si>
  <si>
    <t>Capital programmes Upgrading of Offices/Paypoints</t>
  </si>
  <si>
    <t>Councillors Support Grant</t>
  </si>
  <si>
    <t>Donations ( Bursaries)&amp; Special Programmes</t>
  </si>
  <si>
    <t>AGRICULTURE (residential tariff/4)</t>
  </si>
  <si>
    <t>Free to indigents</t>
  </si>
  <si>
    <t>Salaries:Vacant ( CTC )</t>
  </si>
  <si>
    <t>Unmetered water usage Flat rate</t>
  </si>
  <si>
    <t xml:space="preserve">Salaries </t>
  </si>
  <si>
    <t>Site Rent</t>
  </si>
  <si>
    <t>Vehicles ( Sedan)</t>
  </si>
  <si>
    <t>Donations (Busaries)</t>
  </si>
  <si>
    <t>Policy review ,PMS Implementation,Medical Survellance</t>
  </si>
  <si>
    <t xml:space="preserve">Furniture &amp; equipment </t>
  </si>
  <si>
    <t>Busaries Income from Mines</t>
  </si>
  <si>
    <t>DIRECT OPERATING INCOME</t>
  </si>
  <si>
    <t>Buckets per month</t>
  </si>
  <si>
    <t>Flat rate per month</t>
  </si>
  <si>
    <t>Operating Income</t>
  </si>
  <si>
    <t xml:space="preserve">Operating Resutls (Excl. MIG) </t>
  </si>
  <si>
    <t>Operating Expenditure</t>
  </si>
  <si>
    <t>Surplus/Deficit</t>
  </si>
  <si>
    <t>Long Service Bonusses</t>
  </si>
  <si>
    <t>Strategic Support</t>
  </si>
  <si>
    <t>TARIFFS</t>
  </si>
  <si>
    <t>RESIDENTIAL</t>
  </si>
  <si>
    <t>FINAL APPROVED BUDGET</t>
  </si>
  <si>
    <t>2016/2017</t>
  </si>
  <si>
    <t>2016/17</t>
  </si>
  <si>
    <t xml:space="preserve">ACTUAL </t>
  </si>
  <si>
    <t>EXPENDITURE  FOR THE PERIOD ENDING 31 DEC  2013</t>
  </si>
  <si>
    <t>NET OPERATING INCOME/LOSS</t>
  </si>
  <si>
    <t>Adjustment</t>
  </si>
  <si>
    <t>Full year forecast</t>
  </si>
  <si>
    <t>Income from mines</t>
  </si>
  <si>
    <t xml:space="preserve"> INCOME GENERATED</t>
  </si>
  <si>
    <t>CAPITAL EXPENDITURE</t>
  </si>
  <si>
    <t>OWN INCOME</t>
  </si>
  <si>
    <t>TOTAL CAPITAL EXPENDITURE</t>
  </si>
  <si>
    <t>DIRECT OPERATING REVENUE</t>
  </si>
  <si>
    <t>TOWN HALL &amp; OFFICES (SOCIAL AND COMMUNITY SERVICES)</t>
  </si>
  <si>
    <t>PROPERTIES (SOCIAL AND COMMUNITY SERVICES)</t>
  </si>
  <si>
    <t>Bulk Line</t>
  </si>
  <si>
    <t xml:space="preserve">EXPENDITURE  </t>
  </si>
  <si>
    <t xml:space="preserve">INCOME  </t>
  </si>
  <si>
    <t xml:space="preserve">INCOME </t>
  </si>
  <si>
    <t>CAPITAL BUDGET</t>
  </si>
  <si>
    <t>DEPARTMENT</t>
  </si>
  <si>
    <t>TOWN</t>
  </si>
  <si>
    <t>2005 /2006</t>
  </si>
  <si>
    <t>2006 /2007</t>
  </si>
  <si>
    <t>2007 /2008</t>
  </si>
  <si>
    <t>OWN</t>
  </si>
  <si>
    <t>VEHICLES</t>
  </si>
  <si>
    <t>MAYORS OFFICE</t>
  </si>
  <si>
    <t>SPEAKER</t>
  </si>
  <si>
    <t>PMU BUDGET</t>
  </si>
  <si>
    <t>ALL TOWNS</t>
  </si>
  <si>
    <t>VEHICLE</t>
  </si>
  <si>
    <t>TOTAL EXECUTIVE &amp; COUNCIL</t>
  </si>
  <si>
    <t>FINANCE SERVICE</t>
  </si>
  <si>
    <t>CORPORATE</t>
  </si>
  <si>
    <t>OFFICE FURNITURE</t>
  </si>
  <si>
    <t>UPGRADING OF OFFICES</t>
  </si>
  <si>
    <t>LOAN CAPITAL REPAYMENTS</t>
  </si>
  <si>
    <t>TOTAL FINANCE &amp; ADMINSTRATION</t>
  </si>
  <si>
    <t>SOCIAL AND COMMUNITY SERVICES</t>
  </si>
  <si>
    <t>CEMETERY</t>
  </si>
  <si>
    <t>THEUNISSEN/WINBURG/BRANFORD</t>
  </si>
  <si>
    <t>ESTABLISHMENT</t>
  </si>
  <si>
    <t>FENCING</t>
  </si>
  <si>
    <t>MINES &amp; PROV DEPARTMENTS</t>
  </si>
  <si>
    <t>LOW BED</t>
  </si>
  <si>
    <t>TLB</t>
  </si>
  <si>
    <t>MAKELEKETLA&amp;MASILO</t>
  </si>
  <si>
    <t>NEW CEMETERY</t>
  </si>
  <si>
    <t>LDV</t>
  </si>
  <si>
    <t>THEUNISSEN/ MASILO</t>
  </si>
  <si>
    <t>ACCESS ROAD</t>
  </si>
  <si>
    <t>SOUTPAN/IKGOMOTSENG</t>
  </si>
  <si>
    <t>ROADS</t>
  </si>
  <si>
    <t>WINBURG/ MAKELEKETLA</t>
  </si>
  <si>
    <t>PEDESTRIAN CROSSINGS</t>
  </si>
  <si>
    <t>BRANDFORT/ MAJWEMASWEU</t>
  </si>
  <si>
    <t>SOUTPAN/ IKGOMOTSENG</t>
  </si>
  <si>
    <t>VERKEERDEVLEI/ TSHEPONG</t>
  </si>
  <si>
    <t>TOWNSHIP ESTABLISHMENT(ALLOCATION OF SITES)</t>
  </si>
  <si>
    <t>STREET NAMING PROJECT</t>
  </si>
  <si>
    <t>BUILDING OF OFFICES</t>
  </si>
  <si>
    <t>UNKNOWN</t>
  </si>
  <si>
    <t>PARKS</t>
  </si>
  <si>
    <t>VERKEERDEVLEI/THEUNISSEN/SOUTPAN</t>
  </si>
  <si>
    <t>IRRIGATION SYSTEM FOR SOCCERFIELDS</t>
  </si>
  <si>
    <t>TOTAL SOCIAL AND COMMUNITY SERVICES</t>
  </si>
  <si>
    <t>MIG/FS/0748/CF/09/10</t>
  </si>
  <si>
    <t>BRANDFORT/MAJWEMASWEU</t>
  </si>
  <si>
    <t>SPORTS COMPLEX</t>
  </si>
  <si>
    <t>MIG/FS/0752/CF/09/09</t>
  </si>
  <si>
    <t>WINBURG/MAKELEKETLA</t>
  </si>
  <si>
    <t>TOTAL SPORTS &amp; RECREATION</t>
  </si>
  <si>
    <t>FENCING &amp; INCENERATORS</t>
  </si>
  <si>
    <t>MIG/FS/0842/SW/11/11</t>
  </si>
  <si>
    <t>UPGRADING WASTE DISPOSAL SITE</t>
  </si>
  <si>
    <t>TIPPERS,LDV'S</t>
  </si>
  <si>
    <t>TOTAL WASTE MANAGEMENT</t>
  </si>
  <si>
    <t>SANITATION</t>
  </si>
  <si>
    <t>BUCKET ERADICATION</t>
  </si>
  <si>
    <t>OTHER MIG PROJECTS</t>
  </si>
  <si>
    <t>UPGRADING OF SEWER PONDS</t>
  </si>
  <si>
    <t>MIG/FS/0587/S/07/07</t>
  </si>
  <si>
    <t xml:space="preserve">UPGRADING OF EXISTING WASTE WATER TREATMENT </t>
  </si>
  <si>
    <t>1050 BUCKETS</t>
  </si>
  <si>
    <t>BUCKETS</t>
  </si>
  <si>
    <t>UPGRADING OF OXIDATION PONDS</t>
  </si>
  <si>
    <t>BUCKET 1261 ERVEN</t>
  </si>
  <si>
    <t>PMU EXPENSES</t>
  </si>
  <si>
    <t>PMU</t>
  </si>
  <si>
    <t>TOTAL WASTE WATER MANAGEMENT</t>
  </si>
  <si>
    <t>STREETS &amp; STORMWATER</t>
  </si>
  <si>
    <t>UPGRADING STREETS TO SURFACE</t>
  </si>
  <si>
    <t>MIG/FS/0874/R,ST/12/12</t>
  </si>
  <si>
    <t>RESIDENTIAL STREET 1.5 KMS</t>
  </si>
  <si>
    <t>UPGRADING OF GRAVEL ROADS,PAVING</t>
  </si>
  <si>
    <t>EPWP &amp; OWN</t>
  </si>
  <si>
    <t>PATCHING OF POTHOLES</t>
  </si>
  <si>
    <t>TOTAL ROADS TRANSPORT</t>
  </si>
  <si>
    <t>WATER DISTRIBUTION</t>
  </si>
  <si>
    <t>THEUNISSEN/BRANDFORT</t>
  </si>
  <si>
    <t>WATER RBIG (DWA)</t>
  </si>
  <si>
    <t>MIG/FS/0703/W/11/12</t>
  </si>
  <si>
    <t>UPGRADING WATER PURIFICATION PLANT</t>
  </si>
  <si>
    <t>BULK WATER PIPELINE</t>
  </si>
  <si>
    <t>WATER TREATMENT PLANT</t>
  </si>
  <si>
    <t>MIG/FS/0655/W/08/09</t>
  </si>
  <si>
    <t>MEGA LITRE STORAGE RESEVOIR</t>
  </si>
  <si>
    <t>THEUNISSEN/MASILO</t>
  </si>
  <si>
    <t>CLEAR WATER STATION</t>
  </si>
  <si>
    <t>2ML RESEVOIR</t>
  </si>
  <si>
    <t>WATER METERS INSTALLATION 1027 METERS</t>
  </si>
  <si>
    <t>CONSTRUCTION OF 2 EARTH DAMS</t>
  </si>
  <si>
    <t>RESEVOIR</t>
  </si>
  <si>
    <t>MIG/FS/0657/W/08/09</t>
  </si>
  <si>
    <t>MIG/FS/0856/W/11/11</t>
  </si>
  <si>
    <t>WATER METERS</t>
  </si>
  <si>
    <t>VERKEERDEVLEI/TSHEPONG</t>
  </si>
  <si>
    <t>WATER METERS INSTALLATION 505 METERS</t>
  </si>
  <si>
    <t>RETIC NETWORK ( ISOLATION VALVES)</t>
  </si>
  <si>
    <t>WATER TANKERS</t>
  </si>
  <si>
    <t>TOTAL WATER</t>
  </si>
  <si>
    <t>ELECTRICITY DISTRIBUTION</t>
  </si>
  <si>
    <t>VEHICLES SERVICE DELIVERY DEPARTMENTS</t>
  </si>
  <si>
    <t>TOTAL ELECTRICITY</t>
  </si>
  <si>
    <t>LED PROJECTS</t>
  </si>
  <si>
    <t>SPORTS</t>
  </si>
  <si>
    <t>SPORTS,ARTS &amp; CULTURE</t>
  </si>
  <si>
    <t>CEMETERIES</t>
  </si>
  <si>
    <t>CLEANING OF CEMETERIES</t>
  </si>
  <si>
    <t>MINES</t>
  </si>
  <si>
    <t>GRAVEL LEADING TO INFORMAL SETTLEMENT OUTSIDE BEATRIX MINE</t>
  </si>
  <si>
    <t>CLEANING OF WARDS &amp; REMOVING ILLEGAL DUMPS</t>
  </si>
  <si>
    <t>TOTAL CAPEX</t>
  </si>
  <si>
    <t>Sources of Funding Summary</t>
  </si>
  <si>
    <t>Own</t>
  </si>
  <si>
    <t>Unknown</t>
  </si>
  <si>
    <t>Premiers Office and Mines</t>
  </si>
  <si>
    <t>Mines</t>
  </si>
  <si>
    <t>Dept Sport,Arts and Culture</t>
  </si>
  <si>
    <t>1</t>
  </si>
  <si>
    <t xml:space="preserve">WINBURG </t>
  </si>
  <si>
    <t>Property</t>
  </si>
  <si>
    <t>0.225</t>
  </si>
  <si>
    <t>0.024</t>
  </si>
  <si>
    <t>0.30</t>
  </si>
  <si>
    <t xml:space="preserve">SOUTPAN </t>
  </si>
  <si>
    <t>0.08</t>
  </si>
  <si>
    <t>0.09</t>
  </si>
  <si>
    <t>0.10</t>
  </si>
  <si>
    <t xml:space="preserve">THEUNISSEN </t>
  </si>
  <si>
    <t>0.111</t>
  </si>
  <si>
    <t>0.12</t>
  </si>
  <si>
    <t>0.13</t>
  </si>
  <si>
    <t xml:space="preserve">BRANDFORT </t>
  </si>
  <si>
    <t>0.0641</t>
  </si>
  <si>
    <t>0.07</t>
  </si>
  <si>
    <t>2</t>
  </si>
  <si>
    <t>Schools with septic tanks per cubic meter</t>
  </si>
  <si>
    <t>545.00</t>
  </si>
  <si>
    <t>580.43</t>
  </si>
  <si>
    <t>621.06</t>
  </si>
  <si>
    <t>Schools with sewerage</t>
  </si>
  <si>
    <t>527.56</t>
  </si>
  <si>
    <t>561.85</t>
  </si>
  <si>
    <t>601.18</t>
  </si>
  <si>
    <t>Post Office</t>
  </si>
  <si>
    <t>529.74</t>
  </si>
  <si>
    <t>564.17</t>
  </si>
  <si>
    <t>603.66</t>
  </si>
  <si>
    <t>SAPS</t>
  </si>
  <si>
    <t>Correctional Services</t>
  </si>
  <si>
    <t>5749.75</t>
  </si>
  <si>
    <t>6123.48</t>
  </si>
  <si>
    <t>6552.12</t>
  </si>
  <si>
    <t>Hostels</t>
  </si>
  <si>
    <t>158.05</t>
  </si>
  <si>
    <t>168.32</t>
  </si>
  <si>
    <t>180.10</t>
  </si>
  <si>
    <t>Dept of Justice</t>
  </si>
  <si>
    <t>178.76</t>
  </si>
  <si>
    <t>190.38</t>
  </si>
  <si>
    <t>203.71</t>
  </si>
  <si>
    <t>SAPS Quarters and Hostels</t>
  </si>
  <si>
    <t>1008.25</t>
  </si>
  <si>
    <t>1073.79</t>
  </si>
  <si>
    <t>1148.96</t>
  </si>
  <si>
    <t>Hospitals</t>
  </si>
  <si>
    <t>7788.05</t>
  </si>
  <si>
    <t>8294.27</t>
  </si>
  <si>
    <t>8874.87</t>
  </si>
  <si>
    <t>Traffic Department</t>
  </si>
  <si>
    <t>179.85</t>
  </si>
  <si>
    <t>191.54</t>
  </si>
  <si>
    <t>204.95</t>
  </si>
  <si>
    <t>Old age homes</t>
  </si>
  <si>
    <t>359.70</t>
  </si>
  <si>
    <t>383.08</t>
  </si>
  <si>
    <t>409.90</t>
  </si>
  <si>
    <t>Households with Septic Tanks per cubic meter</t>
  </si>
  <si>
    <t>64.31</t>
  </si>
  <si>
    <t>68.49</t>
  </si>
  <si>
    <t>73.28</t>
  </si>
  <si>
    <t>Business with Septic Tanks</t>
  </si>
  <si>
    <t>140.00</t>
  </si>
  <si>
    <t>149.10</t>
  </si>
  <si>
    <t>159.54</t>
  </si>
  <si>
    <t>Opening of a blocked drain</t>
  </si>
  <si>
    <t>150.00</t>
  </si>
  <si>
    <t>159.75</t>
  </si>
  <si>
    <t>170.93</t>
  </si>
  <si>
    <t>3</t>
  </si>
  <si>
    <t>4</t>
  </si>
  <si>
    <t>REPAIR WORK</t>
  </si>
  <si>
    <t>Actual cost plus 10%</t>
  </si>
  <si>
    <t>RECONNECTION FEES</t>
  </si>
  <si>
    <t>Reconnection</t>
  </si>
  <si>
    <t>80.00</t>
  </si>
  <si>
    <t>85.60</t>
  </si>
  <si>
    <t>BUSINESS</t>
  </si>
  <si>
    <t>Minimum</t>
  </si>
  <si>
    <t>48.60</t>
  </si>
  <si>
    <t>51.76</t>
  </si>
  <si>
    <t>54.40</t>
  </si>
  <si>
    <t>0.40186</t>
  </si>
  <si>
    <t>0.43</t>
  </si>
  <si>
    <t>0.45</t>
  </si>
  <si>
    <t>BULK CONSUMERS</t>
  </si>
  <si>
    <t>60.00</t>
  </si>
  <si>
    <t>63.90</t>
  </si>
  <si>
    <t>67.16</t>
  </si>
  <si>
    <t>0.1944</t>
  </si>
  <si>
    <t>0.21</t>
  </si>
  <si>
    <t>0.22</t>
  </si>
  <si>
    <t>DEPARTMENTAL USAGE</t>
  </si>
  <si>
    <t>All users</t>
  </si>
  <si>
    <t>0.3721</t>
  </si>
  <si>
    <t>0.40</t>
  </si>
  <si>
    <t>0.42</t>
  </si>
  <si>
    <t>Actual cost plus 20%</t>
  </si>
  <si>
    <t>As stated in the Credit Control Policy</t>
  </si>
  <si>
    <t>160.50</t>
  </si>
  <si>
    <t>REMINDER FEES</t>
  </si>
  <si>
    <t>Reminder to pay account</t>
  </si>
  <si>
    <t>20.00</t>
  </si>
  <si>
    <t>21.40</t>
  </si>
  <si>
    <t xml:space="preserve">DEPOSIT </t>
  </si>
  <si>
    <t>Households and flats</t>
  </si>
  <si>
    <t>550.00</t>
  </si>
  <si>
    <t>950.00</t>
  </si>
  <si>
    <t>Connection fee</t>
  </si>
  <si>
    <t xml:space="preserve">TESTING OF ELECTRICITY METER </t>
  </si>
  <si>
    <t>Actual cost</t>
  </si>
  <si>
    <t>75.00</t>
  </si>
  <si>
    <t>SPECIAL METER READING</t>
  </si>
  <si>
    <t>All consumers</t>
  </si>
  <si>
    <t>25.00</t>
  </si>
  <si>
    <t>6</t>
  </si>
  <si>
    <t>TREASURER</t>
  </si>
  <si>
    <t>Clearance certificate</t>
  </si>
  <si>
    <t>50.00</t>
  </si>
  <si>
    <t>Valuation certificate</t>
  </si>
  <si>
    <t>35.00</t>
  </si>
  <si>
    <t>Photostats A4</t>
  </si>
  <si>
    <t>Photostats A3</t>
  </si>
  <si>
    <t>3.00</t>
  </si>
  <si>
    <t>Faxed received</t>
  </si>
  <si>
    <t>Faxed send</t>
  </si>
  <si>
    <t>5.00</t>
  </si>
  <si>
    <t>7</t>
  </si>
  <si>
    <t>BUILDING PLAN FEES</t>
  </si>
  <si>
    <t>New Building</t>
  </si>
  <si>
    <t>130.00</t>
  </si>
  <si>
    <t>Alterations to existing buildings</t>
  </si>
  <si>
    <t>8</t>
  </si>
  <si>
    <t>POUND FEES</t>
  </si>
  <si>
    <t>Cows, bulls and horses</t>
  </si>
  <si>
    <t>10.00</t>
  </si>
  <si>
    <t>Sheep and goats</t>
  </si>
  <si>
    <t>Herding fees - per kilometre</t>
  </si>
  <si>
    <t>Admin cost</t>
  </si>
  <si>
    <t>10%</t>
  </si>
  <si>
    <t>Theunissen, Brandfort, Winburg, Verkeerdevlei and Soutpan</t>
  </si>
  <si>
    <t>Residents</t>
  </si>
  <si>
    <t>250.00</t>
  </si>
  <si>
    <t>Non-residents</t>
  </si>
  <si>
    <t>400.00</t>
  </si>
  <si>
    <t>Reservation of a grave (36 months)</t>
  </si>
  <si>
    <t>225.00</t>
  </si>
  <si>
    <t>Masilo, Majwemasoeu, Ikgomotseng, Tshepong and Makeleketla</t>
  </si>
  <si>
    <t>100.00</t>
  </si>
  <si>
    <t>Digging of own grave</t>
  </si>
  <si>
    <t>Burial in case of grave already purchased</t>
  </si>
  <si>
    <t>175.00</t>
  </si>
  <si>
    <t>Burial of cremated corpses</t>
  </si>
  <si>
    <t>85.00</t>
  </si>
  <si>
    <t>Two people to be buried in one grave (additional)</t>
  </si>
  <si>
    <t>200.00</t>
  </si>
  <si>
    <t>Closing of graves by Municipal Staff and equipment for burial on Saturdays,</t>
  </si>
  <si>
    <t>300.00</t>
  </si>
  <si>
    <t>Sundays and any public holiday as well as after 15H00 on any working day</t>
  </si>
  <si>
    <t xml:space="preserve">Children under age of 9 years All units </t>
  </si>
  <si>
    <t>HALLS</t>
  </si>
  <si>
    <t>Town Hall (Main)</t>
  </si>
  <si>
    <t>Deposit( Activities in general)</t>
  </si>
  <si>
    <t>Deposit(Indemnity for high risk activities)</t>
  </si>
  <si>
    <t>Town Hall (Side)</t>
  </si>
  <si>
    <t>Deposit</t>
  </si>
  <si>
    <t>Kitchen</t>
  </si>
  <si>
    <t>Community Hall</t>
  </si>
  <si>
    <t>Library Hall</t>
  </si>
  <si>
    <t>Rental Showgrounds and sport fields</t>
  </si>
  <si>
    <t>Deposit Showgrounds and sport fields</t>
  </si>
  <si>
    <t>Encroachments of boundaries</t>
  </si>
  <si>
    <t>Residential/Businesses</t>
  </si>
  <si>
    <t>Year</t>
  </si>
  <si>
    <t>Per annum</t>
  </si>
  <si>
    <t>INDIGENCY DISCOUNTS</t>
  </si>
  <si>
    <t>All Services and Rates for Residential Households</t>
  </si>
  <si>
    <t>See tariffs as per service</t>
  </si>
  <si>
    <t>SELLING OF ERVEN</t>
  </si>
  <si>
    <t>The valuation price will be the selling price</t>
  </si>
  <si>
    <t>Undeveloped residential sites</t>
  </si>
  <si>
    <t>R1.00 per sq meter</t>
  </si>
  <si>
    <t>R1.07 per sq meter</t>
  </si>
  <si>
    <t>R1.13 per sq meter</t>
  </si>
  <si>
    <t>R1.20 per sq meter</t>
  </si>
  <si>
    <t>R1.28 per sq meter</t>
  </si>
  <si>
    <t>R1.37 per sq meter</t>
  </si>
  <si>
    <t>Developed residential sites</t>
  </si>
  <si>
    <t>R1.50 per sq meter</t>
  </si>
  <si>
    <t>R1.61 per sq meter</t>
  </si>
  <si>
    <t>R1.71 per sq meter</t>
  </si>
  <si>
    <t>R1.82 per sq meter</t>
  </si>
  <si>
    <t>R1.95 per sq meter</t>
  </si>
  <si>
    <t>R2.09 per sq meter</t>
  </si>
  <si>
    <t>Undeveloped business sites</t>
  </si>
  <si>
    <t>R2.50 per sq meter</t>
  </si>
  <si>
    <t>R2.68 per sq meter</t>
  </si>
  <si>
    <t>R2.84 per sq meter</t>
  </si>
  <si>
    <t>R3.00 per sq meter</t>
  </si>
  <si>
    <t>R3.21 per sq meter</t>
  </si>
  <si>
    <t>R3.43 per sq meter</t>
  </si>
  <si>
    <t>Developed business sites</t>
  </si>
  <si>
    <t>R4.00 per sq meter</t>
  </si>
  <si>
    <t>R4.28 per sq meter</t>
  </si>
  <si>
    <t>R4.54 per sq meter</t>
  </si>
  <si>
    <t>R4.85 per sq meter</t>
  </si>
  <si>
    <t>R5.20 per sq meter</t>
  </si>
  <si>
    <t>R5.57 per sq meter</t>
  </si>
  <si>
    <t>Sale of land for social housing</t>
  </si>
  <si>
    <t>R7.00 per sq meter</t>
  </si>
  <si>
    <t>R7.46 per sq meter</t>
  </si>
  <si>
    <t>R7.98 per sq meter</t>
  </si>
  <si>
    <t>R8.54 per sq meter</t>
  </si>
  <si>
    <t>RENT OF ERVEN</t>
  </si>
  <si>
    <t>R1.40 per sq meter</t>
  </si>
  <si>
    <t>R2.10 per sq meter</t>
  </si>
  <si>
    <t>R3.50 per sq meter</t>
  </si>
  <si>
    <t>R5.60 per sq meter</t>
  </si>
  <si>
    <t>R9.00 per sq meter</t>
  </si>
  <si>
    <t>SELLING OF SCRAP METAL / MATERIAL</t>
  </si>
  <si>
    <t>To be determined by the Municipal Manager and or sold on auction</t>
  </si>
  <si>
    <t>SUNDRY TARIFFS</t>
  </si>
  <si>
    <t>Bush Cutter</t>
  </si>
  <si>
    <t>rate per hour</t>
  </si>
  <si>
    <t>Tipper Truck</t>
  </si>
  <si>
    <t>Tractor</t>
  </si>
  <si>
    <t>Brush Cutter</t>
  </si>
  <si>
    <t>Trailer</t>
  </si>
  <si>
    <t>Chain Saw</t>
  </si>
  <si>
    <t>Compressor</t>
  </si>
  <si>
    <t>Grader</t>
  </si>
  <si>
    <t>Cherry Picker</t>
  </si>
  <si>
    <t>Admin fees &amp; avail of Municipal land</t>
  </si>
  <si>
    <t>Admin fees for initiation school not on municipal land</t>
  </si>
  <si>
    <t>Tender fees</t>
  </si>
  <si>
    <t>COMMONAGE TARIFFS</t>
  </si>
  <si>
    <t>Per month per head for cattle</t>
  </si>
  <si>
    <t>Per month per head for sheep</t>
  </si>
  <si>
    <t>Per month per head for pigs</t>
  </si>
  <si>
    <t>Per month per head for horses</t>
  </si>
  <si>
    <t>Rent of creaches</t>
  </si>
  <si>
    <t>R5.00 per sq meter</t>
  </si>
  <si>
    <t>maximum</t>
  </si>
  <si>
    <t xml:space="preserve">Containers on Municipal Properties </t>
  </si>
  <si>
    <t>200.00/month</t>
  </si>
  <si>
    <t>213.00/month</t>
  </si>
  <si>
    <t>230.00/month</t>
  </si>
  <si>
    <t>Transfer of sites from one person to another in</t>
  </si>
  <si>
    <t>The township</t>
  </si>
  <si>
    <t>Sale of gravel</t>
  </si>
  <si>
    <t>Sale of soil</t>
  </si>
  <si>
    <t>Erection of advertisements Temporary</t>
  </si>
  <si>
    <t>R 1.5 per day per poster</t>
  </si>
  <si>
    <t>Erection of advertisements Permanent</t>
  </si>
  <si>
    <t>&lt;0.75 sq meter</t>
  </si>
  <si>
    <t>R500,00</t>
  </si>
  <si>
    <t>R535</t>
  </si>
  <si>
    <t>0.75 -1.5 sq meter</t>
  </si>
  <si>
    <t>R750,00</t>
  </si>
  <si>
    <t>R800</t>
  </si>
  <si>
    <t>1.5 -2.25 sq meter</t>
  </si>
  <si>
    <t>R1000,00</t>
  </si>
  <si>
    <t>R1070</t>
  </si>
  <si>
    <r>
      <t>NB:</t>
    </r>
    <r>
      <rPr>
        <i/>
        <sz val="8"/>
        <rFont val="Arial"/>
        <family val="2"/>
      </rPr>
      <t xml:space="preserve"> A 6 % increase on previous year's tariffs is effected for 2013/2014, except for</t>
    </r>
  </si>
  <si>
    <t>2015/2017</t>
  </si>
  <si>
    <t>MIG/FS0978/W/13/13</t>
  </si>
  <si>
    <t>UPGRADING OF WATER TREATMENT WORKS AND GROUND STORAGE RESEVOIR</t>
  </si>
  <si>
    <t>UPGRADING OF WATER TREATMENT WORKS AND CONSTRUCTION OF 2ML RESEVOIR</t>
  </si>
  <si>
    <t>MIG/FS0980/W/13/14</t>
  </si>
  <si>
    <t>MIG/FS0981/W/14/15</t>
  </si>
  <si>
    <t>UPGRADING OF WATER TREATMENT WORKS AND UPGRADE OF EARTH DAMS</t>
  </si>
  <si>
    <t>NOT REGISTERED</t>
  </si>
  <si>
    <t>CONTRUCTION OF WASTE DISPOSAL SITE</t>
  </si>
  <si>
    <t>CONSTRUCTION OF SEWER PUMP STATION</t>
  </si>
  <si>
    <t>UPGRADE OF OUTFALL SEWER</t>
  </si>
  <si>
    <t>electricity.Electricity tariffs has been increased by 7.39% as proposed by NERSA</t>
  </si>
  <si>
    <t>DATA SERVER PURCHASE</t>
  </si>
  <si>
    <t>DRAFT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</si>
</sst>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_-* #,##0.00_-;\-* #,##0.00_-;_-* &quot;-&quot;??_-;_-@_-"/>
    <numFmt numFmtId="168" formatCode="_ * #,##0_ ;_ * \-#,##0_ ;_ * &quot;-&quot;??_ ;_ @_ "/>
    <numFmt numFmtId="169" formatCode="#,##0_ ;\-#,##0\ "/>
    <numFmt numFmtId="170" formatCode="_(* #,##0_);_(* \(#,##0\);_(* &quot;-&quot;??_);_(@_)"/>
    <numFmt numFmtId="171" formatCode="_(* #,##0.000_);_(* \(#,##0.000\);_(* &quot;-&quot;??_);_(@_)"/>
    <numFmt numFmtId="172" formatCode="_ * #,##0.000_ ;_ * \-#,##0.000_ ;_ * &quot;-&quot;???_ ;_ @_ "/>
    <numFmt numFmtId="173" formatCode="#,##0.00_ ;\-#,##0.00\ "/>
    <numFmt numFmtId="174" formatCode="0.0%"/>
    <numFmt numFmtId="175" formatCode="_ * #,##0.000_ ;_ * \-#,##0.000_ ;_ * &quot;-&quot;??_ ;_ @_ "/>
    <numFmt numFmtId="176" formatCode="_ &quot;R&quot;* #,##0.0000_ ;_ &quot;R&quot;* \-#,##0.0000_ ;_ &quot;R&quot;* &quot;-&quot;????_ ;_ @_ "/>
    <numFmt numFmtId="177" formatCode="_(* #,##0.00000_);_(* \(#,##0.00000\);_(* &quot;-&quot;?????_);_(@_)"/>
    <numFmt numFmtId="178" formatCode="0,000.00"/>
    <numFmt numFmtId="179" formatCode="0,000,000"/>
    <numFmt numFmtId="180" formatCode="_ * #,##0.00_ ;_ * \-#,##0.00_ ;_ * &quot;-&quot;_ ;_ @_ "/>
    <numFmt numFmtId="181" formatCode="_(* #,##0.0000_);_(* \(#,##0.0000\);_(* &quot;-&quot;????_);_(@_)"/>
    <numFmt numFmtId="182" formatCode="_-* #,##0_-;\-* #,##0_-;_-* &quot;-&quot;??_-;_-@_-"/>
    <numFmt numFmtId="183" formatCode="_ * #,##0.00_ ;_ * \-#,##0.00_ ;_ * &quot;-&quot;???_ ;_ @_ "/>
  </numFmts>
  <fonts count="43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sz val="36"/>
      <name val="Arial"/>
      <family val="2"/>
    </font>
    <font>
      <b/>
      <sz val="28"/>
      <name val="Arial"/>
      <family val="2"/>
    </font>
    <font>
      <b/>
      <i/>
      <sz val="28"/>
      <name val="Arial"/>
      <family val="2"/>
    </font>
    <font>
      <b/>
      <i/>
      <sz val="48"/>
      <name val="Arial"/>
      <family val="2"/>
    </font>
    <font>
      <sz val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8"/>
      <name val="Arial"/>
      <family val="2"/>
    </font>
    <font>
      <b/>
      <i/>
      <u/>
      <sz val="8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i/>
      <u/>
      <sz val="9"/>
      <name val="Arial"/>
      <family val="2"/>
    </font>
    <font>
      <i/>
      <sz val="8"/>
      <color rgb="FFFF0000"/>
      <name val="Arial"/>
      <family val="2"/>
    </font>
    <font>
      <sz val="9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7">
    <xf numFmtId="0" fontId="0" fillId="0" borderId="0" xfId="0"/>
    <xf numFmtId="168" fontId="3" fillId="2" borderId="1" xfId="1" applyNumberFormat="1" applyFont="1" applyFill="1" applyBorder="1" applyAlignment="1">
      <alignment horizontal="center"/>
    </xf>
    <xf numFmtId="0" fontId="3" fillId="0" borderId="2" xfId="0" applyFont="1" applyBorder="1"/>
    <xf numFmtId="168" fontId="3" fillId="2" borderId="3" xfId="1" applyNumberFormat="1" applyFont="1" applyFill="1" applyBorder="1"/>
    <xf numFmtId="0" fontId="3" fillId="0" borderId="4" xfId="0" applyFont="1" applyBorder="1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/>
    <xf numFmtId="168" fontId="3" fillId="2" borderId="1" xfId="1" applyNumberFormat="1" applyFont="1" applyFill="1" applyBorder="1" applyAlignment="1">
      <alignment horizontal="center" wrapText="1"/>
    </xf>
    <xf numFmtId="168" fontId="3" fillId="2" borderId="4" xfId="1" applyNumberFormat="1" applyFont="1" applyFill="1" applyBorder="1" applyAlignment="1">
      <alignment horizontal="center"/>
    </xf>
    <xf numFmtId="0" fontId="0" fillId="0" borderId="0" xfId="0" applyBorder="1"/>
    <xf numFmtId="168" fontId="3" fillId="0" borderId="1" xfId="1" applyNumberFormat="1" applyFont="1" applyBorder="1"/>
    <xf numFmtId="168" fontId="3" fillId="0" borderId="2" xfId="1" applyNumberFormat="1" applyFont="1" applyBorder="1"/>
    <xf numFmtId="0" fontId="3" fillId="0" borderId="7" xfId="0" applyFont="1" applyBorder="1"/>
    <xf numFmtId="0" fontId="3" fillId="0" borderId="8" xfId="0" applyFont="1" applyBorder="1"/>
    <xf numFmtId="168" fontId="3" fillId="0" borderId="0" xfId="1" applyNumberFormat="1" applyFont="1"/>
    <xf numFmtId="168" fontId="3" fillId="0" borderId="3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7" fillId="0" borderId="12" xfId="0" applyFont="1" applyBorder="1"/>
    <xf numFmtId="0" fontId="7" fillId="0" borderId="10" xfId="0" applyFont="1" applyBorder="1"/>
    <xf numFmtId="168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0" fillId="0" borderId="0" xfId="0" applyNumberFormat="1" applyFont="1"/>
    <xf numFmtId="164" fontId="0" fillId="0" borderId="0" xfId="0" applyNumberFormat="1"/>
    <xf numFmtId="164" fontId="6" fillId="0" borderId="14" xfId="0" applyNumberFormat="1" applyFont="1" applyBorder="1" applyAlignment="1">
      <alignment horizontal="centerContinuous"/>
    </xf>
    <xf numFmtId="164" fontId="6" fillId="0" borderId="15" xfId="0" applyNumberFormat="1" applyFont="1" applyBorder="1" applyAlignment="1">
      <alignment horizontal="centerContinuous"/>
    </xf>
    <xf numFmtId="164" fontId="6" fillId="0" borderId="16" xfId="0" applyNumberFormat="1" applyFont="1" applyBorder="1" applyAlignment="1">
      <alignment horizontal="centerContinuous"/>
    </xf>
    <xf numFmtId="164" fontId="6" fillId="0" borderId="9" xfId="0" applyNumberFormat="1" applyFont="1" applyBorder="1" applyAlignment="1">
      <alignment horizontal="centerContinuous"/>
    </xf>
    <xf numFmtId="164" fontId="6" fillId="0" borderId="17" xfId="0" applyNumberFormat="1" applyFont="1" applyBorder="1" applyAlignment="1">
      <alignment horizontal="centerContinuous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0" fillId="0" borderId="22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164" fontId="0" fillId="0" borderId="23" xfId="0" applyNumberFormat="1" applyBorder="1"/>
    <xf numFmtId="164" fontId="0" fillId="0" borderId="3" xfId="0" applyNumberFormat="1" applyBorder="1"/>
    <xf numFmtId="164" fontId="11" fillId="0" borderId="24" xfId="0" applyNumberFormat="1" applyFont="1" applyBorder="1"/>
    <xf numFmtId="164" fontId="6" fillId="0" borderId="0" xfId="0" applyNumberFormat="1" applyFont="1" applyBorder="1" applyAlignment="1">
      <alignment horizontal="centerContinuous"/>
    </xf>
    <xf numFmtId="164" fontId="6" fillId="0" borderId="0" xfId="0" applyNumberFormat="1" applyFont="1" applyBorder="1" applyAlignment="1">
      <alignment horizontal="center"/>
    </xf>
    <xf numFmtId="164" fontId="11" fillId="0" borderId="0" xfId="0" applyNumberFormat="1" applyFont="1" applyBorder="1"/>
    <xf numFmtId="164" fontId="0" fillId="0" borderId="21" xfId="0" applyNumberFormat="1" applyBorder="1"/>
    <xf numFmtId="168" fontId="3" fillId="0" borderId="0" xfId="1" applyNumberFormat="1" applyFont="1" applyBorder="1"/>
    <xf numFmtId="0" fontId="12" fillId="0" borderId="0" xfId="0" applyFont="1"/>
    <xf numFmtId="0" fontId="14" fillId="0" borderId="0" xfId="0" applyFont="1"/>
    <xf numFmtId="0" fontId="9" fillId="0" borderId="0" xfId="0" applyFont="1"/>
    <xf numFmtId="0" fontId="6" fillId="0" borderId="0" xfId="0" applyFont="1"/>
    <xf numFmtId="0" fontId="0" fillId="0" borderId="14" xfId="0" applyBorder="1"/>
    <xf numFmtId="0" fontId="0" fillId="0" borderId="15" xfId="0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8" fillId="0" borderId="0" xfId="0" applyFont="1"/>
    <xf numFmtId="0" fontId="14" fillId="0" borderId="22" xfId="0" applyFont="1" applyBorder="1"/>
    <xf numFmtId="0" fontId="14" fillId="0" borderId="0" xfId="0" applyFont="1" applyBorder="1"/>
    <xf numFmtId="0" fontId="14" fillId="0" borderId="26" xfId="0" applyFont="1" applyBorder="1"/>
    <xf numFmtId="0" fontId="12" fillId="0" borderId="22" xfId="0" applyFont="1" applyBorder="1"/>
    <xf numFmtId="0" fontId="12" fillId="0" borderId="0" xfId="0" applyFont="1" applyBorder="1"/>
    <xf numFmtId="0" fontId="12" fillId="0" borderId="26" xfId="0" applyFont="1" applyBorder="1"/>
    <xf numFmtId="165" fontId="3" fillId="0" borderId="0" xfId="1" applyNumberFormat="1" applyFont="1" applyBorder="1"/>
    <xf numFmtId="168" fontId="5" fillId="0" borderId="0" xfId="0" applyNumberFormat="1" applyFont="1" applyBorder="1"/>
    <xf numFmtId="0" fontId="5" fillId="0" borderId="0" xfId="0" applyFont="1" applyBorder="1"/>
    <xf numFmtId="168" fontId="5" fillId="0" borderId="0" xfId="1" applyNumberFormat="1" applyFont="1" applyBorder="1"/>
    <xf numFmtId="165" fontId="3" fillId="0" borderId="0" xfId="1" applyFont="1" applyBorder="1"/>
    <xf numFmtId="168" fontId="3" fillId="0" borderId="0" xfId="0" applyNumberFormat="1" applyFont="1" applyBorder="1"/>
    <xf numFmtId="168" fontId="7" fillId="0" borderId="0" xfId="1" applyNumberFormat="1" applyFont="1" applyBorder="1"/>
    <xf numFmtId="168" fontId="3" fillId="0" borderId="1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168" fontId="3" fillId="0" borderId="2" xfId="1" applyNumberFormat="1" applyFont="1" applyFill="1" applyBorder="1"/>
    <xf numFmtId="168" fontId="3" fillId="0" borderId="5" xfId="1" applyNumberFormat="1" applyFont="1" applyFill="1" applyBorder="1"/>
    <xf numFmtId="164" fontId="11" fillId="0" borderId="29" xfId="0" applyNumberFormat="1" applyFont="1" applyBorder="1"/>
    <xf numFmtId="168" fontId="3" fillId="0" borderId="1" xfId="1" applyNumberFormat="1" applyFont="1" applyFill="1" applyBorder="1"/>
    <xf numFmtId="168" fontId="3" fillId="0" borderId="3" xfId="1" applyNumberFormat="1" applyFont="1" applyFill="1" applyBorder="1"/>
    <xf numFmtId="168" fontId="3" fillId="3" borderId="1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168" fontId="3" fillId="3" borderId="3" xfId="1" applyNumberFormat="1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170" fontId="0" fillId="0" borderId="0" xfId="0" applyNumberFormat="1" applyFill="1"/>
    <xf numFmtId="0" fontId="0" fillId="0" borderId="0" xfId="0" applyFill="1"/>
    <xf numFmtId="0" fontId="3" fillId="0" borderId="1" xfId="0" applyFont="1" applyFill="1" applyBorder="1"/>
    <xf numFmtId="170" fontId="3" fillId="0" borderId="5" xfId="1" applyNumberFormat="1" applyFont="1" applyFill="1" applyBorder="1" applyAlignment="1">
      <alignment horizontal="center"/>
    </xf>
    <xf numFmtId="170" fontId="3" fillId="0" borderId="3" xfId="1" applyNumberFormat="1" applyFont="1" applyFill="1" applyBorder="1" applyAlignment="1">
      <alignment horizontal="center"/>
    </xf>
    <xf numFmtId="170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49" fontId="3" fillId="0" borderId="4" xfId="1" applyNumberFormat="1" applyFont="1" applyFill="1" applyBorder="1" applyAlignment="1">
      <alignment horizontal="center"/>
    </xf>
    <xf numFmtId="169" fontId="3" fillId="0" borderId="2" xfId="1" applyNumberFormat="1" applyFont="1" applyFill="1" applyBorder="1"/>
    <xf numFmtId="168" fontId="0" fillId="0" borderId="0" xfId="0" applyNumberFormat="1" applyFill="1"/>
    <xf numFmtId="168" fontId="3" fillId="0" borderId="30" xfId="1" applyNumberFormat="1" applyFont="1" applyFill="1" applyBorder="1"/>
    <xf numFmtId="168" fontId="3" fillId="0" borderId="0" xfId="1" applyNumberFormat="1" applyFont="1" applyFill="1" applyBorder="1"/>
    <xf numFmtId="169" fontId="3" fillId="0" borderId="5" xfId="1" applyNumberFormat="1" applyFont="1" applyFill="1" applyBorder="1"/>
    <xf numFmtId="168" fontId="3" fillId="0" borderId="12" xfId="1" applyNumberFormat="1" applyFont="1" applyFill="1" applyBorder="1"/>
    <xf numFmtId="0" fontId="19" fillId="0" borderId="2" xfId="0" applyFont="1" applyFill="1" applyBorder="1"/>
    <xf numFmtId="0" fontId="3" fillId="0" borderId="0" xfId="0" applyFont="1" applyFill="1" applyBorder="1"/>
    <xf numFmtId="168" fontId="3" fillId="0" borderId="3" xfId="0" applyNumberFormat="1" applyFont="1" applyFill="1" applyBorder="1"/>
    <xf numFmtId="170" fontId="3" fillId="0" borderId="3" xfId="1" applyNumberFormat="1" applyFont="1" applyFill="1" applyBorder="1"/>
    <xf numFmtId="0" fontId="3" fillId="0" borderId="5" xfId="0" applyFont="1" applyFill="1" applyBorder="1"/>
    <xf numFmtId="0" fontId="4" fillId="0" borderId="4" xfId="0" applyFont="1" applyFill="1" applyBorder="1"/>
    <xf numFmtId="168" fontId="3" fillId="0" borderId="10" xfId="1" applyNumberFormat="1" applyFont="1" applyFill="1" applyBorder="1"/>
    <xf numFmtId="0" fontId="19" fillId="0" borderId="0" xfId="0" applyFont="1" applyFill="1" applyBorder="1"/>
    <xf numFmtId="170" fontId="3" fillId="0" borderId="2" xfId="1" applyNumberFormat="1" applyFont="1" applyFill="1" applyBorder="1" applyAlignment="1">
      <alignment horizontal="center"/>
    </xf>
    <xf numFmtId="168" fontId="3" fillId="0" borderId="2" xfId="0" applyNumberFormat="1" applyFont="1" applyFill="1" applyBorder="1"/>
    <xf numFmtId="170" fontId="3" fillId="0" borderId="1" xfId="1" applyNumberFormat="1" applyFont="1" applyFill="1" applyBorder="1"/>
    <xf numFmtId="170" fontId="3" fillId="0" borderId="2" xfId="1" applyNumberFormat="1" applyFont="1" applyFill="1" applyBorder="1"/>
    <xf numFmtId="0" fontId="4" fillId="0" borderId="3" xfId="0" applyFont="1" applyFill="1" applyBorder="1"/>
    <xf numFmtId="170" fontId="3" fillId="0" borderId="4" xfId="1" applyNumberFormat="1" applyFont="1" applyFill="1" applyBorder="1"/>
    <xf numFmtId="168" fontId="3" fillId="0" borderId="0" xfId="1" applyNumberFormat="1" applyFont="1" applyFill="1"/>
    <xf numFmtId="0" fontId="0" fillId="0" borderId="5" xfId="0" applyFill="1" applyBorder="1"/>
    <xf numFmtId="171" fontId="3" fillId="0" borderId="0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right"/>
    </xf>
    <xf numFmtId="164" fontId="0" fillId="0" borderId="3" xfId="0" applyNumberFormat="1" applyFill="1" applyBorder="1"/>
    <xf numFmtId="168" fontId="0" fillId="0" borderId="0" xfId="0" applyNumberFormat="1" applyBorder="1"/>
    <xf numFmtId="168" fontId="7" fillId="0" borderId="0" xfId="0" applyNumberFormat="1" applyFont="1" applyBorder="1"/>
    <xf numFmtId="164" fontId="0" fillId="0" borderId="30" xfId="0" applyNumberFormat="1" applyBorder="1"/>
    <xf numFmtId="164" fontId="0" fillId="0" borderId="30" xfId="0" applyNumberFormat="1" applyFill="1" applyBorder="1"/>
    <xf numFmtId="0" fontId="9" fillId="0" borderId="17" xfId="0" applyFont="1" applyBorder="1"/>
    <xf numFmtId="0" fontId="9" fillId="0" borderId="8" xfId="0" applyFont="1" applyBorder="1"/>
    <xf numFmtId="172" fontId="22" fillId="0" borderId="26" xfId="0" quotePrefix="1" applyNumberFormat="1" applyFont="1" applyFill="1" applyBorder="1" applyAlignment="1">
      <alignment horizontal="center"/>
    </xf>
    <xf numFmtId="172" fontId="22" fillId="0" borderId="26" xfId="0" applyNumberFormat="1" applyFont="1" applyFill="1" applyBorder="1" applyAlignment="1">
      <alignment horizontal="center"/>
    </xf>
    <xf numFmtId="172" fontId="22" fillId="0" borderId="26" xfId="0" applyNumberFormat="1" applyFont="1" applyFill="1" applyBorder="1"/>
    <xf numFmtId="0" fontId="22" fillId="0" borderId="21" xfId="0" quotePrefix="1" applyFont="1" applyFill="1" applyBorder="1" applyAlignment="1">
      <alignment horizontal="center"/>
    </xf>
    <xf numFmtId="2" fontId="22" fillId="0" borderId="0" xfId="0" quotePrefix="1" applyNumberFormat="1" applyFont="1" applyFill="1" applyBorder="1" applyAlignment="1">
      <alignment horizontal="center"/>
    </xf>
    <xf numFmtId="168" fontId="3" fillId="0" borderId="0" xfId="2" applyNumberFormat="1" applyFont="1" applyBorder="1"/>
    <xf numFmtId="0" fontId="4" fillId="0" borderId="5" xfId="0" applyFont="1" applyFill="1" applyBorder="1"/>
    <xf numFmtId="170" fontId="3" fillId="0" borderId="7" xfId="1" applyNumberFormat="1" applyFont="1" applyFill="1" applyBorder="1"/>
    <xf numFmtId="168" fontId="3" fillId="0" borderId="6" xfId="0" applyNumberFormat="1" applyFont="1" applyFill="1" applyBorder="1"/>
    <xf numFmtId="170" fontId="3" fillId="0" borderId="6" xfId="1" applyNumberFormat="1" applyFont="1" applyFill="1" applyBorder="1"/>
    <xf numFmtId="0" fontId="3" fillId="0" borderId="9" xfId="0" applyFont="1" applyFill="1" applyBorder="1" applyAlignment="1"/>
    <xf numFmtId="0" fontId="3" fillId="0" borderId="2" xfId="0" applyFont="1" applyFill="1" applyBorder="1" applyAlignment="1">
      <alignment horizontal="center"/>
    </xf>
    <xf numFmtId="171" fontId="3" fillId="0" borderId="6" xfId="0" applyNumberFormat="1" applyFont="1" applyFill="1" applyBorder="1" applyAlignment="1">
      <alignment horizontal="right"/>
    </xf>
    <xf numFmtId="171" fontId="3" fillId="0" borderId="8" xfId="0" applyNumberFormat="1" applyFont="1" applyFill="1" applyBorder="1" applyAlignment="1">
      <alignment horizontal="right"/>
    </xf>
    <xf numFmtId="171" fontId="3" fillId="0" borderId="7" xfId="0" applyNumberFormat="1" applyFont="1" applyFill="1" applyBorder="1" applyAlignment="1">
      <alignment horizontal="right"/>
    </xf>
    <xf numFmtId="171" fontId="5" fillId="0" borderId="17" xfId="0" applyNumberFormat="1" applyFont="1" applyFill="1" applyBorder="1" applyAlignment="1">
      <alignment horizontal="right"/>
    </xf>
    <xf numFmtId="171" fontId="3" fillId="0" borderId="6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30" xfId="0" applyFill="1" applyBorder="1"/>
    <xf numFmtId="0" fontId="0" fillId="0" borderId="12" xfId="0" applyFill="1" applyBorder="1"/>
    <xf numFmtId="0" fontId="3" fillId="0" borderId="2" xfId="0" applyFont="1" applyFill="1" applyBorder="1" applyAlignment="1">
      <alignment horizontal="left"/>
    </xf>
    <xf numFmtId="170" fontId="4" fillId="0" borderId="3" xfId="1" applyNumberFormat="1" applyFont="1" applyFill="1" applyBorder="1"/>
    <xf numFmtId="170" fontId="4" fillId="0" borderId="4" xfId="1" applyNumberFormat="1" applyFont="1" applyFill="1" applyBorder="1"/>
    <xf numFmtId="0" fontId="9" fillId="0" borderId="0" xfId="0" applyFont="1" applyAlignment="1">
      <alignment vertical="top"/>
    </xf>
    <xf numFmtId="164" fontId="0" fillId="0" borderId="0" xfId="1" applyNumberFormat="1" applyFont="1"/>
    <xf numFmtId="168" fontId="3" fillId="4" borderId="1" xfId="1" applyNumberFormat="1" applyFont="1" applyFill="1" applyBorder="1"/>
    <xf numFmtId="168" fontId="3" fillId="4" borderId="2" xfId="1" applyNumberFormat="1" applyFont="1" applyFill="1" applyBorder="1"/>
    <xf numFmtId="164" fontId="11" fillId="0" borderId="31" xfId="0" applyNumberFormat="1" applyFont="1" applyBorder="1"/>
    <xf numFmtId="168" fontId="0" fillId="0" borderId="0" xfId="0" applyNumberFormat="1" applyFill="1" applyBorder="1"/>
    <xf numFmtId="165" fontId="22" fillId="0" borderId="26" xfId="0" quotePrefix="1" applyNumberFormat="1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8" fontId="3" fillId="4" borderId="3" xfId="1" applyNumberFormat="1" applyFont="1" applyFill="1" applyBorder="1"/>
    <xf numFmtId="165" fontId="0" fillId="0" borderId="0" xfId="0" applyNumberFormat="1"/>
    <xf numFmtId="0" fontId="3" fillId="0" borderId="0" xfId="0" applyFont="1" applyFill="1"/>
    <xf numFmtId="0" fontId="20" fillId="0" borderId="0" xfId="0" applyFont="1" applyFill="1" applyBorder="1"/>
    <xf numFmtId="172" fontId="20" fillId="0" borderId="26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2" fontId="21" fillId="0" borderId="26" xfId="0" quotePrefix="1" applyNumberFormat="1" applyFont="1" applyFill="1" applyBorder="1" applyAlignment="1">
      <alignment horizontal="center"/>
    </xf>
    <xf numFmtId="0" fontId="20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2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4" fontId="9" fillId="0" borderId="26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173" fontId="22" fillId="0" borderId="0" xfId="0" quotePrefix="1" applyNumberFormat="1" applyFont="1" applyFill="1" applyBorder="1" applyAlignment="1">
      <alignment horizontal="center"/>
    </xf>
    <xf numFmtId="165" fontId="22" fillId="0" borderId="26" xfId="0" applyNumberFormat="1" applyFont="1" applyFill="1" applyBorder="1" applyAlignment="1">
      <alignment horizontal="center"/>
    </xf>
    <xf numFmtId="0" fontId="22" fillId="0" borderId="21" xfId="0" applyFont="1" applyFill="1" applyBorder="1"/>
    <xf numFmtId="0" fontId="22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0" fontId="22" fillId="0" borderId="0" xfId="0" quotePrefix="1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72" fontId="22" fillId="0" borderId="28" xfId="0" applyNumberFormat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left"/>
    </xf>
    <xf numFmtId="0" fontId="6" fillId="0" borderId="15" xfId="0" applyFont="1" applyFill="1" applyBorder="1"/>
    <xf numFmtId="165" fontId="0" fillId="0" borderId="0" xfId="0" applyNumberFormat="1" applyFill="1"/>
    <xf numFmtId="0" fontId="3" fillId="0" borderId="0" xfId="0" quotePrefix="1" applyFont="1" applyFill="1" applyBorder="1"/>
    <xf numFmtId="164" fontId="0" fillId="0" borderId="12" xfId="0" applyNumberFormat="1" applyBorder="1"/>
    <xf numFmtId="164" fontId="0" fillId="0" borderId="10" xfId="0" applyNumberFormat="1" applyBorder="1"/>
    <xf numFmtId="164" fontId="9" fillId="0" borderId="7" xfId="0" applyNumberFormat="1" applyFont="1" applyBorder="1"/>
    <xf numFmtId="164" fontId="9" fillId="0" borderId="5" xfId="0" applyNumberFormat="1" applyFont="1" applyBorder="1"/>
    <xf numFmtId="164" fontId="0" fillId="0" borderId="5" xfId="0" applyNumberFormat="1" applyBorder="1"/>
    <xf numFmtId="164" fontId="0" fillId="0" borderId="32" xfId="0" applyNumberFormat="1" applyBorder="1"/>
    <xf numFmtId="164" fontId="0" fillId="0" borderId="20" xfId="0" applyNumberFormat="1" applyBorder="1"/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Continuous"/>
    </xf>
    <xf numFmtId="164" fontId="6" fillId="0" borderId="35" xfId="0" applyNumberFormat="1" applyFont="1" applyBorder="1"/>
    <xf numFmtId="164" fontId="6" fillId="0" borderId="7" xfId="0" applyNumberFormat="1" applyFont="1" applyBorder="1" applyAlignment="1">
      <alignment horizontal="center"/>
    </xf>
    <xf numFmtId="164" fontId="6" fillId="0" borderId="36" xfId="0" applyNumberFormat="1" applyFont="1" applyBorder="1"/>
    <xf numFmtId="164" fontId="6" fillId="0" borderId="37" xfId="0" applyNumberFormat="1" applyFont="1" applyBorder="1" applyAlignment="1">
      <alignment horizontal="center"/>
    </xf>
    <xf numFmtId="164" fontId="0" fillId="0" borderId="35" xfId="0" applyNumberFormat="1" applyBorder="1"/>
    <xf numFmtId="164" fontId="9" fillId="0" borderId="35" xfId="0" applyNumberFormat="1" applyFont="1" applyBorder="1"/>
    <xf numFmtId="164" fontId="9" fillId="0" borderId="35" xfId="0" applyNumberFormat="1" applyFont="1" applyBorder="1" applyAlignment="1">
      <alignment horizontal="left" indent="1"/>
    </xf>
    <xf numFmtId="164" fontId="0" fillId="0" borderId="13" xfId="0" applyNumberFormat="1" applyBorder="1"/>
    <xf numFmtId="164" fontId="9" fillId="0" borderId="11" xfId="0" applyNumberFormat="1" applyFont="1" applyBorder="1"/>
    <xf numFmtId="164" fontId="0" fillId="0" borderId="11" xfId="0" applyNumberFormat="1" applyBorder="1"/>
    <xf numFmtId="164" fontId="0" fillId="0" borderId="8" xfId="0" applyNumberFormat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30" xfId="1" applyNumberFormat="1" applyFont="1" applyFill="1" applyBorder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3" fillId="0" borderId="5" xfId="1" applyNumberFormat="1" applyFont="1" applyFill="1" applyBorder="1"/>
    <xf numFmtId="170" fontId="0" fillId="0" borderId="0" xfId="0" applyNumberFormat="1" applyFill="1" applyBorder="1"/>
    <xf numFmtId="0" fontId="25" fillId="0" borderId="0" xfId="0" applyFont="1"/>
    <xf numFmtId="0" fontId="26" fillId="0" borderId="0" xfId="0" applyFont="1"/>
    <xf numFmtId="0" fontId="19" fillId="0" borderId="0" xfId="0" applyFont="1"/>
    <xf numFmtId="0" fontId="19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/>
    <xf numFmtId="10" fontId="0" fillId="0" borderId="0" xfId="0" applyNumberFormat="1"/>
    <xf numFmtId="174" fontId="0" fillId="0" borderId="0" xfId="2" applyNumberFormat="1" applyFont="1"/>
    <xf numFmtId="174" fontId="0" fillId="0" borderId="0" xfId="0" applyNumberFormat="1"/>
    <xf numFmtId="10" fontId="0" fillId="0" borderId="0" xfId="2" applyNumberFormat="1" applyFont="1"/>
    <xf numFmtId="9" fontId="0" fillId="0" borderId="0" xfId="0" applyNumberFormat="1"/>
    <xf numFmtId="170" fontId="4" fillId="0" borderId="0" xfId="1" applyNumberFormat="1" applyFont="1" applyFill="1" applyBorder="1"/>
    <xf numFmtId="175" fontId="0" fillId="0" borderId="0" xfId="1" quotePrefix="1" applyNumberFormat="1" applyFont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left"/>
    </xf>
    <xf numFmtId="164" fontId="19" fillId="0" borderId="6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19" fillId="0" borderId="8" xfId="0" applyNumberFormat="1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76" fontId="0" fillId="0" borderId="0" xfId="0" applyNumberFormat="1" applyFill="1" applyBorder="1"/>
    <xf numFmtId="0" fontId="6" fillId="0" borderId="38" xfId="0" applyFont="1" applyFill="1" applyBorder="1"/>
    <xf numFmtId="172" fontId="20" fillId="0" borderId="39" xfId="0" applyNumberFormat="1" applyFont="1" applyFill="1" applyBorder="1"/>
    <xf numFmtId="172" fontId="21" fillId="0" borderId="39" xfId="0" quotePrefix="1" applyNumberFormat="1" applyFont="1" applyFill="1" applyBorder="1" applyAlignment="1">
      <alignment horizontal="center"/>
    </xf>
    <xf numFmtId="172" fontId="21" fillId="0" borderId="40" xfId="0" applyNumberFormat="1" applyFont="1" applyFill="1" applyBorder="1" applyAlignment="1">
      <alignment horizontal="center"/>
    </xf>
    <xf numFmtId="164" fontId="9" fillId="0" borderId="39" xfId="0" applyNumberFormat="1" applyFont="1" applyFill="1" applyBorder="1"/>
    <xf numFmtId="172" fontId="22" fillId="0" borderId="39" xfId="0" applyNumberFormat="1" applyFont="1" applyFill="1" applyBorder="1"/>
    <xf numFmtId="172" fontId="22" fillId="0" borderId="39" xfId="0" quotePrefix="1" applyNumberFormat="1" applyFont="1" applyFill="1" applyBorder="1" applyAlignment="1">
      <alignment horizontal="center"/>
    </xf>
    <xf numFmtId="172" fontId="22" fillId="0" borderId="39" xfId="0" applyNumberFormat="1" applyFont="1" applyFill="1" applyBorder="1" applyAlignment="1">
      <alignment horizontal="center"/>
    </xf>
    <xf numFmtId="165" fontId="22" fillId="0" borderId="39" xfId="0" quotePrefix="1" applyNumberFormat="1" applyFont="1" applyFill="1" applyBorder="1" applyAlignment="1">
      <alignment horizontal="center"/>
    </xf>
    <xf numFmtId="165" fontId="22" fillId="0" borderId="39" xfId="0" applyNumberFormat="1" applyFont="1" applyFill="1" applyBorder="1" applyAlignment="1">
      <alignment horizontal="center"/>
    </xf>
    <xf numFmtId="164" fontId="6" fillId="0" borderId="39" xfId="0" applyNumberFormat="1" applyFont="1" applyFill="1" applyBorder="1" applyAlignment="1">
      <alignment horizontal="right"/>
    </xf>
    <xf numFmtId="165" fontId="4" fillId="0" borderId="39" xfId="0" applyNumberFormat="1" applyFont="1" applyFill="1" applyBorder="1" applyAlignment="1">
      <alignment horizontal="center"/>
    </xf>
    <xf numFmtId="165" fontId="3" fillId="0" borderId="39" xfId="0" applyNumberFormat="1" applyFont="1" applyFill="1" applyBorder="1" applyAlignment="1">
      <alignment horizontal="center"/>
    </xf>
    <xf numFmtId="172" fontId="22" fillId="0" borderId="40" xfId="0" applyNumberFormat="1" applyFont="1" applyFill="1" applyBorder="1" applyAlignment="1">
      <alignment horizontal="center"/>
    </xf>
    <xf numFmtId="9" fontId="3" fillId="0" borderId="10" xfId="2" applyFont="1" applyFill="1" applyBorder="1"/>
    <xf numFmtId="168" fontId="19" fillId="0" borderId="0" xfId="0" applyNumberFormat="1" applyFont="1" applyFill="1" applyBorder="1"/>
    <xf numFmtId="10" fontId="3" fillId="0" borderId="5" xfId="2" applyNumberFormat="1" applyFont="1" applyFill="1" applyBorder="1"/>
    <xf numFmtId="168" fontId="0" fillId="0" borderId="0" xfId="2" applyNumberFormat="1" applyFont="1" applyFill="1" applyBorder="1"/>
    <xf numFmtId="170" fontId="3" fillId="0" borderId="0" xfId="0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0" fontId="9" fillId="0" borderId="0" xfId="2" applyNumberFormat="1" applyFont="1" applyFill="1" applyBorder="1"/>
    <xf numFmtId="165" fontId="0" fillId="0" borderId="0" xfId="0" applyNumberFormat="1" applyFill="1" applyBorder="1"/>
    <xf numFmtId="165" fontId="0" fillId="0" borderId="0" xfId="1" applyFont="1" applyFill="1" applyBorder="1"/>
    <xf numFmtId="0" fontId="30" fillId="0" borderId="0" xfId="0" applyFont="1"/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43" fontId="0" fillId="0" borderId="0" xfId="0" applyNumberFormat="1" applyFill="1"/>
    <xf numFmtId="0" fontId="1" fillId="0" borderId="3" xfId="0" applyFont="1" applyBorder="1"/>
    <xf numFmtId="0" fontId="25" fillId="0" borderId="3" xfId="0" applyFont="1" applyBorder="1" applyAlignment="1">
      <alignment horizontal="right"/>
    </xf>
    <xf numFmtId="166" fontId="25" fillId="0" borderId="3" xfId="0" applyNumberFormat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166" fontId="0" fillId="0" borderId="3" xfId="0" applyNumberFormat="1" applyBorder="1"/>
    <xf numFmtId="0" fontId="9" fillId="0" borderId="3" xfId="0" applyFont="1" applyBorder="1"/>
    <xf numFmtId="0" fontId="31" fillId="0" borderId="3" xfId="0" applyFont="1" applyBorder="1"/>
    <xf numFmtId="1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1" fillId="0" borderId="3" xfId="0" applyFont="1" applyBorder="1" applyAlignment="1">
      <alignment vertical="center" readingOrder="1"/>
    </xf>
    <xf numFmtId="0" fontId="32" fillId="0" borderId="3" xfId="0" applyFont="1" applyBorder="1" applyAlignment="1">
      <alignment vertical="center" readingOrder="1"/>
    </xf>
    <xf numFmtId="14" fontId="0" fillId="0" borderId="3" xfId="0" applyNumberFormat="1" applyBorder="1" applyAlignment="1">
      <alignment horizontal="right"/>
    </xf>
    <xf numFmtId="166" fontId="1" fillId="0" borderId="3" xfId="0" applyNumberFormat="1" applyFont="1" applyBorder="1"/>
    <xf numFmtId="0" fontId="4" fillId="0" borderId="22" xfId="0" applyFont="1" applyFill="1" applyBorder="1" applyAlignment="1">
      <alignment horizontal="left"/>
    </xf>
    <xf numFmtId="168" fontId="4" fillId="0" borderId="0" xfId="2" applyNumberFormat="1" applyFont="1" applyFill="1" applyBorder="1"/>
    <xf numFmtId="0" fontId="35" fillId="0" borderId="0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164" fontId="6" fillId="0" borderId="26" xfId="0" applyNumberFormat="1" applyFont="1" applyFill="1" applyBorder="1"/>
    <xf numFmtId="168" fontId="36" fillId="0" borderId="5" xfId="1" applyNumberFormat="1" applyFont="1" applyFill="1" applyBorder="1"/>
    <xf numFmtId="177" fontId="22" fillId="0" borderId="39" xfId="0" quotePrefix="1" applyNumberFormat="1" applyFont="1" applyFill="1" applyBorder="1" applyAlignment="1">
      <alignment horizontal="center"/>
    </xf>
    <xf numFmtId="177" fontId="22" fillId="0" borderId="26" xfId="0" quotePrefix="1" applyNumberFormat="1" applyFont="1" applyFill="1" applyBorder="1" applyAlignment="1">
      <alignment horizontal="center"/>
    </xf>
    <xf numFmtId="177" fontId="22" fillId="0" borderId="39" xfId="0" applyNumberFormat="1" applyFont="1" applyFill="1" applyBorder="1" applyAlignment="1">
      <alignment horizontal="center"/>
    </xf>
    <xf numFmtId="177" fontId="22" fillId="0" borderId="26" xfId="0" applyNumberFormat="1" applyFont="1" applyFill="1" applyBorder="1" applyAlignment="1">
      <alignment horizontal="center"/>
    </xf>
    <xf numFmtId="170" fontId="4" fillId="0" borderId="5" xfId="1" applyNumberFormat="1" applyFont="1" applyFill="1" applyBorder="1"/>
    <xf numFmtId="170" fontId="4" fillId="0" borderId="0" xfId="0" applyNumberFormat="1" applyFont="1" applyFill="1"/>
    <xf numFmtId="170" fontId="4" fillId="0" borderId="41" xfId="0" applyNumberFormat="1" applyFont="1" applyFill="1" applyBorder="1"/>
    <xf numFmtId="43" fontId="0" fillId="0" borderId="0" xfId="0" applyNumberFormat="1" applyFill="1" applyBorder="1"/>
    <xf numFmtId="3" fontId="0" fillId="0" borderId="0" xfId="0" applyNumberFormat="1" applyFill="1" applyBorder="1"/>
    <xf numFmtId="177" fontId="22" fillId="0" borderId="40" xfId="0" applyNumberFormat="1" applyFont="1" applyFill="1" applyBorder="1" applyAlignment="1">
      <alignment horizontal="center"/>
    </xf>
    <xf numFmtId="177" fontId="22" fillId="0" borderId="28" xfId="0" applyNumberFormat="1" applyFont="1" applyFill="1" applyBorder="1" applyAlignment="1">
      <alignment horizontal="center"/>
    </xf>
    <xf numFmtId="2" fontId="22" fillId="0" borderId="21" xfId="0" quotePrefix="1" applyNumberFormat="1" applyFont="1" applyFill="1" applyBorder="1" applyAlignment="1">
      <alignment horizontal="center"/>
    </xf>
    <xf numFmtId="165" fontId="22" fillId="0" borderId="40" xfId="0" quotePrefix="1" applyNumberFormat="1" applyFont="1" applyFill="1" applyBorder="1" applyAlignment="1">
      <alignment horizontal="center"/>
    </xf>
    <xf numFmtId="165" fontId="22" fillId="0" borderId="28" xfId="0" quotePrefix="1" applyNumberFormat="1" applyFont="1" applyFill="1" applyBorder="1" applyAlignment="1">
      <alignment horizontal="center"/>
    </xf>
    <xf numFmtId="165" fontId="22" fillId="0" borderId="40" xfId="0" applyNumberFormat="1" applyFont="1" applyFill="1" applyBorder="1" applyAlignment="1">
      <alignment horizontal="center"/>
    </xf>
    <xf numFmtId="165" fontId="22" fillId="0" borderId="28" xfId="0" applyNumberFormat="1" applyFont="1" applyFill="1" applyBorder="1" applyAlignment="1">
      <alignment horizontal="center"/>
    </xf>
    <xf numFmtId="0" fontId="3" fillId="0" borderId="21" xfId="0" quotePrefix="1" applyFont="1" applyFill="1" applyBorder="1"/>
    <xf numFmtId="165" fontId="3" fillId="0" borderId="28" xfId="0" applyNumberFormat="1" applyFont="1" applyFill="1" applyBorder="1" applyAlignment="1">
      <alignment horizontal="center"/>
    </xf>
    <xf numFmtId="165" fontId="3" fillId="0" borderId="40" xfId="0" applyNumberFormat="1" applyFont="1" applyFill="1" applyBorder="1" applyAlignment="1">
      <alignment horizontal="center"/>
    </xf>
    <xf numFmtId="173" fontId="22" fillId="0" borderId="21" xfId="0" quotePrefix="1" applyNumberFormat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19" fillId="0" borderId="3" xfId="0" applyFont="1" applyFill="1" applyBorder="1"/>
    <xf numFmtId="0" fontId="4" fillId="0" borderId="1" xfId="0" applyFont="1" applyFill="1" applyBorder="1"/>
    <xf numFmtId="15" fontId="3" fillId="0" borderId="4" xfId="0" applyNumberFormat="1" applyFont="1" applyFill="1" applyBorder="1" applyAlignment="1">
      <alignment horizontal="center"/>
    </xf>
    <xf numFmtId="170" fontId="3" fillId="0" borderId="1" xfId="1" applyNumberFormat="1" applyFont="1" applyFill="1" applyBorder="1" applyAlignment="1">
      <alignment horizontal="center"/>
    </xf>
    <xf numFmtId="169" fontId="3" fillId="0" borderId="1" xfId="1" applyNumberFormat="1" applyFont="1" applyFill="1" applyBorder="1"/>
    <xf numFmtId="9" fontId="3" fillId="0" borderId="1" xfId="2" applyFont="1" applyFill="1" applyBorder="1"/>
    <xf numFmtId="0" fontId="0" fillId="0" borderId="0" xfId="0" applyAlignment="1">
      <alignment horizontal="center"/>
    </xf>
    <xf numFmtId="0" fontId="3" fillId="0" borderId="9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7" fillId="0" borderId="0" xfId="0" applyFont="1" applyFill="1" applyBorder="1" applyAlignment="1">
      <alignment wrapText="1"/>
    </xf>
    <xf numFmtId="0" fontId="1" fillId="0" borderId="5" xfId="0" applyFont="1" applyFill="1" applyBorder="1"/>
    <xf numFmtId="178" fontId="37" fillId="0" borderId="0" xfId="0" applyNumberFormat="1" applyFont="1" applyFill="1" applyAlignment="1" applyProtection="1">
      <alignment horizontal="right" vertical="top"/>
      <protection locked="0"/>
    </xf>
    <xf numFmtId="171" fontId="1" fillId="0" borderId="6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3" xfId="0" applyFont="1" applyFill="1" applyBorder="1"/>
    <xf numFmtId="0" fontId="1" fillId="0" borderId="30" xfId="0" applyFont="1" applyFill="1" applyBorder="1"/>
    <xf numFmtId="0" fontId="1" fillId="0" borderId="12" xfId="0" applyFont="1" applyFill="1" applyBorder="1"/>
    <xf numFmtId="171" fontId="1" fillId="0" borderId="8" xfId="0" applyNumberFormat="1" applyFont="1" applyFill="1" applyBorder="1" applyAlignment="1">
      <alignment horizontal="right"/>
    </xf>
    <xf numFmtId="171" fontId="1" fillId="0" borderId="0" xfId="0" applyNumberFormat="1" applyFont="1" applyFill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79" fontId="5" fillId="0" borderId="0" xfId="0" applyNumberFormat="1" applyFont="1" applyFill="1" applyAlignment="1" applyProtection="1">
      <alignment horizontal="right" vertical="top"/>
      <protection locked="0"/>
    </xf>
    <xf numFmtId="168" fontId="1" fillId="0" borderId="0" xfId="0" applyNumberFormat="1" applyFont="1" applyFill="1"/>
    <xf numFmtId="2" fontId="37" fillId="0" borderId="0" xfId="0" applyNumberFormat="1" applyFont="1" applyFill="1" applyAlignment="1" applyProtection="1">
      <alignment horizontal="right" vertical="top"/>
      <protection locked="0"/>
    </xf>
    <xf numFmtId="170" fontId="1" fillId="0" borderId="0" xfId="0" applyNumberFormat="1" applyFont="1" applyFill="1"/>
    <xf numFmtId="0" fontId="1" fillId="0" borderId="0" xfId="0" applyFont="1" applyFill="1" applyAlignment="1">
      <alignment wrapText="1"/>
    </xf>
    <xf numFmtId="165" fontId="1" fillId="0" borderId="0" xfId="1" applyFont="1" applyFill="1"/>
    <xf numFmtId="165" fontId="3" fillId="0" borderId="2" xfId="1" applyFont="1" applyFill="1" applyBorder="1"/>
    <xf numFmtId="170" fontId="3" fillId="0" borderId="5" xfId="1" applyNumberFormat="1" applyFont="1" applyFill="1" applyBorder="1"/>
    <xf numFmtId="165" fontId="3" fillId="0" borderId="5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2" xfId="0" applyBorder="1"/>
    <xf numFmtId="0" fontId="0" fillId="0" borderId="42" xfId="0" applyBorder="1"/>
    <xf numFmtId="0" fontId="14" fillId="0" borderId="5" xfId="0" applyFont="1" applyBorder="1"/>
    <xf numFmtId="0" fontId="12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13" xfId="0" applyBorder="1"/>
    <xf numFmtId="0" fontId="17" fillId="0" borderId="5" xfId="0" applyFont="1" applyBorder="1" applyAlignment="1"/>
    <xf numFmtId="0" fontId="17" fillId="0" borderId="0" xfId="0" applyFont="1" applyBorder="1" applyAlignment="1"/>
    <xf numFmtId="0" fontId="17" fillId="0" borderId="26" xfId="0" applyFont="1" applyBorder="1" applyAlignment="1"/>
    <xf numFmtId="0" fontId="3" fillId="0" borderId="13" xfId="0" applyFont="1" applyFill="1" applyBorder="1"/>
    <xf numFmtId="164" fontId="3" fillId="0" borderId="4" xfId="1" applyNumberFormat="1" applyFont="1" applyFill="1" applyBorder="1"/>
    <xf numFmtId="169" fontId="3" fillId="0" borderId="12" xfId="1" applyNumberFormat="1" applyFont="1" applyFill="1" applyBorder="1"/>
    <xf numFmtId="0" fontId="3" fillId="0" borderId="12" xfId="0" applyFont="1" applyFill="1" applyBorder="1"/>
    <xf numFmtId="170" fontId="3" fillId="0" borderId="4" xfId="1" applyNumberFormat="1" applyFont="1" applyFill="1" applyBorder="1" applyAlignment="1">
      <alignment horizontal="center"/>
    </xf>
    <xf numFmtId="170" fontId="3" fillId="0" borderId="13" xfId="1" applyNumberFormat="1" applyFont="1" applyFill="1" applyBorder="1" applyAlignment="1">
      <alignment horizontal="center"/>
    </xf>
    <xf numFmtId="170" fontId="3" fillId="0" borderId="12" xfId="1" applyNumberFormat="1" applyFont="1" applyFill="1" applyBorder="1" applyAlignment="1">
      <alignment horizontal="center"/>
    </xf>
    <xf numFmtId="169" fontId="3" fillId="0" borderId="4" xfId="1" applyNumberFormat="1" applyFont="1" applyFill="1" applyBorder="1"/>
    <xf numFmtId="170" fontId="3" fillId="0" borderId="0" xfId="1" applyNumberFormat="1" applyFont="1" applyFill="1" applyBorder="1" applyAlignment="1">
      <alignment horizontal="center"/>
    </xf>
    <xf numFmtId="9" fontId="3" fillId="0" borderId="7" xfId="2" applyFont="1" applyFill="1" applyBorder="1"/>
    <xf numFmtId="168" fontId="3" fillId="0" borderId="6" xfId="1" applyNumberFormat="1" applyFont="1" applyFill="1" applyBorder="1"/>
    <xf numFmtId="0" fontId="3" fillId="0" borderId="4" xfId="0" applyFont="1" applyFill="1" applyBorder="1" applyAlignment="1">
      <alignment horizontal="left"/>
    </xf>
    <xf numFmtId="168" fontId="3" fillId="0" borderId="4" xfId="1" applyNumberFormat="1" applyFont="1" applyFill="1" applyBorder="1"/>
    <xf numFmtId="0" fontId="3" fillId="0" borderId="1" xfId="0" applyFont="1" applyFill="1" applyBorder="1" applyAlignment="1">
      <alignment horizontal="left"/>
    </xf>
    <xf numFmtId="171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/>
    <xf numFmtId="168" fontId="3" fillId="0" borderId="7" xfId="0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168" fontId="3" fillId="0" borderId="17" xfId="1" applyNumberFormat="1" applyFont="1" applyFill="1" applyBorder="1"/>
    <xf numFmtId="169" fontId="3" fillId="0" borderId="6" xfId="1" applyNumberFormat="1" applyFont="1" applyFill="1" applyBorder="1"/>
    <xf numFmtId="168" fontId="3" fillId="0" borderId="9" xfId="1" applyNumberFormat="1" applyFont="1" applyFill="1" applyBorder="1"/>
    <xf numFmtId="169" fontId="3" fillId="0" borderId="0" xfId="1" applyNumberFormat="1" applyFont="1" applyFill="1" applyBorder="1"/>
    <xf numFmtId="168" fontId="3" fillId="0" borderId="17" xfId="0" applyNumberFormat="1" applyFont="1" applyFill="1" applyBorder="1"/>
    <xf numFmtId="170" fontId="3" fillId="0" borderId="17" xfId="1" applyNumberFormat="1" applyFont="1" applyFill="1" applyBorder="1"/>
    <xf numFmtId="170" fontId="4" fillId="0" borderId="17" xfId="1" applyNumberFormat="1" applyFont="1" applyFill="1" applyBorder="1"/>
    <xf numFmtId="170" fontId="3" fillId="0" borderId="17" xfId="1" applyNumberFormat="1" applyFont="1" applyFill="1" applyBorder="1" applyAlignment="1">
      <alignment horizontal="center"/>
    </xf>
    <xf numFmtId="170" fontId="3" fillId="0" borderId="9" xfId="1" applyNumberFormat="1" applyFont="1" applyFill="1" applyBorder="1" applyAlignment="1">
      <alignment horizontal="center"/>
    </xf>
    <xf numFmtId="168" fontId="3" fillId="0" borderId="7" xfId="1" applyNumberFormat="1" applyFont="1" applyFill="1" applyBorder="1"/>
    <xf numFmtId="0" fontId="0" fillId="0" borderId="6" xfId="0" applyFill="1" applyBorder="1"/>
    <xf numFmtId="168" fontId="3" fillId="0" borderId="13" xfId="1" applyNumberFormat="1" applyFont="1" applyFill="1" applyBorder="1"/>
    <xf numFmtId="170" fontId="4" fillId="0" borderId="9" xfId="1" applyNumberFormat="1" applyFont="1" applyFill="1" applyBorder="1"/>
    <xf numFmtId="171" fontId="3" fillId="0" borderId="9" xfId="0" applyNumberFormat="1" applyFont="1" applyFill="1" applyBorder="1" applyAlignment="1">
      <alignment horizontal="right"/>
    </xf>
    <xf numFmtId="0" fontId="4" fillId="0" borderId="9" xfId="0" applyFont="1" applyFill="1" applyBorder="1"/>
    <xf numFmtId="171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8" xfId="0" applyFont="1" applyFill="1" applyBorder="1"/>
    <xf numFmtId="171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/>
    <xf numFmtId="171" fontId="1" fillId="0" borderId="0" xfId="0" applyNumberFormat="1" applyFont="1" applyFill="1" applyBorder="1" applyAlignment="1">
      <alignment horizontal="right"/>
    </xf>
    <xf numFmtId="171" fontId="0" fillId="0" borderId="0" xfId="0" applyNumberForma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10" xfId="0" applyFont="1" applyFill="1" applyBorder="1"/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17" xfId="0" applyFont="1" applyFill="1" applyBorder="1" applyAlignment="1"/>
    <xf numFmtId="0" fontId="24" fillId="0" borderId="3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8" fontId="3" fillId="5" borderId="2" xfId="1" applyNumberFormat="1" applyFont="1" applyFill="1" applyBorder="1"/>
    <xf numFmtId="3" fontId="3" fillId="0" borderId="2" xfId="0" applyNumberFormat="1" applyFont="1" applyFill="1" applyBorder="1"/>
    <xf numFmtId="167" fontId="3" fillId="0" borderId="2" xfId="1" applyNumberFormat="1" applyFont="1" applyFill="1" applyBorder="1"/>
    <xf numFmtId="170" fontId="42" fillId="0" borderId="3" xfId="3" applyNumberFormat="1" applyFont="1" applyFill="1" applyBorder="1"/>
    <xf numFmtId="168" fontId="3" fillId="0" borderId="2" xfId="1" applyNumberFormat="1" applyFont="1" applyFill="1" applyBorder="1"/>
    <xf numFmtId="169" fontId="3" fillId="0" borderId="2" xfId="1" applyNumberFormat="1" applyFont="1" applyFill="1" applyBorder="1"/>
    <xf numFmtId="168" fontId="3" fillId="0" borderId="2" xfId="1" applyNumberFormat="1" applyFont="1" applyFill="1" applyBorder="1"/>
    <xf numFmtId="0" fontId="0" fillId="0" borderId="0" xfId="0"/>
    <xf numFmtId="0" fontId="0" fillId="0" borderId="0" xfId="0" applyBorder="1"/>
    <xf numFmtId="168" fontId="3" fillId="0" borderId="2" xfId="1" applyNumberFormat="1" applyFont="1" applyFill="1" applyBorder="1"/>
    <xf numFmtId="168" fontId="3" fillId="0" borderId="3" xfId="1" applyNumberFormat="1" applyFont="1" applyFill="1" applyBorder="1"/>
    <xf numFmtId="170" fontId="3" fillId="0" borderId="3" xfId="3" applyNumberFormat="1" applyFont="1" applyFill="1" applyBorder="1"/>
    <xf numFmtId="170" fontId="3" fillId="0" borderId="2" xfId="3" applyNumberFormat="1" applyFont="1" applyFill="1" applyBorder="1"/>
    <xf numFmtId="170" fontId="3" fillId="0" borderId="4" xfId="3" applyNumberFormat="1" applyFont="1" applyFill="1" applyBorder="1"/>
    <xf numFmtId="170" fontId="0" fillId="0" borderId="0" xfId="0" applyNumberFormat="1" applyFill="1"/>
    <xf numFmtId="0" fontId="0" fillId="0" borderId="0" xfId="0" applyFill="1"/>
    <xf numFmtId="170" fontId="3" fillId="0" borderId="5" xfId="1" applyNumberFormat="1" applyFont="1" applyFill="1" applyBorder="1" applyAlignment="1">
      <alignment horizontal="center"/>
    </xf>
    <xf numFmtId="170" fontId="3" fillId="0" borderId="3" xfId="1" applyNumberFormat="1" applyFont="1" applyFill="1" applyBorder="1" applyAlignment="1">
      <alignment horizontal="center"/>
    </xf>
    <xf numFmtId="170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168" fontId="3" fillId="0" borderId="30" xfId="1" applyNumberFormat="1" applyFont="1" applyFill="1" applyBorder="1"/>
    <xf numFmtId="0" fontId="3" fillId="0" borderId="0" xfId="0" applyFont="1" applyFill="1" applyBorder="1"/>
    <xf numFmtId="168" fontId="3" fillId="0" borderId="3" xfId="0" applyNumberFormat="1" applyFont="1" applyFill="1" applyBorder="1"/>
    <xf numFmtId="170" fontId="3" fillId="0" borderId="3" xfId="1" applyNumberFormat="1" applyFont="1" applyFill="1" applyBorder="1"/>
    <xf numFmtId="0" fontId="1" fillId="0" borderId="0" xfId="0" applyFont="1" applyFill="1" applyBorder="1"/>
    <xf numFmtId="170" fontId="3" fillId="0" borderId="2" xfId="1" applyNumberFormat="1" applyFont="1" applyFill="1" applyBorder="1" applyAlignment="1">
      <alignment horizontal="center"/>
    </xf>
    <xf numFmtId="170" fontId="3" fillId="0" borderId="1" xfId="1" applyNumberFormat="1" applyFont="1" applyFill="1" applyBorder="1"/>
    <xf numFmtId="170" fontId="3" fillId="0" borderId="2" xfId="1" applyNumberFormat="1" applyFont="1" applyFill="1" applyBorder="1"/>
    <xf numFmtId="172" fontId="3" fillId="0" borderId="26" xfId="0" quotePrefix="1" applyNumberFormat="1" applyFont="1" applyFill="1" applyBorder="1" applyAlignment="1">
      <alignment horizontal="center"/>
    </xf>
    <xf numFmtId="172" fontId="3" fillId="0" borderId="26" xfId="0" applyNumberFormat="1" applyFont="1" applyFill="1" applyBorder="1" applyAlignment="1">
      <alignment horizontal="center"/>
    </xf>
    <xf numFmtId="172" fontId="3" fillId="0" borderId="26" xfId="0" applyNumberFormat="1" applyFont="1" applyFill="1" applyBorder="1"/>
    <xf numFmtId="164" fontId="6" fillId="0" borderId="26" xfId="0" quotePrefix="1" applyNumberFormat="1" applyFont="1" applyFill="1" applyBorder="1" applyAlignment="1">
      <alignment horizontal="right"/>
    </xf>
    <xf numFmtId="164" fontId="3" fillId="0" borderId="26" xfId="0" quotePrefix="1" applyNumberFormat="1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center"/>
    </xf>
    <xf numFmtId="0" fontId="3" fillId="0" borderId="21" xfId="0" quotePrefix="1" applyFont="1" applyFill="1" applyBorder="1" applyAlignment="1">
      <alignment horizontal="center"/>
    </xf>
    <xf numFmtId="2" fontId="3" fillId="0" borderId="0" xfId="0" quotePrefix="1" applyNumberFormat="1" applyFont="1" applyFill="1" applyBorder="1" applyAlignment="1">
      <alignment horizontal="center"/>
    </xf>
    <xf numFmtId="0" fontId="0" fillId="0" borderId="13" xfId="0" applyFill="1" applyBorder="1"/>
    <xf numFmtId="170" fontId="4" fillId="0" borderId="3" xfId="1" applyNumberFormat="1" applyFont="1" applyFill="1" applyBorder="1"/>
    <xf numFmtId="170" fontId="4" fillId="0" borderId="4" xfId="1" applyNumberFormat="1" applyFont="1" applyFill="1" applyBorder="1"/>
    <xf numFmtId="172" fontId="3" fillId="0" borderId="28" xfId="0" quotePrefix="1" applyNumberFormat="1" applyFont="1" applyFill="1" applyBorder="1" applyAlignment="1">
      <alignment horizontal="center"/>
    </xf>
    <xf numFmtId="165" fontId="3" fillId="0" borderId="26" xfId="0" quotePrefix="1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right"/>
    </xf>
    <xf numFmtId="0" fontId="7" fillId="0" borderId="0" xfId="0" applyFont="1" applyFill="1" applyBorder="1"/>
    <xf numFmtId="172" fontId="7" fillId="0" borderId="26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2" fontId="21" fillId="0" borderId="26" xfId="0" quotePrefix="1" applyNumberFormat="1" applyFont="1" applyFill="1" applyBorder="1" applyAlignment="1">
      <alignment horizontal="center"/>
    </xf>
    <xf numFmtId="0" fontId="7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2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4" fontId="9" fillId="0" borderId="26" xfId="0" applyNumberFormat="1" applyFont="1" applyFill="1" applyBorder="1"/>
    <xf numFmtId="0" fontId="23" fillId="0" borderId="0" xfId="0" applyFont="1" applyFill="1" applyBorder="1"/>
    <xf numFmtId="2" fontId="3" fillId="0" borderId="0" xfId="0" applyNumberFormat="1" applyFont="1" applyFill="1" applyBorder="1"/>
    <xf numFmtId="173" fontId="3" fillId="0" borderId="0" xfId="0" quotePrefix="1" applyNumberFormat="1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0" fontId="3" fillId="0" borderId="0" xfId="0" quotePrefix="1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5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6" fillId="0" borderId="15" xfId="0" quotePrefix="1" applyFont="1" applyFill="1" applyBorder="1" applyAlignment="1">
      <alignment horizontal="right"/>
    </xf>
    <xf numFmtId="164" fontId="6" fillId="0" borderId="25" xfId="0" quotePrefix="1" applyNumberFormat="1" applyFont="1" applyFill="1" applyBorder="1" applyAlignment="1">
      <alignment horizontal="right"/>
    </xf>
    <xf numFmtId="9" fontId="3" fillId="0" borderId="0" xfId="0" quotePrefix="1" applyNumberFormat="1" applyFont="1" applyFill="1" applyBorder="1" applyAlignment="1">
      <alignment horizontal="center"/>
    </xf>
    <xf numFmtId="9" fontId="3" fillId="0" borderId="26" xfId="0" quotePrefix="1" applyNumberFormat="1" applyFont="1" applyFill="1" applyBorder="1" applyAlignment="1">
      <alignment horizontal="right"/>
    </xf>
    <xf numFmtId="2" fontId="3" fillId="0" borderId="21" xfId="0" applyNumberFormat="1" applyFont="1" applyFill="1" applyBorder="1" applyAlignment="1">
      <alignment horizontal="center"/>
    </xf>
    <xf numFmtId="172" fontId="3" fillId="0" borderId="28" xfId="0" applyNumberFormat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left"/>
    </xf>
    <xf numFmtId="0" fontId="6" fillId="0" borderId="15" xfId="0" applyFont="1" applyFill="1" applyBorder="1"/>
    <xf numFmtId="172" fontId="3" fillId="5" borderId="26" xfId="0" quotePrefix="1" applyNumberFormat="1" applyFont="1" applyFill="1" applyBorder="1" applyAlignment="1">
      <alignment horizontal="center"/>
    </xf>
    <xf numFmtId="172" fontId="3" fillId="5" borderId="26" xfId="0" applyNumberFormat="1" applyFont="1" applyFill="1" applyBorder="1" applyAlignment="1">
      <alignment horizontal="center"/>
    </xf>
    <xf numFmtId="0" fontId="6" fillId="0" borderId="38" xfId="0" applyFont="1" applyFill="1" applyBorder="1"/>
    <xf numFmtId="172" fontId="7" fillId="0" borderId="39" xfId="0" applyNumberFormat="1" applyFont="1" applyFill="1" applyBorder="1"/>
    <xf numFmtId="172" fontId="21" fillId="0" borderId="39" xfId="0" quotePrefix="1" applyNumberFormat="1" applyFont="1" applyFill="1" applyBorder="1" applyAlignment="1">
      <alignment horizontal="center"/>
    </xf>
    <xf numFmtId="172" fontId="21" fillId="0" borderId="40" xfId="0" applyNumberFormat="1" applyFont="1" applyFill="1" applyBorder="1" applyAlignment="1">
      <alignment horizontal="center"/>
    </xf>
    <xf numFmtId="164" fontId="9" fillId="0" borderId="39" xfId="0" applyNumberFormat="1" applyFont="1" applyFill="1" applyBorder="1"/>
    <xf numFmtId="172" fontId="3" fillId="0" borderId="39" xfId="0" applyNumberFormat="1" applyFont="1" applyFill="1" applyBorder="1"/>
    <xf numFmtId="172" fontId="3" fillId="0" borderId="39" xfId="0" quotePrefix="1" applyNumberFormat="1" applyFont="1" applyFill="1" applyBorder="1" applyAlignment="1">
      <alignment horizontal="center"/>
    </xf>
    <xf numFmtId="172" fontId="3" fillId="0" borderId="39" xfId="0" applyNumberFormat="1" applyFont="1" applyFill="1" applyBorder="1" applyAlignment="1">
      <alignment horizontal="center"/>
    </xf>
    <xf numFmtId="165" fontId="3" fillId="0" borderId="39" xfId="0" quotePrefix="1" applyNumberFormat="1" applyFont="1" applyFill="1" applyBorder="1" applyAlignment="1">
      <alignment horizontal="center"/>
    </xf>
    <xf numFmtId="165" fontId="3" fillId="0" borderId="39" xfId="0" applyNumberFormat="1" applyFont="1" applyFill="1" applyBorder="1" applyAlignment="1">
      <alignment horizontal="center"/>
    </xf>
    <xf numFmtId="164" fontId="6" fillId="0" borderId="39" xfId="0" applyNumberFormat="1" applyFont="1" applyFill="1" applyBorder="1" applyAlignment="1">
      <alignment horizontal="right"/>
    </xf>
    <xf numFmtId="165" fontId="4" fillId="0" borderId="39" xfId="0" applyNumberFormat="1" applyFont="1" applyFill="1" applyBorder="1" applyAlignment="1">
      <alignment horizontal="center"/>
    </xf>
    <xf numFmtId="172" fontId="3" fillId="0" borderId="40" xfId="0" applyNumberFormat="1" applyFont="1" applyFill="1" applyBorder="1" applyAlignment="1">
      <alignment horizontal="center"/>
    </xf>
    <xf numFmtId="172" fontId="3" fillId="0" borderId="40" xfId="0" quotePrefix="1" applyNumberFormat="1" applyFont="1" applyFill="1" applyBorder="1" applyAlignment="1">
      <alignment horizontal="center"/>
    </xf>
    <xf numFmtId="164" fontId="6" fillId="0" borderId="39" xfId="0" quotePrefix="1" applyNumberFormat="1" applyFont="1" applyFill="1" applyBorder="1" applyAlignment="1">
      <alignment horizontal="right"/>
    </xf>
    <xf numFmtId="9" fontId="3" fillId="0" borderId="39" xfId="0" quotePrefix="1" applyNumberFormat="1" applyFont="1" applyFill="1" applyBorder="1" applyAlignment="1">
      <alignment horizontal="right"/>
    </xf>
    <xf numFmtId="0" fontId="0" fillId="0" borderId="39" xfId="0" applyBorder="1"/>
    <xf numFmtId="164" fontId="3" fillId="0" borderId="39" xfId="0" quotePrefix="1" applyNumberFormat="1" applyFont="1" applyFill="1" applyBorder="1" applyAlignment="1">
      <alignment horizontal="center"/>
    </xf>
    <xf numFmtId="164" fontId="3" fillId="0" borderId="39" xfId="0" applyNumberFormat="1" applyFont="1" applyFill="1" applyBorder="1" applyAlignment="1">
      <alignment horizontal="center"/>
    </xf>
    <xf numFmtId="2" fontId="0" fillId="0" borderId="39" xfId="0" applyNumberFormat="1" applyBorder="1"/>
    <xf numFmtId="9" fontId="3" fillId="0" borderId="39" xfId="0" applyNumberFormat="1" applyFont="1" applyFill="1" applyBorder="1" applyAlignment="1">
      <alignment horizontal="right"/>
    </xf>
    <xf numFmtId="0" fontId="1" fillId="0" borderId="0" xfId="0" applyFont="1" applyFill="1"/>
    <xf numFmtId="170" fontId="3" fillId="0" borderId="0" xfId="3" applyNumberFormat="1" applyFont="1" applyFill="1" applyBorder="1"/>
    <xf numFmtId="170" fontId="4" fillId="0" borderId="0" xfId="3" applyNumberFormat="1" applyFont="1" applyFill="1" applyBorder="1"/>
    <xf numFmtId="170" fontId="4" fillId="0" borderId="41" xfId="3" applyNumberFormat="1" applyFont="1" applyFill="1" applyBorder="1"/>
    <xf numFmtId="170" fontId="4" fillId="0" borderId="3" xfId="3" applyNumberFormat="1" applyFont="1" applyFill="1" applyBorder="1"/>
    <xf numFmtId="170" fontId="4" fillId="0" borderId="3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0" fillId="0" borderId="3" xfId="0" applyFill="1" applyBorder="1"/>
    <xf numFmtId="170" fontId="3" fillId="0" borderId="1" xfId="3" applyNumberFormat="1" applyFont="1" applyFill="1" applyBorder="1"/>
    <xf numFmtId="0" fontId="0" fillId="0" borderId="8" xfId="0" applyFill="1" applyBorder="1"/>
    <xf numFmtId="0" fontId="0" fillId="0" borderId="4" xfId="0" applyFill="1" applyBorder="1"/>
    <xf numFmtId="170" fontId="24" fillId="0" borderId="41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170" fontId="3" fillId="0" borderId="6" xfId="3" applyNumberFormat="1" applyFont="1" applyFill="1" applyBorder="1"/>
    <xf numFmtId="170" fontId="4" fillId="0" borderId="43" xfId="3" applyNumberFormat="1" applyFont="1" applyFill="1" applyBorder="1"/>
    <xf numFmtId="170" fontId="4" fillId="0" borderId="2" xfId="3" applyNumberFormat="1" applyFont="1" applyFill="1" applyBorder="1"/>
    <xf numFmtId="3" fontId="3" fillId="0" borderId="2" xfId="3" applyNumberFormat="1" applyFont="1" applyFill="1" applyBorder="1"/>
    <xf numFmtId="0" fontId="9" fillId="0" borderId="0" xfId="0" applyFont="1" applyFill="1" applyBorder="1" applyAlignment="1">
      <alignment horizontal="right"/>
    </xf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/>
    <xf numFmtId="170" fontId="42" fillId="0" borderId="3" xfId="3" applyNumberFormat="1" applyFont="1" applyFill="1" applyBorder="1" applyAlignment="1">
      <alignment horizontal="right"/>
    </xf>
    <xf numFmtId="170" fontId="5" fillId="0" borderId="0" xfId="3" applyNumberFormat="1" applyFont="1" applyFill="1" applyBorder="1"/>
    <xf numFmtId="170" fontId="42" fillId="0" borderId="0" xfId="3" applyNumberFormat="1" applyFont="1" applyFill="1" applyBorder="1" applyAlignment="1">
      <alignment horizontal="right"/>
    </xf>
    <xf numFmtId="170" fontId="42" fillId="0" borderId="0" xfId="3" applyNumberFormat="1" applyFont="1" applyFill="1" applyBorder="1"/>
    <xf numFmtId="170" fontId="42" fillId="0" borderId="41" xfId="3" applyNumberFormat="1" applyFont="1" applyFill="1" applyBorder="1" applyAlignment="1">
      <alignment horizontal="right"/>
    </xf>
    <xf numFmtId="170" fontId="42" fillId="0" borderId="4" xfId="3" applyNumberFormat="1" applyFont="1" applyFill="1" applyBorder="1" applyAlignment="1">
      <alignment horizontal="right"/>
    </xf>
    <xf numFmtId="170" fontId="3" fillId="0" borderId="3" xfId="3" applyNumberFormat="1" applyFont="1" applyFill="1" applyBorder="1" applyAlignment="1">
      <alignment horizontal="right"/>
    </xf>
    <xf numFmtId="170" fontId="3" fillId="0" borderId="3" xfId="3" applyNumberFormat="1" applyFont="1" applyFill="1" applyBorder="1" applyAlignment="1">
      <alignment horizontal="center"/>
    </xf>
    <xf numFmtId="170" fontId="42" fillId="0" borderId="2" xfId="3" applyNumberFormat="1" applyFont="1" applyFill="1" applyBorder="1" applyAlignment="1">
      <alignment horizontal="right"/>
    </xf>
    <xf numFmtId="170" fontId="42" fillId="0" borderId="43" xfId="3" applyNumberFormat="1" applyFont="1" applyFill="1" applyBorder="1" applyAlignment="1">
      <alignment horizontal="right"/>
    </xf>
    <xf numFmtId="170" fontId="42" fillId="0" borderId="1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170" fontId="26" fillId="0" borderId="41" xfId="0" applyNumberFormat="1" applyFont="1" applyFill="1" applyBorder="1" applyAlignment="1">
      <alignment horizontal="right"/>
    </xf>
    <xf numFmtId="0" fontId="25" fillId="0" borderId="0" xfId="0" applyFont="1" applyFill="1"/>
    <xf numFmtId="43" fontId="0" fillId="0" borderId="0" xfId="0" applyNumberFormat="1" applyFill="1"/>
    <xf numFmtId="0" fontId="0" fillId="0" borderId="0" xfId="0" applyFont="1" applyFill="1"/>
    <xf numFmtId="43" fontId="0" fillId="0" borderId="3" xfId="0" applyNumberFormat="1" applyFill="1" applyBorder="1"/>
    <xf numFmtId="43" fontId="9" fillId="0" borderId="41" xfId="0" applyNumberFormat="1" applyFont="1" applyFill="1" applyBorder="1"/>
    <xf numFmtId="170" fontId="42" fillId="0" borderId="10" xfId="3" applyNumberFormat="1" applyFont="1" applyFill="1" applyBorder="1" applyAlignment="1">
      <alignment horizontal="right"/>
    </xf>
    <xf numFmtId="170" fontId="42" fillId="0" borderId="17" xfId="3" applyNumberFormat="1" applyFont="1" applyFill="1" applyBorder="1"/>
    <xf numFmtId="170" fontId="5" fillId="0" borderId="17" xfId="3" applyNumberFormat="1" applyFont="1" applyFill="1" applyBorder="1"/>
    <xf numFmtId="0" fontId="1" fillId="0" borderId="17" xfId="0" applyFont="1" applyFill="1" applyBorder="1"/>
    <xf numFmtId="170" fontId="5" fillId="0" borderId="7" xfId="3" applyNumberFormat="1" applyFont="1" applyFill="1" applyBorder="1"/>
    <xf numFmtId="0" fontId="0" fillId="0" borderId="17" xfId="0" applyFill="1" applyBorder="1"/>
    <xf numFmtId="0" fontId="0" fillId="0" borderId="17" xfId="0" applyFont="1" applyFill="1" applyBorder="1"/>
    <xf numFmtId="0" fontId="0" fillId="0" borderId="3" xfId="0" applyBorder="1"/>
    <xf numFmtId="0" fontId="4" fillId="0" borderId="22" xfId="0" applyFont="1" applyFill="1" applyBorder="1" applyAlignment="1">
      <alignment horizontal="left"/>
    </xf>
    <xf numFmtId="43" fontId="3" fillId="0" borderId="26" xfId="0" quotePrefix="1" applyNumberFormat="1" applyFont="1" applyFill="1" applyBorder="1" applyAlignment="1">
      <alignment horizontal="center"/>
    </xf>
    <xf numFmtId="0" fontId="35" fillId="0" borderId="0" xfId="0" applyFont="1" applyFill="1" applyBorder="1"/>
    <xf numFmtId="0" fontId="35" fillId="0" borderId="15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14" xfId="0" quotePrefix="1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170" fontId="5" fillId="0" borderId="3" xfId="3" applyNumberFormat="1" applyFont="1" applyFill="1" applyBorder="1"/>
    <xf numFmtId="0" fontId="42" fillId="0" borderId="6" xfId="0" applyFont="1" applyFill="1" applyBorder="1" applyAlignment="1">
      <alignment horizontal="left"/>
    </xf>
    <xf numFmtId="0" fontId="6" fillId="0" borderId="0" xfId="0" applyFont="1" applyFill="1" applyBorder="1"/>
    <xf numFmtId="170" fontId="6" fillId="0" borderId="0" xfId="3" applyNumberFormat="1" applyFont="1" applyFill="1" applyBorder="1"/>
    <xf numFmtId="164" fontId="6" fillId="0" borderId="26" xfId="0" applyNumberFormat="1" applyFont="1" applyFill="1" applyBorder="1"/>
    <xf numFmtId="177" fontId="3" fillId="0" borderId="39" xfId="0" quotePrefix="1" applyNumberFormat="1" applyFont="1" applyFill="1" applyBorder="1" applyAlignment="1">
      <alignment horizontal="center"/>
    </xf>
    <xf numFmtId="177" fontId="3" fillId="0" borderId="26" xfId="0" quotePrefix="1" applyNumberFormat="1" applyFont="1" applyFill="1" applyBorder="1" applyAlignment="1">
      <alignment horizontal="center"/>
    </xf>
    <xf numFmtId="177" fontId="3" fillId="0" borderId="39" xfId="0" applyNumberFormat="1" applyFont="1" applyFill="1" applyBorder="1" applyAlignment="1">
      <alignment horizontal="center"/>
    </xf>
    <xf numFmtId="177" fontId="3" fillId="0" borderId="26" xfId="0" applyNumberFormat="1" applyFont="1" applyFill="1" applyBorder="1" applyAlignment="1">
      <alignment horizontal="center"/>
    </xf>
    <xf numFmtId="177" fontId="3" fillId="0" borderId="39" xfId="0" applyNumberFormat="1" applyFont="1" applyFill="1" applyBorder="1" applyAlignment="1">
      <alignment horizontal="right"/>
    </xf>
    <xf numFmtId="3" fontId="3" fillId="0" borderId="3" xfId="3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/>
    </xf>
    <xf numFmtId="0" fontId="42" fillId="0" borderId="3" xfId="0" applyFont="1" applyFill="1" applyBorder="1" applyAlignment="1">
      <alignment horizontal="left"/>
    </xf>
    <xf numFmtId="170" fontId="4" fillId="0" borderId="10" xfId="3" applyNumberFormat="1" applyFont="1" applyFill="1" applyBorder="1"/>
    <xf numFmtId="0" fontId="0" fillId="5" borderId="0" xfId="0" applyFill="1"/>
    <xf numFmtId="0" fontId="42" fillId="0" borderId="0" xfId="0" applyFont="1" applyFill="1" applyBorder="1" applyAlignment="1">
      <alignment horizontal="left"/>
    </xf>
    <xf numFmtId="0" fontId="42" fillId="0" borderId="11" xfId="0" applyFont="1" applyFill="1" applyBorder="1" applyAlignment="1">
      <alignment horizontal="left"/>
    </xf>
    <xf numFmtId="0" fontId="42" fillId="0" borderId="44" xfId="0" applyFont="1" applyFill="1" applyBorder="1" applyAlignment="1">
      <alignment horizontal="left"/>
    </xf>
    <xf numFmtId="167" fontId="3" fillId="0" borderId="1" xfId="1" applyNumberFormat="1" applyFont="1" applyFill="1" applyBorder="1"/>
    <xf numFmtId="182" fontId="3" fillId="0" borderId="2" xfId="1" applyNumberFormat="1" applyFont="1" applyFill="1" applyBorder="1"/>
    <xf numFmtId="0" fontId="0" fillId="0" borderId="45" xfId="0" applyBorder="1"/>
    <xf numFmtId="0" fontId="24" fillId="0" borderId="45" xfId="0" applyFont="1" applyBorder="1" applyAlignment="1">
      <alignment horizontal="center"/>
    </xf>
    <xf numFmtId="183" fontId="3" fillId="0" borderId="26" xfId="0" applyNumberFormat="1" applyFont="1" applyFill="1" applyBorder="1" applyAlignment="1">
      <alignment horizontal="center"/>
    </xf>
    <xf numFmtId="183" fontId="3" fillId="0" borderId="28" xfId="0" applyNumberFormat="1" applyFont="1" applyFill="1" applyBorder="1" applyAlignment="1">
      <alignment horizontal="center"/>
    </xf>
    <xf numFmtId="164" fontId="9" fillId="0" borderId="22" xfId="0" applyNumberFormat="1" applyFont="1" applyFill="1" applyBorder="1"/>
    <xf numFmtId="172" fontId="3" fillId="0" borderId="22" xfId="0" applyNumberFormat="1" applyFont="1" applyFill="1" applyBorder="1"/>
    <xf numFmtId="177" fontId="3" fillId="0" borderId="22" xfId="0" quotePrefix="1" applyNumberFormat="1" applyFont="1" applyFill="1" applyBorder="1" applyAlignment="1">
      <alignment horizontal="center"/>
    </xf>
    <xf numFmtId="177" fontId="3" fillId="0" borderId="22" xfId="0" applyNumberFormat="1" applyFont="1" applyFill="1" applyBorder="1" applyAlignment="1">
      <alignment horizontal="center"/>
    </xf>
    <xf numFmtId="172" fontId="3" fillId="0" borderId="22" xfId="0" quotePrefix="1" applyNumberFormat="1" applyFont="1" applyFill="1" applyBorder="1" applyAlignment="1">
      <alignment horizontal="center"/>
    </xf>
    <xf numFmtId="177" fontId="3" fillId="0" borderId="22" xfId="0" applyNumberFormat="1" applyFont="1" applyFill="1" applyBorder="1" applyAlignment="1">
      <alignment horizontal="right"/>
    </xf>
    <xf numFmtId="172" fontId="3" fillId="0" borderId="22" xfId="0" applyNumberFormat="1" applyFont="1" applyFill="1" applyBorder="1" applyAlignment="1">
      <alignment horizontal="center"/>
    </xf>
    <xf numFmtId="165" fontId="3" fillId="0" borderId="22" xfId="0" quotePrefix="1" applyNumberFormat="1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right"/>
    </xf>
    <xf numFmtId="165" fontId="4" fillId="0" borderId="22" xfId="0" applyNumberFormat="1" applyFont="1" applyFill="1" applyBorder="1" applyAlignment="1">
      <alignment horizontal="center"/>
    </xf>
    <xf numFmtId="172" fontId="3" fillId="0" borderId="27" xfId="0" applyNumberFormat="1" applyFont="1" applyFill="1" applyBorder="1" applyAlignment="1">
      <alignment horizontal="center"/>
    </xf>
    <xf numFmtId="181" fontId="3" fillId="0" borderId="22" xfId="0" quotePrefix="1" applyNumberFormat="1" applyFont="1" applyFill="1" applyBorder="1" applyAlignment="1">
      <alignment horizontal="center"/>
    </xf>
    <xf numFmtId="172" fontId="3" fillId="0" borderId="27" xfId="0" quotePrefix="1" applyNumberFormat="1" applyFont="1" applyFill="1" applyBorder="1" applyAlignment="1">
      <alignment horizontal="center"/>
    </xf>
    <xf numFmtId="164" fontId="6" fillId="0" borderId="14" xfId="0" quotePrefix="1" applyNumberFormat="1" applyFont="1" applyFill="1" applyBorder="1" applyAlignment="1">
      <alignment horizontal="right"/>
    </xf>
    <xf numFmtId="164" fontId="6" fillId="0" borderId="22" xfId="0" quotePrefix="1" applyNumberFormat="1" applyFont="1" applyFill="1" applyBorder="1" applyAlignment="1">
      <alignment horizontal="right"/>
    </xf>
    <xf numFmtId="9" fontId="3" fillId="0" borderId="22" xfId="0" quotePrefix="1" applyNumberFormat="1" applyFont="1" applyFill="1" applyBorder="1" applyAlignment="1">
      <alignment horizontal="right"/>
    </xf>
    <xf numFmtId="172" fontId="3" fillId="5" borderId="22" xfId="0" quotePrefix="1" applyNumberFormat="1" applyFont="1" applyFill="1" applyBorder="1" applyAlignment="1">
      <alignment horizontal="center"/>
    </xf>
    <xf numFmtId="172" fontId="3" fillId="5" borderId="22" xfId="0" applyNumberFormat="1" applyFont="1" applyFill="1" applyBorder="1" applyAlignment="1">
      <alignment horizontal="center"/>
    </xf>
    <xf numFmtId="2" fontId="0" fillId="0" borderId="22" xfId="0" applyNumberFormat="1" applyBorder="1"/>
    <xf numFmtId="180" fontId="3" fillId="0" borderId="22" xfId="0" quotePrefix="1" applyNumberFormat="1" applyFont="1" applyFill="1" applyBorder="1" applyAlignment="1">
      <alignment horizontal="center"/>
    </xf>
    <xf numFmtId="180" fontId="3" fillId="0" borderId="22" xfId="0" applyNumberFormat="1" applyFont="1" applyFill="1" applyBorder="1" applyAlignment="1">
      <alignment horizontal="center"/>
    </xf>
    <xf numFmtId="164" fontId="6" fillId="0" borderId="33" xfId="0" applyNumberFormat="1" applyFont="1" applyFill="1" applyBorder="1"/>
    <xf numFmtId="172" fontId="3" fillId="0" borderId="35" xfId="0" applyNumberFormat="1" applyFont="1" applyFill="1" applyBorder="1"/>
    <xf numFmtId="177" fontId="3" fillId="0" borderId="35" xfId="0" quotePrefix="1" applyNumberFormat="1" applyFont="1" applyFill="1" applyBorder="1" applyAlignment="1">
      <alignment horizontal="center"/>
    </xf>
    <xf numFmtId="177" fontId="3" fillId="0" borderId="35" xfId="0" applyNumberFormat="1" applyFont="1" applyFill="1" applyBorder="1" applyAlignment="1">
      <alignment horizontal="center"/>
    </xf>
    <xf numFmtId="172" fontId="3" fillId="0" borderId="35" xfId="0" quotePrefix="1" applyNumberFormat="1" applyFont="1" applyFill="1" applyBorder="1" applyAlignment="1">
      <alignment horizontal="center"/>
    </xf>
    <xf numFmtId="177" fontId="3" fillId="0" borderId="35" xfId="0" applyNumberFormat="1" applyFont="1" applyFill="1" applyBorder="1" applyAlignment="1">
      <alignment horizontal="right"/>
    </xf>
    <xf numFmtId="172" fontId="3" fillId="0" borderId="35" xfId="0" applyNumberFormat="1" applyFont="1" applyFill="1" applyBorder="1" applyAlignment="1">
      <alignment horizontal="center"/>
    </xf>
    <xf numFmtId="165" fontId="3" fillId="0" borderId="35" xfId="0" quotePrefix="1" applyNumberFormat="1" applyFont="1" applyFill="1" applyBorder="1" applyAlignment="1">
      <alignment horizontal="center"/>
    </xf>
    <xf numFmtId="165" fontId="3" fillId="0" borderId="35" xfId="0" applyNumberFormat="1" applyFont="1" applyFill="1" applyBorder="1" applyAlignment="1">
      <alignment horizontal="center"/>
    </xf>
    <xf numFmtId="164" fontId="6" fillId="0" borderId="35" xfId="0" applyNumberFormat="1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center"/>
    </xf>
    <xf numFmtId="172" fontId="3" fillId="0" borderId="36" xfId="0" applyNumberFormat="1" applyFont="1" applyFill="1" applyBorder="1" applyAlignment="1">
      <alignment horizontal="center"/>
    </xf>
    <xf numFmtId="164" fontId="6" fillId="0" borderId="35" xfId="0" applyNumberFormat="1" applyFont="1" applyFill="1" applyBorder="1"/>
    <xf numFmtId="181" fontId="3" fillId="0" borderId="35" xfId="0" quotePrefix="1" applyNumberFormat="1" applyFont="1" applyFill="1" applyBorder="1" applyAlignment="1">
      <alignment horizontal="center"/>
    </xf>
    <xf numFmtId="172" fontId="3" fillId="0" borderId="36" xfId="0" quotePrefix="1" applyNumberFormat="1" applyFont="1" applyFill="1" applyBorder="1" applyAlignment="1">
      <alignment horizontal="center"/>
    </xf>
    <xf numFmtId="164" fontId="6" fillId="0" borderId="33" xfId="0" quotePrefix="1" applyNumberFormat="1" applyFont="1" applyFill="1" applyBorder="1" applyAlignment="1">
      <alignment horizontal="right"/>
    </xf>
    <xf numFmtId="164" fontId="6" fillId="0" borderId="35" xfId="0" quotePrefix="1" applyNumberFormat="1" applyFont="1" applyFill="1" applyBorder="1" applyAlignment="1">
      <alignment horizontal="right"/>
    </xf>
    <xf numFmtId="9" fontId="3" fillId="0" borderId="35" xfId="0" quotePrefix="1" applyNumberFormat="1" applyFont="1" applyFill="1" applyBorder="1" applyAlignment="1">
      <alignment horizontal="right"/>
    </xf>
    <xf numFmtId="172" fontId="3" fillId="5" borderId="35" xfId="0" quotePrefix="1" applyNumberFormat="1" applyFont="1" applyFill="1" applyBorder="1" applyAlignment="1">
      <alignment horizontal="center"/>
    </xf>
    <xf numFmtId="172" fontId="3" fillId="5" borderId="35" xfId="0" applyNumberFormat="1" applyFont="1" applyFill="1" applyBorder="1" applyAlignment="1">
      <alignment horizontal="center"/>
    </xf>
    <xf numFmtId="2" fontId="0" fillId="0" borderId="35" xfId="0" applyNumberFormat="1" applyBorder="1"/>
    <xf numFmtId="43" fontId="3" fillId="0" borderId="35" xfId="0" quotePrefix="1" applyNumberFormat="1" applyFont="1" applyFill="1" applyBorder="1" applyAlignment="1">
      <alignment horizontal="center"/>
    </xf>
    <xf numFmtId="164" fontId="3" fillId="0" borderId="35" xfId="0" applyNumberFormat="1" applyFont="1" applyFill="1" applyBorder="1" applyAlignment="1">
      <alignment horizontal="center"/>
    </xf>
    <xf numFmtId="0" fontId="6" fillId="0" borderId="14" xfId="0" applyFont="1" applyFill="1" applyBorder="1"/>
    <xf numFmtId="172" fontId="7" fillId="0" borderId="22" xfId="0" applyNumberFormat="1" applyFont="1" applyFill="1" applyBorder="1"/>
    <xf numFmtId="172" fontId="21" fillId="0" borderId="22" xfId="0" quotePrefix="1" applyNumberFormat="1" applyFont="1" applyFill="1" applyBorder="1" applyAlignment="1">
      <alignment horizontal="center"/>
    </xf>
    <xf numFmtId="172" fontId="21" fillId="0" borderId="27" xfId="0" applyNumberFormat="1" applyFont="1" applyFill="1" applyBorder="1" applyAlignment="1">
      <alignment horizontal="center"/>
    </xf>
    <xf numFmtId="0" fontId="6" fillId="0" borderId="33" xfId="0" applyFont="1" applyFill="1" applyBorder="1"/>
    <xf numFmtId="172" fontId="7" fillId="0" borderId="35" xfId="0" applyNumberFormat="1" applyFont="1" applyFill="1" applyBorder="1"/>
    <xf numFmtId="172" fontId="21" fillId="0" borderId="35" xfId="0" quotePrefix="1" applyNumberFormat="1" applyFont="1" applyFill="1" applyBorder="1" applyAlignment="1">
      <alignment horizontal="center"/>
    </xf>
    <xf numFmtId="172" fontId="21" fillId="0" borderId="3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5" fillId="0" borderId="0" xfId="0" applyFont="1"/>
    <xf numFmtId="0" fontId="42" fillId="0" borderId="0" xfId="0" applyFont="1"/>
    <xf numFmtId="0" fontId="5" fillId="0" borderId="2" xfId="0" applyFont="1" applyFill="1" applyBorder="1"/>
    <xf numFmtId="0" fontId="4" fillId="0" borderId="9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171" fontId="3" fillId="0" borderId="12" xfId="0" applyNumberFormat="1" applyFont="1" applyFill="1" applyBorder="1" applyAlignment="1">
      <alignment horizontal="center" vertical="top"/>
    </xf>
    <xf numFmtId="171" fontId="3" fillId="0" borderId="7" xfId="0" applyNumberFormat="1" applyFont="1" applyFill="1" applyBorder="1" applyAlignment="1">
      <alignment horizontal="center" vertical="top"/>
    </xf>
    <xf numFmtId="171" fontId="3" fillId="0" borderId="13" xfId="0" applyNumberFormat="1" applyFont="1" applyFill="1" applyBorder="1" applyAlignment="1">
      <alignment horizontal="center" vertical="top"/>
    </xf>
    <xf numFmtId="171" fontId="3" fillId="0" borderId="8" xfId="0" applyNumberFormat="1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left"/>
    </xf>
    <xf numFmtId="0" fontId="24" fillId="0" borderId="17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left"/>
    </xf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24" fillId="0" borderId="30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0" fontId="24" fillId="0" borderId="17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0" fillId="0" borderId="15" xfId="0" applyFont="1" applyFill="1" applyBorder="1" applyAlignment="1"/>
    <xf numFmtId="0" fontId="7" fillId="0" borderId="15" xfId="0" applyFont="1" applyFill="1" applyBorder="1" applyAlignment="1"/>
    <xf numFmtId="0" fontId="4" fillId="0" borderId="2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6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</cellXfs>
  <cellStyles count="4">
    <cellStyle name="Comma" xfId="1" builtinId="3"/>
    <cellStyle name="Comma_salaries0705" xfId="3"/>
    <cellStyle name="Normal" xfId="0" builtinId="0"/>
    <cellStyle name="Percent" xfId="2" builtinId="5"/>
  </cellStyles>
  <dxfs count="3">
    <dxf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87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879480326918251E-2"/>
                  <c:y val="-0.214363800726430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402818383465163"/>
                  <c:y val="4.5268977748625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843906755391331E-2"/>
                  <c:y val="5.94476162911579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2986266807802E-2"/>
                  <c:y val="-0.28582682703882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079714693977603"/>
                  <c:y val="1.93572165012085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920267369767826E-2"/>
                  <c:y val="-3.84789157785233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488141146365813"/>
                  <c:y val="-0.216293172114244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GRAPHS!$A$2:$I$2</c:f>
              <c:numCache>
                <c:formatCode>_ * #,##0_ ;_ * \-#,##0_ ;_ * "-"_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64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734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81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87341582302411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378672665916813E-2"/>
                  <c:y val="-0.340828263519085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3547056617995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343502062242217E-2"/>
                  <c:y val="-8.8515237472271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GRAPHS!$A$36:$F$36</c:f>
              <c:numCache>
                <c:formatCode>_ * #,##0_ ;_ * \-#,##0_ ;_ * "-"_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803"/>
          <c:w val="0.28685714285714381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1576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21576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ilonyana\AppData\Local\Microsoft\Windows\Temporary%20Internet%20Files\Content.Outlook\3IH44XYY\Users\Mokoena\AppData\Local\Microsoft\Windows\Temporary%20Internet%20Files\Content.Outlook\BPCMEJIM\expenditure%20by%20vote%20jul%20to%20dec%202013%20masi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ilonyana\AppData\Local\Microsoft\Windows\Temporary%20Internet%20Files\Content.Outlook\3IH44XYY\Users\Mokoena\AppData\Local\Microsoft\Windows\Temporary%20Internet%20Files\Content.Outlook\BPCMEJIM\C%20Schedule%20-%20Ver%202.5%20-%20July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koena\AppData\Local\Microsoft\Windows\Temporary%20Internet%20Files\Content.Outlook\BPCMEJIM\Expenditure%20and%20revenue%20variance%20report%20of%20Masilonyana%20LM%20FROM%201%20July%20to%2031%20december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M\Downloads\1415%20opex%20capex%20Departmental%20Budget%20NTHABELENG.xlsx%20Dec%2013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ilonyana\AppData\Local\Microsoft\Windows\Temporary%20Internet%20Files\Content.Outlook\3IH44XYY\Users\Mokoena\AppData\Local\Microsoft\Windows\Temporary%20Internet%20Files\Content.Outlook\BPCMEJIM\Creditors%20Summary%20January%202014%20to%20C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87">
          <cell r="D587">
            <v>6884.84</v>
          </cell>
        </row>
        <row r="594">
          <cell r="D594">
            <v>2345.1999999999998</v>
          </cell>
        </row>
        <row r="617">
          <cell r="D617">
            <v>373255.86</v>
          </cell>
        </row>
        <row r="624">
          <cell r="D624">
            <v>3716.43</v>
          </cell>
        </row>
        <row r="678">
          <cell r="F678">
            <v>219298.25</v>
          </cell>
        </row>
        <row r="679">
          <cell r="F679">
            <v>66578.91</v>
          </cell>
        </row>
        <row r="726">
          <cell r="D726">
            <v>22346.02</v>
          </cell>
        </row>
        <row r="727">
          <cell r="D727">
            <v>956342</v>
          </cell>
        </row>
        <row r="728">
          <cell r="D728">
            <v>157787.89000000001</v>
          </cell>
        </row>
        <row r="730">
          <cell r="D730">
            <v>13996.98</v>
          </cell>
        </row>
        <row r="742">
          <cell r="D742">
            <v>16070</v>
          </cell>
        </row>
        <row r="747">
          <cell r="E747">
            <v>1839944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(1)"/>
      <sheetName val="SC7(2)"/>
      <sheetName val="SC8"/>
      <sheetName val="SC9"/>
      <sheetName val="SC10"/>
      <sheetName val="SC11"/>
      <sheetName val="SC12"/>
      <sheetName val="SC13a"/>
      <sheetName val="SC13b"/>
      <sheetName val="SC13c"/>
      <sheetName val="SC13d"/>
      <sheetName val="SC71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G26">
            <v>26343703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3">
          <cell r="G43">
            <v>3929257</v>
          </cell>
        </row>
      </sheetData>
      <sheetData sheetId="22"/>
      <sheetData sheetId="23"/>
      <sheetData sheetId="24">
        <row r="14">
          <cell r="H14">
            <v>3142500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29">
          <cell r="G29">
            <v>109000</v>
          </cell>
        </row>
        <row r="30">
          <cell r="G30">
            <v>65026</v>
          </cell>
        </row>
        <row r="32">
          <cell r="G32">
            <v>36000</v>
          </cell>
        </row>
        <row r="42">
          <cell r="G42">
            <v>161000</v>
          </cell>
        </row>
      </sheetData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ed General Ledger Income"/>
      <sheetName val="REVENUE"/>
      <sheetName val="EXPENSES BY VOTE"/>
      <sheetName val="Sheet3"/>
      <sheetName val="sep run"/>
      <sheetName val="oct run"/>
      <sheetName val="nov run"/>
      <sheetName val="dec run"/>
      <sheetName val="consoli runs"/>
      <sheetName val="REVENUE BY SOURCE"/>
    </sheetNames>
    <sheetDataSet>
      <sheetData sheetId="0" refreshError="1"/>
      <sheetData sheetId="1" refreshError="1"/>
      <sheetData sheetId="2" refreshError="1"/>
      <sheetData sheetId="3" refreshError="1">
        <row r="14">
          <cell r="F14">
            <v>300</v>
          </cell>
        </row>
        <row r="19">
          <cell r="F1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 HIGH LEVEL BUDGET  SUMMARY"/>
      <sheetName val="INCEXP"/>
      <sheetName val="EXP ALLOCATION"/>
      <sheetName val="GRAPHS"/>
      <sheetName val="INPUT"/>
      <sheetName val="SUMMARY"/>
      <sheetName val="COUNCIL"/>
      <sheetName val="MAYOR"/>
      <sheetName val="SPEAKER"/>
      <sheetName val="MM"/>
      <sheetName val="CORP"/>
      <sheetName val="PROP"/>
      <sheetName val="RATES"/>
      <sheetName val="THALL"/>
      <sheetName val="FIN"/>
      <sheetName val="SOCIAL"/>
      <sheetName val="CEMETERY"/>
      <sheetName val="LIBRARIES"/>
      <sheetName val="HOUSING"/>
      <sheetName val="TRAFFIC"/>
      <sheetName val="PARKS"/>
      <sheetName val="REFUSE"/>
      <sheetName val="SEWAGE"/>
      <sheetName val="PWORKS"/>
      <sheetName val="WATER"/>
      <sheetName val="ELECTRIC"/>
      <sheetName val="SUMMARY1"/>
      <sheetName val="CAPITAL"/>
      <sheetName val="Tariff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5.0999999999999997E-2</v>
          </cell>
        </row>
        <row r="11">
          <cell r="D11">
            <v>0.1103</v>
          </cell>
        </row>
        <row r="12">
          <cell r="D12">
            <v>7.0000000000000007E-2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 Jan 14"/>
      <sheetName val="09 Jan 14"/>
      <sheetName val="10 Jan 14"/>
      <sheetName val="Sheet2"/>
    </sheetNames>
    <sheetDataSet>
      <sheetData sheetId="0"/>
      <sheetData sheetId="1"/>
      <sheetData sheetId="2"/>
      <sheetData sheetId="3">
        <row r="5">
          <cell r="H5">
            <v>3313685.17</v>
          </cell>
        </row>
        <row r="10">
          <cell r="H10">
            <v>6258265.3700000001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topLeftCell="A22" zoomScaleSheetLayoutView="100" workbookViewId="0">
      <selection activeCell="G37" sqref="G37"/>
    </sheetView>
  </sheetViews>
  <sheetFormatPr defaultRowHeight="13.2" x14ac:dyDescent="0.25"/>
  <sheetData>
    <row r="1" spans="1:12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x14ac:dyDescent="0.25">
      <c r="A2" s="61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</row>
    <row r="3" spans="1:12" x14ac:dyDescent="0.25">
      <c r="A3" s="61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</row>
    <row r="4" spans="1:12" x14ac:dyDescent="0.25">
      <c r="A4" s="61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</row>
    <row r="5" spans="1:12" x14ac:dyDescent="0.25">
      <c r="A5" s="61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</row>
    <row r="6" spans="1:12" x14ac:dyDescent="0.25">
      <c r="A6" s="61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</row>
    <row r="7" spans="1:12" s="55" customFormat="1" ht="44.4" x14ac:dyDescent="0.7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</row>
    <row r="9" spans="1:12" s="54" customFormat="1" ht="24.6" x14ac:dyDescent="0.4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x14ac:dyDescent="0.25">
      <c r="A10" s="6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</row>
    <row r="11" spans="1:12" x14ac:dyDescent="0.25">
      <c r="A11" s="6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</row>
    <row r="12" spans="1:12" s="69" customFormat="1" ht="60.6" x14ac:dyDescent="1">
      <c r="A12" s="671" t="s">
        <v>175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3"/>
    </row>
    <row r="13" spans="1:12" x14ac:dyDescent="0.25">
      <c r="A13" s="6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</row>
    <row r="14" spans="1:12" s="57" customFormat="1" ht="34.5" customHeight="1" x14ac:dyDescent="0.4">
      <c r="A14" s="674" t="s">
        <v>176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6"/>
    </row>
    <row r="15" spans="1:12" x14ac:dyDescent="0.25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</row>
    <row r="16" spans="1:12" x14ac:dyDescent="0.25">
      <c r="A16" s="6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</row>
    <row r="17" spans="1:12" s="56" customFormat="1" ht="35.25" customHeight="1" x14ac:dyDescent="0.4">
      <c r="A17" s="674" t="s">
        <v>177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6"/>
    </row>
    <row r="18" spans="1:12" x14ac:dyDescent="0.25">
      <c r="A18" s="6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</row>
    <row r="19" spans="1:12" x14ac:dyDescent="0.25">
      <c r="A19" s="6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</row>
    <row r="20" spans="1:12" x14ac:dyDescent="0.25">
      <c r="A20" s="6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</row>
    <row r="21" spans="1:12" hidden="1" x14ac:dyDescent="0.25">
      <c r="A21" s="6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</row>
    <row r="22" spans="1:12" x14ac:dyDescent="0.25">
      <c r="A22" s="6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</row>
    <row r="23" spans="1:12" ht="25.5" customHeight="1" x14ac:dyDescent="0.25">
      <c r="A23" s="6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</row>
    <row r="24" spans="1:12" x14ac:dyDescent="0.25">
      <c r="A24" s="6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</row>
    <row r="25" spans="1:12" x14ac:dyDescent="0.25">
      <c r="A25" s="6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</row>
    <row r="26" spans="1:12" x14ac:dyDescent="0.25">
      <c r="A26" s="6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</row>
    <row r="27" spans="1:12" x14ac:dyDescent="0.25">
      <c r="A27" s="6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</row>
    <row r="28" spans="1:12" x14ac:dyDescent="0.25">
      <c r="A28" s="6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</row>
    <row r="29" spans="1:12" x14ac:dyDescent="0.25">
      <c r="A29" s="677" t="s">
        <v>531</v>
      </c>
      <c r="B29" s="678"/>
      <c r="C29" s="678"/>
      <c r="D29" s="678"/>
      <c r="E29" s="678"/>
      <c r="F29" s="678"/>
      <c r="G29" s="678"/>
      <c r="H29" s="678"/>
      <c r="I29" s="678"/>
      <c r="J29" s="678"/>
      <c r="K29" s="678"/>
      <c r="L29" s="679"/>
    </row>
    <row r="30" spans="1:12" ht="25.5" customHeight="1" x14ac:dyDescent="0.25">
      <c r="A30" s="677"/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9"/>
    </row>
    <row r="31" spans="1:12" x14ac:dyDescent="0.25">
      <c r="A31" s="6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</row>
    <row r="32" spans="1:12" x14ac:dyDescent="0.25">
      <c r="A32" s="680" t="s">
        <v>384</v>
      </c>
      <c r="B32" s="681"/>
      <c r="C32" s="681"/>
      <c r="D32" s="681"/>
      <c r="E32" s="681"/>
      <c r="F32" s="681"/>
      <c r="G32" s="681"/>
      <c r="H32" s="681"/>
      <c r="I32" s="681"/>
      <c r="J32" s="681"/>
      <c r="K32" s="681"/>
      <c r="L32" s="682"/>
    </row>
    <row r="33" spans="1:12" x14ac:dyDescent="0.25">
      <c r="A33" s="680"/>
      <c r="B33" s="681"/>
      <c r="C33" s="681"/>
      <c r="D33" s="681"/>
      <c r="E33" s="681"/>
      <c r="F33" s="681"/>
      <c r="G33" s="681"/>
      <c r="H33" s="681"/>
      <c r="I33" s="681"/>
      <c r="J33" s="681"/>
      <c r="K33" s="681"/>
      <c r="L33" s="682"/>
    </row>
    <row r="34" spans="1:12" x14ac:dyDescent="0.25">
      <c r="A34" s="680"/>
      <c r="B34" s="681"/>
      <c r="C34" s="681"/>
      <c r="D34" s="681"/>
      <c r="E34" s="681"/>
      <c r="F34" s="681"/>
      <c r="G34" s="681"/>
      <c r="H34" s="681"/>
      <c r="I34" s="681"/>
      <c r="J34" s="681"/>
      <c r="K34" s="681"/>
      <c r="L34" s="682"/>
    </row>
    <row r="35" spans="1:12" x14ac:dyDescent="0.25">
      <c r="A35" s="680"/>
      <c r="B35" s="681"/>
      <c r="C35" s="681"/>
      <c r="D35" s="681"/>
      <c r="E35" s="681"/>
      <c r="F35" s="681"/>
      <c r="G35" s="681"/>
      <c r="H35" s="681"/>
      <c r="I35" s="681"/>
      <c r="J35" s="681"/>
      <c r="K35" s="681"/>
      <c r="L35" s="682"/>
    </row>
    <row r="36" spans="1:12" ht="35.4" x14ac:dyDescent="0.6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 ht="35.4" x14ac:dyDescent="0.6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 ht="35.4" x14ac:dyDescent="0.6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1:12" ht="35.4" x14ac:dyDescent="0.6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2" ht="35.4" x14ac:dyDescent="0.6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2" ht="36" thickBot="1" x14ac:dyDescent="0.6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1:12" ht="35.4" x14ac:dyDescent="0.6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35.4" x14ac:dyDescent="0.6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ht="35.4" x14ac:dyDescent="0.6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</sheetData>
  <mergeCells count="5">
    <mergeCell ref="A12:L12"/>
    <mergeCell ref="A14:L14"/>
    <mergeCell ref="A29:L30"/>
    <mergeCell ref="A32:L35"/>
    <mergeCell ref="A17:L17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topLeftCell="A13" zoomScaleSheetLayoutView="100" workbookViewId="0">
      <selection activeCell="D12" sqref="D12"/>
    </sheetView>
  </sheetViews>
  <sheetFormatPr defaultColWidth="9.109375" defaultRowHeight="13.2" x14ac:dyDescent="0.25"/>
  <cols>
    <col min="1" max="1" width="30.5546875" style="32" customWidth="1"/>
    <col min="2" max="2" width="16" style="32" customWidth="1"/>
    <col min="3" max="4" width="15.5546875" style="32" customWidth="1"/>
    <col min="5" max="5" width="16.44140625" style="32" customWidth="1"/>
    <col min="6" max="7" width="16" style="32" customWidth="1"/>
    <col min="8" max="8" width="15.44140625" style="32" customWidth="1"/>
    <col min="9" max="9" width="12.6640625" style="32" bestFit="1" customWidth="1"/>
    <col min="10" max="10" width="12.33203125" style="32" customWidth="1"/>
    <col min="11" max="11" width="12.44140625" style="32" bestFit="1" customWidth="1"/>
    <col min="12" max="12" width="12.88671875" style="32" bestFit="1" customWidth="1"/>
    <col min="13" max="13" width="13.109375" style="32" bestFit="1" customWidth="1"/>
    <col min="14" max="14" width="12.44140625" style="32" bestFit="1" customWidth="1"/>
    <col min="15" max="15" width="11.6640625" style="32" bestFit="1" customWidth="1"/>
    <col min="16" max="16384" width="9.109375" style="32"/>
  </cols>
  <sheetData>
    <row r="1" spans="1:17" x14ac:dyDescent="0.25">
      <c r="A1" s="205"/>
      <c r="B1" s="206"/>
      <c r="C1" s="206"/>
      <c r="D1" s="206"/>
      <c r="E1" s="206"/>
      <c r="F1" s="206"/>
      <c r="G1" s="206"/>
      <c r="H1" s="207">
        <v>1</v>
      </c>
    </row>
    <row r="2" spans="1:17" x14ac:dyDescent="0.25">
      <c r="A2" s="208"/>
      <c r="B2" s="45"/>
      <c r="C2" s="45"/>
      <c r="D2" s="45"/>
      <c r="E2" s="45"/>
      <c r="F2" s="45"/>
      <c r="G2" s="45"/>
      <c r="H2" s="44"/>
    </row>
    <row r="3" spans="1:17" ht="15.6" x14ac:dyDescent="0.3">
      <c r="A3" s="683" t="s">
        <v>151</v>
      </c>
      <c r="B3" s="684"/>
      <c r="C3" s="684"/>
      <c r="D3" s="684"/>
      <c r="E3" s="684"/>
      <c r="F3" s="684"/>
      <c r="G3" s="684"/>
      <c r="H3" s="685"/>
      <c r="J3" s="31"/>
    </row>
    <row r="4" spans="1:17" ht="15.6" x14ac:dyDescent="0.3">
      <c r="A4" s="683" t="s">
        <v>173</v>
      </c>
      <c r="B4" s="684"/>
      <c r="C4" s="684"/>
      <c r="D4" s="684"/>
      <c r="E4" s="684"/>
      <c r="F4" s="684"/>
      <c r="G4" s="684"/>
      <c r="H4" s="685"/>
      <c r="K4" s="31"/>
    </row>
    <row r="5" spans="1:17" x14ac:dyDescent="0.25">
      <c r="A5" s="209"/>
      <c r="B5" s="45"/>
      <c r="C5" s="45"/>
      <c r="D5" s="45"/>
      <c r="E5" s="45"/>
      <c r="F5" s="45"/>
      <c r="G5" s="45"/>
      <c r="H5" s="44"/>
      <c r="I5" s="45"/>
      <c r="J5" s="45"/>
      <c r="K5" s="45"/>
      <c r="L5" s="45"/>
      <c r="M5" s="45"/>
      <c r="N5" s="45"/>
      <c r="O5" s="45"/>
      <c r="P5" s="45"/>
      <c r="Q5" s="45"/>
    </row>
    <row r="6" spans="1:17" ht="13.8" thickBot="1" x14ac:dyDescent="0.3">
      <c r="A6" s="210"/>
      <c r="B6" s="52"/>
      <c r="C6" s="52"/>
      <c r="D6" s="52"/>
      <c r="E6" s="52"/>
      <c r="F6" s="52"/>
      <c r="G6" s="52"/>
      <c r="H6" s="211"/>
      <c r="I6" s="45"/>
      <c r="J6" s="45"/>
      <c r="K6" s="45"/>
      <c r="L6" s="45"/>
      <c r="M6" s="45"/>
      <c r="N6" s="45"/>
      <c r="O6" s="45"/>
      <c r="P6" s="45"/>
      <c r="Q6" s="45"/>
    </row>
    <row r="7" spans="1:17" ht="20.100000000000001" customHeight="1" x14ac:dyDescent="0.25">
      <c r="A7" s="212" t="s">
        <v>152</v>
      </c>
      <c r="B7" s="33"/>
      <c r="C7" s="34"/>
      <c r="D7" s="34"/>
      <c r="E7" s="34"/>
      <c r="F7" s="34"/>
      <c r="G7" s="34"/>
      <c r="H7" s="213"/>
      <c r="I7" s="49"/>
      <c r="J7" s="49"/>
      <c r="K7" s="49"/>
      <c r="L7" s="49"/>
      <c r="M7" s="49"/>
      <c r="N7" s="49"/>
      <c r="O7" s="49"/>
      <c r="P7" s="45"/>
      <c r="Q7" s="45"/>
    </row>
    <row r="8" spans="1:17" ht="20.100000000000001" customHeight="1" x14ac:dyDescent="0.25">
      <c r="A8" s="214"/>
      <c r="B8" s="35" t="s">
        <v>153</v>
      </c>
      <c r="C8" s="36"/>
      <c r="D8" s="37"/>
      <c r="E8" s="36" t="s">
        <v>154</v>
      </c>
      <c r="F8" s="36"/>
      <c r="G8" s="37"/>
      <c r="H8" s="215" t="s">
        <v>155</v>
      </c>
      <c r="I8" s="49"/>
      <c r="J8" s="49"/>
      <c r="K8" s="49"/>
      <c r="L8" s="49"/>
      <c r="M8" s="49"/>
      <c r="N8" s="49"/>
      <c r="O8" s="50"/>
      <c r="P8" s="45"/>
      <c r="Q8" s="45"/>
    </row>
    <row r="9" spans="1:17" ht="20.100000000000001" customHeight="1" thickBot="1" x14ac:dyDescent="0.3">
      <c r="A9" s="216"/>
      <c r="B9" s="38" t="s">
        <v>156</v>
      </c>
      <c r="C9" s="39" t="s">
        <v>157</v>
      </c>
      <c r="D9" s="40" t="s">
        <v>158</v>
      </c>
      <c r="E9" s="41" t="s">
        <v>159</v>
      </c>
      <c r="F9" s="39" t="s">
        <v>160</v>
      </c>
      <c r="G9" s="40" t="s">
        <v>158</v>
      </c>
      <c r="H9" s="217" t="s">
        <v>161</v>
      </c>
      <c r="I9" s="50"/>
      <c r="J9" s="50"/>
      <c r="K9" s="50"/>
      <c r="L9" s="50"/>
      <c r="M9" s="50"/>
      <c r="N9" s="50"/>
      <c r="O9" s="50"/>
      <c r="P9" s="45"/>
      <c r="Q9" s="45"/>
    </row>
    <row r="10" spans="1:17" ht="20.100000000000001" customHeight="1" x14ac:dyDescent="0.25">
      <c r="A10" s="218"/>
      <c r="B10" s="42"/>
      <c r="C10" s="43"/>
      <c r="D10" s="44"/>
      <c r="E10" s="45"/>
      <c r="F10" s="43"/>
      <c r="G10" s="44"/>
      <c r="H10" s="44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20.100000000000001" customHeight="1" x14ac:dyDescent="0.25">
      <c r="A11" s="219"/>
      <c r="B11" s="46"/>
      <c r="C11" s="47"/>
      <c r="D11" s="47"/>
      <c r="E11" s="47"/>
      <c r="F11" s="47"/>
      <c r="G11" s="47"/>
      <c r="H11" s="47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20.100000000000001" customHeight="1" x14ac:dyDescent="0.25">
      <c r="A12" s="220" t="s">
        <v>162</v>
      </c>
      <c r="B12" s="45">
        <v>0</v>
      </c>
      <c r="C12" s="47">
        <f>+'EXP ALLOCATION'!J6+'EXP ALLOCATION'!J7+'EXP ALLOCATION'!J8+'EXP ALLOCATION'!J9+'EXP ALLOCATION'!J10-B12</f>
        <v>28969939.045606397</v>
      </c>
      <c r="D12" s="47">
        <f>B12+C12</f>
        <v>28969939.045606397</v>
      </c>
      <c r="E12" s="47">
        <f>+INCEXP!K7+INCEXP!K8+INCEXP!K9+INCEXP!K10+INCEXP!K11</f>
        <v>30228279.432000004</v>
      </c>
      <c r="F12" s="47"/>
      <c r="G12" s="47">
        <f>+E12+F12</f>
        <v>30228279.432000004</v>
      </c>
      <c r="H12" s="47">
        <f>+G12-D12</f>
        <v>1258340.3863936067</v>
      </c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20.100000000000001" customHeight="1" x14ac:dyDescent="0.25">
      <c r="A13" s="220" t="s">
        <v>163</v>
      </c>
      <c r="B13" s="46"/>
      <c r="C13" s="47">
        <f>+'EXP ALLOCATION'!J11+'EXP ALLOCATION'!J12+'EXP ALLOCATION'!J13+'EXP ALLOCATION'!J14</f>
        <v>31059738.698851999</v>
      </c>
      <c r="D13" s="47">
        <f t="shared" ref="D13:D24" si="0">B13+C13</f>
        <v>31059738.698851999</v>
      </c>
      <c r="E13" s="135">
        <f>+INCEXP!K12+INCEXP!K13+INCEXP!K14+INCEXP!K15</f>
        <v>33335321.894866161</v>
      </c>
      <c r="F13" s="47"/>
      <c r="G13" s="47">
        <f t="shared" ref="G13:G24" si="1">+E13+F13</f>
        <v>33335321.894866161</v>
      </c>
      <c r="H13" s="47">
        <f t="shared" ref="H13:H24" si="2">+G13-D13</f>
        <v>2275583.1960141622</v>
      </c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20.100000000000001" customHeight="1" x14ac:dyDescent="0.25">
      <c r="A14" s="220" t="s">
        <v>164</v>
      </c>
      <c r="B14" s="46"/>
      <c r="C14" s="47">
        <v>0</v>
      </c>
      <c r="D14" s="47">
        <f t="shared" si="0"/>
        <v>0</v>
      </c>
      <c r="E14" s="135">
        <v>0</v>
      </c>
      <c r="F14" s="47"/>
      <c r="G14" s="47">
        <f t="shared" si="1"/>
        <v>0</v>
      </c>
      <c r="H14" s="47">
        <f t="shared" si="2"/>
        <v>0</v>
      </c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0.100000000000001" customHeight="1" x14ac:dyDescent="0.25">
      <c r="A15" s="220" t="s">
        <v>243</v>
      </c>
      <c r="B15" s="46">
        <v>0</v>
      </c>
      <c r="C15" s="47">
        <f>+'EXP ALLOCATION'!J15+'EXP ALLOCATION'!J16+'EXP ALLOCATION'!J17-B15</f>
        <v>12010792.936000001</v>
      </c>
      <c r="D15" s="47">
        <f t="shared" si="0"/>
        <v>12010792.936000001</v>
      </c>
      <c r="E15" s="135">
        <f>+INCEXP!K16+INCEXP!K17+INCEXP!K18</f>
        <v>-264281.86725600006</v>
      </c>
      <c r="F15" s="47"/>
      <c r="G15" s="47">
        <f t="shared" si="1"/>
        <v>-264281.86725600006</v>
      </c>
      <c r="H15" s="47">
        <f t="shared" si="2"/>
        <v>-12275074.803256001</v>
      </c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00000000000001" customHeight="1" x14ac:dyDescent="0.25">
      <c r="A16" s="220" t="s">
        <v>165</v>
      </c>
      <c r="B16" s="46"/>
      <c r="C16" s="47">
        <f>+'EXP ALLOCATION'!J18</f>
        <v>1398551.7519999999</v>
      </c>
      <c r="D16" s="47">
        <f t="shared" si="0"/>
        <v>1398551.7519999999</v>
      </c>
      <c r="E16" s="135">
        <f>+INCEXP!K19</f>
        <v>-24275.778999999999</v>
      </c>
      <c r="F16" s="47"/>
      <c r="G16" s="47">
        <f t="shared" si="1"/>
        <v>-24275.778999999999</v>
      </c>
      <c r="H16" s="47">
        <f t="shared" si="2"/>
        <v>-1422827.531</v>
      </c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20.100000000000001" customHeight="1" x14ac:dyDescent="0.25">
      <c r="A17" s="220" t="s">
        <v>166</v>
      </c>
      <c r="B17" s="46"/>
      <c r="C17" s="47">
        <f>+'EXP ALLOCATION'!J19</f>
        <v>2294014.6799999997</v>
      </c>
      <c r="D17" s="47">
        <f t="shared" si="0"/>
        <v>2294014.6799999997</v>
      </c>
      <c r="E17" s="135">
        <f>+INCEXP!K20</f>
        <v>225000</v>
      </c>
      <c r="F17" s="47"/>
      <c r="G17" s="47">
        <f t="shared" si="1"/>
        <v>225000</v>
      </c>
      <c r="H17" s="47">
        <f t="shared" si="2"/>
        <v>-2069014.6799999997</v>
      </c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20.100000000000001" customHeight="1" x14ac:dyDescent="0.25">
      <c r="A18" s="220" t="s">
        <v>167</v>
      </c>
      <c r="B18" s="46"/>
      <c r="C18" s="47">
        <f>+'EXP ALLOCATION'!J20</f>
        <v>15074884.544</v>
      </c>
      <c r="D18" s="47">
        <f t="shared" si="0"/>
        <v>15074884.544</v>
      </c>
      <c r="E18" s="135">
        <f>+INCEXP!K21</f>
        <v>0</v>
      </c>
      <c r="F18" s="47"/>
      <c r="G18" s="47">
        <f t="shared" si="1"/>
        <v>0</v>
      </c>
      <c r="H18" s="47">
        <f t="shared" si="2"/>
        <v>-15074884.544</v>
      </c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20.100000000000001" customHeight="1" x14ac:dyDescent="0.25">
      <c r="A19" s="220" t="s">
        <v>168</v>
      </c>
      <c r="B19" s="46"/>
      <c r="C19" s="47">
        <v>0</v>
      </c>
      <c r="D19" s="47">
        <f t="shared" si="0"/>
        <v>0</v>
      </c>
      <c r="E19" s="135">
        <v>0</v>
      </c>
      <c r="F19" s="47"/>
      <c r="G19" s="47">
        <f t="shared" si="1"/>
        <v>0</v>
      </c>
      <c r="H19" s="47">
        <f t="shared" si="2"/>
        <v>0</v>
      </c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20.100000000000001" customHeight="1" x14ac:dyDescent="0.25">
      <c r="A20" s="220" t="s">
        <v>169</v>
      </c>
      <c r="B20" s="46"/>
      <c r="C20" s="47">
        <f>+'EXP ALLOCATION'!J21</f>
        <v>10580000</v>
      </c>
      <c r="D20" s="47">
        <f t="shared" si="0"/>
        <v>10580000</v>
      </c>
      <c r="E20" s="135">
        <f>+INCEXP!K22</f>
        <v>16982176.364799999</v>
      </c>
      <c r="F20" s="47"/>
      <c r="G20" s="47">
        <f t="shared" si="1"/>
        <v>16982176.364799999</v>
      </c>
      <c r="H20" s="47">
        <f t="shared" si="2"/>
        <v>6402176.3647999987</v>
      </c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x14ac:dyDescent="0.25">
      <c r="A21" s="220" t="s">
        <v>174</v>
      </c>
      <c r="B21" s="46">
        <v>0</v>
      </c>
      <c r="C21" s="132">
        <f>+'EXP ALLOCATION'!J22</f>
        <v>12286654.298924001</v>
      </c>
      <c r="D21" s="47">
        <f t="shared" si="0"/>
        <v>12286654.298924001</v>
      </c>
      <c r="E21" s="136">
        <f>+INCEXP!K23</f>
        <v>25612470.024800003</v>
      </c>
      <c r="F21" s="132">
        <v>0</v>
      </c>
      <c r="G21" s="47">
        <f t="shared" si="1"/>
        <v>25612470.024800003</v>
      </c>
      <c r="H21" s="47">
        <f t="shared" si="2"/>
        <v>13325815.725876002</v>
      </c>
      <c r="I21" s="45"/>
      <c r="J21" s="45"/>
      <c r="K21" s="45"/>
      <c r="L21" s="45"/>
      <c r="M21" s="45"/>
      <c r="N21" s="45"/>
      <c r="O21" s="45"/>
      <c r="P21" s="45"/>
      <c r="Q21" s="45"/>
    </row>
    <row r="22" spans="1:17" ht="20.100000000000001" customHeight="1" x14ac:dyDescent="0.25">
      <c r="A22" s="220" t="s">
        <v>170</v>
      </c>
      <c r="B22" s="46"/>
      <c r="C22" s="47">
        <f>+'EXP ALLOCATION'!J23</f>
        <v>22343984.927928001</v>
      </c>
      <c r="D22" s="47">
        <f t="shared" si="0"/>
        <v>22343984.927928001</v>
      </c>
      <c r="E22" s="135">
        <f>+INCEXP!K24</f>
        <v>35622576</v>
      </c>
      <c r="F22" s="47"/>
      <c r="G22" s="47">
        <f t="shared" si="1"/>
        <v>35622576</v>
      </c>
      <c r="H22" s="47">
        <f t="shared" si="2"/>
        <v>13278591.072071999</v>
      </c>
      <c r="I22" s="45"/>
      <c r="J22" s="45"/>
      <c r="K22" s="45"/>
      <c r="L22" s="45"/>
      <c r="M22" s="45"/>
      <c r="N22" s="45"/>
      <c r="O22" s="45"/>
      <c r="P22" s="45"/>
      <c r="Q22" s="45"/>
    </row>
    <row r="23" spans="1:17" ht="20.100000000000001" customHeight="1" x14ac:dyDescent="0.25">
      <c r="A23" s="220" t="s">
        <v>134</v>
      </c>
      <c r="B23" s="46"/>
      <c r="C23" s="47">
        <f>+'EXP ALLOCATION'!J24</f>
        <v>17495187.855899997</v>
      </c>
      <c r="D23" s="47">
        <f t="shared" si="0"/>
        <v>17495187.855899997</v>
      </c>
      <c r="E23" s="135">
        <f>+INCEXP!K25</f>
        <v>110183034.198512</v>
      </c>
      <c r="F23" s="47"/>
      <c r="G23" s="47">
        <f t="shared" si="1"/>
        <v>110183034.198512</v>
      </c>
      <c r="H23" s="47">
        <f t="shared" si="2"/>
        <v>92687846.342611998</v>
      </c>
      <c r="I23" s="45"/>
      <c r="J23" s="45"/>
      <c r="K23" s="45"/>
      <c r="L23" s="45"/>
      <c r="M23" s="45"/>
      <c r="N23" s="45"/>
      <c r="O23" s="45"/>
      <c r="P23" s="45"/>
      <c r="Q23" s="45"/>
    </row>
    <row r="24" spans="1:17" ht="20.100000000000001" customHeight="1" thickBot="1" x14ac:dyDescent="0.3">
      <c r="A24" s="220" t="s">
        <v>97</v>
      </c>
      <c r="B24" s="46"/>
      <c r="C24" s="47">
        <f>+'EXP ALLOCATION'!J25</f>
        <v>42462718.850000001</v>
      </c>
      <c r="D24" s="47">
        <f t="shared" si="0"/>
        <v>42462718.850000001</v>
      </c>
      <c r="E24" s="47">
        <f>+INCEXP!K26</f>
        <v>49301448.378011584</v>
      </c>
      <c r="F24" s="47"/>
      <c r="G24" s="47">
        <f t="shared" si="1"/>
        <v>49301448.378011584</v>
      </c>
      <c r="H24" s="47">
        <f t="shared" si="2"/>
        <v>6838729.5280115828</v>
      </c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20.100000000000001" customHeight="1" thickBot="1" x14ac:dyDescent="0.3">
      <c r="A25" s="87" t="s">
        <v>171</v>
      </c>
      <c r="B25" s="166">
        <f>SUM(B12:B24)</f>
        <v>0</v>
      </c>
      <c r="C25" s="48">
        <f t="shared" ref="C25:H25" si="3">SUM(C12:C24)</f>
        <v>195976467.58921039</v>
      </c>
      <c r="D25" s="48">
        <f t="shared" si="3"/>
        <v>195976467.58921039</v>
      </c>
      <c r="E25" s="48">
        <f t="shared" si="3"/>
        <v>301201748.64673376</v>
      </c>
      <c r="F25" s="48">
        <f t="shared" si="3"/>
        <v>0</v>
      </c>
      <c r="G25" s="48">
        <f t="shared" si="3"/>
        <v>301201748.64673376</v>
      </c>
      <c r="H25" s="48">
        <f t="shared" si="3"/>
        <v>105225281.05752334</v>
      </c>
      <c r="I25" s="51"/>
      <c r="J25" s="51"/>
      <c r="K25" s="51"/>
      <c r="L25" s="51"/>
      <c r="M25" s="51"/>
      <c r="N25" s="51"/>
      <c r="O25" s="51"/>
      <c r="P25" s="45"/>
      <c r="Q25" s="45"/>
    </row>
    <row r="26" spans="1:17" x14ac:dyDescent="0.25">
      <c r="A26" s="209"/>
      <c r="B26" s="45"/>
      <c r="C26" s="45"/>
      <c r="D26" s="45"/>
      <c r="E26" s="45"/>
      <c r="F26" s="45"/>
      <c r="G26" s="45"/>
      <c r="H26" s="44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5">
      <c r="A27" s="221"/>
      <c r="B27" s="222" t="s">
        <v>172</v>
      </c>
      <c r="C27" s="223"/>
      <c r="D27" s="223"/>
      <c r="E27" s="223"/>
      <c r="F27" s="223"/>
      <c r="G27" s="223"/>
      <c r="H27" s="224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5"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5"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5"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I31" s="45"/>
      <c r="J31" s="45"/>
      <c r="K31" s="45"/>
      <c r="L31" s="45"/>
      <c r="M31" s="45"/>
      <c r="N31" s="45"/>
      <c r="O31" s="45"/>
      <c r="P31" s="45"/>
      <c r="Q31" s="45"/>
    </row>
  </sheetData>
  <mergeCells count="2">
    <mergeCell ref="A4:H4"/>
    <mergeCell ref="A3:H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8"/>
  <sheetViews>
    <sheetView view="pageBreakPreview" topLeftCell="B1" zoomScaleSheetLayoutView="100" workbookViewId="0">
      <selection activeCell="G188" sqref="G188"/>
    </sheetView>
  </sheetViews>
  <sheetFormatPr defaultRowHeight="13.2" x14ac:dyDescent="0.25"/>
  <cols>
    <col min="1" max="1" width="17.44140625" hidden="1" customWidth="1"/>
    <col min="2" max="2" width="26.88671875" customWidth="1"/>
    <col min="3" max="3" width="13.88671875" bestFit="1" customWidth="1"/>
    <col min="4" max="4" width="10.44140625" customWidth="1"/>
    <col min="5" max="5" width="12.44140625" customWidth="1"/>
    <col min="6" max="6" width="12.5546875" customWidth="1"/>
    <col min="7" max="7" width="11" customWidth="1"/>
    <col min="8" max="8" width="11" bestFit="1" customWidth="1"/>
    <col min="9" max="9" width="13.88671875" bestFit="1" customWidth="1"/>
    <col min="10" max="10" width="11.109375" customWidth="1"/>
    <col min="11" max="11" width="11" bestFit="1" customWidth="1"/>
    <col min="12" max="12" width="11.33203125" customWidth="1"/>
    <col min="13" max="13" width="10.6640625" customWidth="1"/>
    <col min="15" max="15" width="18.88671875" customWidth="1"/>
    <col min="16" max="16" width="26.109375" customWidth="1"/>
    <col min="17" max="17" width="11.44140625" style="16" customWidth="1"/>
    <col min="18" max="18" width="10.109375" style="16" bestFit="1" customWidth="1"/>
    <col min="19" max="19" width="10.109375" style="16" customWidth="1"/>
    <col min="20" max="20" width="9.109375" style="16" customWidth="1"/>
    <col min="21" max="21" width="9.33203125" style="16" bestFit="1" customWidth="1"/>
    <col min="22" max="22" width="11.44140625" style="16" bestFit="1" customWidth="1"/>
    <col min="23" max="23" width="15.33203125" style="16" bestFit="1" customWidth="1"/>
    <col min="24" max="24" width="13.88671875" style="16" bestFit="1" customWidth="1"/>
    <col min="25" max="25" width="13.88671875" style="16" customWidth="1"/>
    <col min="26" max="28" width="9.109375" style="16" customWidth="1"/>
  </cols>
  <sheetData>
    <row r="1" spans="1:32" x14ac:dyDescent="0.25">
      <c r="A1" s="686" t="s">
        <v>150</v>
      </c>
      <c r="B1" s="687"/>
      <c r="C1" s="687"/>
      <c r="D1" s="687"/>
      <c r="E1" s="687"/>
      <c r="F1" s="687"/>
      <c r="G1" s="687"/>
      <c r="H1" s="687"/>
      <c r="I1" s="18"/>
      <c r="J1" s="18"/>
      <c r="K1" s="18"/>
      <c r="L1" s="18"/>
      <c r="M1" s="137">
        <v>2</v>
      </c>
    </row>
    <row r="2" spans="1:32" x14ac:dyDescent="0.25">
      <c r="A2" s="23"/>
      <c r="B2" s="24"/>
      <c r="C2" s="24"/>
      <c r="D2" s="24"/>
      <c r="E2" s="24"/>
      <c r="F2" s="24"/>
      <c r="G2" s="24"/>
      <c r="H2" s="24"/>
      <c r="I2" s="19"/>
      <c r="J2" s="19"/>
      <c r="K2" s="19"/>
      <c r="L2" s="19"/>
      <c r="M2" s="20"/>
    </row>
    <row r="3" spans="1:32" x14ac:dyDescent="0.25">
      <c r="A3" s="688" t="s">
        <v>385</v>
      </c>
      <c r="B3" s="689"/>
      <c r="C3" s="689"/>
      <c r="D3" s="689"/>
      <c r="E3" s="689"/>
      <c r="F3" s="21"/>
      <c r="G3" s="21"/>
      <c r="H3" s="21"/>
      <c r="I3" s="21"/>
      <c r="J3" s="21"/>
      <c r="K3" s="21"/>
      <c r="L3" s="21"/>
      <c r="M3" s="22"/>
    </row>
    <row r="4" spans="1:32" x14ac:dyDescent="0.25">
      <c r="A4" s="29"/>
      <c r="B4" s="30"/>
      <c r="C4" s="30"/>
      <c r="D4" s="690" t="s">
        <v>129</v>
      </c>
      <c r="E4" s="690"/>
      <c r="F4" s="690"/>
      <c r="G4" s="690"/>
      <c r="H4" s="690"/>
      <c r="I4" s="691" t="s">
        <v>130</v>
      </c>
      <c r="J4" s="692"/>
      <c r="K4" s="692"/>
      <c r="L4" s="692"/>
      <c r="M4" s="693"/>
      <c r="O4" s="11"/>
      <c r="P4" s="1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1"/>
      <c r="AD4" s="11"/>
      <c r="AE4" s="11"/>
      <c r="AF4" s="11"/>
    </row>
    <row r="5" spans="1:32" x14ac:dyDescent="0.25">
      <c r="A5" s="5" t="s">
        <v>126</v>
      </c>
      <c r="B5" s="5" t="s">
        <v>127</v>
      </c>
      <c r="C5" s="14" t="s">
        <v>21</v>
      </c>
      <c r="D5" s="83" t="s">
        <v>398</v>
      </c>
      <c r="E5" s="83" t="s">
        <v>26</v>
      </c>
      <c r="F5" s="90" t="s">
        <v>24</v>
      </c>
      <c r="G5" s="83" t="s">
        <v>24</v>
      </c>
      <c r="H5" s="83" t="s">
        <v>24</v>
      </c>
      <c r="I5" s="83" t="s">
        <v>398</v>
      </c>
      <c r="J5" s="83" t="s">
        <v>26</v>
      </c>
      <c r="K5" s="90" t="s">
        <v>24</v>
      </c>
      <c r="L5" s="83" t="s">
        <v>24</v>
      </c>
      <c r="M5" s="83" t="s">
        <v>24</v>
      </c>
      <c r="O5" s="11"/>
      <c r="P5" s="1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11"/>
      <c r="AD5" s="11"/>
      <c r="AE5" s="11"/>
      <c r="AF5" s="11"/>
    </row>
    <row r="6" spans="1:32" x14ac:dyDescent="0.25">
      <c r="A6" s="4"/>
      <c r="B6" s="4"/>
      <c r="C6" s="15"/>
      <c r="D6" s="84" t="s">
        <v>240</v>
      </c>
      <c r="E6" s="84" t="s">
        <v>240</v>
      </c>
      <c r="F6" s="91" t="s">
        <v>245</v>
      </c>
      <c r="G6" s="84" t="s">
        <v>257</v>
      </c>
      <c r="H6" s="84" t="s">
        <v>384</v>
      </c>
      <c r="I6" s="84" t="s">
        <v>240</v>
      </c>
      <c r="J6" s="84" t="s">
        <v>240</v>
      </c>
      <c r="K6" s="91" t="s">
        <v>245</v>
      </c>
      <c r="L6" s="84" t="s">
        <v>257</v>
      </c>
      <c r="M6" s="84" t="s">
        <v>384</v>
      </c>
      <c r="O6" s="11"/>
      <c r="P6" s="11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11"/>
      <c r="AD6" s="11"/>
      <c r="AE6" s="11"/>
      <c r="AF6" s="11"/>
    </row>
    <row r="7" spans="1:32" x14ac:dyDescent="0.25">
      <c r="A7" s="5" t="s">
        <v>1</v>
      </c>
      <c r="B7" s="97" t="s">
        <v>12</v>
      </c>
      <c r="C7" s="5">
        <v>10</v>
      </c>
      <c r="D7" s="88">
        <f>+'EXP ALLOCATION'!H6</f>
        <v>5723258</v>
      </c>
      <c r="E7" s="88">
        <f>+'EXP ALLOCATION'!I6</f>
        <v>6597258</v>
      </c>
      <c r="F7" s="164">
        <f>+'EXP ALLOCATION'!J6</f>
        <v>7084550.6799999997</v>
      </c>
      <c r="G7" s="88" t="e">
        <f>+'EXP ALLOCATION'!L6</f>
        <v>#REF!</v>
      </c>
      <c r="H7" s="88" t="e">
        <f>+'EXP ALLOCATION'!M6</f>
        <v>#REF!</v>
      </c>
      <c r="I7" s="88">
        <f>+COUNCIL!E261</f>
        <v>27530007</v>
      </c>
      <c r="J7" s="88">
        <f>+COUNCIL!F261</f>
        <v>27530007</v>
      </c>
      <c r="K7" s="164">
        <f>+COUNCIL!I261</f>
        <v>30379128.317000002</v>
      </c>
      <c r="L7" s="88" t="e">
        <f>+COUNCIL!#REF!</f>
        <v>#REF!</v>
      </c>
      <c r="M7" s="88" t="e">
        <f>+COUNCIL!#REF!</f>
        <v>#REF!</v>
      </c>
      <c r="O7" s="8"/>
      <c r="P7" s="8"/>
      <c r="Q7" s="53"/>
      <c r="R7" s="53"/>
      <c r="S7" s="53"/>
      <c r="T7" s="53"/>
      <c r="U7" s="53"/>
      <c r="V7" s="53"/>
      <c r="W7" s="53"/>
      <c r="X7" s="53"/>
      <c r="Y7" s="53"/>
      <c r="Z7" s="76"/>
      <c r="AA7" s="53"/>
      <c r="AB7" s="53"/>
      <c r="AC7" s="11"/>
      <c r="AD7" s="11"/>
      <c r="AE7" s="11"/>
      <c r="AF7" s="11"/>
    </row>
    <row r="8" spans="1:32" x14ac:dyDescent="0.25">
      <c r="A8" s="2"/>
      <c r="B8" s="94" t="s">
        <v>352</v>
      </c>
      <c r="C8" s="2">
        <v>12</v>
      </c>
      <c r="D8" s="85">
        <f>+'EXP ALLOCATION'!H7</f>
        <v>4190826</v>
      </c>
      <c r="E8" s="85">
        <f>+'EXP ALLOCATION'!I7</f>
        <v>4198826</v>
      </c>
      <c r="F8" s="165">
        <f>+'EXP ALLOCATION'!J7</f>
        <v>4840162.3360000001</v>
      </c>
      <c r="G8" s="85" t="e">
        <f>+'EXP ALLOCATION'!L7</f>
        <v>#REF!</v>
      </c>
      <c r="H8" s="85" t="e">
        <f>+'EXP ALLOCATION'!M7</f>
        <v>#REF!</v>
      </c>
      <c r="I8" s="85">
        <f>+MAYOR!E261</f>
        <v>929007</v>
      </c>
      <c r="J8" s="85">
        <f>+MAYOR!F261</f>
        <v>929007</v>
      </c>
      <c r="K8" s="165">
        <f>+MAYOR!I261</f>
        <v>-67871.683000000005</v>
      </c>
      <c r="L8" s="85" t="e">
        <f>+MAYOR!#REF!</f>
        <v>#REF!</v>
      </c>
      <c r="M8" s="85" t="e">
        <f>+MAYOR!#REF!</f>
        <v>#REF!</v>
      </c>
      <c r="O8" s="8"/>
      <c r="P8" s="8"/>
      <c r="Q8" s="53"/>
      <c r="R8" s="53"/>
      <c r="S8" s="53"/>
      <c r="T8" s="53"/>
      <c r="U8" s="53"/>
      <c r="V8" s="53"/>
      <c r="W8" s="53"/>
      <c r="X8" s="53"/>
      <c r="Y8" s="53"/>
      <c r="Z8" s="76"/>
      <c r="AA8" s="53"/>
      <c r="AB8" s="53"/>
      <c r="AC8" s="11"/>
      <c r="AD8" s="11"/>
      <c r="AE8" s="11"/>
      <c r="AF8" s="11"/>
    </row>
    <row r="9" spans="1:32" x14ac:dyDescent="0.25">
      <c r="A9" s="2"/>
      <c r="B9" s="94" t="s">
        <v>353</v>
      </c>
      <c r="C9" s="2">
        <v>14</v>
      </c>
      <c r="D9" s="85">
        <f>+'EXP ALLOCATION'!H8</f>
        <v>2175883</v>
      </c>
      <c r="E9" s="85">
        <f>+'EXP ALLOCATION'!I8</f>
        <v>2357199</v>
      </c>
      <c r="F9" s="165">
        <f>+'EXP ALLOCATION'!J8</f>
        <v>3028930.4888064</v>
      </c>
      <c r="G9" s="85" t="e">
        <f>+'EXP ALLOCATION'!L8</f>
        <v>#REF!</v>
      </c>
      <c r="H9" s="85" t="e">
        <f>+'EXP ALLOCATION'!M8</f>
        <v>#REF!</v>
      </c>
      <c r="I9" s="85">
        <f>+SPEAKER!E261</f>
        <v>-50993</v>
      </c>
      <c r="J9" s="85">
        <f>+SPEAKER!F261</f>
        <v>-50993</v>
      </c>
      <c r="K9" s="165">
        <f>+SPEAKER!J261</f>
        <v>0</v>
      </c>
      <c r="L9" s="85" t="e">
        <f>+SPEAKER!#REF!</f>
        <v>#REF!</v>
      </c>
      <c r="M9" s="85" t="e">
        <f>+SPEAKER!#REF!</f>
        <v>#REF!</v>
      </c>
      <c r="O9" s="8"/>
      <c r="P9" s="8"/>
      <c r="Q9" s="53"/>
      <c r="R9" s="53"/>
      <c r="S9" s="53"/>
      <c r="T9" s="53"/>
      <c r="U9" s="53"/>
      <c r="V9" s="53"/>
      <c r="W9" s="53"/>
      <c r="X9" s="53"/>
      <c r="Y9" s="53"/>
      <c r="Z9" s="76"/>
      <c r="AA9" s="53"/>
      <c r="AB9" s="53"/>
      <c r="AC9" s="11"/>
      <c r="AD9" s="11"/>
      <c r="AE9" s="11"/>
      <c r="AF9" s="11"/>
    </row>
    <row r="10" spans="1:32" x14ac:dyDescent="0.25">
      <c r="A10" s="2"/>
      <c r="B10" s="94" t="s">
        <v>121</v>
      </c>
      <c r="C10" s="2">
        <v>16</v>
      </c>
      <c r="D10" s="85">
        <f>+'EXP ALLOCATION'!H9</f>
        <v>11014324</v>
      </c>
      <c r="E10" s="85">
        <f>+'EXP ALLOCATION'!I9</f>
        <v>13089324</v>
      </c>
      <c r="F10" s="165">
        <f>+'EXP ALLOCATION'!J9</f>
        <v>14016295.5408</v>
      </c>
      <c r="G10" s="85" t="e">
        <f>+'EXP ALLOCATION'!L9</f>
        <v>#REF!</v>
      </c>
      <c r="H10" s="85" t="e">
        <f>+'EXP ALLOCATION'!M9</f>
        <v>#REF!</v>
      </c>
      <c r="I10" s="85">
        <f>+MM!E261</f>
        <v>-62342</v>
      </c>
      <c r="J10" s="85">
        <f>+MM!F261</f>
        <v>-62342</v>
      </c>
      <c r="K10" s="165">
        <f>+MM!I261</f>
        <v>-82977.202000000019</v>
      </c>
      <c r="L10" s="85" t="e">
        <f>+MM!#REF!</f>
        <v>#REF!</v>
      </c>
      <c r="M10" s="85" t="e">
        <f>+MM!#REF!</f>
        <v>#REF!</v>
      </c>
      <c r="O10" s="8"/>
      <c r="P10" s="8"/>
      <c r="Q10" s="53"/>
      <c r="R10" s="53"/>
      <c r="S10" s="53"/>
      <c r="T10" s="53"/>
      <c r="U10" s="53"/>
      <c r="V10" s="53"/>
      <c r="W10" s="53"/>
      <c r="X10" s="53"/>
      <c r="Y10" s="53"/>
      <c r="Z10" s="76"/>
      <c r="AA10" s="53"/>
      <c r="AB10" s="53"/>
      <c r="AC10" s="11"/>
      <c r="AD10" s="11"/>
      <c r="AE10" s="11"/>
      <c r="AF10" s="11"/>
    </row>
    <row r="11" spans="1:32" x14ac:dyDescent="0.25">
      <c r="A11" s="2"/>
      <c r="B11" s="94" t="s">
        <v>148</v>
      </c>
      <c r="C11" s="2">
        <v>18</v>
      </c>
      <c r="D11" s="85">
        <f>+'EXP ALLOCATION'!H10</f>
        <v>9648628</v>
      </c>
      <c r="E11" s="85">
        <f>+'EXP ALLOCATION'!I10</f>
        <v>15624628</v>
      </c>
      <c r="F11" s="165">
        <f>+'EXP ALLOCATION'!J10</f>
        <v>0</v>
      </c>
      <c r="G11" s="85" t="e">
        <f>+'EXP ALLOCATION'!L10</f>
        <v>#REF!</v>
      </c>
      <c r="H11" s="85" t="e">
        <f>+'EXP ALLOCATION'!M10</f>
        <v>#REF!</v>
      </c>
      <c r="I11" s="85">
        <f>+CORP!E260</f>
        <v>395921</v>
      </c>
      <c r="J11" s="85">
        <f>+CORP!F260</f>
        <v>395921</v>
      </c>
      <c r="K11" s="165">
        <f>+CORP!I260</f>
        <v>0</v>
      </c>
      <c r="L11" s="85" t="e">
        <f>+CORP!#REF!</f>
        <v>#REF!</v>
      </c>
      <c r="M11" s="85" t="e">
        <f>+CORP!#REF!</f>
        <v>#REF!</v>
      </c>
      <c r="O11" s="8"/>
      <c r="P11" s="8"/>
      <c r="Q11" s="53"/>
      <c r="R11" s="53"/>
      <c r="S11" s="53"/>
      <c r="T11" s="53"/>
      <c r="U11" s="53"/>
      <c r="V11" s="53"/>
      <c r="W11" s="53"/>
      <c r="X11" s="53"/>
      <c r="Y11" s="53"/>
      <c r="Z11" s="76"/>
      <c r="AA11" s="53"/>
      <c r="AB11" s="53"/>
      <c r="AC11" s="11"/>
      <c r="AD11" s="11"/>
      <c r="AE11" s="11"/>
      <c r="AF11" s="11"/>
    </row>
    <row r="12" spans="1:32" x14ac:dyDescent="0.25">
      <c r="A12" s="2" t="s">
        <v>2</v>
      </c>
      <c r="B12" s="94" t="s">
        <v>13</v>
      </c>
      <c r="C12" s="2">
        <v>20</v>
      </c>
      <c r="D12" s="85">
        <f>+'EXP ALLOCATION'!H11</f>
        <v>1557832</v>
      </c>
      <c r="E12" s="85">
        <f>+'EXP ALLOCATION'!I11</f>
        <v>1387832</v>
      </c>
      <c r="F12" s="165">
        <f>+'EXP ALLOCATION'!J11</f>
        <v>3283210</v>
      </c>
      <c r="G12" s="85" t="e">
        <f>+'EXP ALLOCATION'!L11</f>
        <v>#REF!</v>
      </c>
      <c r="H12" s="85" t="e">
        <f>+'EXP ALLOCATION'!M11</f>
        <v>#REF!</v>
      </c>
      <c r="I12" s="85">
        <f>+PROP!E261</f>
        <v>92877.98</v>
      </c>
      <c r="J12" s="85">
        <f>+PROP!F261</f>
        <v>92877.98</v>
      </c>
      <c r="K12" s="165">
        <f>+PROP!I261</f>
        <v>121996.78812999999</v>
      </c>
      <c r="L12" s="85" t="e">
        <f>+PROP!#REF!</f>
        <v>#REF!</v>
      </c>
      <c r="M12" s="85" t="e">
        <f>+PROP!#REF!</f>
        <v>#REF!</v>
      </c>
      <c r="O12" s="8"/>
      <c r="P12" s="8"/>
      <c r="Q12" s="53"/>
      <c r="R12" s="53"/>
      <c r="S12" s="53"/>
      <c r="T12" s="53"/>
      <c r="U12" s="53"/>
      <c r="V12" s="53"/>
      <c r="W12" s="53"/>
      <c r="X12" s="53"/>
      <c r="Y12" s="53"/>
      <c r="Z12" s="76"/>
      <c r="AA12" s="53"/>
      <c r="AB12" s="53"/>
      <c r="AC12" s="11"/>
      <c r="AD12" s="11"/>
      <c r="AE12" s="11"/>
      <c r="AF12" s="11"/>
    </row>
    <row r="13" spans="1:32" x14ac:dyDescent="0.25">
      <c r="A13" s="2"/>
      <c r="B13" s="94" t="s">
        <v>0</v>
      </c>
      <c r="C13" s="2">
        <v>22</v>
      </c>
      <c r="D13" s="85">
        <f>+'EXP ALLOCATION'!H12</f>
        <v>6471462.1299999999</v>
      </c>
      <c r="E13" s="85">
        <f>+'EXP ALLOCATION'!I12</f>
        <v>2171462.13</v>
      </c>
      <c r="F13" s="165">
        <f>+'EXP ALLOCATION'!J12</f>
        <v>416469.17729999986</v>
      </c>
      <c r="G13" s="85" t="e">
        <f>+'EXP ALLOCATION'!L12</f>
        <v>#REF!</v>
      </c>
      <c r="H13" s="85" t="e">
        <f>+'EXP ALLOCATION'!M12</f>
        <v>#REF!</v>
      </c>
      <c r="I13" s="85">
        <f>+RATES!E261</f>
        <v>10980450.425760001</v>
      </c>
      <c r="J13" s="85">
        <f>+RATES!F261</f>
        <v>16280450.425760003</v>
      </c>
      <c r="K13" s="165">
        <f>+RATES!I261</f>
        <v>21669279.516686562</v>
      </c>
      <c r="L13" s="85" t="e">
        <f>+RATES!#REF!</f>
        <v>#REF!</v>
      </c>
      <c r="M13" s="85" t="e">
        <f>+RATES!#REF!</f>
        <v>#REF!</v>
      </c>
      <c r="O13" s="8"/>
      <c r="P13" s="8"/>
      <c r="Q13" s="53"/>
      <c r="R13" s="53"/>
      <c r="S13" s="53"/>
      <c r="T13" s="53"/>
      <c r="U13" s="53"/>
      <c r="V13" s="53"/>
      <c r="W13" s="53"/>
      <c r="X13" s="53"/>
      <c r="Y13" s="53"/>
      <c r="Z13" s="76"/>
      <c r="AA13" s="53"/>
      <c r="AB13" s="53"/>
      <c r="AC13" s="11"/>
      <c r="AD13" s="11"/>
      <c r="AE13" s="11"/>
      <c r="AF13" s="11"/>
    </row>
    <row r="14" spans="1:32" x14ac:dyDescent="0.25">
      <c r="A14" s="2"/>
      <c r="B14" s="94" t="s">
        <v>17</v>
      </c>
      <c r="C14" s="2">
        <v>24</v>
      </c>
      <c r="D14" s="85">
        <f>+'EXP ALLOCATION'!H13</f>
        <v>3041896</v>
      </c>
      <c r="E14" s="85">
        <f>+'EXP ALLOCATION'!I13</f>
        <v>2751896</v>
      </c>
      <c r="F14" s="165">
        <f>+'EXP ALLOCATION'!J13</f>
        <v>3488416.5855999999</v>
      </c>
      <c r="G14" s="85" t="e">
        <f>+'EXP ALLOCATION'!L13</f>
        <v>#REF!</v>
      </c>
      <c r="H14" s="85" t="e">
        <f>+'EXP ALLOCATION'!M13</f>
        <v>#REF!</v>
      </c>
      <c r="I14" s="85">
        <f>+THALL!E261</f>
        <v>1477</v>
      </c>
      <c r="J14" s="85">
        <f>+THALL!F261</f>
        <v>1478</v>
      </c>
      <c r="K14" s="165">
        <f>+THALL!I261</f>
        <v>1478</v>
      </c>
      <c r="L14" s="85" t="e">
        <f>+THALL!#REF!</f>
        <v>#REF!</v>
      </c>
      <c r="M14" s="85" t="e">
        <f>+THALL!#REF!</f>
        <v>#REF!</v>
      </c>
      <c r="O14" s="8"/>
      <c r="P14" s="8"/>
      <c r="Q14" s="53"/>
      <c r="R14" s="53"/>
      <c r="S14" s="53"/>
      <c r="T14" s="53"/>
      <c r="U14" s="53"/>
      <c r="V14" s="53"/>
      <c r="W14" s="53"/>
      <c r="X14" s="53"/>
      <c r="Y14" s="53"/>
      <c r="Z14" s="76"/>
      <c r="AA14" s="53"/>
      <c r="AB14" s="53"/>
      <c r="AC14" s="11"/>
      <c r="AD14" s="11"/>
      <c r="AE14" s="11"/>
      <c r="AF14" s="11"/>
    </row>
    <row r="15" spans="1:32" x14ac:dyDescent="0.25">
      <c r="A15" s="2"/>
      <c r="B15" s="94" t="s">
        <v>356</v>
      </c>
      <c r="C15" s="2">
        <v>26</v>
      </c>
      <c r="D15" s="85">
        <f>+'EXP ALLOCATION'!H14</f>
        <v>19700491</v>
      </c>
      <c r="E15" s="85">
        <f>+'EXP ALLOCATION'!I14</f>
        <v>20177828</v>
      </c>
      <c r="F15" s="165">
        <f>+'EXP ALLOCATION'!J14</f>
        <v>23871642.935952</v>
      </c>
      <c r="G15" s="85" t="e">
        <f>+'EXP ALLOCATION'!L14</f>
        <v>#REF!</v>
      </c>
      <c r="H15" s="85" t="e">
        <f>+'EXP ALLOCATION'!M14</f>
        <v>#REF!</v>
      </c>
      <c r="I15" s="85">
        <f>+FIN!E261</f>
        <v>16010321.321599999</v>
      </c>
      <c r="J15" s="85">
        <f>+FIN!F261</f>
        <v>8869502.3215999994</v>
      </c>
      <c r="K15" s="165">
        <f>+FIN!I261</f>
        <v>11542567.5900496</v>
      </c>
      <c r="L15" s="85" t="e">
        <f>+FIN!#REF!</f>
        <v>#REF!</v>
      </c>
      <c r="M15" s="85" t="e">
        <f>+FIN!#REF!</f>
        <v>#REF!</v>
      </c>
      <c r="O15" s="8"/>
      <c r="P15" s="8"/>
      <c r="Q15" s="53"/>
      <c r="R15" s="53"/>
      <c r="S15" s="53"/>
      <c r="T15" s="53"/>
      <c r="U15" s="53"/>
      <c r="V15" s="76"/>
      <c r="W15" s="53"/>
      <c r="X15" s="53"/>
      <c r="Y15" s="53"/>
      <c r="Z15" s="76"/>
      <c r="AA15" s="53"/>
      <c r="AB15" s="53"/>
      <c r="AC15" s="11"/>
      <c r="AD15" s="11"/>
      <c r="AE15" s="11"/>
      <c r="AF15" s="11"/>
    </row>
    <row r="16" spans="1:32" x14ac:dyDescent="0.25">
      <c r="A16" s="2" t="s">
        <v>3</v>
      </c>
      <c r="B16" s="94" t="s">
        <v>370</v>
      </c>
      <c r="C16" s="2">
        <v>28</v>
      </c>
      <c r="D16" s="85">
        <f>+'EXP ALLOCATION'!H15</f>
        <v>5451871.8949999996</v>
      </c>
      <c r="E16" s="85">
        <f>+'EXP ALLOCATION'!I15</f>
        <v>5623343.8949999996</v>
      </c>
      <c r="F16" s="165">
        <f>+'EXP ALLOCATION'!J15</f>
        <v>5569282</v>
      </c>
      <c r="G16" s="85" t="e">
        <f>+'EXP ALLOCATION'!L15</f>
        <v>#REF!</v>
      </c>
      <c r="H16" s="85" t="e">
        <f>+'EXP ALLOCATION'!M15</f>
        <v>#REF!</v>
      </c>
      <c r="I16" s="85">
        <f>+SOCIAL!E260</f>
        <v>-141069.24800000002</v>
      </c>
      <c r="J16" s="85">
        <f>+SOCIAL!F260</f>
        <v>-142535.80000000005</v>
      </c>
      <c r="K16" s="165">
        <f>+SOCIAL!I260</f>
        <v>-191740.80200000005</v>
      </c>
      <c r="L16" s="85" t="e">
        <f>+SOCIAL!#REF!</f>
        <v>#REF!</v>
      </c>
      <c r="M16" s="85" t="e">
        <f>+SOCIAL!#REF!</f>
        <v>#REF!</v>
      </c>
      <c r="O16" s="8"/>
      <c r="P16" s="8"/>
      <c r="Q16" s="53"/>
      <c r="R16" s="53"/>
      <c r="S16" s="53"/>
      <c r="T16" s="53"/>
      <c r="U16" s="53"/>
      <c r="V16" s="53"/>
      <c r="W16" s="53"/>
      <c r="X16" s="53"/>
      <c r="Y16" s="53"/>
      <c r="Z16" s="76"/>
      <c r="AA16" s="53"/>
      <c r="AB16" s="53"/>
      <c r="AC16" s="11"/>
      <c r="AD16" s="11"/>
      <c r="AE16" s="11"/>
      <c r="AF16" s="11"/>
    </row>
    <row r="17" spans="1:32" x14ac:dyDescent="0.25">
      <c r="A17" s="2" t="s">
        <v>4</v>
      </c>
      <c r="B17" s="94" t="s">
        <v>369</v>
      </c>
      <c r="C17" s="2">
        <v>30</v>
      </c>
      <c r="D17" s="85">
        <f>+'EXP ALLOCATION'!H16</f>
        <v>2293034.2000000002</v>
      </c>
      <c r="E17" s="85">
        <f>+'EXP ALLOCATION'!I16</f>
        <v>2293034.2000000002</v>
      </c>
      <c r="F17" s="165">
        <f>+'EXP ALLOCATION'!J16</f>
        <v>4917946.7935999995</v>
      </c>
      <c r="G17" s="85" t="e">
        <f>+'EXP ALLOCATION'!L16</f>
        <v>#REF!</v>
      </c>
      <c r="H17" s="85" t="e">
        <f>+'EXP ALLOCATION'!M16</f>
        <v>#REF!</v>
      </c>
      <c r="I17" s="85">
        <f>+CEMETERY!E261</f>
        <v>9643.8240000000078</v>
      </c>
      <c r="J17" s="85">
        <f>+CEMETERY!F261</f>
        <v>9643.8240000000078</v>
      </c>
      <c r="K17" s="165">
        <f>+CEMETERY!I261</f>
        <v>12835.929743999994</v>
      </c>
      <c r="L17" s="85" t="e">
        <f>+CEMETERY!#REF!</f>
        <v>#REF!</v>
      </c>
      <c r="M17" s="85" t="e">
        <f>+CEMETERY!#REF!</f>
        <v>#REF!</v>
      </c>
      <c r="O17" s="8"/>
      <c r="P17" s="8"/>
      <c r="Q17" s="53"/>
      <c r="R17" s="53"/>
      <c r="S17" s="53"/>
      <c r="T17" s="53"/>
      <c r="U17" s="53"/>
      <c r="V17" s="53"/>
      <c r="W17" s="53"/>
      <c r="X17" s="53"/>
      <c r="Y17" s="53"/>
      <c r="Z17" s="76"/>
      <c r="AA17" s="53"/>
      <c r="AB17" s="53"/>
      <c r="AC17" s="11"/>
      <c r="AD17" s="11"/>
      <c r="AE17" s="11"/>
      <c r="AF17" s="11"/>
    </row>
    <row r="18" spans="1:32" x14ac:dyDescent="0.25">
      <c r="A18" s="2"/>
      <c r="B18" s="94" t="s">
        <v>16</v>
      </c>
      <c r="C18" s="2">
        <v>32</v>
      </c>
      <c r="D18" s="85">
        <f>+'EXP ALLOCATION'!H17</f>
        <v>1200145</v>
      </c>
      <c r="E18" s="85">
        <f>+'EXP ALLOCATION'!I17</f>
        <v>1200145</v>
      </c>
      <c r="F18" s="165">
        <f>+'EXP ALLOCATION'!J17</f>
        <v>1523564.1424</v>
      </c>
      <c r="G18" s="85" t="e">
        <f>+'EXP ALLOCATION'!L17</f>
        <v>#REF!</v>
      </c>
      <c r="H18" s="85" t="e">
        <f>+'EXP ALLOCATION'!M17</f>
        <v>#REF!</v>
      </c>
      <c r="I18" s="85">
        <f>+LIBRARIES!E261</f>
        <v>-64145</v>
      </c>
      <c r="J18" s="85">
        <f>+LIBRARIES!F261</f>
        <v>-64145</v>
      </c>
      <c r="K18" s="165">
        <f>+LIBRARIES!I261</f>
        <v>-85376.994999999995</v>
      </c>
      <c r="L18" s="85" t="e">
        <f>+LIBRARIES!#REF!</f>
        <v>#REF!</v>
      </c>
      <c r="M18" s="85" t="e">
        <f>+LIBRARIES!#REF!</f>
        <v>#REF!</v>
      </c>
      <c r="O18" s="8"/>
      <c r="P18" s="8"/>
      <c r="Q18" s="53"/>
      <c r="R18" s="53"/>
      <c r="S18" s="53"/>
      <c r="T18" s="53"/>
      <c r="U18" s="53"/>
      <c r="V18" s="53"/>
      <c r="W18" s="53"/>
      <c r="X18" s="53"/>
      <c r="Y18" s="53"/>
      <c r="Z18" s="76"/>
      <c r="AA18" s="53"/>
      <c r="AB18" s="53"/>
      <c r="AC18" s="11"/>
      <c r="AD18" s="11"/>
      <c r="AE18" s="11"/>
      <c r="AF18" s="11"/>
    </row>
    <row r="19" spans="1:32" x14ac:dyDescent="0.25">
      <c r="A19" s="2" t="s">
        <v>5</v>
      </c>
      <c r="B19" s="94" t="s">
        <v>5</v>
      </c>
      <c r="C19" s="2">
        <v>34</v>
      </c>
      <c r="D19" s="85">
        <f>+'EXP ALLOCATION'!H18</f>
        <v>1217467.5</v>
      </c>
      <c r="E19" s="85">
        <f>+'EXP ALLOCATION'!I18</f>
        <v>1217467.5</v>
      </c>
      <c r="F19" s="165">
        <f>+'EXP ALLOCATION'!J18</f>
        <v>1398551.7519999999</v>
      </c>
      <c r="G19" s="85" t="e">
        <f>+'EXP ALLOCATION'!L18</f>
        <v>#REF!</v>
      </c>
      <c r="H19" s="85" t="e">
        <f>+'EXP ALLOCATION'!M18</f>
        <v>#REF!</v>
      </c>
      <c r="I19" s="85">
        <f>+HOUSING!E261</f>
        <v>-7397.0959999999977</v>
      </c>
      <c r="J19" s="85">
        <f>+HOUSING!F261</f>
        <v>-7397.0959999999977</v>
      </c>
      <c r="K19" s="165">
        <f>+HOUSING!I261</f>
        <v>-24275.778999999999</v>
      </c>
      <c r="L19" s="85" t="e">
        <f>+HOUSING!#REF!</f>
        <v>#REF!</v>
      </c>
      <c r="M19" s="85" t="e">
        <f>+HOUSING!#REF!</f>
        <v>#REF!</v>
      </c>
      <c r="O19" s="8"/>
      <c r="P19" s="8"/>
      <c r="Q19" s="53"/>
      <c r="R19" s="53"/>
      <c r="S19" s="53"/>
      <c r="T19" s="53"/>
      <c r="U19" s="53"/>
      <c r="V19" s="53"/>
      <c r="W19" s="53"/>
      <c r="X19" s="53"/>
      <c r="Y19" s="53"/>
      <c r="Z19" s="76"/>
      <c r="AA19" s="53"/>
      <c r="AB19" s="53"/>
      <c r="AC19" s="11"/>
      <c r="AD19" s="11"/>
      <c r="AE19" s="11"/>
      <c r="AF19" s="11"/>
    </row>
    <row r="20" spans="1:32" x14ac:dyDescent="0.25">
      <c r="A20" s="2"/>
      <c r="B20" s="94" t="s">
        <v>15</v>
      </c>
      <c r="C20" s="2">
        <v>38</v>
      </c>
      <c r="D20" s="85">
        <f>+'EXP ALLOCATION'!H19</f>
        <v>1902771</v>
      </c>
      <c r="E20" s="85">
        <f>+'EXP ALLOCATION'!I19</f>
        <v>1902771</v>
      </c>
      <c r="F20" s="165">
        <f>+'EXP ALLOCATION'!J19</f>
        <v>2294014.6799999997</v>
      </c>
      <c r="G20" s="85" t="e">
        <f>+'EXP ALLOCATION'!L19</f>
        <v>#REF!</v>
      </c>
      <c r="H20" s="85" t="e">
        <f>+'EXP ALLOCATION'!M19</f>
        <v>#REF!</v>
      </c>
      <c r="I20" s="85">
        <f>+TRAFFIC!E261</f>
        <v>225000</v>
      </c>
      <c r="J20" s="85">
        <f>+TRAFFIC!F261</f>
        <v>225000</v>
      </c>
      <c r="K20" s="165">
        <f>+TRAFFIC!I261</f>
        <v>225000</v>
      </c>
      <c r="L20" s="85" t="e">
        <f>+TRAFFIC!#REF!</f>
        <v>#REF!</v>
      </c>
      <c r="M20" s="85" t="e">
        <f>+TRAFFIC!#REF!</f>
        <v>#REF!</v>
      </c>
      <c r="O20" s="8"/>
      <c r="P20" s="8"/>
      <c r="Q20" s="53"/>
      <c r="R20" s="53"/>
      <c r="S20" s="53"/>
      <c r="T20" s="53"/>
      <c r="U20" s="53"/>
      <c r="V20" s="53"/>
      <c r="W20" s="53"/>
      <c r="X20" s="53"/>
      <c r="Y20" s="53"/>
      <c r="Z20" s="76"/>
      <c r="AA20" s="53"/>
      <c r="AB20" s="53"/>
      <c r="AC20" s="11"/>
      <c r="AD20" s="11"/>
      <c r="AE20" s="11"/>
      <c r="AF20" s="11"/>
    </row>
    <row r="21" spans="1:32" x14ac:dyDescent="0.25">
      <c r="A21" s="2" t="s">
        <v>6</v>
      </c>
      <c r="B21" s="94" t="s">
        <v>145</v>
      </c>
      <c r="C21" s="2">
        <v>40</v>
      </c>
      <c r="D21" s="85">
        <f>+'EXP ALLOCATION'!H20</f>
        <v>4100022</v>
      </c>
      <c r="E21" s="85">
        <f>+'EXP ALLOCATION'!I20</f>
        <v>3500022</v>
      </c>
      <c r="F21" s="165">
        <f>+'EXP ALLOCATION'!J20</f>
        <v>15074884.544</v>
      </c>
      <c r="G21" s="85" t="e">
        <f>+'EXP ALLOCATION'!L20</f>
        <v>#REF!</v>
      </c>
      <c r="H21" s="85" t="e">
        <f>+'EXP ALLOCATION'!M20</f>
        <v>#REF!</v>
      </c>
      <c r="I21" s="85">
        <f>+PARKS!E261</f>
        <v>-198349</v>
      </c>
      <c r="J21" s="85">
        <f>+PARKS!F261</f>
        <v>-198349</v>
      </c>
      <c r="K21" s="165">
        <f>+PARKS!I261</f>
        <v>0</v>
      </c>
      <c r="L21" s="85" t="e">
        <f>+PARKS!#REF!</f>
        <v>#REF!</v>
      </c>
      <c r="M21" s="85" t="e">
        <f>+PARKS!#REF!</f>
        <v>#REF!</v>
      </c>
      <c r="O21" s="8"/>
      <c r="P21" s="8"/>
      <c r="Q21" s="53"/>
      <c r="R21" s="53"/>
      <c r="S21" s="53"/>
      <c r="T21" s="53"/>
      <c r="U21" s="53"/>
      <c r="V21" s="53"/>
      <c r="W21" s="53"/>
      <c r="X21" s="53"/>
      <c r="Y21" s="53"/>
      <c r="Z21" s="76"/>
      <c r="AA21" s="53"/>
      <c r="AB21" s="53"/>
      <c r="AC21" s="11"/>
      <c r="AD21" s="11"/>
      <c r="AE21" s="11"/>
      <c r="AF21" s="11"/>
    </row>
    <row r="22" spans="1:32" x14ac:dyDescent="0.25">
      <c r="A22" s="2" t="s">
        <v>7</v>
      </c>
      <c r="B22" s="94" t="s">
        <v>19</v>
      </c>
      <c r="C22" s="2">
        <v>42</v>
      </c>
      <c r="D22" s="85">
        <f>+'EXP ALLOCATION'!H21</f>
        <v>11073611.959567999</v>
      </c>
      <c r="E22" s="85">
        <f>+'EXP ALLOCATION'!I21</f>
        <v>6977611.9595679995</v>
      </c>
      <c r="F22" s="165">
        <f>+'EXP ALLOCATION'!J21</f>
        <v>10580000</v>
      </c>
      <c r="G22" s="85" t="e">
        <f>+'EXP ALLOCATION'!L21</f>
        <v>#REF!</v>
      </c>
      <c r="H22" s="85" t="e">
        <f>+'EXP ALLOCATION'!M21</f>
        <v>#REF!</v>
      </c>
      <c r="I22" s="85">
        <f>+REFUSE!E261</f>
        <v>15282176.364800001</v>
      </c>
      <c r="J22" s="85">
        <f>+REFUSE!F261</f>
        <v>16982176.364799999</v>
      </c>
      <c r="K22" s="165">
        <f>+REFUSE!I261</f>
        <v>16982176.364799999</v>
      </c>
      <c r="L22" s="85" t="e">
        <f>+REFUSE!#REF!</f>
        <v>#REF!</v>
      </c>
      <c r="M22" s="85" t="e">
        <f>+REFUSE!#REF!</f>
        <v>#REF!</v>
      </c>
      <c r="O22" s="8"/>
      <c r="P22" s="8"/>
      <c r="Q22" s="53"/>
      <c r="R22" s="53"/>
      <c r="S22" s="53"/>
      <c r="T22" s="53"/>
      <c r="U22" s="53"/>
      <c r="V22" s="53"/>
      <c r="W22" s="53"/>
      <c r="X22" s="53"/>
      <c r="Y22" s="53"/>
      <c r="Z22" s="76"/>
      <c r="AA22" s="53"/>
      <c r="AB22" s="53"/>
      <c r="AC22" s="11"/>
      <c r="AD22" s="11"/>
      <c r="AE22" s="11"/>
      <c r="AF22" s="11"/>
    </row>
    <row r="23" spans="1:32" x14ac:dyDescent="0.25">
      <c r="A23" s="2" t="s">
        <v>8</v>
      </c>
      <c r="B23" s="94" t="s">
        <v>18</v>
      </c>
      <c r="C23" s="2">
        <v>44</v>
      </c>
      <c r="D23" s="85">
        <f>+'EXP ALLOCATION'!H22</f>
        <v>16286654.298924001</v>
      </c>
      <c r="E23" s="85">
        <f>+'EXP ALLOCATION'!I22</f>
        <v>12286654.298924001</v>
      </c>
      <c r="F23" s="165">
        <f>+'EXP ALLOCATION'!J22</f>
        <v>12286654.298924001</v>
      </c>
      <c r="G23" s="85" t="e">
        <f>+'EXP ALLOCATION'!L22</f>
        <v>#REF!</v>
      </c>
      <c r="H23" s="85" t="e">
        <f>+'EXP ALLOCATION'!M22</f>
        <v>#REF!</v>
      </c>
      <c r="I23" s="85">
        <f>+SEWAGE!E261</f>
        <v>22812470.024800003</v>
      </c>
      <c r="J23" s="85">
        <f>+SEWAGE!F261</f>
        <v>25612470.024800003</v>
      </c>
      <c r="K23" s="165">
        <f>+SEWAGE!I261</f>
        <v>25612470.024800003</v>
      </c>
      <c r="L23" s="85" t="e">
        <f>+SEWAGE!#REF!</f>
        <v>#REF!</v>
      </c>
      <c r="M23" s="85" t="e">
        <f>+SEWAGE!#REF!</f>
        <v>#REF!</v>
      </c>
      <c r="O23" s="8"/>
      <c r="P23" s="8"/>
      <c r="Q23" s="53"/>
      <c r="R23" s="53"/>
      <c r="S23" s="53"/>
      <c r="T23" s="53"/>
      <c r="U23" s="53"/>
      <c r="V23" s="53"/>
      <c r="W23" s="53"/>
      <c r="X23" s="53"/>
      <c r="Y23" s="53"/>
      <c r="Z23" s="76"/>
      <c r="AA23" s="53"/>
      <c r="AB23" s="53"/>
      <c r="AC23" s="11"/>
      <c r="AD23" s="11"/>
      <c r="AE23" s="11"/>
      <c r="AF23" s="11"/>
    </row>
    <row r="24" spans="1:32" x14ac:dyDescent="0.25">
      <c r="A24" s="2" t="s">
        <v>9</v>
      </c>
      <c r="B24" s="94" t="s">
        <v>14</v>
      </c>
      <c r="C24" s="2">
        <v>46</v>
      </c>
      <c r="D24" s="85">
        <f>+'EXP ALLOCATION'!H23</f>
        <v>18623212.754999999</v>
      </c>
      <c r="E24" s="85">
        <f>+'EXP ALLOCATION'!I23</f>
        <v>14193206.35</v>
      </c>
      <c r="F24" s="165">
        <f>+'EXP ALLOCATION'!J23</f>
        <v>22343984.927928001</v>
      </c>
      <c r="G24" s="85" t="e">
        <f>+'EXP ALLOCATION'!L23</f>
        <v>#REF!</v>
      </c>
      <c r="H24" s="85" t="e">
        <f>+'EXP ALLOCATION'!M23</f>
        <v>#REF!</v>
      </c>
      <c r="I24" s="85">
        <f>+PWORKS!E261</f>
        <v>35562576</v>
      </c>
      <c r="J24" s="85">
        <f>+PWORKS!F261</f>
        <v>35622576</v>
      </c>
      <c r="K24" s="165">
        <f>+PWORKS!I261</f>
        <v>35622576</v>
      </c>
      <c r="L24" s="85" t="e">
        <f>+PWORKS!#REF!</f>
        <v>#REF!</v>
      </c>
      <c r="M24" s="85" t="e">
        <f>+PWORKS!#REF!</f>
        <v>#REF!</v>
      </c>
      <c r="O24" s="8"/>
      <c r="P24" s="8"/>
      <c r="Q24" s="53"/>
      <c r="R24" s="53"/>
      <c r="S24" s="53"/>
      <c r="T24" s="53"/>
      <c r="U24" s="53"/>
      <c r="V24" s="53"/>
      <c r="W24" s="53"/>
      <c r="X24" s="53"/>
      <c r="Y24" s="53"/>
      <c r="Z24" s="76"/>
      <c r="AA24" s="53"/>
      <c r="AB24" s="53"/>
      <c r="AC24" s="11"/>
      <c r="AD24" s="11"/>
      <c r="AE24" s="11"/>
      <c r="AF24" s="11"/>
    </row>
    <row r="25" spans="1:32" x14ac:dyDescent="0.25">
      <c r="A25" s="2" t="s">
        <v>10</v>
      </c>
      <c r="B25" s="94" t="s">
        <v>149</v>
      </c>
      <c r="C25" s="2">
        <v>48</v>
      </c>
      <c r="D25" s="85">
        <f>+'EXP ALLOCATION'!H24</f>
        <v>22937433.645</v>
      </c>
      <c r="E25" s="85">
        <f>+'EXP ALLOCATION'!I24</f>
        <v>14987433.645</v>
      </c>
      <c r="F25" s="165">
        <f>+'EXP ALLOCATION'!J24</f>
        <v>17495187.855899997</v>
      </c>
      <c r="G25" s="85" t="e">
        <f>+'EXP ALLOCATION'!L24</f>
        <v>#REF!</v>
      </c>
      <c r="H25" s="85" t="e">
        <f>+'EXP ALLOCATION'!M24</f>
        <v>#REF!</v>
      </c>
      <c r="I25" s="85">
        <f>+WATER!E261</f>
        <v>61912739.351999998</v>
      </c>
      <c r="J25" s="85">
        <f>+WATER!F261</f>
        <v>32289073.352000002</v>
      </c>
      <c r="K25" s="165">
        <f>+WATER!I261</f>
        <v>110183034.198512</v>
      </c>
      <c r="L25" s="85" t="e">
        <f>+WATER!#REF!</f>
        <v>#REF!</v>
      </c>
      <c r="M25" s="85" t="e">
        <f>+WATER!#REF!</f>
        <v>#REF!</v>
      </c>
      <c r="O25" s="8"/>
      <c r="P25" s="8"/>
      <c r="Q25" s="53"/>
      <c r="R25" s="53"/>
      <c r="S25" s="53"/>
      <c r="T25" s="53"/>
      <c r="U25" s="53"/>
      <c r="V25" s="53"/>
      <c r="W25" s="53"/>
      <c r="X25" s="53"/>
      <c r="Y25" s="53"/>
      <c r="Z25" s="76"/>
      <c r="AA25" s="53"/>
      <c r="AB25" s="53"/>
      <c r="AC25" s="11"/>
      <c r="AD25" s="11"/>
      <c r="AE25" s="11"/>
      <c r="AF25" s="11"/>
    </row>
    <row r="26" spans="1:32" x14ac:dyDescent="0.25">
      <c r="A26" s="2" t="s">
        <v>11</v>
      </c>
      <c r="B26" s="94" t="str">
        <f>A26</f>
        <v>ELECTRICTY</v>
      </c>
      <c r="C26" s="2">
        <v>50</v>
      </c>
      <c r="D26" s="85">
        <f>+'EXP ALLOCATION'!H25</f>
        <v>34611134.460000001</v>
      </c>
      <c r="E26" s="85">
        <f>+'EXP ALLOCATION'!I25</f>
        <v>38748002.460000001</v>
      </c>
      <c r="F26" s="165">
        <f>+'EXP ALLOCATION'!J25</f>
        <v>42462718.850000001</v>
      </c>
      <c r="G26" s="85" t="e">
        <f>+'EXP ALLOCATION'!L25</f>
        <v>#REF!</v>
      </c>
      <c r="H26" s="85" t="e">
        <f>+'EXP ALLOCATION'!M25</f>
        <v>#REF!</v>
      </c>
      <c r="I26" s="85">
        <f>+ELECTRIC!E261</f>
        <v>43813259.487612009</v>
      </c>
      <c r="J26" s="85">
        <f>+ELECTRIC!F261</f>
        <v>22813259.487612005</v>
      </c>
      <c r="K26" s="165">
        <f>+ELECTRIC!I261</f>
        <v>49301448.378011584</v>
      </c>
      <c r="L26" s="85" t="e">
        <f>+ELECTRIC!#REF!</f>
        <v>#REF!</v>
      </c>
      <c r="M26" s="85" t="e">
        <f>+ELECTRIC!#REF!</f>
        <v>#REF!</v>
      </c>
      <c r="O26" s="8"/>
      <c r="P26" s="8"/>
      <c r="Q26" s="53"/>
      <c r="R26" s="53"/>
      <c r="S26" s="53"/>
      <c r="T26" s="53"/>
      <c r="U26" s="53"/>
      <c r="V26" s="53"/>
      <c r="W26" s="53"/>
      <c r="X26" s="53"/>
      <c r="Y26" s="53"/>
      <c r="Z26" s="76"/>
      <c r="AA26" s="53"/>
      <c r="AB26" s="53"/>
      <c r="AC26" s="11"/>
      <c r="AD26" s="11"/>
      <c r="AE26" s="11"/>
      <c r="AF26" s="11"/>
    </row>
    <row r="27" spans="1:32" x14ac:dyDescent="0.25">
      <c r="A27" s="17">
        <f>SUM(A7:A24)</f>
        <v>0</v>
      </c>
      <c r="B27" s="17"/>
      <c r="C27" s="17"/>
      <c r="D27" s="3">
        <f t="shared" ref="D27:M27" si="0">SUM(D7:D26)</f>
        <v>183221958.843492</v>
      </c>
      <c r="E27" s="89">
        <f t="shared" si="0"/>
        <v>171285945.43849197</v>
      </c>
      <c r="F27" s="172">
        <f t="shared" si="0"/>
        <v>195976467.58921039</v>
      </c>
      <c r="G27" s="89" t="e">
        <f t="shared" si="0"/>
        <v>#REF!</v>
      </c>
      <c r="H27" s="89" t="e">
        <f t="shared" si="0"/>
        <v>#REF!</v>
      </c>
      <c r="I27" s="89">
        <f t="shared" si="0"/>
        <v>235033631.43657202</v>
      </c>
      <c r="J27" s="89">
        <f t="shared" si="0"/>
        <v>187127680.88457203</v>
      </c>
      <c r="K27" s="92">
        <f t="shared" si="0"/>
        <v>301201748.64673376</v>
      </c>
      <c r="L27" s="89" t="e">
        <f t="shared" si="0"/>
        <v>#REF!</v>
      </c>
      <c r="M27" s="89" t="e">
        <f t="shared" si="0"/>
        <v>#REF!</v>
      </c>
      <c r="N27" s="16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76"/>
      <c r="AA27" s="53"/>
      <c r="AB27" s="53"/>
      <c r="AC27" s="11"/>
      <c r="AD27" s="11"/>
      <c r="AE27" s="11"/>
      <c r="AF27" s="11"/>
    </row>
    <row r="28" spans="1:32" x14ac:dyDescent="0.25">
      <c r="O28" s="11"/>
      <c r="P28" s="11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1"/>
      <c r="AD28" s="11"/>
      <c r="AE28" s="11"/>
      <c r="AF28" s="11"/>
    </row>
    <row r="29" spans="1:32" x14ac:dyDescent="0.25">
      <c r="C29" s="11"/>
      <c r="D29" s="133"/>
      <c r="E29" s="134"/>
      <c r="F29" s="53"/>
      <c r="G29" s="82"/>
      <c r="H29" s="82"/>
      <c r="I29" s="82"/>
      <c r="J29" s="82"/>
      <c r="K29" s="53"/>
      <c r="L29" s="11"/>
      <c r="O29" s="11"/>
      <c r="P29" s="11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11"/>
      <c r="AD29" s="11"/>
      <c r="AE29" s="11"/>
      <c r="AF29" s="11"/>
    </row>
    <row r="30" spans="1:32" x14ac:dyDescent="0.25">
      <c r="C30" s="11"/>
      <c r="D30" s="81"/>
      <c r="E30" s="81"/>
      <c r="F30" s="81"/>
      <c r="G30" s="144"/>
      <c r="H30" s="81"/>
      <c r="I30" s="81"/>
      <c r="J30" s="81"/>
      <c r="K30" s="81"/>
      <c r="L30" s="80"/>
      <c r="O30" s="11"/>
      <c r="P30" s="11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11"/>
      <c r="AD30" s="11"/>
      <c r="AE30" s="11"/>
      <c r="AF30" s="11"/>
    </row>
    <row r="31" spans="1:32" x14ac:dyDescent="0.25">
      <c r="A31" s="16" t="s">
        <v>146</v>
      </c>
      <c r="C31" s="11"/>
      <c r="D31" s="8"/>
      <c r="E31" s="81"/>
      <c r="F31" s="133"/>
      <c r="G31" s="11"/>
      <c r="H31" s="11"/>
      <c r="I31" s="11"/>
      <c r="J31" s="53"/>
      <c r="K31" s="11"/>
      <c r="L31" s="11"/>
      <c r="O31" s="11"/>
      <c r="P31" s="11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11"/>
      <c r="AD31" s="11"/>
      <c r="AE31" s="11"/>
      <c r="AF31" s="11"/>
    </row>
    <row r="32" spans="1:32" x14ac:dyDescent="0.25">
      <c r="A32" s="16"/>
      <c r="C32" s="11"/>
      <c r="D32" s="11"/>
      <c r="E32" s="11"/>
      <c r="F32" s="133"/>
      <c r="G32" s="11"/>
      <c r="H32" s="11"/>
      <c r="I32" s="11"/>
      <c r="J32" s="11"/>
      <c r="K32" s="11"/>
      <c r="L32" s="11"/>
      <c r="O32" s="11"/>
      <c r="P32" s="11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1"/>
      <c r="AD32" s="11"/>
      <c r="AE32" s="11"/>
      <c r="AF32" s="11"/>
    </row>
    <row r="33" spans="1:32" x14ac:dyDescent="0.25">
      <c r="A33" s="16"/>
      <c r="C33" s="11"/>
      <c r="D33" s="11"/>
      <c r="E33" s="11"/>
      <c r="F33" s="11"/>
      <c r="G33" s="11"/>
      <c r="H33" s="11"/>
      <c r="I33" s="11"/>
      <c r="J33" s="8"/>
      <c r="K33" s="53"/>
      <c r="L33" s="11"/>
      <c r="O33" s="11"/>
      <c r="P33" s="11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1"/>
      <c r="AD33" s="11"/>
      <c r="AE33" s="11"/>
      <c r="AF33" s="11"/>
    </row>
    <row r="34" spans="1:32" x14ac:dyDescent="0.25">
      <c r="A34" s="16"/>
      <c r="C34" s="11"/>
      <c r="D34" s="11"/>
      <c r="E34" s="11"/>
      <c r="F34" s="11"/>
      <c r="G34" s="11"/>
      <c r="H34" s="11"/>
      <c r="I34" s="11"/>
      <c r="J34" s="8"/>
      <c r="K34" s="53"/>
      <c r="L34" s="11"/>
      <c r="O34" s="11"/>
      <c r="P34" s="11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11"/>
      <c r="AD34" s="11"/>
      <c r="AE34" s="11"/>
      <c r="AF34" s="11"/>
    </row>
    <row r="35" spans="1:32" x14ac:dyDescent="0.25">
      <c r="A35" s="16"/>
      <c r="C35" s="11"/>
      <c r="D35" s="11"/>
      <c r="E35" s="11"/>
      <c r="F35" s="11"/>
      <c r="G35" s="11"/>
      <c r="H35" s="11"/>
      <c r="I35" s="11"/>
      <c r="J35" s="8"/>
      <c r="K35" s="53"/>
      <c r="L35" s="11"/>
      <c r="O35" s="11"/>
      <c r="P35" s="11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11"/>
      <c r="AD35" s="11"/>
      <c r="AE35" s="11"/>
      <c r="AF35" s="11"/>
    </row>
    <row r="36" spans="1:32" x14ac:dyDescent="0.25">
      <c r="A36" s="16"/>
      <c r="C36" s="11"/>
      <c r="D36" s="11"/>
      <c r="E36" s="11"/>
      <c r="F36" s="11"/>
      <c r="G36" s="11"/>
      <c r="H36" s="11"/>
      <c r="I36" s="11"/>
      <c r="J36" s="8"/>
      <c r="K36" s="81"/>
      <c r="L36" s="11"/>
      <c r="O36" s="11"/>
      <c r="P36" s="11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11"/>
      <c r="AD36" s="11"/>
      <c r="AE36" s="11"/>
      <c r="AF36" s="11"/>
    </row>
    <row r="37" spans="1:32" x14ac:dyDescent="0.25">
      <c r="A37" s="16"/>
      <c r="C37" s="11"/>
      <c r="D37" s="11"/>
      <c r="E37" s="11"/>
      <c r="F37" s="11"/>
      <c r="G37" s="11"/>
      <c r="H37" s="11"/>
      <c r="I37" s="11"/>
      <c r="J37" s="11"/>
      <c r="K37" s="11"/>
      <c r="L37" s="11"/>
      <c r="O37" s="11"/>
      <c r="P37" s="11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11"/>
      <c r="AD37" s="11"/>
      <c r="AE37" s="11"/>
      <c r="AF37" s="11"/>
    </row>
    <row r="38" spans="1:32" x14ac:dyDescent="0.25">
      <c r="A38" s="16" t="s">
        <v>147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O38" s="11"/>
      <c r="P38" s="11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1"/>
      <c r="AD38" s="11"/>
      <c r="AE38" s="11"/>
      <c r="AF38" s="11"/>
    </row>
    <row r="39" spans="1:32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O39" s="11"/>
      <c r="P39" s="11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1"/>
      <c r="AD39" s="11"/>
      <c r="AE39" s="11"/>
      <c r="AF39" s="11"/>
    </row>
    <row r="40" spans="1:32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11"/>
      <c r="AD40" s="11"/>
      <c r="AE40" s="11"/>
      <c r="AF40" s="11"/>
    </row>
    <row r="41" spans="1:32" x14ac:dyDescent="0.25">
      <c r="B41" s="8"/>
      <c r="C41" s="8"/>
      <c r="D41" s="77"/>
      <c r="E41" s="78"/>
      <c r="F41" s="77"/>
      <c r="G41" s="11"/>
      <c r="H41" s="11"/>
      <c r="I41" s="79"/>
      <c r="J41" s="79"/>
      <c r="K41" s="79"/>
      <c r="L41" s="11"/>
      <c r="M41" s="11"/>
      <c r="N41" s="11"/>
      <c r="O41" s="11"/>
      <c r="P41" s="1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11"/>
      <c r="AD41" s="11"/>
      <c r="AE41" s="11"/>
      <c r="AF41" s="11"/>
    </row>
    <row r="42" spans="1:32" x14ac:dyDescent="0.25">
      <c r="B42" s="8"/>
      <c r="C42" s="8"/>
      <c r="D42" s="77"/>
      <c r="E42" s="78"/>
      <c r="F42" s="77"/>
      <c r="G42" s="11"/>
      <c r="H42" s="11"/>
      <c r="I42" s="79"/>
      <c r="J42" s="79"/>
      <c r="K42" s="79"/>
      <c r="L42" s="11"/>
      <c r="M42" s="11"/>
      <c r="N42" s="11"/>
      <c r="O42" s="11"/>
      <c r="P42" s="11"/>
      <c r="Q42" s="53"/>
      <c r="R42" s="53"/>
      <c r="S42" s="53"/>
    </row>
    <row r="43" spans="1:32" x14ac:dyDescent="0.25">
      <c r="B43" s="8"/>
      <c r="C43" s="8"/>
      <c r="D43" s="77"/>
      <c r="E43" s="78"/>
      <c r="F43" s="77"/>
      <c r="G43" s="11"/>
      <c r="H43" s="11"/>
      <c r="I43" s="79"/>
      <c r="J43" s="79"/>
      <c r="K43" s="79"/>
      <c r="L43" s="11"/>
      <c r="M43" s="11"/>
      <c r="N43" s="11"/>
      <c r="O43" s="11"/>
      <c r="P43" s="11"/>
      <c r="Q43" s="53"/>
      <c r="R43" s="53"/>
      <c r="S43" s="53"/>
    </row>
    <row r="44" spans="1:32" x14ac:dyDescent="0.25">
      <c r="B44" s="8"/>
      <c r="C44" s="8"/>
      <c r="D44" s="77"/>
      <c r="E44" s="78"/>
      <c r="F44" s="77"/>
      <c r="G44" s="11"/>
      <c r="H44" s="11"/>
      <c r="I44" s="79"/>
      <c r="J44" s="79"/>
      <c r="K44" s="79"/>
      <c r="L44" s="11"/>
      <c r="M44" s="11"/>
      <c r="N44" s="11"/>
      <c r="O44" s="11"/>
      <c r="P44" s="11"/>
      <c r="Q44" s="53"/>
      <c r="R44" s="53"/>
      <c r="S44" s="53"/>
    </row>
    <row r="45" spans="1:32" x14ac:dyDescent="0.25">
      <c r="B45" s="8"/>
      <c r="C45" s="8"/>
      <c r="D45" s="77"/>
      <c r="E45" s="78"/>
      <c r="F45" s="77"/>
      <c r="G45" s="11"/>
      <c r="H45" s="11"/>
      <c r="I45" s="79"/>
      <c r="J45" s="79"/>
      <c r="K45" s="79"/>
      <c r="L45" s="11"/>
      <c r="M45" s="11"/>
      <c r="N45" s="11"/>
      <c r="O45" s="11"/>
      <c r="P45" s="11"/>
      <c r="Q45" s="53"/>
      <c r="R45" s="53"/>
      <c r="S45" s="53"/>
    </row>
    <row r="46" spans="1:32" x14ac:dyDescent="0.25">
      <c r="B46" s="8"/>
      <c r="C46" s="8"/>
      <c r="D46" s="77"/>
      <c r="E46" s="78"/>
      <c r="F46" s="77"/>
      <c r="G46" s="11"/>
      <c r="H46" s="11"/>
      <c r="I46" s="79"/>
      <c r="J46" s="79"/>
      <c r="K46" s="79"/>
      <c r="L46" s="11"/>
      <c r="M46" s="11"/>
      <c r="N46" s="11"/>
      <c r="O46" s="11"/>
      <c r="P46" s="11"/>
      <c r="Q46" s="53"/>
      <c r="R46" s="53"/>
      <c r="S46" s="53"/>
    </row>
    <row r="47" spans="1:32" x14ac:dyDescent="0.25">
      <c r="B47" s="8"/>
      <c r="C47" s="8"/>
      <c r="D47" s="77"/>
      <c r="E47" s="78"/>
      <c r="F47" s="77"/>
      <c r="G47" s="11"/>
      <c r="H47" s="11"/>
      <c r="I47" s="79"/>
      <c r="J47" s="79"/>
      <c r="K47" s="79"/>
      <c r="L47" s="11"/>
      <c r="M47" s="11"/>
      <c r="N47" s="11"/>
      <c r="O47" s="11"/>
      <c r="P47" s="11"/>
      <c r="Q47" s="53"/>
      <c r="R47" s="53"/>
      <c r="S47" s="53"/>
    </row>
    <row r="48" spans="1:32" x14ac:dyDescent="0.25">
      <c r="B48" s="8"/>
      <c r="C48" s="8"/>
      <c r="D48" s="77"/>
      <c r="E48" s="78"/>
      <c r="F48" s="77"/>
      <c r="G48" s="11"/>
      <c r="H48" s="11"/>
      <c r="I48" s="79"/>
      <c r="J48" s="79"/>
      <c r="K48" s="79"/>
      <c r="L48" s="11"/>
      <c r="M48" s="11"/>
      <c r="N48" s="11"/>
      <c r="O48" s="11"/>
      <c r="P48" s="11"/>
      <c r="Q48" s="53"/>
      <c r="R48" s="53"/>
      <c r="S48" s="53"/>
    </row>
    <row r="49" spans="2:19" x14ac:dyDescent="0.25">
      <c r="B49" s="8"/>
      <c r="C49" s="8"/>
      <c r="D49" s="77"/>
      <c r="E49" s="78"/>
      <c r="F49" s="77"/>
      <c r="G49" s="11"/>
      <c r="H49" s="11"/>
      <c r="I49" s="79"/>
      <c r="J49" s="79"/>
      <c r="K49" s="79"/>
      <c r="L49" s="11"/>
      <c r="M49" s="11"/>
      <c r="N49" s="11"/>
      <c r="O49" s="11"/>
      <c r="P49" s="11"/>
      <c r="Q49" s="53"/>
      <c r="R49" s="53"/>
      <c r="S49" s="53"/>
    </row>
    <row r="50" spans="2:19" x14ac:dyDescent="0.25">
      <c r="B50" s="8"/>
      <c r="C50" s="8"/>
      <c r="D50" s="77"/>
      <c r="E50" s="78"/>
      <c r="F50" s="77"/>
      <c r="G50" s="11"/>
      <c r="H50" s="11"/>
      <c r="I50" s="79"/>
      <c r="J50" s="79"/>
      <c r="K50" s="79"/>
      <c r="L50" s="11"/>
      <c r="M50" s="11"/>
      <c r="N50" s="11"/>
      <c r="O50" s="11"/>
      <c r="P50" s="11"/>
      <c r="Q50" s="53"/>
      <c r="R50" s="53"/>
      <c r="S50" s="53"/>
    </row>
    <row r="51" spans="2:19" x14ac:dyDescent="0.25">
      <c r="B51" s="8"/>
      <c r="C51" s="8"/>
      <c r="D51" s="77"/>
      <c r="E51" s="78"/>
      <c r="F51" s="77"/>
      <c r="G51" s="11"/>
      <c r="H51" s="11"/>
      <c r="I51" s="79"/>
      <c r="J51" s="79"/>
      <c r="K51" s="79"/>
      <c r="L51" s="11"/>
      <c r="M51" s="11"/>
      <c r="N51" s="11"/>
      <c r="O51" s="11"/>
      <c r="P51" s="11"/>
      <c r="Q51" s="53"/>
      <c r="R51" s="53"/>
      <c r="S51" s="53"/>
    </row>
    <row r="52" spans="2:19" x14ac:dyDescent="0.25">
      <c r="B52" s="8"/>
      <c r="C52" s="8"/>
      <c r="D52" s="77"/>
      <c r="E52" s="78"/>
      <c r="F52" s="77"/>
      <c r="G52" s="11"/>
      <c r="H52" s="11"/>
      <c r="I52" s="79"/>
      <c r="J52" s="79"/>
      <c r="K52" s="79"/>
      <c r="L52" s="11"/>
      <c r="M52" s="11"/>
      <c r="N52" s="11"/>
      <c r="O52" s="11"/>
      <c r="P52" s="11"/>
      <c r="Q52" s="53"/>
      <c r="R52" s="53"/>
      <c r="S52" s="53"/>
    </row>
    <row r="53" spans="2:19" x14ac:dyDescent="0.25">
      <c r="B53" s="8"/>
      <c r="C53" s="8"/>
      <c r="D53" s="77"/>
      <c r="E53" s="78"/>
      <c r="F53" s="77"/>
      <c r="G53" s="11"/>
      <c r="H53" s="11"/>
      <c r="I53" s="79"/>
      <c r="J53" s="79"/>
      <c r="K53" s="79"/>
      <c r="L53" s="11"/>
      <c r="M53" s="11"/>
      <c r="N53" s="11"/>
      <c r="O53" s="11"/>
      <c r="P53" s="11"/>
      <c r="Q53" s="53"/>
      <c r="R53" s="53"/>
      <c r="S53" s="53"/>
    </row>
    <row r="54" spans="2:19" x14ac:dyDescent="0.25">
      <c r="B54" s="8"/>
      <c r="C54" s="8"/>
      <c r="D54" s="77"/>
      <c r="E54" s="78"/>
      <c r="F54" s="77"/>
      <c r="G54" s="11"/>
      <c r="H54" s="11"/>
      <c r="I54" s="79"/>
      <c r="J54" s="79"/>
      <c r="K54" s="79"/>
      <c r="L54" s="11"/>
      <c r="M54" s="11"/>
      <c r="N54" s="11"/>
      <c r="O54" s="11"/>
      <c r="P54" s="11"/>
      <c r="Q54" s="53"/>
      <c r="R54" s="53"/>
      <c r="S54" s="53"/>
    </row>
    <row r="55" spans="2:19" x14ac:dyDescent="0.25">
      <c r="B55" s="8"/>
      <c r="C55" s="8"/>
      <c r="D55" s="77"/>
      <c r="E55" s="78"/>
      <c r="F55" s="77"/>
      <c r="G55" s="11"/>
      <c r="H55" s="11"/>
      <c r="I55" s="79"/>
      <c r="J55" s="79"/>
      <c r="K55" s="79"/>
      <c r="L55" s="11"/>
      <c r="M55" s="11"/>
      <c r="N55" s="11"/>
      <c r="O55" s="11"/>
      <c r="P55" s="11"/>
      <c r="Q55" s="53"/>
      <c r="R55" s="53"/>
      <c r="S55" s="53"/>
    </row>
    <row r="56" spans="2:19" x14ac:dyDescent="0.25">
      <c r="B56" s="8"/>
      <c r="C56" s="8"/>
      <c r="D56" s="77"/>
      <c r="E56" s="78"/>
      <c r="F56" s="77"/>
      <c r="G56" s="11"/>
      <c r="H56" s="11"/>
      <c r="I56" s="79"/>
      <c r="J56" s="79"/>
      <c r="K56" s="79"/>
      <c r="L56" s="11"/>
      <c r="M56" s="11"/>
      <c r="N56" s="11"/>
      <c r="O56" s="11"/>
      <c r="P56" s="11"/>
      <c r="Q56" s="53"/>
      <c r="R56" s="53"/>
      <c r="S56" s="53"/>
    </row>
    <row r="57" spans="2:19" x14ac:dyDescent="0.25">
      <c r="B57" s="8"/>
      <c r="C57" s="8"/>
      <c r="D57" s="77"/>
      <c r="E57" s="78"/>
      <c r="F57" s="77"/>
      <c r="G57" s="11"/>
      <c r="H57" s="11"/>
      <c r="I57" s="79"/>
      <c r="J57" s="79"/>
      <c r="K57" s="79"/>
      <c r="L57" s="11"/>
      <c r="M57" s="11"/>
      <c r="N57" s="11"/>
      <c r="O57" s="11"/>
      <c r="P57" s="11"/>
      <c r="Q57" s="53"/>
      <c r="R57" s="53"/>
      <c r="S57" s="53"/>
    </row>
    <row r="58" spans="2:19" x14ac:dyDescent="0.25">
      <c r="B58" s="8"/>
      <c r="C58" s="8"/>
      <c r="D58" s="77"/>
      <c r="E58" s="78"/>
      <c r="F58" s="77"/>
      <c r="G58" s="11"/>
      <c r="H58" s="11"/>
      <c r="I58" s="79"/>
      <c r="J58" s="79"/>
      <c r="K58" s="79"/>
      <c r="L58" s="11"/>
      <c r="M58" s="11"/>
      <c r="N58" s="11"/>
      <c r="O58" s="11"/>
      <c r="P58" s="11"/>
      <c r="Q58" s="53"/>
      <c r="R58" s="53"/>
      <c r="S58" s="53"/>
    </row>
    <row r="59" spans="2:19" x14ac:dyDescent="0.25">
      <c r="B59" s="8"/>
      <c r="C59" s="8"/>
      <c r="D59" s="77"/>
      <c r="E59" s="78"/>
      <c r="F59" s="77"/>
      <c r="G59" s="11"/>
      <c r="H59" s="11"/>
      <c r="I59" s="79"/>
      <c r="J59" s="79"/>
      <c r="K59" s="79"/>
      <c r="L59" s="11"/>
      <c r="M59" s="11"/>
      <c r="N59" s="11"/>
      <c r="O59" s="11"/>
      <c r="P59" s="11"/>
      <c r="Q59" s="53"/>
      <c r="R59" s="53"/>
      <c r="S59" s="53"/>
    </row>
    <row r="60" spans="2:19" x14ac:dyDescent="0.25">
      <c r="B60" s="8"/>
      <c r="C60" s="8"/>
      <c r="D60" s="77"/>
      <c r="E60" s="78"/>
      <c r="F60" s="77"/>
      <c r="G60" s="11"/>
      <c r="H60" s="11"/>
      <c r="I60" s="79"/>
      <c r="J60" s="79"/>
      <c r="K60" s="79"/>
      <c r="L60" s="11"/>
      <c r="M60" s="11"/>
      <c r="N60" s="11"/>
      <c r="O60" s="11"/>
      <c r="P60" s="11"/>
      <c r="Q60" s="53"/>
      <c r="R60" s="53"/>
      <c r="S60" s="53"/>
    </row>
    <row r="61" spans="2:19" x14ac:dyDescent="0.25">
      <c r="B61" s="8"/>
      <c r="C61" s="8"/>
      <c r="D61" s="77"/>
      <c r="E61" s="78"/>
      <c r="F61" s="77"/>
      <c r="G61" s="11"/>
      <c r="H61" s="11"/>
      <c r="I61" s="79"/>
      <c r="J61" s="79"/>
      <c r="K61" s="79"/>
      <c r="L61" s="11"/>
      <c r="M61" s="11"/>
      <c r="N61" s="11"/>
      <c r="O61" s="11"/>
      <c r="P61" s="11"/>
      <c r="Q61" s="53"/>
      <c r="R61" s="53"/>
      <c r="S61" s="53"/>
    </row>
    <row r="62" spans="2:19" x14ac:dyDescent="0.25">
      <c r="B62" s="8"/>
      <c r="C62" s="8"/>
      <c r="D62" s="77"/>
      <c r="E62" s="78"/>
      <c r="F62" s="77"/>
      <c r="G62" s="11"/>
      <c r="H62" s="11"/>
      <c r="I62" s="79"/>
      <c r="J62" s="79"/>
      <c r="K62" s="79"/>
      <c r="L62" s="11"/>
      <c r="M62" s="11"/>
      <c r="N62" s="11"/>
      <c r="O62" s="11"/>
      <c r="P62" s="11"/>
      <c r="Q62" s="53"/>
      <c r="R62" s="53"/>
      <c r="S62" s="53"/>
    </row>
    <row r="63" spans="2:19" x14ac:dyDescent="0.25">
      <c r="B63" s="8"/>
      <c r="C63" s="8"/>
      <c r="D63" s="77"/>
      <c r="E63" s="78"/>
      <c r="F63" s="77"/>
      <c r="G63" s="11"/>
      <c r="H63" s="11"/>
      <c r="I63" s="79"/>
      <c r="J63" s="79"/>
      <c r="K63" s="79"/>
      <c r="L63" s="11"/>
      <c r="M63" s="11"/>
      <c r="N63" s="11"/>
      <c r="O63" s="11"/>
      <c r="P63" s="11"/>
      <c r="Q63" s="53"/>
      <c r="R63" s="53"/>
      <c r="S63" s="53"/>
    </row>
    <row r="64" spans="2:19" x14ac:dyDescent="0.25">
      <c r="B64" s="11"/>
      <c r="C64" s="11"/>
      <c r="D64" s="77"/>
      <c r="E64" s="77"/>
      <c r="F64" s="77"/>
      <c r="G64" s="11"/>
      <c r="H64" s="11"/>
      <c r="I64" s="79"/>
      <c r="J64" s="79"/>
      <c r="K64" s="79"/>
      <c r="L64" s="11"/>
      <c r="M64" s="11"/>
      <c r="N64" s="11"/>
      <c r="O64" s="11"/>
      <c r="P64" s="11"/>
      <c r="Q64" s="53"/>
      <c r="R64" s="53"/>
      <c r="S64" s="53"/>
    </row>
    <row r="65" spans="2:19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53"/>
      <c r="R65" s="53"/>
      <c r="S65" s="53"/>
    </row>
    <row r="66" spans="2:19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53"/>
      <c r="R66" s="53"/>
      <c r="S66" s="53"/>
    </row>
    <row r="67" spans="2:19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3"/>
      <c r="R67" s="53"/>
      <c r="S67" s="53"/>
    </row>
    <row r="68" spans="2:19" x14ac:dyDescent="0.25">
      <c r="B68" s="8"/>
      <c r="C68" s="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3"/>
      <c r="R68" s="53"/>
      <c r="S68" s="53"/>
    </row>
    <row r="69" spans="2:19" x14ac:dyDescent="0.25">
      <c r="B69" s="8"/>
      <c r="C69" s="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53"/>
      <c r="R69" s="53"/>
      <c r="S69" s="53"/>
    </row>
    <row r="70" spans="2:19" x14ac:dyDescent="0.25">
      <c r="B70" s="8"/>
      <c r="C70" s="8"/>
      <c r="D70" s="53"/>
      <c r="E70" s="80"/>
      <c r="F70" s="80"/>
      <c r="G70" s="80"/>
      <c r="H70" s="80"/>
      <c r="I70" s="11"/>
      <c r="J70" s="11"/>
      <c r="K70" s="11"/>
      <c r="L70" s="11"/>
      <c r="M70" s="11"/>
      <c r="N70" s="11"/>
      <c r="O70" s="11"/>
      <c r="P70" s="11"/>
      <c r="Q70" s="53"/>
      <c r="R70" s="53"/>
      <c r="S70" s="53"/>
    </row>
    <row r="71" spans="2:19" x14ac:dyDescent="0.25">
      <c r="B71" s="8"/>
      <c r="C71" s="8"/>
      <c r="D71" s="11"/>
      <c r="E71" s="80"/>
      <c r="F71" s="80"/>
      <c r="G71" s="80"/>
      <c r="H71" s="80"/>
      <c r="I71" s="11"/>
      <c r="J71" s="11"/>
      <c r="K71" s="11"/>
      <c r="L71" s="11"/>
      <c r="M71" s="11"/>
      <c r="N71" s="11"/>
      <c r="O71" s="11"/>
      <c r="P71" s="11"/>
      <c r="Q71" s="53"/>
      <c r="R71" s="53"/>
      <c r="S71" s="53"/>
    </row>
    <row r="72" spans="2:19" x14ac:dyDescent="0.25">
      <c r="B72" s="8"/>
      <c r="C72" s="53"/>
      <c r="D72" s="11"/>
      <c r="E72" s="11"/>
      <c r="F72" s="80"/>
      <c r="G72" s="80"/>
      <c r="H72" s="80"/>
      <c r="I72" s="11"/>
      <c r="J72" s="11"/>
      <c r="K72" s="11"/>
      <c r="L72" s="11"/>
      <c r="M72" s="11"/>
      <c r="N72" s="11"/>
      <c r="O72" s="11"/>
      <c r="P72" s="11"/>
      <c r="Q72" s="53"/>
      <c r="R72" s="53"/>
      <c r="S72" s="53"/>
    </row>
    <row r="73" spans="2:19" x14ac:dyDescent="0.25">
      <c r="B73" s="8"/>
      <c r="C73" s="53"/>
      <c r="D73" s="80"/>
      <c r="E73" s="11"/>
      <c r="F73" s="80"/>
      <c r="G73" s="80"/>
      <c r="H73" s="80"/>
      <c r="I73" s="11"/>
      <c r="J73" s="11"/>
      <c r="K73" s="11"/>
      <c r="L73" s="11"/>
      <c r="M73" s="11"/>
      <c r="N73" s="11"/>
      <c r="O73" s="11"/>
      <c r="P73" s="11"/>
      <c r="Q73" s="53"/>
      <c r="R73" s="53"/>
      <c r="S73" s="53"/>
    </row>
    <row r="74" spans="2:19" x14ac:dyDescent="0.25">
      <c r="B74" s="8"/>
      <c r="C74" s="53"/>
      <c r="D74" s="80"/>
      <c r="E74" s="80"/>
      <c r="F74" s="80"/>
      <c r="G74" s="80"/>
      <c r="H74" s="80"/>
      <c r="I74" s="11"/>
      <c r="J74" s="11"/>
      <c r="K74" s="11"/>
      <c r="L74" s="11"/>
      <c r="M74" s="11"/>
      <c r="N74" s="11"/>
      <c r="O74" s="11"/>
      <c r="P74" s="11"/>
      <c r="Q74" s="53"/>
      <c r="R74" s="53"/>
      <c r="S74" s="53"/>
    </row>
    <row r="75" spans="2:19" x14ac:dyDescent="0.25">
      <c r="B75" s="8"/>
      <c r="C75" s="8"/>
      <c r="D75" s="8"/>
      <c r="E75" s="80"/>
      <c r="F75" s="80"/>
      <c r="G75" s="80"/>
      <c r="H75" s="80"/>
      <c r="I75" s="11"/>
      <c r="J75" s="11"/>
      <c r="K75" s="11"/>
      <c r="L75" s="11"/>
      <c r="M75" s="11"/>
      <c r="N75" s="11"/>
      <c r="O75" s="11"/>
      <c r="P75" s="11"/>
      <c r="Q75" s="53"/>
      <c r="R75" s="53"/>
      <c r="S75" s="53"/>
    </row>
    <row r="76" spans="2:19" x14ac:dyDescent="0.25">
      <c r="B76" s="8"/>
      <c r="C76" s="8"/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3"/>
      <c r="R76" s="53"/>
      <c r="S76" s="53"/>
    </row>
    <row r="77" spans="2:19" x14ac:dyDescent="0.25">
      <c r="B77" s="8"/>
      <c r="C77" s="8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3"/>
      <c r="R77" s="53"/>
      <c r="S77" s="53"/>
    </row>
    <row r="78" spans="2:19" x14ac:dyDescent="0.25">
      <c r="B78" s="8"/>
      <c r="C78" s="8"/>
      <c r="D78" s="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53"/>
      <c r="R78" s="53"/>
      <c r="S78" s="53"/>
    </row>
    <row r="79" spans="2:19" x14ac:dyDescent="0.25">
      <c r="B79" s="8"/>
      <c r="C79" s="8"/>
      <c r="D79" s="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53"/>
      <c r="R79" s="53"/>
      <c r="S79" s="53"/>
    </row>
    <row r="80" spans="2:19" x14ac:dyDescent="0.25">
      <c r="B80" s="8"/>
      <c r="C80" s="8"/>
      <c r="D80" s="8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53"/>
      <c r="R80" s="53"/>
      <c r="S80" s="53"/>
    </row>
    <row r="81" spans="2:19" x14ac:dyDescent="0.25">
      <c r="B81" s="8"/>
      <c r="C81" s="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53"/>
      <c r="R81" s="53"/>
      <c r="S81" s="53"/>
    </row>
    <row r="82" spans="2:19" x14ac:dyDescent="0.25">
      <c r="B82" s="8"/>
      <c r="C82" s="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53"/>
      <c r="R82" s="53"/>
      <c r="S82" s="53"/>
    </row>
    <row r="83" spans="2:19" x14ac:dyDescent="0.25">
      <c r="B83" s="8"/>
      <c r="C83" s="8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53"/>
      <c r="R83" s="53"/>
      <c r="S83" s="53"/>
    </row>
    <row r="84" spans="2:19" x14ac:dyDescent="0.25">
      <c r="B84" s="8"/>
      <c r="C84" s="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3"/>
      <c r="R84" s="53"/>
      <c r="S84" s="53"/>
    </row>
    <row r="85" spans="2:19" x14ac:dyDescent="0.25">
      <c r="B85" s="8"/>
      <c r="C85" s="8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3"/>
      <c r="R85" s="53"/>
      <c r="S85" s="53"/>
    </row>
    <row r="86" spans="2:19" x14ac:dyDescent="0.25">
      <c r="B86" s="8"/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3"/>
      <c r="R86" s="53"/>
      <c r="S86" s="53"/>
    </row>
    <row r="87" spans="2:19" x14ac:dyDescent="0.25">
      <c r="B87" s="8"/>
      <c r="C87" s="8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3"/>
      <c r="R87" s="53"/>
      <c r="S87" s="53"/>
    </row>
    <row r="88" spans="2:19" x14ac:dyDescent="0.25">
      <c r="B88" s="8"/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53"/>
      <c r="R88" s="53"/>
      <c r="S88" s="53"/>
    </row>
    <row r="89" spans="2:19" x14ac:dyDescent="0.25">
      <c r="B89" s="8"/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3"/>
      <c r="R89" s="53"/>
      <c r="S89" s="53"/>
    </row>
    <row r="90" spans="2:19" x14ac:dyDescent="0.25">
      <c r="B90" s="8"/>
      <c r="C90" s="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53"/>
      <c r="R90" s="53"/>
      <c r="S90" s="53"/>
    </row>
    <row r="91" spans="2:19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53"/>
      <c r="R91" s="53"/>
      <c r="S91" s="53"/>
    </row>
    <row r="92" spans="2:19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53"/>
      <c r="R92" s="53"/>
      <c r="S92" s="53"/>
    </row>
    <row r="93" spans="2:19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3"/>
      <c r="R93" s="53"/>
      <c r="S93" s="53"/>
    </row>
    <row r="94" spans="2:19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3"/>
      <c r="R94" s="53"/>
      <c r="S94" s="53"/>
    </row>
    <row r="95" spans="2:19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53"/>
      <c r="R95" s="53"/>
      <c r="S95" s="53"/>
    </row>
    <row r="96" spans="2:19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53"/>
      <c r="R96" s="53"/>
      <c r="S96" s="53"/>
    </row>
    <row r="97" spans="2:19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3"/>
      <c r="R97" s="53"/>
      <c r="S97" s="53"/>
    </row>
    <row r="98" spans="2:19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53"/>
      <c r="R98" s="53"/>
      <c r="S98" s="53"/>
    </row>
    <row r="99" spans="2:19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53"/>
      <c r="R99" s="53"/>
      <c r="S99" s="53"/>
    </row>
    <row r="100" spans="2:19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53"/>
      <c r="R100" s="53"/>
      <c r="S100" s="53"/>
    </row>
    <row r="101" spans="2:19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53"/>
      <c r="R101" s="53"/>
      <c r="S101" s="53"/>
    </row>
    <row r="102" spans="2:19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53"/>
      <c r="R102" s="53"/>
      <c r="S102" s="53"/>
    </row>
    <row r="103" spans="2:19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53"/>
      <c r="R103" s="53"/>
      <c r="S103" s="53"/>
    </row>
    <row r="104" spans="2:19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53"/>
      <c r="R104" s="53"/>
      <c r="S104" s="53"/>
    </row>
    <row r="105" spans="2:19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3"/>
      <c r="R105" s="53"/>
      <c r="S105" s="53"/>
    </row>
    <row r="106" spans="2:19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53"/>
      <c r="R106" s="53"/>
      <c r="S106" s="53"/>
    </row>
    <row r="107" spans="2:19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53"/>
      <c r="R107" s="53"/>
      <c r="S107" s="53"/>
    </row>
    <row r="108" spans="2:19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53"/>
      <c r="R108" s="53"/>
      <c r="S108" s="53"/>
    </row>
    <row r="109" spans="2:19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53"/>
      <c r="R109" s="53"/>
      <c r="S109" s="53"/>
    </row>
    <row r="110" spans="2:19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53"/>
      <c r="R110" s="53"/>
      <c r="S110" s="53"/>
    </row>
    <row r="111" spans="2:19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53"/>
      <c r="R111" s="53"/>
      <c r="S111" s="53"/>
    </row>
    <row r="112" spans="2:19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53"/>
      <c r="R112" s="53"/>
      <c r="S112" s="53"/>
    </row>
    <row r="113" spans="2:19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53"/>
      <c r="R113" s="53"/>
      <c r="S113" s="53"/>
    </row>
    <row r="114" spans="2:19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53"/>
      <c r="R114" s="53"/>
      <c r="S114" s="53"/>
    </row>
    <row r="115" spans="2:19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53"/>
      <c r="R115" s="53"/>
      <c r="S115" s="53"/>
    </row>
    <row r="116" spans="2:19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53"/>
      <c r="R116" s="53"/>
      <c r="S116" s="53"/>
    </row>
    <row r="117" spans="2:19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53"/>
      <c r="R117" s="53"/>
      <c r="S117" s="53"/>
    </row>
    <row r="118" spans="2:19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53"/>
      <c r="R118" s="53"/>
      <c r="S118" s="53"/>
    </row>
    <row r="119" spans="2:19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53"/>
      <c r="R119" s="53"/>
      <c r="S119" s="53"/>
    </row>
    <row r="120" spans="2:19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53"/>
      <c r="R120" s="53"/>
      <c r="S120" s="53"/>
    </row>
    <row r="121" spans="2:19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53"/>
      <c r="R121" s="53"/>
      <c r="S121" s="53"/>
    </row>
    <row r="122" spans="2:19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53"/>
      <c r="R122" s="53"/>
      <c r="S122" s="53"/>
    </row>
    <row r="123" spans="2:19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53"/>
      <c r="R123" s="53"/>
      <c r="S123" s="53"/>
    </row>
    <row r="124" spans="2:19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53"/>
      <c r="R124" s="53"/>
      <c r="S124" s="53"/>
    </row>
    <row r="125" spans="2:19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53"/>
      <c r="R125" s="53"/>
      <c r="S125" s="53"/>
    </row>
    <row r="126" spans="2:19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53"/>
      <c r="R126" s="53"/>
      <c r="S126" s="53"/>
    </row>
    <row r="127" spans="2:19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53"/>
      <c r="R127" s="53"/>
      <c r="S127" s="53"/>
    </row>
    <row r="128" spans="2:19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53"/>
      <c r="R128" s="53"/>
      <c r="S128" s="53"/>
    </row>
    <row r="129" spans="2:19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53"/>
      <c r="R129" s="53"/>
      <c r="S129" s="53"/>
    </row>
    <row r="130" spans="2:19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53"/>
      <c r="R130" s="53"/>
      <c r="S130" s="53"/>
    </row>
    <row r="131" spans="2:19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53"/>
      <c r="R131" s="53"/>
      <c r="S131" s="53"/>
    </row>
    <row r="132" spans="2:19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53"/>
      <c r="R132" s="53"/>
      <c r="S132" s="53"/>
    </row>
    <row r="133" spans="2:19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53"/>
      <c r="R133" s="53"/>
      <c r="S133" s="53"/>
    </row>
    <row r="134" spans="2:19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53"/>
      <c r="R134" s="53"/>
      <c r="S134" s="53"/>
    </row>
    <row r="135" spans="2:19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53"/>
      <c r="R135" s="53"/>
      <c r="S135" s="53"/>
    </row>
    <row r="136" spans="2:19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53"/>
      <c r="R136" s="53"/>
      <c r="S136" s="53"/>
    </row>
    <row r="137" spans="2:19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53"/>
      <c r="R137" s="53"/>
      <c r="S137" s="53"/>
    </row>
    <row r="138" spans="2:19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53"/>
      <c r="R138" s="53"/>
      <c r="S138" s="53"/>
    </row>
    <row r="139" spans="2:19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53"/>
      <c r="R139" s="53"/>
      <c r="S139" s="53"/>
    </row>
    <row r="140" spans="2:19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53"/>
      <c r="R140" s="53"/>
      <c r="S140" s="53"/>
    </row>
    <row r="141" spans="2:19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53"/>
      <c r="R141" s="53"/>
      <c r="S141" s="53"/>
    </row>
    <row r="142" spans="2:19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53"/>
      <c r="R142" s="53"/>
      <c r="S142" s="53"/>
    </row>
    <row r="143" spans="2:19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53"/>
      <c r="R143" s="53"/>
      <c r="S143" s="53"/>
    </row>
    <row r="144" spans="2:19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53"/>
      <c r="R144" s="53"/>
      <c r="S144" s="53"/>
    </row>
    <row r="145" spans="2:19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53"/>
      <c r="R145" s="53"/>
      <c r="S145" s="53"/>
    </row>
    <row r="146" spans="2:19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53"/>
      <c r="R146" s="53"/>
      <c r="S146" s="53"/>
    </row>
    <row r="147" spans="2:19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53"/>
      <c r="R147" s="53"/>
      <c r="S147" s="53"/>
    </row>
    <row r="148" spans="2:19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53"/>
      <c r="R148" s="53"/>
      <c r="S148" s="53"/>
    </row>
  </sheetData>
  <mergeCells count="4">
    <mergeCell ref="A1:H1"/>
    <mergeCell ref="A3:E3"/>
    <mergeCell ref="D4:H4"/>
    <mergeCell ref="I4:M4"/>
  </mergeCells>
  <phoneticPr fontId="0" type="noConversion"/>
  <pageMargins left="0.75" right="0.75" top="1" bottom="1" header="0.5" footer="0.5"/>
  <pageSetup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topLeftCell="A3" zoomScaleSheetLayoutView="100" workbookViewId="0">
      <selection activeCell="O14" sqref="O14"/>
    </sheetView>
  </sheetViews>
  <sheetFormatPr defaultRowHeight="13.2" x14ac:dyDescent="0.25"/>
  <cols>
    <col min="1" max="1" width="26.5546875" customWidth="1"/>
    <col min="2" max="2" width="28.109375" customWidth="1"/>
    <col min="3" max="3" width="5.109375" hidden="1" customWidth="1"/>
    <col min="4" max="6" width="9.109375" hidden="1" customWidth="1"/>
    <col min="7" max="7" width="10.44140625" customWidth="1"/>
    <col min="8" max="8" width="16.5546875" customWidth="1"/>
    <col min="9" max="9" width="16.6640625" customWidth="1"/>
    <col min="10" max="11" width="17" customWidth="1"/>
    <col min="12" max="12" width="11" customWidth="1"/>
    <col min="13" max="13" width="11.44140625" customWidth="1"/>
  </cols>
  <sheetData>
    <row r="1" spans="1:13" x14ac:dyDescent="0.25">
      <c r="A1" s="696" t="s">
        <v>128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8"/>
    </row>
    <row r="2" spans="1:13" x14ac:dyDescent="0.25">
      <c r="A2" s="6"/>
      <c r="B2" s="11"/>
      <c r="C2" s="11"/>
      <c r="D2" s="11"/>
      <c r="E2" s="11"/>
      <c r="F2" s="11"/>
      <c r="G2" s="11"/>
      <c r="H2" s="11"/>
      <c r="I2" s="11"/>
      <c r="J2" s="21"/>
      <c r="K2" s="21"/>
      <c r="L2" s="21"/>
      <c r="M2" s="138"/>
    </row>
    <row r="3" spans="1:13" x14ac:dyDescent="0.25">
      <c r="A3" s="694" t="s">
        <v>417</v>
      </c>
      <c r="B3" s="695"/>
      <c r="C3" s="695"/>
      <c r="D3" s="695"/>
      <c r="E3" s="695"/>
      <c r="F3" s="695"/>
      <c r="G3" s="695"/>
      <c r="H3" s="695"/>
      <c r="I3" s="695"/>
      <c r="J3" s="11"/>
      <c r="K3" s="11"/>
      <c r="L3" s="11"/>
      <c r="M3" s="7"/>
    </row>
    <row r="4" spans="1:13" ht="21" x14ac:dyDescent="0.25">
      <c r="A4" s="5" t="s">
        <v>126</v>
      </c>
      <c r="B4" s="5" t="s">
        <v>127</v>
      </c>
      <c r="C4" s="14" t="s">
        <v>21</v>
      </c>
      <c r="D4" s="1" t="s">
        <v>23</v>
      </c>
      <c r="E4" s="1" t="s">
        <v>24</v>
      </c>
      <c r="F4" s="9" t="s">
        <v>25</v>
      </c>
      <c r="G4" s="103" t="s">
        <v>23</v>
      </c>
      <c r="H4" s="104" t="s">
        <v>413</v>
      </c>
      <c r="I4" s="103" t="s">
        <v>414</v>
      </c>
      <c r="J4" s="104" t="s">
        <v>415</v>
      </c>
      <c r="K4" s="104" t="s">
        <v>24</v>
      </c>
      <c r="L4" s="83" t="s">
        <v>24</v>
      </c>
      <c r="M4" s="104" t="s">
        <v>24</v>
      </c>
    </row>
    <row r="5" spans="1:13" x14ac:dyDescent="0.25">
      <c r="A5" s="4"/>
      <c r="B5" s="4"/>
      <c r="C5" s="15"/>
      <c r="D5" s="10" t="s">
        <v>27</v>
      </c>
      <c r="E5" s="10" t="s">
        <v>28</v>
      </c>
      <c r="F5" s="10" t="s">
        <v>29</v>
      </c>
      <c r="G5" s="105" t="s">
        <v>245</v>
      </c>
      <c r="H5" s="107" t="s">
        <v>257</v>
      </c>
      <c r="I5" s="107" t="s">
        <v>257</v>
      </c>
      <c r="J5" s="107" t="s">
        <v>257</v>
      </c>
      <c r="K5" s="107" t="s">
        <v>384</v>
      </c>
      <c r="L5" s="107" t="s">
        <v>409</v>
      </c>
      <c r="M5" s="107" t="s">
        <v>416</v>
      </c>
    </row>
    <row r="6" spans="1:13" x14ac:dyDescent="0.25">
      <c r="A6" s="5" t="s">
        <v>1</v>
      </c>
      <c r="B6" s="5" t="s">
        <v>12</v>
      </c>
      <c r="C6" s="5">
        <v>12</v>
      </c>
      <c r="D6" s="12"/>
      <c r="E6" s="12"/>
      <c r="F6" s="12"/>
      <c r="G6" s="12">
        <f>+COUNCIL!D165</f>
        <v>3114904.14</v>
      </c>
      <c r="H6" s="12">
        <f>+COUNCIL!E165</f>
        <v>5723258</v>
      </c>
      <c r="I6" s="12">
        <f>+COUNCIL!F165</f>
        <v>6597258</v>
      </c>
      <c r="J6" s="12">
        <f>+COUNCIL!H165</f>
        <v>7084550.6799999997</v>
      </c>
      <c r="K6" s="12">
        <f>+COUNCIL!I165</f>
        <v>7611600.90704</v>
      </c>
      <c r="L6" s="12" t="e">
        <f>+COUNCIL!#REF!</f>
        <v>#REF!</v>
      </c>
      <c r="M6" s="12" t="e">
        <f>+COUNCIL!#REF!</f>
        <v>#REF!</v>
      </c>
    </row>
    <row r="7" spans="1:13" x14ac:dyDescent="0.25">
      <c r="A7" s="2"/>
      <c r="B7" s="2" t="s">
        <v>352</v>
      </c>
      <c r="C7" s="2">
        <v>13</v>
      </c>
      <c r="D7" s="13"/>
      <c r="E7" s="13"/>
      <c r="F7" s="13"/>
      <c r="G7" s="13">
        <f>+MAYOR!D165</f>
        <v>1073222</v>
      </c>
      <c r="H7" s="13">
        <f>+MAYOR!E165</f>
        <v>4190826</v>
      </c>
      <c r="I7" s="13">
        <f>+MAYOR!F165</f>
        <v>4198826</v>
      </c>
      <c r="J7" s="13">
        <f>+MAYOR!H165</f>
        <v>4840162.3360000001</v>
      </c>
      <c r="K7" s="13">
        <f>+MAYOR!I165</f>
        <v>5205407.6737280004</v>
      </c>
      <c r="L7" s="13" t="e">
        <f>+MAYOR!#REF!</f>
        <v>#REF!</v>
      </c>
      <c r="M7" s="13" t="e">
        <f>+MAYOR!#REF!</f>
        <v>#REF!</v>
      </c>
    </row>
    <row r="8" spans="1:13" x14ac:dyDescent="0.25">
      <c r="A8" s="2"/>
      <c r="B8" s="2" t="s">
        <v>353</v>
      </c>
      <c r="C8" s="2">
        <v>13</v>
      </c>
      <c r="D8" s="13"/>
      <c r="E8" s="13"/>
      <c r="F8" s="13"/>
      <c r="G8" s="13">
        <f>+SPEAKER!D165</f>
        <v>1085973.04</v>
      </c>
      <c r="H8" s="13">
        <f>+SPEAKER!E165</f>
        <v>2175883</v>
      </c>
      <c r="I8" s="13">
        <f>+SPEAKER!F165</f>
        <v>2357199</v>
      </c>
      <c r="J8" s="13">
        <f>+SPEAKER!I165</f>
        <v>3028930.4888064</v>
      </c>
      <c r="K8" s="13">
        <f>+SPEAKER!J165</f>
        <v>0</v>
      </c>
      <c r="L8" s="13" t="e">
        <f>+SPEAKER!#REF!</f>
        <v>#REF!</v>
      </c>
      <c r="M8" s="13" t="e">
        <f>+SPEAKER!#REF!</f>
        <v>#REF!</v>
      </c>
    </row>
    <row r="9" spans="1:13" x14ac:dyDescent="0.25">
      <c r="A9" s="2"/>
      <c r="B9" s="2" t="s">
        <v>121</v>
      </c>
      <c r="C9" s="2">
        <v>22</v>
      </c>
      <c r="D9" s="13"/>
      <c r="E9" s="13"/>
      <c r="F9" s="13"/>
      <c r="G9" s="13">
        <f>+MM!D165</f>
        <v>7021815</v>
      </c>
      <c r="H9" s="13">
        <f>+MM!E165</f>
        <v>11014324</v>
      </c>
      <c r="I9" s="13">
        <f>+MM!F165</f>
        <v>13089324</v>
      </c>
      <c r="J9" s="13">
        <f>+MM!H165</f>
        <v>14016295.5408</v>
      </c>
      <c r="K9" s="13">
        <f>+MM!I165</f>
        <v>15198133.2375744</v>
      </c>
      <c r="L9" s="13" t="e">
        <f>+MM!#REF!</f>
        <v>#REF!</v>
      </c>
      <c r="M9" s="13" t="e">
        <f>+MM!#REF!</f>
        <v>#REF!</v>
      </c>
    </row>
    <row r="10" spans="1:13" x14ac:dyDescent="0.25">
      <c r="A10" s="2"/>
      <c r="B10" s="2" t="s">
        <v>148</v>
      </c>
      <c r="C10" s="2">
        <v>24</v>
      </c>
      <c r="D10" s="13"/>
      <c r="E10" s="13"/>
      <c r="F10" s="13"/>
      <c r="G10" s="13">
        <f>+CORP!D165</f>
        <v>5982704</v>
      </c>
      <c r="H10" s="13">
        <f>+CORP!E165</f>
        <v>9648628</v>
      </c>
      <c r="I10" s="13">
        <f>+CORP!F165</f>
        <v>15624628</v>
      </c>
      <c r="J10" s="13">
        <f>+CORP!H165</f>
        <v>0</v>
      </c>
      <c r="K10" s="13">
        <f>+CORP!I165</f>
        <v>0</v>
      </c>
      <c r="L10" s="13" t="e">
        <f>+CORP!#REF!</f>
        <v>#REF!</v>
      </c>
      <c r="M10" s="13" t="e">
        <f>+CORP!#REF!</f>
        <v>#REF!</v>
      </c>
    </row>
    <row r="11" spans="1:13" x14ac:dyDescent="0.25">
      <c r="A11" s="2" t="s">
        <v>2</v>
      </c>
      <c r="B11" s="2" t="s">
        <v>13</v>
      </c>
      <c r="C11" s="2">
        <v>18</v>
      </c>
      <c r="D11" s="13"/>
      <c r="E11" s="13"/>
      <c r="F11" s="13"/>
      <c r="G11" s="13">
        <f>+PROP!D165</f>
        <v>0</v>
      </c>
      <c r="H11" s="13">
        <f>+PROP!E165</f>
        <v>1557832</v>
      </c>
      <c r="I11" s="13">
        <f>+PROP!F165</f>
        <v>1387832</v>
      </c>
      <c r="J11" s="13">
        <f>+PROP!H165</f>
        <v>3283210</v>
      </c>
      <c r="K11" s="13">
        <f>+PROP!I165</f>
        <v>3307210</v>
      </c>
      <c r="L11" s="13" t="e">
        <f>+PROP!#REF!</f>
        <v>#REF!</v>
      </c>
      <c r="M11" s="13" t="e">
        <f>+PROP!#REF!</f>
        <v>#REF!</v>
      </c>
    </row>
    <row r="12" spans="1:13" x14ac:dyDescent="0.25">
      <c r="A12" s="2"/>
      <c r="B12" s="2" t="s">
        <v>355</v>
      </c>
      <c r="C12" s="2">
        <v>10</v>
      </c>
      <c r="D12" s="13"/>
      <c r="E12" s="13"/>
      <c r="F12" s="13"/>
      <c r="G12" s="13">
        <f>+RATES!D165</f>
        <v>315789</v>
      </c>
      <c r="H12" s="13">
        <f>+RATES!E165</f>
        <v>6471462.1299999999</v>
      </c>
      <c r="I12" s="13">
        <f>+RATES!F165</f>
        <v>2171462.13</v>
      </c>
      <c r="J12" s="13">
        <f>+RATES!H165</f>
        <v>416469.17729999986</v>
      </c>
      <c r="K12" s="13">
        <f>+RATES!I165</f>
        <v>458116.09502999985</v>
      </c>
      <c r="L12" s="13" t="e">
        <f>+RATES!#REF!</f>
        <v>#REF!</v>
      </c>
      <c r="M12" s="13" t="e">
        <f>+RATES!#REF!</f>
        <v>#REF!</v>
      </c>
    </row>
    <row r="13" spans="1:13" x14ac:dyDescent="0.25">
      <c r="A13" s="2"/>
      <c r="B13" s="2" t="s">
        <v>17</v>
      </c>
      <c r="C13" s="2">
        <v>42</v>
      </c>
      <c r="D13" s="13"/>
      <c r="E13" s="13"/>
      <c r="F13" s="13"/>
      <c r="G13" s="13">
        <f>+THALL!D165</f>
        <v>826421</v>
      </c>
      <c r="H13" s="13">
        <f>+THALL!E165</f>
        <v>3041896</v>
      </c>
      <c r="I13" s="13">
        <f>+THALL!F165</f>
        <v>2751896</v>
      </c>
      <c r="J13" s="13">
        <f>+THALL!H165</f>
        <v>3488416.5855999999</v>
      </c>
      <c r="K13" s="13">
        <f>+THALL!I165</f>
        <v>3690292.7134207999</v>
      </c>
      <c r="L13" s="13" t="e">
        <f>+THALL!#REF!</f>
        <v>#REF!</v>
      </c>
      <c r="M13" s="13" t="e">
        <f>+THALL!#REF!</f>
        <v>#REF!</v>
      </c>
    </row>
    <row r="14" spans="1:13" x14ac:dyDescent="0.25">
      <c r="A14" s="2"/>
      <c r="B14" s="2" t="s">
        <v>356</v>
      </c>
      <c r="C14" s="2">
        <v>26</v>
      </c>
      <c r="D14" s="13"/>
      <c r="E14" s="13"/>
      <c r="F14" s="13"/>
      <c r="G14" s="13">
        <f>+FIN!D165</f>
        <v>10901927</v>
      </c>
      <c r="H14" s="13">
        <f>+FIN!E165</f>
        <v>19700491</v>
      </c>
      <c r="I14" s="13">
        <f>+FIN!F165</f>
        <v>20177828</v>
      </c>
      <c r="J14" s="13">
        <f>+FIN!H165</f>
        <v>23871642.935952</v>
      </c>
      <c r="K14" s="13">
        <f>+FIN!I165</f>
        <v>25927399.455596738</v>
      </c>
      <c r="L14" s="13" t="e">
        <f>+FIN!#REF!</f>
        <v>#REF!</v>
      </c>
      <c r="M14" s="13" t="e">
        <f>+FIN!#REF!</f>
        <v>#REF!</v>
      </c>
    </row>
    <row r="15" spans="1:13" x14ac:dyDescent="0.25">
      <c r="A15" s="2" t="s">
        <v>4</v>
      </c>
      <c r="B15" s="2" t="s">
        <v>368</v>
      </c>
      <c r="C15" s="2">
        <v>16</v>
      </c>
      <c r="D15" s="13"/>
      <c r="E15" s="13"/>
      <c r="F15" s="13"/>
      <c r="G15" s="13">
        <f>+SOCIAL!D165</f>
        <v>1880581</v>
      </c>
      <c r="H15" s="13">
        <f>+SOCIAL!E165</f>
        <v>5451871.8949999996</v>
      </c>
      <c r="I15" s="13">
        <f>+SOCIAL!F165</f>
        <v>5623343.8949999996</v>
      </c>
      <c r="J15" s="13">
        <f>+SOCIAL!H165</f>
        <v>5569282</v>
      </c>
      <c r="K15" s="13">
        <f>+SOCIAL!I165</f>
        <v>5673282</v>
      </c>
      <c r="L15" s="13" t="e">
        <f>+SOCIAL!#REF!</f>
        <v>#REF!</v>
      </c>
      <c r="M15" s="13" t="e">
        <f>+SOCIAL!#REF!</f>
        <v>#REF!</v>
      </c>
    </row>
    <row r="16" spans="1:13" x14ac:dyDescent="0.25">
      <c r="A16" s="2"/>
      <c r="B16" s="2" t="s">
        <v>369</v>
      </c>
      <c r="C16" s="2">
        <v>36</v>
      </c>
      <c r="D16" s="13"/>
      <c r="E16" s="13"/>
      <c r="F16" s="13"/>
      <c r="G16" s="13">
        <f>+CEMETERY!D165</f>
        <v>365311</v>
      </c>
      <c r="H16" s="13">
        <f>+CEMETERY!E165</f>
        <v>2293034.2000000002</v>
      </c>
      <c r="I16" s="13">
        <f>+CEMETERY!F165</f>
        <v>2293034.2000000002</v>
      </c>
      <c r="J16" s="13">
        <f>+CEMETERY!H165</f>
        <v>4917946.7935999995</v>
      </c>
      <c r="K16" s="13">
        <f>+CEMETERY!I165</f>
        <v>4992321.8955648001</v>
      </c>
      <c r="L16" s="13" t="e">
        <f>+CEMETERY!#REF!</f>
        <v>#REF!</v>
      </c>
      <c r="M16" s="13" t="e">
        <f>+CEMETERY!#REF!</f>
        <v>#REF!</v>
      </c>
    </row>
    <row r="17" spans="1:13" x14ac:dyDescent="0.25">
      <c r="A17" s="2"/>
      <c r="B17" s="2" t="s">
        <v>16</v>
      </c>
      <c r="C17" s="2">
        <v>38</v>
      </c>
      <c r="D17" s="13"/>
      <c r="E17" s="13"/>
      <c r="F17" s="13"/>
      <c r="G17" s="13">
        <f>+LIBRARIES!D165</f>
        <v>982485</v>
      </c>
      <c r="H17" s="13">
        <f>+LIBRARIES!E165</f>
        <v>1200145</v>
      </c>
      <c r="I17" s="13">
        <f>+LIBRARIES!F165</f>
        <v>1200145</v>
      </c>
      <c r="J17" s="13">
        <f>+LIBRARIES!H165</f>
        <v>1523564.1424</v>
      </c>
      <c r="K17" s="13">
        <f>+LIBRARIES!I165</f>
        <v>1626319.9440831998</v>
      </c>
      <c r="L17" s="13" t="e">
        <f>+LIBRARIES!#REF!</f>
        <v>#REF!</v>
      </c>
      <c r="M17" s="13" t="e">
        <f>+LIBRARIES!#REF!</f>
        <v>#REF!</v>
      </c>
    </row>
    <row r="18" spans="1:13" x14ac:dyDescent="0.25">
      <c r="A18" s="2"/>
      <c r="B18" s="2" t="s">
        <v>5</v>
      </c>
      <c r="C18" s="2">
        <v>58</v>
      </c>
      <c r="D18" s="13"/>
      <c r="E18" s="13"/>
      <c r="F18" s="13"/>
      <c r="G18" s="13">
        <f>+HOUSING!D165</f>
        <v>473142</v>
      </c>
      <c r="H18" s="13">
        <f>+HOUSING!E165</f>
        <v>1217467.5</v>
      </c>
      <c r="I18" s="13">
        <f>+HOUSING!F165</f>
        <v>1217467.5</v>
      </c>
      <c r="J18" s="13">
        <f>+HOUSING!H165</f>
        <v>1398551.7519999999</v>
      </c>
      <c r="K18" s="13">
        <f>+HOUSING!I165</f>
        <v>1492806.711136</v>
      </c>
      <c r="L18" s="13" t="e">
        <f>+HOUSING!#REF!</f>
        <v>#REF!</v>
      </c>
      <c r="M18" s="13" t="e">
        <f>+HOUSING!#REF!</f>
        <v>#REF!</v>
      </c>
    </row>
    <row r="19" spans="1:13" x14ac:dyDescent="0.25">
      <c r="A19" s="2"/>
      <c r="B19" s="2" t="s">
        <v>15</v>
      </c>
      <c r="C19" s="2">
        <v>28</v>
      </c>
      <c r="D19" s="13"/>
      <c r="E19" s="13"/>
      <c r="F19" s="13"/>
      <c r="G19" s="13">
        <f>+TRAFFIC!D165</f>
        <v>262266</v>
      </c>
      <c r="H19" s="13">
        <f>+TRAFFIC!E165</f>
        <v>1902771</v>
      </c>
      <c r="I19" s="13">
        <f>+TRAFFIC!F165</f>
        <v>1902771</v>
      </c>
      <c r="J19" s="13">
        <f>+TRAFFIC!H165</f>
        <v>2294014.6799999997</v>
      </c>
      <c r="K19" s="13">
        <f>+TRAFFIC!I165</f>
        <v>2521006.148</v>
      </c>
      <c r="L19" s="13" t="e">
        <f>+TRAFFIC!#REF!</f>
        <v>#REF!</v>
      </c>
      <c r="M19" s="13" t="e">
        <f>+TRAFFIC!#REF!</f>
        <v>#REF!</v>
      </c>
    </row>
    <row r="20" spans="1:13" x14ac:dyDescent="0.25">
      <c r="A20" s="2" t="s">
        <v>6</v>
      </c>
      <c r="B20" s="2" t="s">
        <v>145</v>
      </c>
      <c r="C20" s="2">
        <v>40</v>
      </c>
      <c r="D20" s="13"/>
      <c r="E20" s="13"/>
      <c r="F20" s="13"/>
      <c r="G20" s="13">
        <f>+PARKS!D165</f>
        <v>1391573</v>
      </c>
      <c r="H20" s="13">
        <f>+PARKS!E165</f>
        <v>4100022</v>
      </c>
      <c r="I20" s="13">
        <f>+PARKS!F165</f>
        <v>3500022</v>
      </c>
      <c r="J20" s="13">
        <f>+PARKS!H165</f>
        <v>15074884.544</v>
      </c>
      <c r="K20" s="13">
        <f>+PARKS!I165</f>
        <v>15395098.615552001</v>
      </c>
      <c r="L20" s="13" t="e">
        <f>+PARKS!#REF!</f>
        <v>#REF!</v>
      </c>
      <c r="M20" s="13" t="e">
        <f>+PARKS!#REF!</f>
        <v>#REF!</v>
      </c>
    </row>
    <row r="21" spans="1:13" x14ac:dyDescent="0.25">
      <c r="A21" s="2" t="s">
        <v>7</v>
      </c>
      <c r="B21" s="2" t="s">
        <v>19</v>
      </c>
      <c r="C21" s="2">
        <v>52</v>
      </c>
      <c r="D21" s="13"/>
      <c r="E21" s="13"/>
      <c r="F21" s="13"/>
      <c r="G21" s="13">
        <f>+REFUSE!D165</f>
        <v>3192503</v>
      </c>
      <c r="H21" s="13">
        <f>+REFUSE!E165</f>
        <v>11073611.959567999</v>
      </c>
      <c r="I21" s="13">
        <f>+REFUSE!F165</f>
        <v>6977611.9595679995</v>
      </c>
      <c r="J21" s="13">
        <f>+REFUSE!H165</f>
        <v>10580000</v>
      </c>
      <c r="K21" s="13">
        <f>+REFUSE!I165</f>
        <v>9580000</v>
      </c>
      <c r="L21" s="13" t="e">
        <f>+REFUSE!#REF!</f>
        <v>#REF!</v>
      </c>
      <c r="M21" s="13" t="e">
        <f>+REFUSE!#REF!</f>
        <v>#REF!</v>
      </c>
    </row>
    <row r="22" spans="1:13" x14ac:dyDescent="0.25">
      <c r="A22" s="2" t="s">
        <v>8</v>
      </c>
      <c r="B22" s="2" t="s">
        <v>18</v>
      </c>
      <c r="C22" s="2">
        <v>50</v>
      </c>
      <c r="D22" s="13"/>
      <c r="E22" s="13"/>
      <c r="F22" s="13"/>
      <c r="G22" s="13">
        <f>+SEWAGE!D165</f>
        <v>6596616</v>
      </c>
      <c r="H22" s="13">
        <f>+SEWAGE!E165</f>
        <v>16286654.298924001</v>
      </c>
      <c r="I22" s="13">
        <f>+SEWAGE!F165</f>
        <v>12286654.298924001</v>
      </c>
      <c r="J22" s="13">
        <f>+SEWAGE!H165</f>
        <v>12286654.298924001</v>
      </c>
      <c r="K22" s="13">
        <f>+SEWAGE!I165</f>
        <v>12286654.298924001</v>
      </c>
      <c r="L22" s="13" t="e">
        <f>+SEWAGE!#REF!</f>
        <v>#REF!</v>
      </c>
      <c r="M22" s="13" t="e">
        <f>+SEWAGE!#REF!</f>
        <v>#REF!</v>
      </c>
    </row>
    <row r="23" spans="1:13" x14ac:dyDescent="0.25">
      <c r="A23" s="2" t="s">
        <v>9</v>
      </c>
      <c r="B23" s="2" t="s">
        <v>14</v>
      </c>
      <c r="C23" s="2">
        <v>20</v>
      </c>
      <c r="D23" s="13"/>
      <c r="E23" s="13"/>
      <c r="F23" s="13"/>
      <c r="G23" s="13">
        <f>+PWORKS!D165</f>
        <v>6431907.8900000006</v>
      </c>
      <c r="H23" s="13">
        <f>+PWORKS!E165</f>
        <v>18623212.754999999</v>
      </c>
      <c r="I23" s="13">
        <f>+PWORKS!F165</f>
        <v>14193206.35</v>
      </c>
      <c r="J23" s="13">
        <f>+PWORKS!H165</f>
        <v>22343984.927928001</v>
      </c>
      <c r="K23" s="13">
        <f>+PWORKS!I165</f>
        <v>21751546.892207101</v>
      </c>
      <c r="L23" s="13" t="e">
        <f>+PWORKS!#REF!</f>
        <v>#REF!</v>
      </c>
      <c r="M23" s="13" t="e">
        <f>+PWORKS!#REF!</f>
        <v>#REF!</v>
      </c>
    </row>
    <row r="24" spans="1:13" x14ac:dyDescent="0.25">
      <c r="A24" s="2" t="s">
        <v>10</v>
      </c>
      <c r="B24" s="2" t="s">
        <v>149</v>
      </c>
      <c r="C24" s="2">
        <v>64</v>
      </c>
      <c r="D24" s="13"/>
      <c r="E24" s="13"/>
      <c r="F24" s="13"/>
      <c r="G24" s="13">
        <f>+WATER!D165</f>
        <v>8222651.0099999998</v>
      </c>
      <c r="H24" s="13">
        <f>+WATER!E165</f>
        <v>22937433.645</v>
      </c>
      <c r="I24" s="13">
        <f>+WATER!F165</f>
        <v>14987433.645</v>
      </c>
      <c r="J24" s="13">
        <f>+WATER!H165</f>
        <v>17495187.855899997</v>
      </c>
      <c r="K24" s="13">
        <f>+WATER!I165</f>
        <v>18178774.805989996</v>
      </c>
      <c r="L24" s="13" t="e">
        <f>+WATER!#REF!</f>
        <v>#REF!</v>
      </c>
      <c r="M24" s="13" t="e">
        <f>+WATER!#REF!</f>
        <v>#REF!</v>
      </c>
    </row>
    <row r="25" spans="1:13" x14ac:dyDescent="0.25">
      <c r="A25" s="2" t="s">
        <v>122</v>
      </c>
      <c r="B25" s="2" t="str">
        <f>A25</f>
        <v>ELECTRICITY</v>
      </c>
      <c r="C25" s="2">
        <v>60</v>
      </c>
      <c r="D25" s="13"/>
      <c r="E25" s="13"/>
      <c r="F25" s="13"/>
      <c r="G25" s="13">
        <f>+ELECTRIC!D165</f>
        <v>19274301.530000001</v>
      </c>
      <c r="H25" s="13">
        <f>+ELECTRIC!E165</f>
        <v>34611134.460000001</v>
      </c>
      <c r="I25" s="13">
        <f>+ELECTRIC!F165</f>
        <v>38748002.460000001</v>
      </c>
      <c r="J25" s="13">
        <f>+ELECTRIC!G165</f>
        <v>42462718.850000001</v>
      </c>
      <c r="K25" s="13">
        <f>+ELECTRIC!I165</f>
        <v>51165701.983988002</v>
      </c>
      <c r="L25" s="13" t="e">
        <f>+ELECTRIC!#REF!</f>
        <v>#REF!</v>
      </c>
      <c r="M25" s="13" t="e">
        <f>+ELECTRIC!#REF!</f>
        <v>#REF!</v>
      </c>
    </row>
    <row r="26" spans="1:13" x14ac:dyDescent="0.25">
      <c r="A26" s="4"/>
      <c r="B26" s="28"/>
      <c r="C26" s="28"/>
      <c r="D26" s="17"/>
      <c r="E26" s="17"/>
      <c r="F26" s="17"/>
      <c r="G26" s="17">
        <f t="shared" ref="G26:M26" si="0">SUM(G6:G25)</f>
        <v>79396092.609999999</v>
      </c>
      <c r="H26" s="17">
        <f t="shared" si="0"/>
        <v>183221958.843492</v>
      </c>
      <c r="I26" s="17">
        <f t="shared" si="0"/>
        <v>171285945.43849197</v>
      </c>
      <c r="J26" s="17">
        <f t="shared" si="0"/>
        <v>195976467.58921039</v>
      </c>
      <c r="K26" s="17">
        <f t="shared" si="0"/>
        <v>206061673.37783498</v>
      </c>
      <c r="L26" s="17" t="e">
        <f t="shared" si="0"/>
        <v>#REF!</v>
      </c>
      <c r="M26" s="17" t="e">
        <f t="shared" si="0"/>
        <v>#REF!</v>
      </c>
    </row>
    <row r="27" spans="1:13" x14ac:dyDescent="0.25">
      <c r="L27" s="96"/>
    </row>
    <row r="28" spans="1:13" x14ac:dyDescent="0.25">
      <c r="I28" s="25"/>
      <c r="J28" s="25"/>
      <c r="K28" s="25"/>
    </row>
    <row r="29" spans="1:13" x14ac:dyDescent="0.25">
      <c r="H29" s="25"/>
    </row>
  </sheetData>
  <mergeCells count="2">
    <mergeCell ref="A3:I3"/>
    <mergeCell ref="A1:M1"/>
  </mergeCells>
  <phoneticPr fontId="0" type="noConversion"/>
  <pageMargins left="0.57999999999999996" right="0.79" top="1" bottom="1" header="0.5" footer="0.5"/>
  <pageSetup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topLeftCell="A43" zoomScaleSheetLayoutView="100" workbookViewId="0">
      <selection activeCell="F36" sqref="F36"/>
    </sheetView>
  </sheetViews>
  <sheetFormatPr defaultRowHeight="13.2" x14ac:dyDescent="0.25"/>
  <cols>
    <col min="1" max="1" width="16.88671875" customWidth="1"/>
    <col min="2" max="2" width="16.44140625" customWidth="1"/>
    <col min="3" max="3" width="14.6640625" customWidth="1"/>
    <col min="4" max="4" width="17.44140625" customWidth="1"/>
    <col min="5" max="5" width="12.88671875" customWidth="1"/>
    <col min="6" max="6" width="13" customWidth="1"/>
    <col min="7" max="7" width="12.88671875" customWidth="1"/>
    <col min="8" max="8" width="12.6640625" customWidth="1"/>
    <col min="9" max="9" width="12.33203125" customWidth="1"/>
    <col min="12" max="13" width="11.33203125" bestFit="1" customWidth="1"/>
    <col min="14" max="14" width="14" bestFit="1" customWidth="1"/>
  </cols>
  <sheetData>
    <row r="1" spans="1:14" ht="21" x14ac:dyDescent="0.25">
      <c r="A1" s="27" t="s">
        <v>135</v>
      </c>
      <c r="B1" s="27" t="s">
        <v>136</v>
      </c>
      <c r="C1" s="27" t="s">
        <v>137</v>
      </c>
      <c r="D1" s="27" t="s">
        <v>142</v>
      </c>
      <c r="E1" s="27" t="s">
        <v>143</v>
      </c>
      <c r="F1" s="27" t="s">
        <v>138</v>
      </c>
      <c r="G1" s="27" t="s">
        <v>139</v>
      </c>
      <c r="H1" s="27" t="s">
        <v>140</v>
      </c>
      <c r="I1" s="27" t="s">
        <v>141</v>
      </c>
      <c r="J1" s="162">
        <v>4</v>
      </c>
    </row>
    <row r="2" spans="1:14" x14ac:dyDescent="0.25">
      <c r="A2" s="163" t="e">
        <f>+SUMMARY!#REF!+SUMMARY!#REF!</f>
        <v>#REF!</v>
      </c>
      <c r="B2" s="163" t="e">
        <f>+SUMMARY!#REF!</f>
        <v>#REF!</v>
      </c>
      <c r="C2" s="163" t="e">
        <f>+SUMMARY!#REF!</f>
        <v>#REF!</v>
      </c>
      <c r="D2" s="163" t="e">
        <f>+SUMMARY!#REF!</f>
        <v>#REF!</v>
      </c>
      <c r="E2" s="163" t="e">
        <f>+SUMMARY!#REF!</f>
        <v>#REF!</v>
      </c>
      <c r="F2" s="163" t="e">
        <f>+SUMMARY!#REF!</f>
        <v>#REF!</v>
      </c>
      <c r="G2" s="163" t="e">
        <f>+SUMMARY!#REF!</f>
        <v>#REF!</v>
      </c>
      <c r="H2" s="163" t="e">
        <f>+SUMMARY!#REF!</f>
        <v>#REF!</v>
      </c>
      <c r="I2" s="163" t="e">
        <f>+SUMMARY!#REF!</f>
        <v>#REF!</v>
      </c>
    </row>
    <row r="4" spans="1:14" x14ac:dyDescent="0.25">
      <c r="M4" s="25"/>
    </row>
    <row r="7" spans="1:14" x14ac:dyDescent="0.25">
      <c r="L7" s="25"/>
    </row>
    <row r="8" spans="1:14" x14ac:dyDescent="0.25">
      <c r="L8" s="25"/>
    </row>
    <row r="9" spans="1:14" x14ac:dyDescent="0.25">
      <c r="L9" s="25"/>
    </row>
    <row r="10" spans="1:14" x14ac:dyDescent="0.25">
      <c r="L10" s="25"/>
    </row>
    <row r="16" spans="1:14" x14ac:dyDescent="0.25">
      <c r="N16" s="173"/>
    </row>
    <row r="35" spans="1:7" ht="252.75" customHeight="1" x14ac:dyDescent="0.25">
      <c r="A35" s="26" t="s">
        <v>98</v>
      </c>
      <c r="B35" s="26" t="s">
        <v>100</v>
      </c>
      <c r="C35" s="26" t="s">
        <v>67</v>
      </c>
      <c r="D35" s="26" t="s">
        <v>73</v>
      </c>
      <c r="E35" s="26" t="s">
        <v>74</v>
      </c>
      <c r="F35" s="26" t="s">
        <v>79</v>
      </c>
      <c r="G35" s="26"/>
    </row>
    <row r="36" spans="1:7" x14ac:dyDescent="0.25">
      <c r="A36" s="32" t="e">
        <f>+SUMMARY!#REF!</f>
        <v>#REF!</v>
      </c>
      <c r="B36" s="32" t="e">
        <f>+SUMMARY!#REF!</f>
        <v>#REF!</v>
      </c>
      <c r="C36" s="32" t="e">
        <f>+SUMMARY!#REF!+SUMMARY!#REF!</f>
        <v>#REF!</v>
      </c>
      <c r="D36" s="32" t="e">
        <f>+SUMMARY!#REF!</f>
        <v>#REF!</v>
      </c>
      <c r="E36" s="32" t="e">
        <f>+SUMMARY!#REF!</f>
        <v>#REF!</v>
      </c>
      <c r="F36" s="32" t="e">
        <f>+SUMMARY!#REF!</f>
        <v>#REF!</v>
      </c>
    </row>
  </sheetData>
  <phoneticPr fontId="0" type="noConversion"/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opLeftCell="A16" workbookViewId="0">
      <selection activeCell="A7" sqref="A7"/>
    </sheetView>
  </sheetViews>
  <sheetFormatPr defaultRowHeight="13.2" x14ac:dyDescent="0.25"/>
  <cols>
    <col min="1" max="1" width="33.88671875" bestFit="1" customWidth="1"/>
    <col min="3" max="4" width="9.6640625" customWidth="1"/>
    <col min="5" max="5" width="11" customWidth="1"/>
  </cols>
  <sheetData>
    <row r="2" spans="1:6" ht="15.6" x14ac:dyDescent="0.3">
      <c r="A2" s="238" t="s">
        <v>389</v>
      </c>
    </row>
    <row r="3" spans="1:6" x14ac:dyDescent="0.25">
      <c r="A3" s="232"/>
    </row>
    <row r="4" spans="1:6" x14ac:dyDescent="0.25">
      <c r="C4" s="233" t="s">
        <v>384</v>
      </c>
      <c r="D4" s="233" t="s">
        <v>409</v>
      </c>
      <c r="E4" s="233" t="s">
        <v>416</v>
      </c>
    </row>
    <row r="6" spans="1:6" x14ac:dyDescent="0.25">
      <c r="A6" t="s">
        <v>388</v>
      </c>
      <c r="C6" s="241">
        <v>6.9500000000000006E-2</v>
      </c>
      <c r="D6" s="241">
        <v>6.5000000000000002E-2</v>
      </c>
      <c r="E6" s="241">
        <v>6.5000000000000002E-2</v>
      </c>
    </row>
    <row r="7" spans="1:6" x14ac:dyDescent="0.25">
      <c r="A7" s="234" t="s">
        <v>391</v>
      </c>
      <c r="C7" s="241">
        <v>6.4000000000000001E-2</v>
      </c>
      <c r="D7" s="241">
        <v>6.4000000000000001E-2</v>
      </c>
      <c r="E7" s="241">
        <v>6.4000000000000001E-2</v>
      </c>
    </row>
    <row r="8" spans="1:6" x14ac:dyDescent="0.25">
      <c r="A8" s="234" t="s">
        <v>392</v>
      </c>
      <c r="C8" s="241">
        <v>6.4000000000000001E-2</v>
      </c>
      <c r="D8" s="241">
        <v>6.4000000000000001E-2</v>
      </c>
      <c r="E8" s="241">
        <v>6.4000000000000001E-2</v>
      </c>
    </row>
    <row r="9" spans="1:6" x14ac:dyDescent="0.25">
      <c r="C9" s="241"/>
      <c r="D9" s="241"/>
      <c r="E9" s="241"/>
    </row>
    <row r="10" spans="1:6" x14ac:dyDescent="0.25">
      <c r="A10" s="234" t="s">
        <v>390</v>
      </c>
      <c r="C10" s="241">
        <v>5.5E-2</v>
      </c>
      <c r="D10" s="241">
        <v>5.0999999999999997E-2</v>
      </c>
      <c r="E10" s="241">
        <v>4.9000000000000002E-2</v>
      </c>
      <c r="F10" s="239"/>
    </row>
    <row r="11" spans="1:6" x14ac:dyDescent="0.25">
      <c r="A11" s="234" t="s">
        <v>97</v>
      </c>
      <c r="C11" s="241">
        <v>0.2671</v>
      </c>
      <c r="D11" s="241">
        <v>0.1103</v>
      </c>
      <c r="E11" s="241">
        <v>0.1103</v>
      </c>
      <c r="F11" s="239"/>
    </row>
    <row r="12" spans="1:6" x14ac:dyDescent="0.25">
      <c r="A12" s="234" t="s">
        <v>134</v>
      </c>
      <c r="C12" s="241">
        <v>7.0000000000000007E-2</v>
      </c>
      <c r="D12" s="241">
        <v>7.0000000000000007E-2</v>
      </c>
      <c r="E12" s="241">
        <v>7.0000000000000007E-2</v>
      </c>
      <c r="F12" s="239"/>
    </row>
    <row r="13" spans="1:6" x14ac:dyDescent="0.25">
      <c r="C13" s="241"/>
      <c r="D13" s="241"/>
      <c r="E13" s="241"/>
    </row>
    <row r="14" spans="1:6" x14ac:dyDescent="0.25">
      <c r="A14" s="56" t="s">
        <v>98</v>
      </c>
      <c r="C14" s="241"/>
      <c r="D14" s="241"/>
      <c r="E14" s="241"/>
    </row>
    <row r="15" spans="1:6" x14ac:dyDescent="0.25">
      <c r="A15" s="235" t="s">
        <v>99</v>
      </c>
      <c r="C15" s="245" t="s">
        <v>394</v>
      </c>
      <c r="D15" s="241">
        <v>0.06</v>
      </c>
      <c r="E15" s="241">
        <v>0.06</v>
      </c>
    </row>
    <row r="16" spans="1:6" x14ac:dyDescent="0.25">
      <c r="A16" s="235"/>
      <c r="C16" s="241"/>
      <c r="D16" s="241"/>
      <c r="E16" s="241"/>
    </row>
    <row r="17" spans="1:5" x14ac:dyDescent="0.25">
      <c r="A17" s="236" t="s">
        <v>100</v>
      </c>
      <c r="C17" s="241"/>
      <c r="D17" s="241"/>
      <c r="E17" s="241"/>
    </row>
    <row r="18" spans="1:5" x14ac:dyDescent="0.25">
      <c r="A18" s="235" t="s">
        <v>102</v>
      </c>
      <c r="C18" s="241">
        <v>4.8000000000000001E-2</v>
      </c>
      <c r="D18" s="241">
        <v>5.2999999999999999E-2</v>
      </c>
      <c r="E18" s="241">
        <v>5.5E-2</v>
      </c>
    </row>
    <row r="19" spans="1:5" x14ac:dyDescent="0.25">
      <c r="A19" s="235" t="s">
        <v>343</v>
      </c>
      <c r="C19" s="241">
        <v>4.8000000000000001E-2</v>
      </c>
      <c r="D19" s="241">
        <v>5.2999999999999999E-2</v>
      </c>
      <c r="E19" s="241">
        <v>5.5E-2</v>
      </c>
    </row>
    <row r="20" spans="1:5" x14ac:dyDescent="0.25">
      <c r="A20" s="237" t="s">
        <v>104</v>
      </c>
      <c r="C20" s="241">
        <v>4.8000000000000001E-2</v>
      </c>
      <c r="D20" s="241">
        <v>5.2999999999999999E-2</v>
      </c>
      <c r="E20" s="241">
        <v>5.5E-2</v>
      </c>
    </row>
    <row r="21" spans="1:5" x14ac:dyDescent="0.25">
      <c r="A21" s="237" t="s">
        <v>115</v>
      </c>
      <c r="C21" s="241">
        <v>4.8000000000000001E-2</v>
      </c>
      <c r="D21" s="241">
        <v>5.2999999999999999E-2</v>
      </c>
      <c r="E21" s="241">
        <v>5.5E-2</v>
      </c>
    </row>
    <row r="22" spans="1:5" x14ac:dyDescent="0.25">
      <c r="A22" s="237" t="s">
        <v>109</v>
      </c>
      <c r="C22" s="242">
        <v>0.20380000000000001</v>
      </c>
      <c r="D22" s="242">
        <v>0.20380000000000001</v>
      </c>
      <c r="E22" s="240">
        <v>0.20380000000000001</v>
      </c>
    </row>
    <row r="23" spans="1:5" x14ac:dyDescent="0.25">
      <c r="A23" s="237" t="s">
        <v>113</v>
      </c>
      <c r="C23" s="241">
        <v>7.0000000000000007E-2</v>
      </c>
      <c r="D23" s="241">
        <v>7.0000000000000007E-2</v>
      </c>
      <c r="E23" s="241">
        <v>7.0000000000000007E-2</v>
      </c>
    </row>
    <row r="24" spans="1:5" x14ac:dyDescent="0.25">
      <c r="A24" s="237" t="s">
        <v>132</v>
      </c>
      <c r="C24" s="240">
        <v>7.0000000000000007E-2</v>
      </c>
      <c r="D24" s="240">
        <v>7.0000000000000007E-2</v>
      </c>
      <c r="E24" s="240">
        <v>7.0000000000000007E-2</v>
      </c>
    </row>
    <row r="25" spans="1:5" x14ac:dyDescent="0.25">
      <c r="A25" s="237" t="s">
        <v>120</v>
      </c>
      <c r="C25" s="241">
        <v>4.8000000000000001E-2</v>
      </c>
      <c r="D25" s="241">
        <v>5.2999999999999999E-2</v>
      </c>
      <c r="E25" s="241">
        <v>5.5E-2</v>
      </c>
    </row>
    <row r="26" spans="1:5" x14ac:dyDescent="0.25">
      <c r="A26" s="237" t="s">
        <v>116</v>
      </c>
      <c r="C26" s="241">
        <v>4.8000000000000001E-2</v>
      </c>
      <c r="D26" s="241">
        <v>5.2999999999999999E-2</v>
      </c>
      <c r="E26" s="241">
        <v>5.5E-2</v>
      </c>
    </row>
    <row r="27" spans="1:5" x14ac:dyDescent="0.25">
      <c r="A27" s="237" t="s">
        <v>101</v>
      </c>
      <c r="C27" s="241">
        <v>4.8000000000000001E-2</v>
      </c>
      <c r="D27" s="241">
        <v>5.2999999999999999E-2</v>
      </c>
      <c r="E27" s="241">
        <v>5.5E-2</v>
      </c>
    </row>
    <row r="28" spans="1:5" x14ac:dyDescent="0.25">
      <c r="A28" s="237" t="s">
        <v>114</v>
      </c>
      <c r="C28" s="240">
        <v>7.0000000000000007E-2</v>
      </c>
      <c r="D28" s="240">
        <v>7.0000000000000007E-2</v>
      </c>
      <c r="E28" s="240">
        <v>7.0000000000000007E-2</v>
      </c>
    </row>
    <row r="29" spans="1:5" x14ac:dyDescent="0.25">
      <c r="A29" s="237" t="s">
        <v>110</v>
      </c>
      <c r="C29" s="240">
        <v>7.0000000000000007E-2</v>
      </c>
      <c r="D29" s="240">
        <v>7.0000000000000007E-2</v>
      </c>
      <c r="E29" s="240">
        <v>7.0000000000000007E-2</v>
      </c>
    </row>
    <row r="30" spans="1:5" x14ac:dyDescent="0.25">
      <c r="A30" s="237" t="s">
        <v>111</v>
      </c>
      <c r="C30" s="240">
        <v>7.0000000000000007E-2</v>
      </c>
      <c r="D30" s="240">
        <v>7.0000000000000007E-2</v>
      </c>
      <c r="E30" s="240">
        <v>7.0000000000000007E-2</v>
      </c>
    </row>
    <row r="31" spans="1:5" x14ac:dyDescent="0.25">
      <c r="A31" s="237" t="s">
        <v>112</v>
      </c>
      <c r="C31" s="240">
        <v>7.0000000000000007E-2</v>
      </c>
      <c r="D31" s="240">
        <v>7.0000000000000007E-2</v>
      </c>
      <c r="E31" s="240">
        <v>7.0000000000000007E-2</v>
      </c>
    </row>
    <row r="32" spans="1:5" x14ac:dyDescent="0.25">
      <c r="A32" s="237" t="s">
        <v>199</v>
      </c>
      <c r="C32" s="241">
        <v>4.8000000000000001E-2</v>
      </c>
      <c r="D32" s="241">
        <v>5.2999999999999999E-2</v>
      </c>
      <c r="E32" s="241">
        <v>5.5E-2</v>
      </c>
    </row>
    <row r="33" spans="1:5" x14ac:dyDescent="0.25">
      <c r="A33" s="237" t="s">
        <v>117</v>
      </c>
      <c r="C33" s="241">
        <v>4.8000000000000001E-2</v>
      </c>
      <c r="D33" s="241">
        <v>5.2999999999999999E-2</v>
      </c>
      <c r="E33" s="241">
        <v>5.5E-2</v>
      </c>
    </row>
    <row r="34" spans="1:5" x14ac:dyDescent="0.25">
      <c r="A34" s="237" t="s">
        <v>105</v>
      </c>
      <c r="C34" s="241">
        <v>4.8000000000000001E-2</v>
      </c>
      <c r="D34" s="241">
        <v>5.2999999999999999E-2</v>
      </c>
      <c r="E34" s="241">
        <v>5.5E-2</v>
      </c>
    </row>
    <row r="35" spans="1:5" x14ac:dyDescent="0.25">
      <c r="A35" s="237" t="s">
        <v>118</v>
      </c>
      <c r="C35" s="240">
        <v>7.0000000000000007E-2</v>
      </c>
      <c r="D35" s="240">
        <v>7.0000000000000007E-2</v>
      </c>
      <c r="E35" s="240">
        <v>7.0000000000000007E-2</v>
      </c>
    </row>
    <row r="36" spans="1:5" x14ac:dyDescent="0.25">
      <c r="A36" s="237" t="s">
        <v>133</v>
      </c>
      <c r="C36" s="240">
        <v>7.0000000000000007E-2</v>
      </c>
      <c r="D36" s="240">
        <v>7.0000000000000007E-2</v>
      </c>
      <c r="E36" s="240">
        <v>7.0000000000000007E-2</v>
      </c>
    </row>
    <row r="37" spans="1:5" x14ac:dyDescent="0.25">
      <c r="A37" s="237" t="s">
        <v>340</v>
      </c>
      <c r="C37" s="240">
        <v>7.0000000000000007E-2</v>
      </c>
      <c r="D37" s="240">
        <v>7.0000000000000007E-2</v>
      </c>
      <c r="E37" s="240">
        <v>7.0000000000000007E-2</v>
      </c>
    </row>
    <row r="38" spans="1:5" x14ac:dyDescent="0.25">
      <c r="A38" s="237" t="s">
        <v>372</v>
      </c>
      <c r="C38" s="241">
        <v>4.8000000000000001E-2</v>
      </c>
      <c r="D38" s="241">
        <v>5.2999999999999999E-2</v>
      </c>
      <c r="E38" s="241">
        <v>5.5E-2</v>
      </c>
    </row>
    <row r="39" spans="1:5" x14ac:dyDescent="0.25">
      <c r="A39" s="237" t="s">
        <v>119</v>
      </c>
      <c r="C39" s="241">
        <v>4.8000000000000001E-2</v>
      </c>
      <c r="D39" s="241">
        <v>5.2999999999999999E-2</v>
      </c>
      <c r="E39" s="241">
        <v>5.5E-2</v>
      </c>
    </row>
    <row r="40" spans="1:5" x14ac:dyDescent="0.25">
      <c r="A40" s="237" t="s">
        <v>347</v>
      </c>
      <c r="C40" s="241">
        <v>4.8000000000000001E-2</v>
      </c>
      <c r="D40" s="241">
        <v>5.2999999999999999E-2</v>
      </c>
      <c r="E40" s="241">
        <v>5.5E-2</v>
      </c>
    </row>
    <row r="41" spans="1:5" x14ac:dyDescent="0.25">
      <c r="C41" s="240"/>
      <c r="D41" s="240"/>
      <c r="E41" s="240"/>
    </row>
    <row r="42" spans="1:5" x14ac:dyDescent="0.25">
      <c r="A42" s="56" t="s">
        <v>66</v>
      </c>
      <c r="C42" s="240"/>
      <c r="D42" s="240"/>
      <c r="E42" s="240"/>
    </row>
    <row r="43" spans="1:5" x14ac:dyDescent="0.25">
      <c r="A43" s="237" t="s">
        <v>342</v>
      </c>
      <c r="C43" s="241">
        <v>4.8000000000000001E-2</v>
      </c>
      <c r="D43" s="241">
        <v>5.2999999999999999E-2</v>
      </c>
      <c r="E43" s="241">
        <v>5.5E-2</v>
      </c>
    </row>
    <row r="44" spans="1:5" x14ac:dyDescent="0.25">
      <c r="A44" s="237" t="s">
        <v>344</v>
      </c>
      <c r="C44" s="241">
        <v>4.8000000000000001E-2</v>
      </c>
      <c r="D44" s="241">
        <v>5.2999999999999999E-2</v>
      </c>
      <c r="E44" s="241">
        <v>5.5E-2</v>
      </c>
    </row>
    <row r="45" spans="1:5" x14ac:dyDescent="0.25">
      <c r="A45" s="237" t="s">
        <v>345</v>
      </c>
      <c r="C45" s="241">
        <v>4.8000000000000001E-2</v>
      </c>
      <c r="D45" s="241">
        <v>5.2999999999999999E-2</v>
      </c>
      <c r="E45" s="241">
        <v>5.5E-2</v>
      </c>
    </row>
    <row r="46" spans="1:5" x14ac:dyDescent="0.25">
      <c r="A46" s="237" t="s">
        <v>346</v>
      </c>
      <c r="C46" s="241">
        <v>4.8000000000000001E-2</v>
      </c>
      <c r="D46" s="241">
        <v>5.2999999999999999E-2</v>
      </c>
      <c r="E46" s="241">
        <v>5.5E-2</v>
      </c>
    </row>
    <row r="47" spans="1:5" x14ac:dyDescent="0.25">
      <c r="C47" s="241"/>
      <c r="D47" s="241"/>
      <c r="E47" s="241"/>
    </row>
    <row r="48" spans="1:5" x14ac:dyDescent="0.25">
      <c r="C48" s="241"/>
      <c r="D48" s="241"/>
      <c r="E48" s="241"/>
    </row>
    <row r="49" spans="1:5" x14ac:dyDescent="0.25">
      <c r="A49" s="56" t="s">
        <v>393</v>
      </c>
      <c r="C49" s="241"/>
      <c r="D49" s="241"/>
      <c r="E49" s="241"/>
    </row>
    <row r="50" spans="1:5" x14ac:dyDescent="0.25">
      <c r="A50" s="237" t="s">
        <v>0</v>
      </c>
      <c r="C50" s="243">
        <v>0.6</v>
      </c>
      <c r="D50" s="243">
        <v>0.65</v>
      </c>
      <c r="E50" s="243">
        <v>0.7</v>
      </c>
    </row>
    <row r="51" spans="1:5" x14ac:dyDescent="0.25">
      <c r="A51" s="237" t="s">
        <v>19</v>
      </c>
      <c r="C51" s="243">
        <v>0.6</v>
      </c>
      <c r="D51" s="243">
        <v>0.65</v>
      </c>
      <c r="E51" s="243">
        <v>0.7</v>
      </c>
    </row>
    <row r="52" spans="1:5" x14ac:dyDescent="0.25">
      <c r="A52" s="237" t="s">
        <v>18</v>
      </c>
      <c r="C52" s="243">
        <v>0.6</v>
      </c>
      <c r="D52" s="243">
        <v>0.65</v>
      </c>
      <c r="E52" s="243">
        <v>0.7</v>
      </c>
    </row>
    <row r="53" spans="1:5" x14ac:dyDescent="0.25">
      <c r="A53" s="237" t="s">
        <v>149</v>
      </c>
      <c r="C53" s="243">
        <v>0.6</v>
      </c>
      <c r="D53" s="243">
        <v>0.65</v>
      </c>
      <c r="E53" s="243">
        <v>0.7</v>
      </c>
    </row>
    <row r="54" spans="1:5" x14ac:dyDescent="0.25">
      <c r="A54" s="237" t="s">
        <v>11</v>
      </c>
      <c r="C54" s="243">
        <v>0.6</v>
      </c>
      <c r="D54" s="243">
        <v>0.65</v>
      </c>
      <c r="E54" s="243">
        <v>0.7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5"/>
  <sheetViews>
    <sheetView view="pageBreakPreview" topLeftCell="A48" zoomScaleSheetLayoutView="100" workbookViewId="0">
      <pane ySplit="300" activePane="bottomLeft"/>
      <selection activeCell="E143" sqref="E143"/>
      <selection pane="bottomLeft" activeCell="A140" sqref="A140:XFD141"/>
    </sheetView>
  </sheetViews>
  <sheetFormatPr defaultColWidth="9.109375" defaultRowHeight="13.2" x14ac:dyDescent="0.25"/>
  <cols>
    <col min="1" max="1" width="3.33203125" style="96" customWidth="1"/>
    <col min="2" max="2" width="9" style="255" customWidth="1"/>
    <col min="3" max="3" width="38.109375" style="96" customWidth="1"/>
    <col min="4" max="4" width="18" style="96" customWidth="1"/>
    <col min="5" max="5" width="15" style="96" customWidth="1"/>
    <col min="6" max="6" width="15.88671875" style="96" customWidth="1"/>
    <col min="7" max="7" width="16.33203125" style="96" customWidth="1"/>
    <col min="8" max="8" width="12.88671875" style="96" customWidth="1"/>
    <col min="9" max="9" width="14.6640625" style="96" customWidth="1"/>
    <col min="10" max="10" width="15.5546875" style="101" customWidth="1"/>
    <col min="11" max="11" width="11.88671875" style="101" customWidth="1"/>
    <col min="12" max="13" width="9.109375" style="101"/>
    <col min="14" max="14" width="9.109375" style="96"/>
    <col min="15" max="15" width="14" style="96" bestFit="1" customWidth="1"/>
    <col min="16" max="16384" width="9.109375" style="96"/>
  </cols>
  <sheetData>
    <row r="1" spans="1:9" ht="12.75" customHeight="1" x14ac:dyDescent="0.25">
      <c r="A1" s="699" t="s">
        <v>20</v>
      </c>
      <c r="B1" s="700"/>
      <c r="C1" s="700"/>
      <c r="D1" s="700"/>
      <c r="E1" s="700"/>
      <c r="F1" s="700"/>
      <c r="G1" s="700"/>
      <c r="H1" s="700"/>
      <c r="I1" s="101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101"/>
    </row>
    <row r="3" spans="1:9" x14ac:dyDescent="0.25">
      <c r="A3" s="703" t="s">
        <v>417</v>
      </c>
      <c r="B3" s="704"/>
      <c r="C3" s="705"/>
      <c r="D3" s="329"/>
      <c r="E3" s="149"/>
      <c r="F3" s="277"/>
      <c r="G3" s="277"/>
      <c r="H3" s="277"/>
      <c r="I3" s="101"/>
    </row>
    <row r="4" spans="1:9" x14ac:dyDescent="0.25">
      <c r="A4" s="706" t="s">
        <v>21</v>
      </c>
      <c r="B4" s="707"/>
      <c r="C4" s="150" t="s">
        <v>22</v>
      </c>
      <c r="D4" s="150" t="s">
        <v>534</v>
      </c>
      <c r="E4" s="104" t="s">
        <v>24</v>
      </c>
      <c r="F4" s="83" t="s">
        <v>24</v>
      </c>
      <c r="G4" s="104" t="s">
        <v>24</v>
      </c>
      <c r="H4" s="103" t="s">
        <v>24</v>
      </c>
      <c r="I4" s="101"/>
    </row>
    <row r="5" spans="1:9" x14ac:dyDescent="0.25">
      <c r="A5" s="708"/>
      <c r="B5" s="709"/>
      <c r="C5" s="106"/>
      <c r="D5" s="106" t="s">
        <v>384</v>
      </c>
      <c r="E5" s="107" t="s">
        <v>384</v>
      </c>
      <c r="F5" s="107" t="s">
        <v>409</v>
      </c>
      <c r="G5" s="107" t="s">
        <v>416</v>
      </c>
      <c r="H5" s="107" t="s">
        <v>532</v>
      </c>
      <c r="I5" s="101"/>
    </row>
    <row r="6" spans="1:9" x14ac:dyDescent="0.25">
      <c r="A6" s="129"/>
      <c r="B6" s="246"/>
      <c r="C6" s="93" t="s">
        <v>33</v>
      </c>
      <c r="D6" s="93"/>
      <c r="E6" s="85"/>
      <c r="F6" s="85"/>
      <c r="G6" s="85"/>
      <c r="H6" s="85"/>
      <c r="I6" s="101"/>
    </row>
    <row r="7" spans="1:9" x14ac:dyDescent="0.25">
      <c r="A7" s="118"/>
      <c r="B7" s="247"/>
      <c r="C7" s="94" t="s">
        <v>241</v>
      </c>
      <c r="D7" s="94"/>
      <c r="E7" s="85">
        <f>+COUNCIL!D7+MAYOR!D7+SPEAKER!D7+MM!D7+CORP!D7+PROP!D7+RATES!D7+THALL!D7+FIN!D6+SOCIAL!D7+CEMETERY!D7+LIBRARIES!D7+HOUSING!D7+TRAFFIC!D7+PARKS!D7+REFUSE!D7+SEWAGE!D7+PWORKS!D7+WATER!D7+ELECTRIC!D7</f>
        <v>67836</v>
      </c>
      <c r="F7" s="85"/>
      <c r="G7" s="85"/>
      <c r="H7" s="85"/>
      <c r="I7" s="101"/>
    </row>
    <row r="8" spans="1:9" hidden="1" x14ac:dyDescent="0.25">
      <c r="A8" s="118"/>
      <c r="B8" s="246"/>
      <c r="C8" s="94" t="s">
        <v>34</v>
      </c>
      <c r="D8" s="94"/>
      <c r="E8" s="85">
        <f>+COUNCIL!D8+MAYOR!D8+SPEAKER!D8+MM!D8+CORP!D8+PROP!D8+RATES!D8+THALL!D8+FIN!D7+SOCIAL!D8+CEMETERY!D8+LIBRARIES!D8+HOUSING!D8+TRAFFIC!D8+PARKS!D8+REFUSE!D8+SEWAGE!D8+PWORKS!D8+WATER!D8+ELECTRIC!D8</f>
        <v>0</v>
      </c>
      <c r="F8" s="85"/>
      <c r="G8" s="85"/>
      <c r="H8" s="85"/>
      <c r="I8" s="101"/>
    </row>
    <row r="9" spans="1:9" x14ac:dyDescent="0.25">
      <c r="A9" s="118"/>
      <c r="B9" s="246"/>
      <c r="C9" s="94" t="s">
        <v>35</v>
      </c>
      <c r="D9" s="94"/>
      <c r="E9" s="85">
        <f>+COUNCIL!D9+MAYOR!D9+SPEAKER!D9+MM!D9+CORP!D9+PROP!D9+RATES!D9+THALL!D9+FIN!D8+SOCIAL!D9+CEMETERY!D9+LIBRARIES!D9+HOUSING!D9+TRAFFIC!D9+PARKS!D9+REFUSE!D9+SEWAGE!D9+PWORKS!D9+WATER!D9+ELECTRIC!D9</f>
        <v>9801</v>
      </c>
      <c r="F9" s="85"/>
      <c r="G9" s="85"/>
      <c r="H9" s="85"/>
      <c r="I9" s="101"/>
    </row>
    <row r="10" spans="1:9" x14ac:dyDescent="0.25">
      <c r="A10" s="118"/>
      <c r="B10" s="246"/>
      <c r="C10" s="94" t="s">
        <v>350</v>
      </c>
      <c r="D10" s="94"/>
      <c r="E10" s="85">
        <f>+COUNCIL!D10+MAYOR!D10+SPEAKER!D10+MM!D10+CORP!D10+PROP!D10+RATES!D10+THALL!D10+FIN!D9+SOCIAL!D10+CEMETERY!D10+LIBRARIES!D10+HOUSING!D10+TRAFFIC!D10+PARKS!D10+REFUSE!D10+SEWAGE!D10+PWORKS!D10+WATER!D10+ELECTRIC!D10</f>
        <v>734963</v>
      </c>
      <c r="F10" s="85"/>
      <c r="G10" s="85"/>
      <c r="H10" s="85"/>
      <c r="I10" s="101"/>
    </row>
    <row r="11" spans="1:9" x14ac:dyDescent="0.25">
      <c r="A11" s="118"/>
      <c r="B11" s="246"/>
      <c r="C11" s="94" t="s">
        <v>36</v>
      </c>
      <c r="D11" s="94"/>
      <c r="E11" s="85">
        <f>+COUNCIL!D11+MAYOR!D11+SPEAKER!D11+MM!D11+CORP!D11+PROP!D11+RATES!D11+THALL!D11+FIN!D10+SOCIAL!D11+CEMETERY!D11+LIBRARIES!D11+HOUSING!D11+TRAFFIC!D11+PARKS!D11+REFUSE!D11+SEWAGE!D11+PWORKS!D11+WATER!D11+ELECTRIC!D11</f>
        <v>0</v>
      </c>
      <c r="F11" s="85"/>
      <c r="G11" s="85"/>
      <c r="H11" s="85"/>
      <c r="I11" s="101"/>
    </row>
    <row r="12" spans="1:9" x14ac:dyDescent="0.25">
      <c r="A12" s="118"/>
      <c r="B12" s="246"/>
      <c r="C12" s="94" t="s">
        <v>85</v>
      </c>
      <c r="D12" s="94"/>
      <c r="E12" s="85">
        <f>+COUNCIL!D12+MAYOR!D12+SPEAKER!D12+MM!D12+CORP!D12+PROP!D12+RATES!D12+THALL!D12+FIN!D11+SOCIAL!D12+CEMETERY!D12+LIBRARIES!D12+HOUSING!D12+TRAFFIC!D12+PARKS!D12+REFUSE!D12+SEWAGE!D12+PWORKS!D12+WATER!D12+ELECTRIC!D12</f>
        <v>104715</v>
      </c>
      <c r="F12" s="85"/>
      <c r="G12" s="85"/>
      <c r="H12" s="85"/>
      <c r="I12" s="101"/>
    </row>
    <row r="13" spans="1:9" x14ac:dyDescent="0.25">
      <c r="A13" s="118"/>
      <c r="B13" s="246"/>
      <c r="C13" s="94" t="s">
        <v>84</v>
      </c>
      <c r="D13" s="94"/>
      <c r="E13" s="85">
        <f>+COUNCIL!D13+MAYOR!D13+SPEAKER!D13+MM!D13+CORP!D13+PROP!D13+RATES!D13+THALL!D13+FIN!D12+SOCIAL!D13+CEMETERY!D13+LIBRARIES!D13+HOUSING!D13+TRAFFIC!D13+PARKS!D13+REFUSE!D13+SEWAGE!D13+PWORKS!D13+WATER!D13+ELECTRIC!D13</f>
        <v>0</v>
      </c>
      <c r="F13" s="85"/>
      <c r="G13" s="85"/>
      <c r="H13" s="85"/>
      <c r="I13" s="101"/>
    </row>
    <row r="14" spans="1:9" x14ac:dyDescent="0.25">
      <c r="A14" s="118"/>
      <c r="B14" s="246"/>
      <c r="C14" s="94" t="s">
        <v>37</v>
      </c>
      <c r="D14" s="94"/>
      <c r="E14" s="85">
        <f>+COUNCIL!D14+MAYOR!D14+SPEAKER!D14+MM!D14+CORP!D14+PROP!D14+RATES!D14+THALL!D14+FIN!D14+SOCIAL!D14+CEMETERY!D14+LIBRARIES!D14+HOUSING!D14+TRAFFIC!D14+PARKS!D14+REFUSE!D14+SEWAGE!D14+PWORKS!D14+WATER!D14+ELECTRIC!D14</f>
        <v>939758</v>
      </c>
      <c r="F14" s="85"/>
      <c r="G14" s="85"/>
      <c r="H14" s="85"/>
      <c r="I14" s="101"/>
    </row>
    <row r="15" spans="1:9" hidden="1" x14ac:dyDescent="0.25">
      <c r="A15" s="118"/>
      <c r="B15" s="246"/>
      <c r="C15" s="94" t="s">
        <v>38</v>
      </c>
      <c r="D15" s="94"/>
      <c r="E15" s="85">
        <f>+COUNCIL!D15+MAYOR!D15+SPEAKER!D15+MM!D15+CORP!D15+PROP!D15+RATES!D15+THALL!D15+FIN!D15+SOCIAL!D15+CEMETERY!D15+LIBRARIES!D15+HOUSING!D15+TRAFFIC!D15+PARKS!D15+REFUSE!D15+SEWAGE!D15+PWORKS!D15+WATER!D15+ELECTRIC!D15</f>
        <v>0</v>
      </c>
      <c r="F15" s="85"/>
      <c r="G15" s="85"/>
      <c r="H15" s="85"/>
      <c r="I15" s="101"/>
    </row>
    <row r="16" spans="1:9" x14ac:dyDescent="0.25">
      <c r="A16" s="118"/>
      <c r="B16" s="246"/>
      <c r="C16" s="94" t="s">
        <v>83</v>
      </c>
      <c r="D16" s="94"/>
      <c r="E16" s="85">
        <f>+COUNCIL!D16+MAYOR!D16+SPEAKER!D16+MM!D16+CORP!D16+PROP!D16+RATES!D16+THALL!D16+FIN!D16+SOCIAL!D16+CEMETERY!D16+LIBRARIES!D16+HOUSING!D16+TRAFFIC!D16+PARKS!D16+REFUSE!D16+SEWAGE!D16+PWORKS!D16+WATER!D16+ELECTRIC!D16</f>
        <v>653999</v>
      </c>
      <c r="F16" s="85"/>
      <c r="G16" s="85"/>
      <c r="H16" s="85"/>
      <c r="I16" s="101"/>
    </row>
    <row r="17" spans="1:11" x14ac:dyDescent="0.25">
      <c r="A17" s="118"/>
      <c r="B17" s="246"/>
      <c r="C17" s="94" t="s">
        <v>39</v>
      </c>
      <c r="D17" s="94"/>
      <c r="E17" s="85">
        <f>+COUNCIL!D17+MAYOR!D17+SPEAKER!D17+MM!D17+CORP!D17+PROP!D17+RATES!D17+THALL!D17+FIN!D17+SOCIAL!D17+CEMETERY!D17+LIBRARIES!D17+HOUSING!D17+TRAFFIC!D17+PARKS!D17+REFUSE!D17+SEWAGE!D17+PWORKS!D17+WATER!D17+ELECTRIC!D17</f>
        <v>19780380</v>
      </c>
      <c r="F17" s="85"/>
      <c r="G17" s="85"/>
      <c r="H17" s="85"/>
      <c r="I17" s="167"/>
    </row>
    <row r="18" spans="1:11" x14ac:dyDescent="0.25">
      <c r="A18" s="129"/>
      <c r="B18" s="246"/>
      <c r="C18" s="94"/>
      <c r="D18" s="330">
        <f t="shared" ref="D18:H18" si="0">SUM(D7:D17)</f>
        <v>0</v>
      </c>
      <c r="E18" s="89">
        <f t="shared" si="0"/>
        <v>22291452</v>
      </c>
      <c r="F18" s="89">
        <f t="shared" si="0"/>
        <v>0</v>
      </c>
      <c r="G18" s="89">
        <f t="shared" si="0"/>
        <v>0</v>
      </c>
      <c r="H18" s="89">
        <f t="shared" si="0"/>
        <v>0</v>
      </c>
      <c r="I18" s="313"/>
      <c r="J18" s="167"/>
    </row>
    <row r="19" spans="1:11" x14ac:dyDescent="0.25">
      <c r="A19" s="129"/>
      <c r="B19" s="246"/>
      <c r="C19" s="93" t="s">
        <v>40</v>
      </c>
      <c r="D19" s="145"/>
      <c r="E19" s="308"/>
      <c r="F19" s="86"/>
      <c r="G19" s="86"/>
      <c r="H19" s="86"/>
      <c r="I19" s="274"/>
      <c r="J19" s="231"/>
    </row>
    <row r="20" spans="1:11" x14ac:dyDescent="0.25">
      <c r="A20" s="118"/>
      <c r="B20" s="246"/>
      <c r="C20" s="94" t="s">
        <v>41</v>
      </c>
      <c r="D20" s="94"/>
      <c r="E20" s="85"/>
      <c r="F20" s="85"/>
      <c r="G20" s="85"/>
      <c r="H20" s="85"/>
      <c r="I20" s="313"/>
      <c r="J20" s="316"/>
    </row>
    <row r="21" spans="1:11" x14ac:dyDescent="0.25">
      <c r="A21" s="118"/>
      <c r="B21" s="246"/>
      <c r="C21" s="94" t="s">
        <v>42</v>
      </c>
      <c r="D21" s="94"/>
      <c r="E21" s="85"/>
      <c r="F21" s="85"/>
      <c r="G21" s="85"/>
      <c r="H21" s="85"/>
      <c r="I21" s="313"/>
      <c r="J21" s="167"/>
    </row>
    <row r="22" spans="1:11" x14ac:dyDescent="0.25">
      <c r="A22" s="118"/>
      <c r="B22" s="246"/>
      <c r="C22" s="94" t="s">
        <v>43</v>
      </c>
      <c r="D22" s="94"/>
      <c r="E22" s="85"/>
      <c r="F22" s="85"/>
      <c r="G22" s="85"/>
      <c r="H22" s="85"/>
      <c r="I22" s="313"/>
    </row>
    <row r="23" spans="1:11" hidden="1" x14ac:dyDescent="0.25">
      <c r="A23" s="118"/>
      <c r="B23" s="246"/>
      <c r="C23" s="94" t="s">
        <v>44</v>
      </c>
      <c r="D23" s="94"/>
      <c r="E23" s="85"/>
      <c r="F23" s="85"/>
      <c r="G23" s="85"/>
      <c r="H23" s="85"/>
      <c r="I23" s="313"/>
    </row>
    <row r="24" spans="1:11" x14ac:dyDescent="0.25">
      <c r="A24" s="118"/>
      <c r="B24" s="246"/>
      <c r="C24" s="94" t="s">
        <v>45</v>
      </c>
      <c r="D24" s="94"/>
      <c r="E24" s="85"/>
      <c r="F24" s="85"/>
      <c r="G24" s="85"/>
      <c r="H24" s="85"/>
      <c r="I24" s="313"/>
      <c r="J24" s="167"/>
    </row>
    <row r="25" spans="1:11" x14ac:dyDescent="0.25">
      <c r="A25" s="129"/>
      <c r="B25" s="246"/>
      <c r="C25" s="94"/>
      <c r="D25" s="330">
        <f t="shared" ref="D25:H25" si="1">SUM(D20:D24)</f>
        <v>0</v>
      </c>
      <c r="E25" s="89">
        <f t="shared" si="1"/>
        <v>0</v>
      </c>
      <c r="F25" s="89">
        <f t="shared" si="1"/>
        <v>0</v>
      </c>
      <c r="G25" s="89">
        <f t="shared" si="1"/>
        <v>0</v>
      </c>
      <c r="H25" s="89">
        <f t="shared" si="1"/>
        <v>0</v>
      </c>
      <c r="I25" s="313"/>
    </row>
    <row r="26" spans="1:11" x14ac:dyDescent="0.25">
      <c r="A26" s="129"/>
      <c r="B26" s="246"/>
      <c r="C26" s="93" t="s">
        <v>46</v>
      </c>
      <c r="D26" s="145"/>
      <c r="E26" s="308"/>
      <c r="F26" s="86"/>
      <c r="G26" s="86"/>
      <c r="H26" s="86"/>
      <c r="I26" s="101"/>
    </row>
    <row r="27" spans="1:11" x14ac:dyDescent="0.25">
      <c r="A27" s="129"/>
      <c r="B27" s="246"/>
      <c r="C27" s="93" t="s">
        <v>47</v>
      </c>
      <c r="D27" s="145"/>
      <c r="E27" s="308"/>
      <c r="F27" s="86"/>
      <c r="G27" s="86"/>
      <c r="H27" s="86"/>
      <c r="I27" s="101"/>
    </row>
    <row r="28" spans="1:11" x14ac:dyDescent="0.25">
      <c r="A28" s="118"/>
      <c r="B28" s="246"/>
      <c r="C28" s="94" t="s">
        <v>48</v>
      </c>
      <c r="D28" s="94"/>
      <c r="E28" s="85">
        <f>+COUNCIL!D28+MAYOR!D28+SPEAKER!D28+MM!D28+CORP!D28+PROP!D28+RATES!D28+THALL!D28+FIN!D28+SOCIAL!D28+CEMETERY!D28+LIBRARIES!D28+HOUSING!D28+TRAFFIC!D28+PARKS!D28+REFUSE!D28+SEWAGE!D28+PWORKS!D28+WATER!D28+ELECTRIC!D28</f>
        <v>2396604</v>
      </c>
      <c r="F28" s="85"/>
      <c r="G28" s="85"/>
      <c r="H28" s="85"/>
      <c r="I28" s="101"/>
    </row>
    <row r="29" spans="1:11" x14ac:dyDescent="0.25">
      <c r="A29" s="129"/>
      <c r="B29" s="246"/>
      <c r="C29" s="94"/>
      <c r="D29" s="330">
        <f t="shared" ref="D29:H29" si="2">D28</f>
        <v>0</v>
      </c>
      <c r="E29" s="89">
        <f t="shared" si="2"/>
        <v>2396604</v>
      </c>
      <c r="F29" s="89">
        <f t="shared" si="2"/>
        <v>0</v>
      </c>
      <c r="G29" s="89">
        <f t="shared" si="2"/>
        <v>0</v>
      </c>
      <c r="H29" s="89">
        <f t="shared" si="2"/>
        <v>0</v>
      </c>
      <c r="I29" s="313"/>
    </row>
    <row r="30" spans="1:11" x14ac:dyDescent="0.25">
      <c r="A30" s="129"/>
      <c r="B30" s="246"/>
      <c r="C30" s="93" t="s">
        <v>49</v>
      </c>
      <c r="D30" s="145"/>
      <c r="E30" s="86"/>
      <c r="F30" s="86"/>
      <c r="G30" s="86"/>
      <c r="H30" s="86"/>
      <c r="I30" s="101"/>
      <c r="J30" s="167"/>
    </row>
    <row r="31" spans="1:11" x14ac:dyDescent="0.25">
      <c r="A31" s="118"/>
      <c r="B31" s="246"/>
      <c r="C31" s="94" t="s">
        <v>341</v>
      </c>
      <c r="D31" s="94"/>
      <c r="E31" s="85">
        <f>+COUNCIL!D31+MAYOR!D31+SPEAKER!D31+MM!D31+CORP!D31+PROP!D31+RATES!D31+THALL!D31+FIN!D31+SOCIAL!D31+CEMETERY!D31+LIBRARIES!D31+HOUSING!D31+TRAFFIC!D31+PARKS!D31+REFUSE!D31+SEWAGE!D31+PWORKS!D31+WATER!D31+ELECTRIC!D31</f>
        <v>0</v>
      </c>
      <c r="F31" s="85"/>
      <c r="G31" s="85"/>
      <c r="H31" s="85"/>
      <c r="I31" s="274"/>
      <c r="J31" s="316"/>
    </row>
    <row r="32" spans="1:11" x14ac:dyDescent="0.25">
      <c r="A32" s="129"/>
      <c r="B32" s="246"/>
      <c r="C32" s="94"/>
      <c r="D32" s="330">
        <f t="shared" ref="D32:H32" si="3">SUM(D31)</f>
        <v>0</v>
      </c>
      <c r="E32" s="89">
        <f t="shared" si="3"/>
        <v>0</v>
      </c>
      <c r="F32" s="89">
        <f t="shared" si="3"/>
        <v>0</v>
      </c>
      <c r="G32" s="89">
        <f t="shared" si="3"/>
        <v>0</v>
      </c>
      <c r="H32" s="89">
        <f t="shared" si="3"/>
        <v>0</v>
      </c>
      <c r="I32" s="313"/>
      <c r="J32" s="121"/>
      <c r="K32" s="167"/>
    </row>
    <row r="33" spans="1:15" hidden="1" x14ac:dyDescent="0.25">
      <c r="A33" s="129"/>
      <c r="B33" s="246"/>
      <c r="C33" s="93" t="s">
        <v>50</v>
      </c>
      <c r="D33" s="145"/>
      <c r="E33" s="86"/>
      <c r="F33" s="86"/>
      <c r="G33" s="86"/>
      <c r="H33" s="86"/>
      <c r="I33" s="101"/>
    </row>
    <row r="34" spans="1:15" hidden="1" x14ac:dyDescent="0.25">
      <c r="A34" s="118"/>
      <c r="B34" s="246"/>
      <c r="C34" s="94" t="s">
        <v>51</v>
      </c>
      <c r="D34" s="94"/>
      <c r="E34" s="85">
        <f>+COUNCIL!D34+MAYOR!D34+SPEAKER!D34+MM!D34+CORP!D34+PROP!D34+RATES!D34+THALL!D34+FIN!D34+SOCIAL!D34+CEMETERY!D34+LIBRARIES!D34+HOUSING!D34+TRAFFIC!D34+PARKS!D34+REFUSE!D34+SEWAGE!D34+PWORKS!D34+WATER!D34+ELECTRIC!D34</f>
        <v>0</v>
      </c>
      <c r="F34" s="85"/>
      <c r="G34" s="85"/>
      <c r="H34" s="85"/>
      <c r="I34" s="101"/>
    </row>
    <row r="35" spans="1:15" hidden="1" x14ac:dyDescent="0.25">
      <c r="A35" s="129"/>
      <c r="B35" s="246"/>
      <c r="C35" s="94"/>
      <c r="D35" s="94"/>
      <c r="E35" s="89">
        <f t="shared" ref="E35" si="4">SUM(E34)</f>
        <v>0</v>
      </c>
      <c r="F35" s="89"/>
      <c r="G35" s="89"/>
      <c r="H35" s="89"/>
      <c r="I35" s="101"/>
    </row>
    <row r="36" spans="1:15" x14ac:dyDescent="0.25">
      <c r="A36" s="129"/>
      <c r="B36" s="246"/>
      <c r="C36" s="93" t="s">
        <v>52</v>
      </c>
      <c r="D36" s="145"/>
      <c r="E36" s="86"/>
      <c r="F36" s="86"/>
      <c r="G36" s="86"/>
      <c r="H36" s="86"/>
      <c r="I36" s="167"/>
      <c r="K36" s="279"/>
      <c r="L36" s="121"/>
    </row>
    <row r="37" spans="1:15" x14ac:dyDescent="0.25">
      <c r="A37" s="118"/>
      <c r="B37" s="246"/>
      <c r="C37" s="94" t="s">
        <v>53</v>
      </c>
      <c r="D37" s="94"/>
      <c r="E37" s="85">
        <f>+COUNCIL!D37+MAYOR!D37+SPEAKER!D37+MM!D37+CORP!D37+PROP!D37+RATES!D37+THALL!D37+FIN!D37+SOCIAL!D37+CEMETERY!D37+LIBRARIES!D37+HOUSING!D37+TRAFFIC!D37+PARKS!D37+REFUSE!D37+SEWAGE!D37+PWORKS!D37+WATER!D37+ELECTRIC!D37</f>
        <v>0</v>
      </c>
      <c r="F37" s="85"/>
      <c r="G37" s="85"/>
      <c r="H37" s="85"/>
      <c r="I37" s="167"/>
      <c r="J37" s="316"/>
      <c r="L37" s="121"/>
    </row>
    <row r="38" spans="1:15" x14ac:dyDescent="0.25">
      <c r="A38" s="129"/>
      <c r="B38" s="246"/>
      <c r="C38" s="94"/>
      <c r="D38" s="330">
        <f t="shared" ref="D38:H38" si="5">D37</f>
        <v>0</v>
      </c>
      <c r="E38" s="89">
        <f t="shared" si="5"/>
        <v>0</v>
      </c>
      <c r="F38" s="89">
        <f t="shared" si="5"/>
        <v>0</v>
      </c>
      <c r="G38" s="89">
        <f t="shared" si="5"/>
        <v>0</v>
      </c>
      <c r="H38" s="89">
        <f t="shared" si="5"/>
        <v>0</v>
      </c>
      <c r="I38" s="313"/>
      <c r="J38" s="316"/>
      <c r="K38" s="185"/>
    </row>
    <row r="39" spans="1:15" x14ac:dyDescent="0.25">
      <c r="A39" s="129"/>
      <c r="B39" s="246"/>
      <c r="C39" s="93" t="s">
        <v>54</v>
      </c>
      <c r="D39" s="145"/>
      <c r="E39" s="86"/>
      <c r="F39" s="86"/>
      <c r="G39" s="86"/>
      <c r="H39" s="86"/>
      <c r="I39" s="272"/>
      <c r="K39" s="121"/>
      <c r="L39" s="280"/>
    </row>
    <row r="40" spans="1:15" hidden="1" x14ac:dyDescent="0.25">
      <c r="A40" s="118"/>
      <c r="B40" s="246"/>
      <c r="C40" s="94" t="s">
        <v>55</v>
      </c>
      <c r="D40" s="94"/>
      <c r="E40" s="85">
        <f>+COUNCIL!D40+MAYOR!D40+SPEAKER!D40+MM!D40+CORP!D40+PROP!D40+RATES!D40+THALL!D40+FIN!D40+SOCIAL!D40+CEMETERY!D40+LIBRARIES!D40+HOUSING!D40+TRAFFIC!D40+PARKS!D40+REFUSE!D40+SEWAGE!D40+PWORKS!D40+WATER!D40+ELECTRIC!D40</f>
        <v>0</v>
      </c>
      <c r="F40" s="85"/>
      <c r="G40" s="85"/>
      <c r="H40" s="85"/>
      <c r="I40" s="101"/>
      <c r="L40" s="280"/>
    </row>
    <row r="41" spans="1:15" x14ac:dyDescent="0.25">
      <c r="A41" s="118"/>
      <c r="B41" s="246"/>
      <c r="C41" s="94" t="s">
        <v>56</v>
      </c>
      <c r="D41" s="94"/>
      <c r="E41" s="85">
        <f>+COUNCIL!D41+MAYOR!D41+SPEAKER!D41+MM!D41+CORP!D41+PROP!D41+RATES!D41+THALL!D41+FIN!D41+SOCIAL!D41+CEMETERY!D41+LIBRARIES!D41+HOUSING!D41+TRAFFIC!D41+PARKS!D41+REFUSE!D41+SEWAGE!D41+PWORKS!D41+WATER!D41+ELECTRIC!D41</f>
        <v>231778</v>
      </c>
      <c r="F41" s="85"/>
      <c r="G41" s="85"/>
      <c r="H41" s="85"/>
      <c r="I41" s="167"/>
      <c r="K41" s="121"/>
      <c r="L41" s="280"/>
    </row>
    <row r="42" spans="1:15" x14ac:dyDescent="0.25">
      <c r="A42" s="118"/>
      <c r="B42" s="246"/>
      <c r="C42" s="94" t="s">
        <v>57</v>
      </c>
      <c r="D42" s="94"/>
      <c r="E42" s="85">
        <f>+COUNCIL!D42+MAYOR!D42+SPEAKER!D42+MM!D42+CORP!D42+PROP!D42+RATES!D42+THALL!D42+FIN!D42+SOCIAL!D42+CEMETERY!D42+LIBRARIES!D42+HOUSING!D42+TRAFFIC!D42+PARKS!D42+REFUSE!D42+SEWAGE!D42+PWORKS!D42+WATER!D42+ELECTRIC!D42</f>
        <v>40594</v>
      </c>
      <c r="F42" s="85"/>
      <c r="G42" s="85"/>
      <c r="H42" s="85"/>
      <c r="I42" s="101"/>
      <c r="K42" s="121"/>
      <c r="L42" s="280"/>
    </row>
    <row r="43" spans="1:15" x14ac:dyDescent="0.25">
      <c r="A43" s="118"/>
      <c r="B43" s="246"/>
      <c r="C43" s="94" t="s">
        <v>95</v>
      </c>
      <c r="D43" s="94"/>
      <c r="E43" s="85">
        <f>+COUNCIL!D43+MAYOR!D43+SPEAKER!D43+MM!D43+CORP!D43+PROP!D43+RATES!D43+THALL!D43+FIN!D43+SOCIAL!D43+CEMETERY!D43+LIBRARIES!D43+HOUSING!D43+TRAFFIC!D43+PARKS!D43+REFUSE!D43+SEWAGE!D43+PWORKS!D43+WATER!D43+ELECTRIC!D43</f>
        <v>75231</v>
      </c>
      <c r="F43" s="85"/>
      <c r="G43" s="85"/>
      <c r="H43" s="85"/>
      <c r="I43" s="101"/>
      <c r="K43" s="121"/>
      <c r="L43" s="280"/>
    </row>
    <row r="44" spans="1:15" x14ac:dyDescent="0.25">
      <c r="A44" s="118"/>
      <c r="B44" s="246"/>
      <c r="C44" s="94" t="s">
        <v>58</v>
      </c>
      <c r="D44" s="94"/>
      <c r="E44" s="85">
        <f>+COUNCIL!D44+MAYOR!D44+SPEAKER!D44+MM!D44+CORP!D44+PROP!D44+RATES!D44+THALL!D44+FIN!D44+SOCIAL!D44+CEMETERY!D44+LIBRARIES!D44+HOUSING!D44+TRAFFIC!D44+PARKS!D44+REFUSE!D44+SEWAGE!D44+PWORKS!D44+WATER!D44+ELECTRIC!D44</f>
        <v>88600</v>
      </c>
      <c r="F44" s="85"/>
      <c r="G44" s="85"/>
      <c r="H44" s="85"/>
      <c r="I44" s="101"/>
      <c r="K44" s="121"/>
      <c r="L44" s="280"/>
    </row>
    <row r="45" spans="1:15" x14ac:dyDescent="0.25">
      <c r="A45" s="118"/>
      <c r="B45" s="246"/>
      <c r="C45" s="94" t="s">
        <v>92</v>
      </c>
      <c r="D45" s="94"/>
      <c r="E45" s="85">
        <f>+COUNCIL!D45+MAYOR!D45+SPEAKER!D45+MM!D45+CORP!D45+PROP!D45+RATES!D45+THALL!D45+FIN!D45+SOCIAL!D45+CEMETERY!D45+LIBRARIES!D45+HOUSING!D45+TRAFFIC!D45+PARKS!D45+REFUSE!D45+SEWAGE!D45+PWORKS!D45+WATER!D45+ELECTRIC!D45</f>
        <v>216214</v>
      </c>
      <c r="F45" s="85"/>
      <c r="G45" s="85"/>
      <c r="H45" s="85"/>
      <c r="I45" s="101"/>
      <c r="K45" s="121"/>
      <c r="L45" s="280"/>
      <c r="M45" s="279"/>
      <c r="O45" s="203"/>
    </row>
    <row r="46" spans="1:15" x14ac:dyDescent="0.25">
      <c r="A46" s="118"/>
      <c r="B46" s="246"/>
      <c r="C46" s="94" t="s">
        <v>86</v>
      </c>
      <c r="D46" s="94"/>
      <c r="E46" s="85">
        <f>+COUNCIL!D46+MAYOR!D46+SPEAKER!D46+MM!D46+CORP!D46+PROP!D46+RATES!D46+THALL!D46+FIN!D46+SOCIAL!D46+CEMETERY!D46+LIBRARIES!D46+HOUSING!D46+TRAFFIC!D46+PARKS!D46+REFUSE!D46+SEWAGE!D46+PWORKS!D46+WATER!D46+ELECTRIC!D46</f>
        <v>821359</v>
      </c>
      <c r="F46" s="85"/>
      <c r="G46" s="85"/>
      <c r="H46" s="85"/>
      <c r="I46" s="101"/>
    </row>
    <row r="47" spans="1:15" x14ac:dyDescent="0.25">
      <c r="A47" s="118"/>
      <c r="B47" s="246"/>
      <c r="C47" s="94" t="s">
        <v>124</v>
      </c>
      <c r="D47" s="94"/>
      <c r="E47" s="85">
        <f>+COUNCIL!D47+MAYOR!D47+SPEAKER!D47+MM!D47+CORP!D47+PROP!D47+RATES!D47+THALL!D47+FIN!D47+SOCIAL!D47+CEMETERY!D47+LIBRARIES!D47+HOUSING!D47+TRAFFIC!D47+PARKS!D47+REFUSE!D47+SEWAGE!D47+PWORKS!D47+WATER!D47+ELECTRIC!D47</f>
        <v>3879063</v>
      </c>
      <c r="F47" s="85"/>
      <c r="G47" s="85"/>
      <c r="H47" s="85"/>
      <c r="I47" s="101"/>
    </row>
    <row r="48" spans="1:15" x14ac:dyDescent="0.25">
      <c r="A48" s="118"/>
      <c r="B48" s="246"/>
      <c r="C48" s="94" t="s">
        <v>59</v>
      </c>
      <c r="D48" s="94"/>
      <c r="E48" s="85">
        <f>+COUNCIL!D48+MAYOR!D48+SPEAKER!D48+MM!D48+CORP!D48+PROP!D48+RATES!D48+THALL!D48+FIN!D48+SOCIAL!D48+CEMETERY!D48+LIBRARIES!D48+HOUSING!D48+TRAFFIC!D48+PARKS!D48+REFUSE!D48+SEWAGE!D48+PWORKS!D48+WATER!D48+ELECTRIC!D48</f>
        <v>120525</v>
      </c>
      <c r="F48" s="85"/>
      <c r="G48" s="85"/>
      <c r="H48" s="85"/>
      <c r="I48" s="101"/>
    </row>
    <row r="49" spans="1:10" x14ac:dyDescent="0.25">
      <c r="A49" s="118"/>
      <c r="B49" s="246"/>
      <c r="C49" s="94" t="s">
        <v>91</v>
      </c>
      <c r="D49" s="94"/>
      <c r="E49" s="85">
        <f>+COUNCIL!D49+MAYOR!D49+SPEAKER!D49+MM!D49+CORP!D49+PROP!D49+RATES!D49+THALL!D49+FIN!D49+SOCIAL!D49+CEMETERY!D49+LIBRARIES!D49+HOUSING!D49+TRAFFIC!D49+PARKS!D49+REFUSE!D49+SEWAGE!D49+PWORKS!D49+WATER!D49+ELECTRIC!D49</f>
        <v>545092.25</v>
      </c>
      <c r="F49" s="85"/>
      <c r="G49" s="85"/>
      <c r="H49" s="85"/>
      <c r="I49" s="101"/>
    </row>
    <row r="50" spans="1:10" x14ac:dyDescent="0.25">
      <c r="A50" s="118"/>
      <c r="B50" s="246"/>
      <c r="C50" s="94" t="s">
        <v>88</v>
      </c>
      <c r="D50" s="94"/>
      <c r="E50" s="85">
        <f>+COUNCIL!D50+MAYOR!D50+SPEAKER!D50+MM!D50+CORP!D50+PROP!D50+RATES!D50+THALL!D50+FIN!D50+SOCIAL!D50+CEMETERY!D50+LIBRARIES!D50+HOUSING!D50+TRAFFIC!D50+PARKS!D50+REFUSE!D50+SEWAGE!D50+PWORKS!D50+WATER!D50+ELECTRIC!D50</f>
        <v>968689.91</v>
      </c>
      <c r="F50" s="85"/>
      <c r="G50" s="85"/>
      <c r="H50" s="85"/>
      <c r="I50" s="101"/>
    </row>
    <row r="51" spans="1:10" hidden="1" x14ac:dyDescent="0.25">
      <c r="A51" s="118"/>
      <c r="B51" s="246"/>
      <c r="C51" s="94" t="s">
        <v>125</v>
      </c>
      <c r="D51" s="94"/>
      <c r="E51" s="85">
        <f>+COUNCIL!D51+MAYOR!D51+SPEAKER!D51+MM!D51+CORP!D51+PROP!D51+RATES!D51+THALL!D51+FIN!D51+SOCIAL!D51+CEMETERY!D51+LIBRARIES!D51+HOUSING!D51+TRAFFIC!D51+PARKS!D51+REFUSE!D51+SEWAGE!D51+PWORKS!D51+WATER!D51+ELECTRIC!D51</f>
        <v>0</v>
      </c>
      <c r="F51" s="85"/>
      <c r="G51" s="85"/>
      <c r="H51" s="85"/>
      <c r="I51" s="101"/>
    </row>
    <row r="52" spans="1:10" x14ac:dyDescent="0.25">
      <c r="A52" s="118"/>
      <c r="B52" s="246"/>
      <c r="C52" s="94" t="s">
        <v>90</v>
      </c>
      <c r="D52" s="94"/>
      <c r="E52" s="85">
        <f>+COUNCIL!D52+MAYOR!D52+SPEAKER!D52+MM!D52+CORP!D52+PROP!D52+RATES!D52+THALL!D52+FIN!D52+SOCIAL!D52+CEMETERY!D52+LIBRARIES!D52+HOUSING!D52+TRAFFIC!D52+PARKS!D52+REFUSE!D52+SEWAGE!D52+PWORKS!D52+WATER!D52+ELECTRIC!D52</f>
        <v>126543</v>
      </c>
      <c r="F52" s="85"/>
      <c r="G52" s="85"/>
      <c r="H52" s="85"/>
      <c r="I52" s="101"/>
    </row>
    <row r="53" spans="1:10" x14ac:dyDescent="0.25">
      <c r="A53" s="118"/>
      <c r="B53" s="246"/>
      <c r="C53" s="94" t="s">
        <v>87</v>
      </c>
      <c r="D53" s="94"/>
      <c r="E53" s="85">
        <f>+COUNCIL!D53+MAYOR!D53+SPEAKER!D53+MM!D53+CORP!D53+PROP!D53+RATES!D53+THALL!D53+FIN!D53+SOCIAL!D53+CEMETERY!D53+LIBRARIES!D53+HOUSING!D53+TRAFFIC!D53+PARKS!D53+REFUSE!D53+SEWAGE!D53+PWORKS!D53+WATER!D53+ELECTRIC!D53</f>
        <v>1232781</v>
      </c>
      <c r="F53" s="85"/>
      <c r="G53" s="85"/>
      <c r="H53" s="85"/>
      <c r="I53" s="101"/>
    </row>
    <row r="54" spans="1:10" x14ac:dyDescent="0.25">
      <c r="A54" s="118"/>
      <c r="B54" s="246"/>
      <c r="C54" s="94" t="s">
        <v>89</v>
      </c>
      <c r="D54" s="94"/>
      <c r="E54" s="85">
        <f>+COUNCIL!D54+MAYOR!D54+SPEAKER!D54+MM!D54+CORP!D54+PROP!D54+RATES!D54+THALL!D54+FIN!D54+SOCIAL!D54+CEMETERY!D54+LIBRARIES!D54+HOUSING!D54+TRAFFIC!D54+PARKS!D54+REFUSE!D54+SEWAGE!D54+PWORKS!D54+WATER!D54+ELECTRIC!D54</f>
        <v>6288</v>
      </c>
      <c r="F54" s="85"/>
      <c r="G54" s="85"/>
      <c r="H54" s="85"/>
      <c r="I54" s="256"/>
    </row>
    <row r="55" spans="1:10" x14ac:dyDescent="0.25">
      <c r="A55" s="118"/>
      <c r="B55" s="246"/>
      <c r="C55" s="94" t="s">
        <v>93</v>
      </c>
      <c r="D55" s="94"/>
      <c r="E55" s="85">
        <f>+COUNCIL!D55+MAYOR!D55+SPEAKER!D55+MM!D55+CORP!D55+PROP!D55+RATES!D55+THALL!D55+FIN!D55+SOCIAL!D55+CEMETERY!D55+LIBRARIES!D55+HOUSING!D55+TRAFFIC!D55+PARKS!D55+REFUSE!D55+SEWAGE!D55+PWORKS!D55+WATER!D55+ELECTRIC!D55</f>
        <v>317496</v>
      </c>
      <c r="F55" s="85"/>
      <c r="G55" s="85"/>
      <c r="H55" s="85"/>
      <c r="I55" s="101"/>
    </row>
    <row r="56" spans="1:10" x14ac:dyDescent="0.25">
      <c r="A56" s="118"/>
      <c r="B56" s="246"/>
      <c r="C56" s="94" t="s">
        <v>94</v>
      </c>
      <c r="D56" s="94"/>
      <c r="E56" s="85">
        <f>+COUNCIL!D56+MAYOR!D56+SPEAKER!D56+MM!D56+CORP!D56+PROP!D56+RATES!D56+THALL!D56+FIN!D56+SOCIAL!D56+CEMETERY!D56+LIBRARIES!D56+HOUSING!D56+TRAFFIC!D56+PARKS!D56+REFUSE!D56+SEWAGE!D56+PWORKS!D56+WATER!D56+ELECTRIC!D56</f>
        <v>521763</v>
      </c>
      <c r="F56" s="85"/>
      <c r="G56" s="85"/>
      <c r="H56" s="85"/>
      <c r="I56" s="101"/>
    </row>
    <row r="57" spans="1:10" x14ac:dyDescent="0.25">
      <c r="A57" s="118"/>
      <c r="B57" s="246"/>
      <c r="C57" s="94" t="s">
        <v>60</v>
      </c>
      <c r="D57" s="94"/>
      <c r="E57" s="85">
        <f>+COUNCIL!D57+MAYOR!D57+SPEAKER!D57+MM!D57+CORP!D57+PROP!D57+RATES!D57+THALL!D57+FIN!D57+SOCIAL!D57+CEMETERY!D57+LIBRARIES!D57+HOUSING!D57+TRAFFIC!D57+PARKS!D57+REFUSE!D57+SEWAGE!D57+PWORKS!D57+WATER!D57+ELECTRIC!D57</f>
        <v>481722.89</v>
      </c>
      <c r="F57" s="85"/>
      <c r="G57" s="85"/>
      <c r="H57" s="85"/>
      <c r="I57" s="101"/>
    </row>
    <row r="58" spans="1:10" x14ac:dyDescent="0.25">
      <c r="A58" s="118"/>
      <c r="B58" s="246"/>
      <c r="C58" s="94" t="s">
        <v>186</v>
      </c>
      <c r="D58" s="94"/>
      <c r="E58" s="85">
        <f>+COUNCIL!D58+MAYOR!D58+SPEAKER!D58+MM!D58+CORP!D58+PROP!D58+RATES!D58+THALL!D58+FIN!D58+SOCIAL!D58+CEMETERY!D58+LIBRARIES!D58+HOUSING!D58+TRAFFIC!D58+PARKS!D58+REFUSE!D58+SEWAGE!D58+PWORKS!D58+WATER!D58+ELECTRIC!D58</f>
        <v>0</v>
      </c>
      <c r="F58" s="85"/>
      <c r="G58" s="85"/>
      <c r="H58" s="85"/>
      <c r="I58" s="101"/>
    </row>
    <row r="59" spans="1:10" x14ac:dyDescent="0.25">
      <c r="A59" s="129"/>
      <c r="B59" s="246"/>
      <c r="C59" s="94"/>
      <c r="D59" s="330">
        <f t="shared" ref="D59:H59" si="6">SUM(D40:D58)</f>
        <v>0</v>
      </c>
      <c r="E59" s="110">
        <f t="shared" si="6"/>
        <v>9673740.0500000007</v>
      </c>
      <c r="F59" s="110">
        <f t="shared" si="6"/>
        <v>0</v>
      </c>
      <c r="G59" s="110">
        <f t="shared" si="6"/>
        <v>0</v>
      </c>
      <c r="H59" s="110">
        <f t="shared" si="6"/>
        <v>0</v>
      </c>
      <c r="I59" s="313"/>
      <c r="J59" s="111"/>
    </row>
    <row r="60" spans="1:10" x14ac:dyDescent="0.25">
      <c r="A60" s="129"/>
      <c r="B60" s="246"/>
      <c r="C60" s="93" t="s">
        <v>198</v>
      </c>
      <c r="D60" s="145"/>
      <c r="E60" s="273"/>
      <c r="F60" s="112"/>
      <c r="G60" s="112"/>
      <c r="H60" s="112"/>
    </row>
    <row r="61" spans="1:10" x14ac:dyDescent="0.25">
      <c r="A61" s="118"/>
      <c r="B61" s="246"/>
      <c r="C61" s="94" t="s">
        <v>334</v>
      </c>
      <c r="D61" s="94"/>
      <c r="E61" s="85">
        <f>+COUNCIL!D61+MAYOR!D61+SPEAKER!D61+MM!D61+CORP!D61+PROP!D61+RATES!D61+THALL!D61+FIN!D61+SOCIAL!D61+CEMETERY!D61+LIBRARIES!D61+HOUSING!D61+TRAFFIC!D61+PARKS!D61+REFUSE!D61+SEWAGE!D61+PWORKS!D61+WATER!D61+ELECTRIC!D61</f>
        <v>0</v>
      </c>
      <c r="F61" s="85"/>
      <c r="G61" s="85"/>
      <c r="H61" s="85"/>
    </row>
    <row r="62" spans="1:10" x14ac:dyDescent="0.25">
      <c r="A62" s="118"/>
      <c r="B62" s="246"/>
      <c r="C62" s="94" t="s">
        <v>335</v>
      </c>
      <c r="D62" s="94"/>
      <c r="E62" s="85">
        <f>+COUNCIL!D62+MAYOR!D62+SPEAKER!D62+MM!D62+CORP!D62+PROP!D62+RATES!D62+THALL!D62+FIN!D62+SOCIAL!D62+CEMETERY!D62+LIBRARIES!D62+HOUSING!D62+TRAFFIC!D62+PARKS!D62+REFUSE!D62+SEWAGE!D62+PWORKS!D62+WATER!D62+ELECTRIC!D62</f>
        <v>986595.86</v>
      </c>
      <c r="F62" s="85"/>
      <c r="G62" s="85"/>
      <c r="H62" s="85"/>
    </row>
    <row r="63" spans="1:10" x14ac:dyDescent="0.25">
      <c r="A63" s="129"/>
      <c r="B63" s="246"/>
      <c r="C63" s="94"/>
      <c r="D63" s="330">
        <f t="shared" ref="D63:H63" si="7">SUM(D61:D62)</f>
        <v>0</v>
      </c>
      <c r="E63" s="89">
        <f t="shared" si="7"/>
        <v>986595.86</v>
      </c>
      <c r="F63" s="89">
        <f t="shared" si="7"/>
        <v>0</v>
      </c>
      <c r="G63" s="89">
        <f t="shared" si="7"/>
        <v>0</v>
      </c>
      <c r="H63" s="89">
        <f t="shared" si="7"/>
        <v>0</v>
      </c>
      <c r="I63" s="313"/>
      <c r="J63" s="111"/>
    </row>
    <row r="64" spans="1:10" x14ac:dyDescent="0.25">
      <c r="A64" s="129"/>
      <c r="B64" s="246"/>
      <c r="C64" s="93" t="s">
        <v>61</v>
      </c>
      <c r="D64" s="145"/>
      <c r="E64" s="86"/>
      <c r="F64" s="86"/>
      <c r="G64" s="86"/>
      <c r="H64" s="86"/>
      <c r="I64" s="101"/>
    </row>
    <row r="65" spans="1:10" x14ac:dyDescent="0.25">
      <c r="A65" s="118"/>
      <c r="B65" s="246"/>
      <c r="C65" s="94" t="s">
        <v>351</v>
      </c>
      <c r="D65" s="94"/>
      <c r="E65" s="85">
        <f>+COUNCIL!D65+MAYOR!D65+SPEAKER!D65+MM!D65+CORP!D65+PROP!D65+RATES!D65+THALL!D65+FIN!D65+SOCIAL!D65+CEMETERY!D65+LIBRARIES!D65+HOUSING!D65+TRAFFIC!D65+PARKS!D65+REFUSE!D65+SEWAGE!D65+PWORKS!D65+WATER!D65+ELECTRIC!D65</f>
        <v>4693</v>
      </c>
      <c r="F65" s="85"/>
      <c r="G65" s="85"/>
      <c r="H65" s="85"/>
      <c r="I65" s="101"/>
    </row>
    <row r="66" spans="1:10" x14ac:dyDescent="0.25">
      <c r="A66" s="129"/>
      <c r="B66" s="246"/>
      <c r="C66" s="94"/>
      <c r="D66" s="330">
        <f t="shared" ref="D66:H66" si="8">D65</f>
        <v>0</v>
      </c>
      <c r="E66" s="89">
        <f t="shared" si="8"/>
        <v>4693</v>
      </c>
      <c r="F66" s="89">
        <f t="shared" si="8"/>
        <v>0</v>
      </c>
      <c r="G66" s="89">
        <f t="shared" si="8"/>
        <v>0</v>
      </c>
      <c r="H66" s="89">
        <f t="shared" si="8"/>
        <v>0</v>
      </c>
      <c r="I66" s="313"/>
      <c r="J66" s="111"/>
    </row>
    <row r="67" spans="1:10" x14ac:dyDescent="0.25">
      <c r="A67" s="129"/>
      <c r="B67" s="246"/>
      <c r="C67" s="93" t="s">
        <v>96</v>
      </c>
      <c r="D67" s="145"/>
      <c r="E67" s="86"/>
      <c r="F67" s="86"/>
      <c r="G67" s="86"/>
      <c r="H67" s="86"/>
      <c r="I67" s="101"/>
    </row>
    <row r="68" spans="1:10" x14ac:dyDescent="0.25">
      <c r="A68" s="118"/>
      <c r="B68" s="246"/>
      <c r="C68" s="94" t="s">
        <v>97</v>
      </c>
      <c r="D68" s="94"/>
      <c r="E68" s="85">
        <f>+COUNCIL!D68+MAYOR!D68+SPEAKER!D68+MM!D68+CORP!D68+PROP!D68+RATES!D68+THALL!D68+FIN!D68+SOCIAL!D68+CEMETERY!D68+LIBRARIES!D68+HOUSING!D68+TRAFFIC!D68+PARKS!D68+REFUSE!D68+SEWAGE!D68+PWORKS!D68+WATER!D68+ELECTRIC!D68</f>
        <v>16401073.370000001</v>
      </c>
      <c r="F68" s="85"/>
      <c r="G68" s="85"/>
      <c r="H68" s="85"/>
      <c r="I68" s="278"/>
    </row>
    <row r="69" spans="1:10" x14ac:dyDescent="0.25">
      <c r="A69" s="118"/>
      <c r="B69" s="246"/>
      <c r="C69" s="94" t="s">
        <v>134</v>
      </c>
      <c r="D69" s="94"/>
      <c r="E69" s="85">
        <f>+COUNCIL!D69+MAYOR!D69+SPEAKER!D69+MM!D69+CORP!D69+PROP!D69+RATES!D69+THALL!D69+FIN!D69+SOCIAL!D69+CEMETERY!D69+LIBRARIES!D69+HOUSING!D69+TRAFFIC!D69+PARKS!D69+REFUSE!D69+SEWAGE!D69+PWORKS!D69+WATER!D69+ELECTRIC!D69</f>
        <v>1699357</v>
      </c>
      <c r="F69" s="85"/>
      <c r="G69" s="85"/>
      <c r="H69" s="85"/>
      <c r="I69" s="278"/>
    </row>
    <row r="70" spans="1:10" x14ac:dyDescent="0.25">
      <c r="A70" s="129"/>
      <c r="B70" s="246"/>
      <c r="C70" s="94"/>
      <c r="D70" s="330">
        <f t="shared" ref="D70:H70" si="9">SUM(D68:D69)</f>
        <v>0</v>
      </c>
      <c r="E70" s="110">
        <f t="shared" si="9"/>
        <v>18100430.370000001</v>
      </c>
      <c r="F70" s="110">
        <f t="shared" si="9"/>
        <v>0</v>
      </c>
      <c r="G70" s="110">
        <f t="shared" si="9"/>
        <v>0</v>
      </c>
      <c r="H70" s="110">
        <f t="shared" si="9"/>
        <v>0</v>
      </c>
      <c r="I70" s="313"/>
      <c r="J70" s="111"/>
    </row>
    <row r="71" spans="1:10" x14ac:dyDescent="0.25">
      <c r="A71" s="129"/>
      <c r="B71" s="246"/>
      <c r="C71" s="93" t="s">
        <v>62</v>
      </c>
      <c r="D71" s="145"/>
      <c r="E71" s="113"/>
      <c r="F71" s="113"/>
      <c r="G71" s="113"/>
      <c r="H71" s="113"/>
      <c r="I71" s="101"/>
    </row>
    <row r="72" spans="1:10" x14ac:dyDescent="0.25">
      <c r="A72" s="118"/>
      <c r="B72" s="246"/>
      <c r="C72" s="94" t="s">
        <v>259</v>
      </c>
      <c r="D72" s="94"/>
      <c r="E72" s="85">
        <f>+COUNCIL!D72+MAYOR!D72+SPEAKER!D72+MM!D72+CORP!D72+PROP!D72+RATES!D72+THALL!D72+FIN!D72+SOCIAL!D72+CEMETERY!D72+LIBRARIES!D72+HOUSING!D72+TRAFFIC!D72+PARKS!D72+REFUSE!D72+SEWAGE!D72+PWORKS!D72+WATER!D72+ELECTRIC!D72</f>
        <v>978830</v>
      </c>
      <c r="F72" s="85"/>
      <c r="G72" s="85"/>
      <c r="H72" s="85"/>
      <c r="I72" s="101"/>
    </row>
    <row r="73" spans="1:10" x14ac:dyDescent="0.25">
      <c r="A73" s="118"/>
      <c r="B73" s="246"/>
      <c r="C73" s="94" t="s">
        <v>63</v>
      </c>
      <c r="D73" s="94"/>
      <c r="E73" s="85">
        <f>+COUNCIL!D73+MAYOR!D73+SPEAKER!D73+MM!D73+CORP!D73+PROP!D73+RATES!D73+THALL!D73+FIN!D73+SOCIAL!D73+CEMETERY!D73+LIBRARIES!D73+HOUSING!D73+TRAFFIC!D73+PARKS!D73+REFUSE!D73+SEWAGE!D73+PWORKS!D73+WATER!D73+ELECTRIC!D73</f>
        <v>45999</v>
      </c>
      <c r="F73" s="85"/>
      <c r="G73" s="85"/>
      <c r="H73" s="85"/>
    </row>
    <row r="74" spans="1:10" x14ac:dyDescent="0.25">
      <c r="A74" s="118"/>
      <c r="B74" s="246"/>
      <c r="C74" s="94" t="s">
        <v>260</v>
      </c>
      <c r="D74" s="94"/>
      <c r="E74" s="85">
        <f>+COUNCIL!D74+MAYOR!D74+SPEAKER!D74+MM!D74+CORP!D74+PROP!D74+RATES!D74+THALL!D74+FIN!D74+SOCIAL!D74+CEMETERY!D74+LIBRARIES!D74+HOUSING!D74+TRAFFIC!D74+PARKS!D74+REFUSE!D74+SEWAGE!D74+PWORKS!D74+WATER!D74+ELECTRIC!D74</f>
        <v>1675364.72</v>
      </c>
      <c r="F74" s="85"/>
      <c r="G74" s="85"/>
      <c r="H74" s="85"/>
    </row>
    <row r="75" spans="1:10" x14ac:dyDescent="0.25">
      <c r="A75" s="118"/>
      <c r="B75" s="246"/>
      <c r="C75" s="94" t="s">
        <v>261</v>
      </c>
      <c r="D75" s="94"/>
      <c r="E75" s="85"/>
      <c r="F75" s="85"/>
      <c r="G75" s="85"/>
      <c r="H75" s="85"/>
    </row>
    <row r="76" spans="1:10" x14ac:dyDescent="0.25">
      <c r="A76" s="118"/>
      <c r="B76" s="246"/>
      <c r="C76" s="94" t="s">
        <v>262</v>
      </c>
      <c r="D76" s="94"/>
      <c r="E76" s="85">
        <f>+COUNCIL!D76+MAYOR!D76+SPEAKER!D76+MM!D76+CORP!D76+PROP!D76+RATES!D76+THALL!D76+FIN!D76+SOCIAL!D76+CEMETERY!D76+LIBRARIES!D76+HOUSING!D76+TRAFFIC!D76+PARKS!D76+REFUSE!D76+SEWAGE!D76+PWORKS!D76+WATER!D76+ELECTRIC!D76</f>
        <v>0</v>
      </c>
      <c r="F76" s="85"/>
      <c r="G76" s="85"/>
      <c r="H76" s="85"/>
    </row>
    <row r="77" spans="1:10" x14ac:dyDescent="0.25">
      <c r="A77" s="118"/>
      <c r="B77" s="246"/>
      <c r="C77" s="94" t="s">
        <v>263</v>
      </c>
      <c r="D77" s="94"/>
      <c r="E77" s="85">
        <f>+COUNCIL!D77+MAYOR!D77+SPEAKER!D77+MM!D77+CORP!D77+PROP!D77+RATES!D77+THALL!D77+FIN!D77+SOCIAL!D77+CEMETERY!D77+LIBRARIES!D77+HOUSING!D77+TRAFFIC!D77+PARKS!D77+REFUSE!D77+SEWAGE!D77+PWORKS!D77+WATER!D77+ELECTRIC!D77</f>
        <v>66273.2</v>
      </c>
      <c r="F77" s="85"/>
      <c r="G77" s="85"/>
      <c r="H77" s="85"/>
    </row>
    <row r="78" spans="1:10" x14ac:dyDescent="0.25">
      <c r="A78" s="118"/>
      <c r="B78" s="246"/>
      <c r="C78" s="94" t="s">
        <v>264</v>
      </c>
      <c r="D78" s="94"/>
      <c r="E78" s="85">
        <f>+COUNCIL!D78+MAYOR!D78+SPEAKER!D78+MM!D78+CORP!D78+PROP!D78+RATES!D78+THALL!D78+FIN!D78+SOCIAL!D78+CEMETERY!D78+LIBRARIES!D78+HOUSING!D78+TRAFFIC!D78+PARKS!D78+REFUSE!D78+SEWAGE!D78+PWORKS!D78+WATER!D78+ELECTRIC!D78</f>
        <v>1624867</v>
      </c>
      <c r="F78" s="85"/>
      <c r="G78" s="85"/>
      <c r="H78" s="85"/>
    </row>
    <row r="79" spans="1:10" ht="13.5" customHeight="1" x14ac:dyDescent="0.25">
      <c r="A79" s="118"/>
      <c r="B79" s="246"/>
      <c r="C79" s="94" t="s">
        <v>265</v>
      </c>
      <c r="D79" s="94"/>
      <c r="E79" s="85">
        <f>+COUNCIL!D79+MAYOR!D79+SPEAKER!D79+MM!D79+CORP!D79+PROP!D79+RATES!D79+THALL!D79+FIN!D79+SOCIAL!D79+CEMETERY!D79+LIBRARIES!D79+HOUSING!D79+TRAFFIC!D79+PARKS!D79+REFUSE!D79+SEWAGE!D79+PWORKS!D79+WATER!D79+ELECTRIC!D79</f>
        <v>22238</v>
      </c>
      <c r="F79" s="85"/>
      <c r="G79" s="85"/>
      <c r="H79" s="85"/>
    </row>
    <row r="80" spans="1:10" x14ac:dyDescent="0.25">
      <c r="A80" s="118"/>
      <c r="B80" s="246"/>
      <c r="C80" s="94" t="s">
        <v>267</v>
      </c>
      <c r="D80" s="94"/>
      <c r="E80" s="85">
        <f>+COUNCIL!D80+MAYOR!D80+SPEAKER!D80+MM!D80+CORP!D80+PROP!D80+RATES!D80+THALL!D80+FIN!D80+SOCIAL!D80+CEMETERY!D80+LIBRARIES!D80+HOUSING!D80+TRAFFIC!D80+PARKS!D80+REFUSE!D80+SEWAGE!D80+PWORKS!D80+WATER!D80+ELECTRIC!D80</f>
        <v>0</v>
      </c>
      <c r="F80" s="85"/>
      <c r="G80" s="85"/>
      <c r="H80" s="85"/>
    </row>
    <row r="81" spans="1:8" x14ac:dyDescent="0.25">
      <c r="A81" s="118"/>
      <c r="B81" s="246"/>
      <c r="C81" s="94" t="s">
        <v>268</v>
      </c>
      <c r="D81" s="94"/>
      <c r="E81" s="85">
        <f>+COUNCIL!D81+MAYOR!D81+SPEAKER!D81+MM!D81+CORP!D81+PROP!D81+RATES!D81+THALL!D81+FIN!D81+SOCIAL!D81+CEMETERY!D81+LIBRARIES!D81+HOUSING!D81+TRAFFIC!D81+PARKS!D81+REFUSE!D81+SEWAGE!D81+PWORKS!D81+WATER!D81+ELECTRIC!D81</f>
        <v>312538.43</v>
      </c>
      <c r="F81" s="85"/>
      <c r="G81" s="85"/>
      <c r="H81" s="85"/>
    </row>
    <row r="82" spans="1:8" x14ac:dyDescent="0.25">
      <c r="A82" s="118"/>
      <c r="B82" s="246"/>
      <c r="C82" s="94" t="s">
        <v>269</v>
      </c>
      <c r="D82" s="94"/>
      <c r="E82" s="85">
        <f>+COUNCIL!D82+MAYOR!D82+SPEAKER!D82+MM!D82+CORP!D82+PROP!D82+RATES!D82+THALL!D82+FIN!D82+SOCIAL!D82+CEMETERY!D82+LIBRARIES!D82+HOUSING!D82+TRAFFIC!D82+PARKS!D82+REFUSE!D82+SEWAGE!D82+PWORKS!D82+WATER!D82+ELECTRIC!D82</f>
        <v>337221</v>
      </c>
      <c r="F82" s="85"/>
      <c r="G82" s="85"/>
      <c r="H82" s="85"/>
    </row>
    <row r="83" spans="1:8" x14ac:dyDescent="0.25">
      <c r="A83" s="118"/>
      <c r="B83" s="246"/>
      <c r="C83" s="94" t="s">
        <v>246</v>
      </c>
      <c r="D83" s="94"/>
      <c r="E83" s="85">
        <f>+COUNCIL!D83+MAYOR!D83+SPEAKER!D83+MM!D83+CORP!D83+PROP!D83+RATES!D83+THALL!D83+FIN!D83+SOCIAL!D83+CEMETERY!D83+LIBRARIES!D83+HOUSING!D83+TRAFFIC!D83+PARKS!D83+REFUSE!D83+SEWAGE!D83+PWORKS!D83+WATER!D83+ELECTRIC!D83</f>
        <v>73686</v>
      </c>
      <c r="F83" s="85"/>
      <c r="G83" s="85"/>
      <c r="H83" s="85"/>
    </row>
    <row r="84" spans="1:8" x14ac:dyDescent="0.25">
      <c r="A84" s="118"/>
      <c r="B84" s="246"/>
      <c r="C84" s="94" t="s">
        <v>270</v>
      </c>
      <c r="D84" s="94"/>
      <c r="E84" s="85">
        <f>+COUNCIL!D84+MAYOR!D84+SPEAKER!D84+MM!D84+CORP!D84+PROP!D84+RATES!D84+THALL!D84+FIN!D84+SOCIAL!D84+CEMETERY!D84+LIBRARIES!D84+HOUSING!D84+TRAFFIC!D84+PARKS!D84+REFUSE!D84+SEWAGE!D84+PWORKS!D84+WATER!D84+ELECTRIC!D84</f>
        <v>184904</v>
      </c>
      <c r="F84" s="85"/>
      <c r="G84" s="85"/>
      <c r="H84" s="85"/>
    </row>
    <row r="85" spans="1:8" x14ac:dyDescent="0.25">
      <c r="A85" s="118"/>
      <c r="B85" s="246"/>
      <c r="C85" s="94" t="s">
        <v>271</v>
      </c>
      <c r="D85" s="94"/>
      <c r="E85" s="85">
        <f>+COUNCIL!D85+MAYOR!D85+SPEAKER!D85+MM!D85+CORP!D85+PROP!D85+RATES!D85+THALL!D85+FIN!D85+SOCIAL!D85+CEMETERY!D85+LIBRARIES!D85+HOUSING!D85+TRAFFIC!D85+PARKS!D85+REFUSE!D85+SEWAGE!D85+PWORKS!D85+WATER!D85+ELECTRIC!D85</f>
        <v>1491423.7</v>
      </c>
      <c r="F85" s="85"/>
      <c r="G85" s="85"/>
      <c r="H85" s="85"/>
    </row>
    <row r="86" spans="1:8" x14ac:dyDescent="0.25">
      <c r="A86" s="118"/>
      <c r="B86" s="246"/>
      <c r="C86" s="94" t="s">
        <v>272</v>
      </c>
      <c r="D86" s="94"/>
      <c r="E86" s="85">
        <f>+COUNCIL!D86+MAYOR!D86+SPEAKER!D86+MM!D86+CORP!D86+PROP!D86+RATES!D86+THALL!D86+FIN!D86+SOCIAL!D86+CEMETERY!D86+LIBRARIES!D86+HOUSING!D86+TRAFFIC!D86+PARKS!D86+REFUSE!D86+SEWAGE!D86+PWORKS!D86+WATER!D86+ELECTRIC!D86</f>
        <v>10134.84</v>
      </c>
      <c r="F86" s="85"/>
      <c r="G86" s="85"/>
      <c r="H86" s="85"/>
    </row>
    <row r="87" spans="1:8" x14ac:dyDescent="0.25">
      <c r="A87" s="118"/>
      <c r="B87" s="246"/>
      <c r="C87" s="94" t="s">
        <v>273</v>
      </c>
      <c r="D87" s="94"/>
      <c r="E87" s="85">
        <f>+COUNCIL!D87+MAYOR!D87+SPEAKER!D87+MM!D87+CORP!D87+PROP!D87+RATES!D87+THALL!D87+FIN!D87+SOCIAL!D87+CEMETERY!D87+LIBRARIES!D87+HOUSING!D87+TRAFFIC!D87+PARKS!D87+REFUSE!D87+SEWAGE!D87+PWORKS!D87+WATER!D87+ELECTRIC!D87</f>
        <v>153383</v>
      </c>
      <c r="F87" s="85"/>
      <c r="G87" s="85"/>
      <c r="H87" s="85"/>
    </row>
    <row r="88" spans="1:8" x14ac:dyDescent="0.25">
      <c r="A88" s="118"/>
      <c r="B88" s="246"/>
      <c r="C88" s="94" t="s">
        <v>274</v>
      </c>
      <c r="D88" s="94"/>
      <c r="E88" s="85">
        <f>+COUNCIL!D88+MAYOR!D88+SPEAKER!D88+MM!D88+CORP!D88+PROP!D88+RATES!D88+THALL!D88+FIN!D88+SOCIAL!D88+CEMETERY!D88+LIBRARIES!D88+HOUSING!D88+TRAFFIC!D88+PARKS!D88+REFUSE!D88+SEWAGE!D88+PWORKS!D88+WATER!D88+ELECTRIC!D88</f>
        <v>698780</v>
      </c>
      <c r="F88" s="85"/>
      <c r="G88" s="85"/>
      <c r="H88" s="85"/>
    </row>
    <row r="89" spans="1:8" x14ac:dyDescent="0.25">
      <c r="A89" s="118"/>
      <c r="B89" s="246"/>
      <c r="C89" s="94" t="s">
        <v>275</v>
      </c>
      <c r="D89" s="94"/>
      <c r="E89" s="85">
        <f>+COUNCIL!D89+MAYOR!D89+SPEAKER!D89+MM!D89+CORP!D89+PROP!D89+RATES!D89+THALL!D89+FIN!D89+SOCIAL!D89+CEMETERY!D89+LIBRARIES!D89+HOUSING!D89+TRAFFIC!D89+PARKS!D89+REFUSE!D89+SEWAGE!D89+PWORKS!D89+WATER!D89+ELECTRIC!D89</f>
        <v>757796</v>
      </c>
      <c r="F89" s="85"/>
      <c r="G89" s="85"/>
      <c r="H89" s="85"/>
    </row>
    <row r="90" spans="1:8" x14ac:dyDescent="0.25">
      <c r="A90" s="118"/>
      <c r="B90" s="246"/>
      <c r="C90" s="159" t="s">
        <v>276</v>
      </c>
      <c r="D90" s="159"/>
      <c r="E90" s="85">
        <f>+COUNCIL!D90+MAYOR!D90+SPEAKER!D90+MM!D90+CORP!D90+PROP!D90+RATES!D90+THALL!D90+FIN!D90+SOCIAL!D90+CEMETERY!D90+LIBRARIES!D90+HOUSING!D90+TRAFFIC!D90+PARKS!D90+REFUSE!D90+SEWAGE!D90+PWORKS!D90+WATER!D90+ELECTRIC!D90</f>
        <v>3810214</v>
      </c>
      <c r="F90" s="85"/>
      <c r="G90" s="85"/>
      <c r="H90" s="85"/>
    </row>
    <row r="91" spans="1:8" x14ac:dyDescent="0.25">
      <c r="A91" s="118"/>
      <c r="B91" s="246"/>
      <c r="C91" s="159" t="s">
        <v>277</v>
      </c>
      <c r="D91" s="159"/>
      <c r="E91" s="85">
        <f>+COUNCIL!D91+MAYOR!D91+SPEAKER!D91+MM!D91+CORP!D91+PROP!D91+RATES!D91+THALL!D91+FIN!D91+SOCIAL!D91+CEMETERY!D91+LIBRARIES!D91+HOUSING!D91+TRAFFIC!D91+PARKS!D91+REFUSE!D91+SEWAGE!D91+PWORKS!D91+WATER!D91+ELECTRIC!D91</f>
        <v>570446</v>
      </c>
      <c r="F91" s="85"/>
      <c r="G91" s="85"/>
      <c r="H91" s="85"/>
    </row>
    <row r="92" spans="1:8" x14ac:dyDescent="0.25">
      <c r="A92" s="118"/>
      <c r="B92" s="246"/>
      <c r="C92" s="159" t="s">
        <v>278</v>
      </c>
      <c r="D92" s="159"/>
      <c r="E92" s="85">
        <f>+COUNCIL!D92+MAYOR!D92+SPEAKER!D92+MM!D92+CORP!D92+PROP!D92+RATES!D92+THALL!D92+FIN!D92+SOCIAL!D92+CEMETERY!D92+LIBRARIES!D92+HOUSING!D92+TRAFFIC!D92+PARKS!D92+REFUSE!D92+SEWAGE!D92+PWORKS!D92+WATER!D92+ELECTRIC!D92</f>
        <v>49984</v>
      </c>
      <c r="F92" s="85"/>
      <c r="G92" s="85"/>
      <c r="H92" s="85"/>
    </row>
    <row r="93" spans="1:8" x14ac:dyDescent="0.25">
      <c r="A93" s="118"/>
      <c r="B93" s="246"/>
      <c r="C93" s="159" t="s">
        <v>279</v>
      </c>
      <c r="D93" s="159"/>
      <c r="E93" s="85"/>
      <c r="F93" s="85"/>
      <c r="G93" s="85"/>
      <c r="H93" s="85"/>
    </row>
    <row r="94" spans="1:8" x14ac:dyDescent="0.25">
      <c r="A94" s="118"/>
      <c r="B94" s="246"/>
      <c r="C94" s="159" t="s">
        <v>501</v>
      </c>
      <c r="D94" s="159"/>
      <c r="E94" s="85">
        <f>+COUNCIL!D94+MAYOR!D94+SPEAKER!D94+MM!D94+CORP!D94+PROP!D94+RATES!D94+THALL!D94+FIN!D94+SOCIAL!D94+CEMETERY!D94+LIBRARIES!D94+HOUSING!D94+TRAFFIC!D94+PARKS!D94+REFUSE!D94+SEWAGE!D94+PWORKS!D94+WATER!D94+ELECTRIC!D94</f>
        <v>161799</v>
      </c>
      <c r="F94" s="85"/>
      <c r="G94" s="85"/>
      <c r="H94" s="85"/>
    </row>
    <row r="95" spans="1:8" hidden="1" x14ac:dyDescent="0.25">
      <c r="A95" s="118"/>
      <c r="B95" s="246"/>
      <c r="C95" s="159" t="s">
        <v>281</v>
      </c>
      <c r="D95" s="159"/>
      <c r="E95" s="85"/>
      <c r="F95" s="85"/>
      <c r="G95" s="85"/>
      <c r="H95" s="85"/>
    </row>
    <row r="96" spans="1:8" hidden="1" x14ac:dyDescent="0.25">
      <c r="A96" s="118"/>
      <c r="B96" s="246"/>
      <c r="C96" s="159" t="s">
        <v>282</v>
      </c>
      <c r="D96" s="159"/>
      <c r="E96" s="85"/>
      <c r="F96" s="85"/>
      <c r="G96" s="85"/>
      <c r="H96" s="85"/>
    </row>
    <row r="97" spans="1:8" hidden="1" x14ac:dyDescent="0.25">
      <c r="A97" s="118"/>
      <c r="B97" s="246"/>
      <c r="C97" s="159" t="s">
        <v>283</v>
      </c>
      <c r="D97" s="159"/>
      <c r="E97" s="85"/>
      <c r="F97" s="85"/>
      <c r="G97" s="85"/>
      <c r="H97" s="85"/>
    </row>
    <row r="98" spans="1:8" x14ac:dyDescent="0.25">
      <c r="A98" s="118"/>
      <c r="B98" s="246"/>
      <c r="C98" s="159" t="s">
        <v>284</v>
      </c>
      <c r="D98" s="159"/>
      <c r="E98" s="85">
        <f>+COUNCIL!D98+MAYOR!D98+SPEAKER!D98+MM!D98+CORP!D103+PROP!D98+RATES!D98+THALL!D98+FIN!D98+SOCIAL!D98+CEMETERY!D98+LIBRARIES!D98+HOUSING!D98+TRAFFIC!D98+PARKS!D98+REFUSE!D98+SEWAGE!D98+PWORKS!D98+WATER!D98+ELECTRIC!D98</f>
        <v>193621.44</v>
      </c>
      <c r="F98" s="85"/>
      <c r="G98" s="85"/>
      <c r="H98" s="85"/>
    </row>
    <row r="99" spans="1:8" x14ac:dyDescent="0.25">
      <c r="A99" s="118"/>
      <c r="B99" s="246"/>
      <c r="C99" s="159" t="s">
        <v>285</v>
      </c>
      <c r="D99" s="159"/>
      <c r="E99" s="85"/>
      <c r="F99" s="85"/>
      <c r="G99" s="85"/>
      <c r="H99" s="85"/>
    </row>
    <row r="100" spans="1:8" x14ac:dyDescent="0.25">
      <c r="A100" s="118"/>
      <c r="B100" s="246"/>
      <c r="C100" s="159" t="s">
        <v>286</v>
      </c>
      <c r="D100" s="159"/>
      <c r="E100" s="85">
        <f>+COUNCIL!D100+MAYOR!D100+SPEAKER!D100+MM!D100+CORP!D100+PROP!D100+RATES!D100+THALL!D100+FIN!D100+SOCIAL!D100+CEMETERY!D100+LIBRARIES!D100+HOUSING!D100+TRAFFIC!D100+PARKS!D100+REFUSE!D100+SEWAGE!D100+PWORKS!D100+WATER!D100+ELECTRIC!D100</f>
        <v>594249</v>
      </c>
      <c r="F100" s="85"/>
      <c r="G100" s="85"/>
      <c r="H100" s="85"/>
    </row>
    <row r="101" spans="1:8" x14ac:dyDescent="0.25">
      <c r="A101" s="118"/>
      <c r="B101" s="246"/>
      <c r="C101" s="159" t="s">
        <v>400</v>
      </c>
      <c r="D101" s="159"/>
      <c r="E101" s="85">
        <f>+COUNCIL!D101+MAYOR!D101+SPEAKER!D101+MM!D101+CORP!D101+PROP!D101+RATES!D101+THALL!D101+FIN!D101+SOCIAL!D101+CEMETERY!D101+LIBRARIES!D101+HOUSING!D101+TRAFFIC!D101+PARKS!D101+REFUSE!D101+SEWAGE!D101+PWORKS!D101+WATER!D101+ELECTRIC!D101</f>
        <v>470230</v>
      </c>
      <c r="F101" s="85"/>
      <c r="G101" s="85"/>
      <c r="H101" s="85"/>
    </row>
    <row r="102" spans="1:8" x14ac:dyDescent="0.25">
      <c r="A102" s="118"/>
      <c r="B102" s="246"/>
      <c r="C102" s="159" t="s">
        <v>288</v>
      </c>
      <c r="D102" s="159"/>
      <c r="E102" s="85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F102" s="85"/>
      <c r="G102" s="85"/>
      <c r="H102" s="85"/>
    </row>
    <row r="103" spans="1:8" x14ac:dyDescent="0.25">
      <c r="A103" s="118"/>
      <c r="B103" s="246"/>
      <c r="C103" s="94" t="s">
        <v>504</v>
      </c>
      <c r="D103" s="94"/>
      <c r="E103" s="85"/>
      <c r="F103" s="85"/>
      <c r="G103" s="85"/>
      <c r="H103" s="85"/>
    </row>
    <row r="104" spans="1:8" x14ac:dyDescent="0.25">
      <c r="A104" s="118"/>
      <c r="B104" s="246"/>
      <c r="C104" s="94" t="s">
        <v>294</v>
      </c>
      <c r="D104" s="94"/>
      <c r="E104" s="85">
        <f>+COUNCIL!D109+MAYOR!D109+SPEAKER!D109+MM!D109+CORP!D109+PROP!D109+RATES!D109+THALL!D109+FIN!D109+SOCIAL!D109+CEMETERY!D109+LIBRARIES!D109+HOUSING!D109+TRAFFIC!D109+PARKS!D109+REFUSE!D109+SEWAGE!D109+PWORKS!D109+WATER!D109+ELECTRIC!D109</f>
        <v>143906</v>
      </c>
      <c r="F104" s="85"/>
      <c r="G104" s="85"/>
      <c r="H104" s="85"/>
    </row>
    <row r="105" spans="1:8" x14ac:dyDescent="0.25">
      <c r="A105" s="118"/>
      <c r="B105" s="246"/>
      <c r="C105" s="94" t="s">
        <v>295</v>
      </c>
      <c r="D105" s="94"/>
      <c r="E105" s="85">
        <f>+COUNCIL!D110+MAYOR!D110+SPEAKER!D110+MM!D110+CORP!D110+PROP!D110+RATES!D110+THALL!D110+FIN!D110+SOCIAL!D110+CEMETERY!D110+LIBRARIES!D110+HOUSING!D110+TRAFFIC!D110+PARKS!D110+REFUSE!D110+SEWAGE!D110+PWORKS!D110+WATER!D110+ELECTRIC!D110</f>
        <v>243190</v>
      </c>
      <c r="F105" s="85"/>
      <c r="G105" s="85"/>
      <c r="H105" s="85"/>
    </row>
    <row r="106" spans="1:8" ht="18.75" hidden="1" customHeight="1" x14ac:dyDescent="0.25">
      <c r="A106" s="118"/>
      <c r="B106" s="246"/>
      <c r="C106" s="94"/>
      <c r="D106" s="94"/>
      <c r="E106" s="85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F106" s="85"/>
      <c r="G106" s="85"/>
      <c r="H106" s="85"/>
    </row>
    <row r="107" spans="1:8" hidden="1" x14ac:dyDescent="0.25">
      <c r="A107" s="118"/>
      <c r="B107" s="246"/>
      <c r="C107" s="94" t="s">
        <v>298</v>
      </c>
      <c r="D107" s="94"/>
      <c r="E107" s="85"/>
      <c r="F107" s="85"/>
      <c r="G107" s="85"/>
      <c r="H107" s="85"/>
    </row>
    <row r="108" spans="1:8" hidden="1" x14ac:dyDescent="0.25">
      <c r="A108" s="118"/>
      <c r="B108" s="246"/>
      <c r="C108" s="94" t="s">
        <v>299</v>
      </c>
      <c r="D108" s="94"/>
      <c r="E108" s="85"/>
      <c r="F108" s="85"/>
      <c r="G108" s="85"/>
      <c r="H108" s="85"/>
    </row>
    <row r="109" spans="1:8" hidden="1" x14ac:dyDescent="0.25">
      <c r="A109" s="118"/>
      <c r="B109" s="246"/>
      <c r="C109" s="94" t="s">
        <v>300</v>
      </c>
      <c r="D109" s="94"/>
      <c r="E109" s="85"/>
      <c r="F109" s="85"/>
      <c r="G109" s="85"/>
      <c r="H109" s="85"/>
    </row>
    <row r="110" spans="1:8" hidden="1" x14ac:dyDescent="0.25">
      <c r="A110" s="118"/>
      <c r="B110" s="246"/>
      <c r="C110" s="94" t="s">
        <v>301</v>
      </c>
      <c r="D110" s="94"/>
      <c r="E110" s="85"/>
      <c r="F110" s="85"/>
      <c r="G110" s="85"/>
      <c r="H110" s="85"/>
    </row>
    <row r="111" spans="1:8" x14ac:dyDescent="0.25">
      <c r="A111" s="118"/>
      <c r="B111" s="246"/>
      <c r="C111" s="94" t="s">
        <v>302</v>
      </c>
      <c r="D111" s="94"/>
      <c r="E111" s="85">
        <f>+COUNCIL!D116+MAYOR!D116+SPEAKER!D116+MM!D116+CORP!D116+PROP!D116+RATES!D116+THALL!D116+FIN!D116+SOCIAL!D116+CEMETERY!D116+LIBRARIES!D116+HOUSING!D116+TRAFFIC!D116+PARKS!D116+REFUSE!D116+SEWAGE!D116+PWORKS!D116+WATER!D116+ELECTRIC!D116</f>
        <v>1228821</v>
      </c>
      <c r="F111" s="85"/>
      <c r="G111" s="85"/>
      <c r="H111" s="85"/>
    </row>
    <row r="112" spans="1:8" x14ac:dyDescent="0.25">
      <c r="A112" s="118"/>
      <c r="B112" s="246"/>
      <c r="C112" s="94" t="s">
        <v>303</v>
      </c>
      <c r="D112" s="94"/>
      <c r="E112" s="85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F112" s="85"/>
      <c r="G112" s="85"/>
      <c r="H112" s="85"/>
    </row>
    <row r="113" spans="1:8" x14ac:dyDescent="0.25">
      <c r="A113" s="118"/>
      <c r="B113" s="246"/>
      <c r="C113" s="94" t="s">
        <v>304</v>
      </c>
      <c r="D113" s="94"/>
      <c r="E113" s="85">
        <f>+COUNCIL!D118+MAYOR!D118+SPEAKER!D118+MM!D118+CORP!D118+PROP!D118+RATES!D118+THALL!D118+FIN!D118+SOCIAL!D118+CEMETERY!D118+LIBRARIES!D118+HOUSING!D118+TRAFFIC!D118+PARKS!D118+REFUSE!D118+SEWAGE!D118+PWORKS!D118+WATER!D118+ELECTRIC!D118</f>
        <v>2020</v>
      </c>
      <c r="F113" s="85"/>
      <c r="G113" s="85"/>
      <c r="H113" s="85"/>
    </row>
    <row r="114" spans="1:8" ht="13.5" customHeight="1" x14ac:dyDescent="0.25">
      <c r="A114" s="118"/>
      <c r="B114" s="246"/>
      <c r="C114" s="94" t="s">
        <v>305</v>
      </c>
      <c r="D114" s="94"/>
      <c r="E114" s="85">
        <f>+COUNCIL!D119+MAYOR!D119+SPEAKER!D119+MM!D119+CORP!D119+PROP!D119+RATES!D119+THALL!D119+FIN!D119+SOCIAL!D119+CEMETERY!D119+LIBRARIES!D119+HOUSING!D119+TRAFFIC!D119+PARKS!D119+REFUSE!D119+SEWAGE!D119+PWORKS!D119+WATER!D119+ELECTRIC!D119</f>
        <v>80526</v>
      </c>
      <c r="F114" s="85"/>
      <c r="G114" s="85"/>
      <c r="H114" s="85"/>
    </row>
    <row r="115" spans="1:8" ht="12" customHeight="1" x14ac:dyDescent="0.25">
      <c r="A115" s="118"/>
      <c r="B115" s="246"/>
      <c r="C115" s="94" t="s">
        <v>387</v>
      </c>
      <c r="D115" s="94"/>
      <c r="E115" s="85"/>
      <c r="F115" s="85"/>
      <c r="G115" s="85"/>
      <c r="H115" s="85"/>
    </row>
    <row r="116" spans="1:8" x14ac:dyDescent="0.25">
      <c r="A116" s="118"/>
      <c r="B116" s="246"/>
      <c r="C116" s="94" t="s">
        <v>307</v>
      </c>
      <c r="D116" s="94"/>
      <c r="E116" s="85">
        <f>+COUNCIL!D121+MAYOR!D121+SPEAKER!D121+MM!D121+CORP!D121+PROP!D121+RATES!D121+THALL!D121+FIN!D121+SOCIAL!D121+CEMETERY!D121+LIBRARIES!D121+HOUSING!D121+TRAFFIC!D121+PARKS!D121+REFUSE!D121+SEWAGE!D121+PWORKS!D121+WATER!D121+ELECTRIC!D121</f>
        <v>183228</v>
      </c>
      <c r="F116" s="85"/>
      <c r="G116" s="85"/>
      <c r="H116" s="85"/>
    </row>
    <row r="117" spans="1:8" x14ac:dyDescent="0.25">
      <c r="A117" s="118"/>
      <c r="B117" s="246"/>
      <c r="C117" s="94" t="s">
        <v>308</v>
      </c>
      <c r="D117" s="94"/>
      <c r="E117" s="85">
        <f>+COUNCIL!D122+MAYOR!D122+SPEAKER!D122+MM!D122+CORP!D122+PROP!D122+RATES!D122+THALL!D122+FIN!D122+SOCIAL!D122+CEMETERY!D122+LIBRARIES!D122+HOUSING!D122+TRAFFIC!D122+PARKS!D122+REFUSE!D122+SEWAGE!D122+PWORKS!D122+WATER!D122+ELECTRIC!D122</f>
        <v>58767</v>
      </c>
      <c r="F117" s="85"/>
      <c r="G117" s="85"/>
      <c r="H117" s="85"/>
    </row>
    <row r="118" spans="1:8" x14ac:dyDescent="0.25">
      <c r="A118" s="118"/>
      <c r="B118" s="246"/>
      <c r="C118" s="94" t="s">
        <v>309</v>
      </c>
      <c r="D118" s="94"/>
      <c r="E118" s="85">
        <f>+COUNCIL!D123+MAYOR!D123+SPEAKER!D123+MM!D123+CORP!D123+PROP!D123+RATES!D123+THALL!D123+FIN!D123+SOCIAL!D123+CEMETERY!D123+LIBRARIES!D123+HOUSING!D123+TRAFFIC!D123+PARKS!D123+REFUSE!D123+SEWAGE!D123+PWORKS!D123+WATER!D123+ELECTRIC!D123</f>
        <v>467163</v>
      </c>
      <c r="F118" s="85"/>
      <c r="G118" s="85"/>
      <c r="H118" s="85"/>
    </row>
    <row r="119" spans="1:8" x14ac:dyDescent="0.25">
      <c r="A119" s="118"/>
      <c r="B119" s="246"/>
      <c r="C119" s="94" t="s">
        <v>310</v>
      </c>
      <c r="D119" s="94"/>
      <c r="E119" s="85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F119" s="85"/>
      <c r="G119" s="85"/>
      <c r="H119" s="85"/>
    </row>
    <row r="120" spans="1:8" x14ac:dyDescent="0.25">
      <c r="A120" s="118"/>
      <c r="B120" s="246"/>
      <c r="C120" s="94" t="s">
        <v>311</v>
      </c>
      <c r="D120" s="94"/>
      <c r="E120" s="85">
        <f>+COUNCIL!D125+MAYOR!D125+SPEAKER!D125+MM!D125+CORP!D125+PROP!D125+RATES!D125+THALL!D125+FIN!D125+SOCIAL!D125+CEMETERY!D125+LIBRARIES!D125+HOUSING!D125+TRAFFIC!D125+PARKS!D125+REFUSE!D125+SEWAGE!D125+PWORKS!D125+WATER!D125+ELECTRIC!D125</f>
        <v>7263</v>
      </c>
      <c r="F120" s="85"/>
      <c r="G120" s="85"/>
      <c r="H120" s="85"/>
    </row>
    <row r="121" spans="1:8" hidden="1" x14ac:dyDescent="0.25">
      <c r="A121" s="118"/>
      <c r="B121" s="246"/>
      <c r="C121" s="94" t="s">
        <v>312</v>
      </c>
      <c r="D121" s="94"/>
      <c r="E121" s="85"/>
      <c r="F121" s="85"/>
      <c r="G121" s="85"/>
      <c r="H121" s="85"/>
    </row>
    <row r="122" spans="1:8" hidden="1" x14ac:dyDescent="0.25">
      <c r="A122" s="118"/>
      <c r="B122" s="246"/>
      <c r="C122" s="94" t="s">
        <v>313</v>
      </c>
      <c r="D122" s="94"/>
      <c r="E122" s="85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F122" s="85"/>
      <c r="G122" s="85"/>
      <c r="H122" s="85"/>
    </row>
    <row r="123" spans="1:8" hidden="1" x14ac:dyDescent="0.25">
      <c r="A123" s="118"/>
      <c r="B123" s="246"/>
      <c r="C123" s="94" t="s">
        <v>314</v>
      </c>
      <c r="D123" s="94"/>
      <c r="E123" s="85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F123" s="85"/>
      <c r="G123" s="85"/>
      <c r="H123" s="85"/>
    </row>
    <row r="124" spans="1:8" hidden="1" x14ac:dyDescent="0.25">
      <c r="A124" s="118"/>
      <c r="B124" s="246"/>
      <c r="C124" s="94" t="s">
        <v>315</v>
      </c>
      <c r="D124" s="94"/>
      <c r="E124" s="85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F124" s="85"/>
      <c r="G124" s="85"/>
      <c r="H124" s="85"/>
    </row>
    <row r="125" spans="1:8" hidden="1" x14ac:dyDescent="0.25">
      <c r="A125" s="118"/>
      <c r="B125" s="246"/>
      <c r="C125" s="94" t="s">
        <v>316</v>
      </c>
      <c r="D125" s="94"/>
      <c r="E125" s="85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F125" s="85"/>
      <c r="G125" s="85"/>
      <c r="H125" s="85"/>
    </row>
    <row r="126" spans="1:8" hidden="1" x14ac:dyDescent="0.25">
      <c r="A126" s="118"/>
      <c r="B126" s="246"/>
      <c r="C126" s="94" t="s">
        <v>99</v>
      </c>
      <c r="D126" s="94"/>
      <c r="E126" s="85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F126" s="85"/>
      <c r="G126" s="85"/>
      <c r="H126" s="85"/>
    </row>
    <row r="127" spans="1:8" hidden="1" x14ac:dyDescent="0.25">
      <c r="A127" s="118"/>
      <c r="B127" s="246"/>
      <c r="C127" s="94" t="s">
        <v>114</v>
      </c>
      <c r="D127" s="94"/>
      <c r="E127" s="85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F127" s="85"/>
      <c r="G127" s="85"/>
      <c r="H127" s="85"/>
    </row>
    <row r="128" spans="1:8" x14ac:dyDescent="0.25">
      <c r="A128" s="118"/>
      <c r="B128" s="246"/>
      <c r="C128" s="94" t="s">
        <v>317</v>
      </c>
      <c r="D128" s="94"/>
      <c r="E128" s="85">
        <f>+COUNCIL!D133+MAYOR!D133+SPEAKER!D133+MM!D133+CORP!D133+PROP!D133+RATES!D133+THALL!D133+FIN!D133+SOCIAL!D133+CEMETERY!D133+LIBRARIES!D133+HOUSING!D133+TRAFFIC!D133+PARKS!D133+REFUSE!D133+SEWAGE!D133+PWORKS!D133+WATER!D133+ELECTRIC!D133</f>
        <v>136746</v>
      </c>
      <c r="F128" s="85"/>
      <c r="G128" s="85"/>
      <c r="H128" s="85"/>
    </row>
    <row r="129" spans="1:10" x14ac:dyDescent="0.25">
      <c r="A129" s="118"/>
      <c r="B129" s="246"/>
      <c r="C129" s="94" t="s">
        <v>318</v>
      </c>
      <c r="D129" s="94"/>
      <c r="E129" s="85">
        <f>+COUNCIL!D134+MAYOR!D134+SPEAKER!D134+MM!D134+CORP!D134+PROP!D134+RATES!D134+THALL!D134+FIN!D134+SOCIAL!D134+CEMETERY!D134+LIBRARIES!D134+HOUSING!D134+TRAFFIC!D134+PARKS!D134+REFUSE!D134+SEWAGE!D134+PWORKS!D134+WATER!D134+ELECTRIC!D134</f>
        <v>526749</v>
      </c>
      <c r="F129" s="85"/>
      <c r="G129" s="85"/>
      <c r="H129" s="85"/>
    </row>
    <row r="130" spans="1:10" x14ac:dyDescent="0.25">
      <c r="A130" s="118"/>
      <c r="B130" s="246"/>
      <c r="C130" s="94" t="s">
        <v>319</v>
      </c>
      <c r="D130" s="94"/>
      <c r="E130" s="85">
        <f>+COUNCIL!D135+MAYOR!D135+SPEAKER!D135+MM!D135+CORP!D135+PROP!D135+RATES!D135+THALL!D135+FIN!D135+SOCIAL!D135+CEMETERY!D135+LIBRARIES!D135+HOUSING!D135+TRAFFIC!D135+PARKS!D135+REFUSE!D135+SEWAGE!D135+PWORKS!D135+WATER!D135+ELECTRIC!D135</f>
        <v>324747</v>
      </c>
      <c r="F130" s="85"/>
      <c r="G130" s="85"/>
      <c r="H130" s="85"/>
    </row>
    <row r="131" spans="1:10" hidden="1" x14ac:dyDescent="0.25">
      <c r="A131" s="118"/>
      <c r="B131" s="246"/>
      <c r="C131" s="94" t="s">
        <v>332</v>
      </c>
      <c r="D131" s="94"/>
      <c r="E131" s="85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F131" s="85"/>
      <c r="G131" s="85"/>
      <c r="H131" s="85"/>
    </row>
    <row r="132" spans="1:10" x14ac:dyDescent="0.25">
      <c r="A132" s="118"/>
      <c r="B132" s="246"/>
      <c r="C132" s="94" t="s">
        <v>320</v>
      </c>
      <c r="D132" s="94"/>
      <c r="E132" s="85">
        <f>+COUNCIL!D137+MAYOR!D137+SPEAKER!D137+MM!D137+CORP!D137+PROP!D137+RATES!D137+THALL!D137+FIN!D137+SOCIAL!D137+CEMETERY!D137+LIBRARIES!D137+HOUSING!D137+TRAFFIC!D137+PARKS!D137+REFUSE!D137+SEWAGE!D137+PWORKS!D137+WATER!D137+ELECTRIC!D137</f>
        <v>94153</v>
      </c>
      <c r="F132" s="85"/>
      <c r="G132" s="85"/>
      <c r="H132" s="85"/>
    </row>
    <row r="133" spans="1:10" hidden="1" x14ac:dyDescent="0.25">
      <c r="A133" s="118"/>
      <c r="B133" s="246"/>
      <c r="C133" s="94" t="s">
        <v>321</v>
      </c>
      <c r="D133" s="94"/>
      <c r="E133" s="85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F133" s="85"/>
      <c r="G133" s="85"/>
      <c r="H133" s="85"/>
    </row>
    <row r="134" spans="1:10" hidden="1" x14ac:dyDescent="0.25">
      <c r="A134" s="118"/>
      <c r="B134" s="246"/>
      <c r="C134" s="94" t="s">
        <v>322</v>
      </c>
      <c r="D134" s="94"/>
      <c r="E134" s="85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F134" s="85"/>
      <c r="G134" s="85"/>
      <c r="H134" s="85"/>
    </row>
    <row r="135" spans="1:10" hidden="1" x14ac:dyDescent="0.25">
      <c r="A135" s="118"/>
      <c r="B135" s="246"/>
      <c r="C135" s="94" t="s">
        <v>323</v>
      </c>
      <c r="D135" s="94"/>
      <c r="E135" s="85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F135" s="85"/>
      <c r="G135" s="85"/>
      <c r="H135" s="85"/>
    </row>
    <row r="136" spans="1:10" hidden="1" x14ac:dyDescent="0.25">
      <c r="A136" s="118"/>
      <c r="B136" s="246"/>
      <c r="C136" s="94" t="s">
        <v>324</v>
      </c>
      <c r="D136" s="94"/>
      <c r="E136" s="85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F136" s="85"/>
      <c r="G136" s="85"/>
      <c r="H136" s="85"/>
    </row>
    <row r="137" spans="1:10" hidden="1" x14ac:dyDescent="0.25">
      <c r="A137" s="118"/>
      <c r="B137" s="246"/>
      <c r="C137" s="94" t="s">
        <v>325</v>
      </c>
      <c r="D137" s="94"/>
      <c r="E137" s="85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F137" s="85"/>
      <c r="G137" s="85"/>
      <c r="H137" s="85"/>
    </row>
    <row r="138" spans="1:10" x14ac:dyDescent="0.25">
      <c r="A138" s="118"/>
      <c r="B138" s="246"/>
      <c r="C138" s="94" t="s">
        <v>528</v>
      </c>
      <c r="D138" s="94"/>
      <c r="E138" s="85">
        <f>+COUNCIL!D143+MAYOR!D143+SPEAKER!D143+MM!D143+CORP!D143+PROP!D143+RATES!D143+THALL!D143+FIN!D143+SOCIAL!D143+CEMETERY!D143+LIBRARIES!D143+HOUSING!D143+TRAFFIC!D143+PARKS!D143+REFUSE!D143+SEWAGE!D143+PWORKS!D143+WATER!D143+ELECTRIC!D143</f>
        <v>861474</v>
      </c>
      <c r="F138" s="85"/>
      <c r="G138" s="85"/>
      <c r="H138" s="85"/>
    </row>
    <row r="139" spans="1:10" x14ac:dyDescent="0.25">
      <c r="A139" s="118"/>
      <c r="B139" s="246"/>
      <c r="C139" s="94" t="s">
        <v>331</v>
      </c>
      <c r="D139" s="94"/>
      <c r="E139" s="85">
        <f>+COUNCIL!D144+MAYOR!D144+SPEAKER!D144+MM!D144+CORP!D144+PROP!D144+RATES!D144+THALL!D144+FIN!D144+SOCIAL!D144+CEMETERY!D144+LIBRARIES!D144+HOUSING!D144+TRAFFIC!D144+PARKS!D144+REFUSE!D144+SEWAGE!D144+PWORKS!D144+WATER!D144+ELECTRIC!D144</f>
        <v>316893</v>
      </c>
      <c r="F139" s="85"/>
      <c r="G139" s="85"/>
      <c r="H139" s="85"/>
    </row>
    <row r="140" spans="1:10" hidden="1" x14ac:dyDescent="0.25">
      <c r="A140" s="118"/>
      <c r="B140" s="246"/>
      <c r="C140" s="94" t="s">
        <v>327</v>
      </c>
      <c r="D140" s="94"/>
      <c r="E140" s="85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F140" s="85"/>
      <c r="G140" s="85"/>
      <c r="H140" s="85"/>
    </row>
    <row r="141" spans="1:10" hidden="1" x14ac:dyDescent="0.25">
      <c r="A141" s="118"/>
      <c r="B141" s="246"/>
      <c r="C141" s="94" t="s">
        <v>328</v>
      </c>
      <c r="D141" s="94"/>
      <c r="E141" s="85"/>
      <c r="F141" s="85"/>
      <c r="G141" s="85"/>
      <c r="H141" s="85"/>
    </row>
    <row r="142" spans="1:10" hidden="1" x14ac:dyDescent="0.25">
      <c r="A142" s="118"/>
      <c r="B142" s="246"/>
      <c r="C142" s="94" t="s">
        <v>330</v>
      </c>
      <c r="D142" s="94"/>
      <c r="E142" s="85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F142" s="85"/>
      <c r="G142" s="85"/>
      <c r="H142" s="85"/>
    </row>
    <row r="143" spans="1:10" x14ac:dyDescent="0.25">
      <c r="A143" s="129"/>
      <c r="B143" s="246"/>
      <c r="C143" s="94"/>
      <c r="D143" s="330"/>
      <c r="E143" s="89">
        <f>SUM(E72:E142)</f>
        <v>18959628.329999998</v>
      </c>
      <c r="F143" s="89"/>
      <c r="G143" s="89"/>
      <c r="H143" s="89"/>
      <c r="I143" s="313"/>
      <c r="J143" s="111"/>
    </row>
    <row r="144" spans="1:10" x14ac:dyDescent="0.25">
      <c r="A144" s="129"/>
      <c r="B144" s="246"/>
      <c r="C144" s="93" t="s">
        <v>187</v>
      </c>
      <c r="D144" s="93"/>
      <c r="E144" s="108"/>
      <c r="F144" s="108"/>
      <c r="G144" s="108"/>
      <c r="H144" s="108"/>
    </row>
    <row r="145" spans="1:10" x14ac:dyDescent="0.25">
      <c r="A145" s="118"/>
      <c r="B145" s="246"/>
      <c r="C145" s="94" t="s">
        <v>188</v>
      </c>
      <c r="D145" s="94"/>
      <c r="E145" s="85">
        <f>+COUNCIL!D150+MAYOR!D150+SPEAKER!D150+MM!D150+CORP!D150+PROP!D150+RATES!D150+THALL!D150+FIN!D150+SOCIAL!D150+CEMETERY!D150+LIBRARIES!D150+HOUSING!D150+TRAFFIC!D150+PARKS!D150+REFUSE!D150+SEWAGE!D150+PWORKS!D150+WATER!D150+ELECTRIC!D150</f>
        <v>0</v>
      </c>
      <c r="F145" s="85"/>
      <c r="G145" s="85"/>
      <c r="H145" s="85"/>
    </row>
    <row r="146" spans="1:10" ht="11.25" customHeight="1" x14ac:dyDescent="0.25">
      <c r="A146" s="129"/>
      <c r="B146" s="246"/>
      <c r="C146" s="94"/>
      <c r="D146" s="330"/>
      <c r="E146" s="89">
        <f t="shared" ref="E146" si="10">SUM(E145)</f>
        <v>0</v>
      </c>
      <c r="F146" s="89"/>
      <c r="G146" s="89"/>
      <c r="H146" s="89"/>
    </row>
    <row r="147" spans="1:10" x14ac:dyDescent="0.25">
      <c r="A147" s="129"/>
      <c r="B147" s="246"/>
      <c r="C147" s="93" t="s">
        <v>64</v>
      </c>
      <c r="D147" s="145"/>
      <c r="E147" s="113"/>
      <c r="F147" s="113"/>
      <c r="G147" s="113"/>
      <c r="H147" s="113"/>
    </row>
    <row r="148" spans="1:10" x14ac:dyDescent="0.25">
      <c r="A148" s="118"/>
      <c r="B148" s="246"/>
      <c r="C148" s="94" t="s">
        <v>336</v>
      </c>
      <c r="D148" s="94"/>
      <c r="E148" s="85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F148" s="85"/>
      <c r="G148" s="85"/>
      <c r="H148" s="85"/>
    </row>
    <row r="149" spans="1:10" x14ac:dyDescent="0.25">
      <c r="A149" s="118"/>
      <c r="B149" s="246"/>
      <c r="C149" s="94" t="s">
        <v>337</v>
      </c>
      <c r="D149" s="94"/>
      <c r="E149" s="85">
        <f>+COUNCIL!D154+MAYOR!D154+SPEAKER!D154+MM!D154+CORP!D154+PROP!D154+RATES!D154+THALL!D154+FIN!D154+SOCIAL!D154+CEMETERY!D154+LIBRARIES!D154+HOUSING!D154+TRAFFIC!D154+PARKS!D154+REFUSE!D154+SEWAGE!D154+PWORKS!D154+WATER!D154+ELECTRIC!D154</f>
        <v>397276</v>
      </c>
      <c r="F149" s="85"/>
      <c r="G149" s="85"/>
      <c r="H149" s="85"/>
    </row>
    <row r="150" spans="1:10" x14ac:dyDescent="0.25">
      <c r="A150" s="118"/>
      <c r="B150" s="246"/>
      <c r="C150" s="94" t="s">
        <v>60</v>
      </c>
      <c r="D150" s="94"/>
      <c r="E150" s="85">
        <f>+COUNCIL!D155+MAYOR!D155+SPEAKER!D155+MM!D155+CORP!D155+PROP!D155+RATES!D155+THALL!D155+FIN!D155+SOCIAL!D155+CEMETERY!D155+LIBRARIES!D155+HOUSING!D155+TRAFFIC!D155+PARKS!D155+REFUSE!D155+SEWAGE!D155+PWORKS!D155+WATER!D155+ELECTRIC!D155</f>
        <v>0</v>
      </c>
      <c r="F150" s="85"/>
      <c r="G150" s="85"/>
      <c r="H150" s="85"/>
    </row>
    <row r="151" spans="1:10" x14ac:dyDescent="0.25">
      <c r="A151" s="129"/>
      <c r="B151" s="246"/>
      <c r="C151" s="94"/>
      <c r="D151" s="330"/>
      <c r="E151" s="89">
        <f t="shared" ref="E151" si="11">SUM(E148:E150)</f>
        <v>397276</v>
      </c>
      <c r="F151" s="89"/>
      <c r="G151" s="89"/>
      <c r="H151" s="89"/>
      <c r="I151" s="313"/>
      <c r="J151" s="111"/>
    </row>
    <row r="152" spans="1:10" x14ac:dyDescent="0.25">
      <c r="A152" s="129"/>
      <c r="B152" s="246"/>
      <c r="C152" s="184" t="s">
        <v>65</v>
      </c>
      <c r="D152" s="332"/>
      <c r="E152" s="113"/>
      <c r="F152" s="113"/>
      <c r="G152" s="113"/>
      <c r="H152" s="113"/>
    </row>
    <row r="153" spans="1:10" x14ac:dyDescent="0.25">
      <c r="A153" s="118"/>
      <c r="B153" s="246"/>
      <c r="C153" s="94" t="s">
        <v>378</v>
      </c>
      <c r="D153" s="94"/>
      <c r="E153" s="85">
        <f>+COUNCIL!D158+MAYOR!D158+SPEAKER!D158+MM!D158+CORP!D158+PROP!D158+RATES!D158+THALL!D158+FIN!D158+SOCIAL!D158+CEMETERY!D158+LIBRARIES!D158+HOUSING!D158+TRAFFIC!D158+PARKS!D158+REFUSE!D158+SEWAGE!D158+PWORKS!D158+WATER!D158+ELECTRIC!D158</f>
        <v>0</v>
      </c>
      <c r="F153" s="85"/>
      <c r="G153" s="85"/>
      <c r="H153" s="85"/>
    </row>
    <row r="154" spans="1:10" hidden="1" x14ac:dyDescent="0.25">
      <c r="A154" s="118"/>
      <c r="B154" s="246"/>
      <c r="C154" s="94" t="s">
        <v>339</v>
      </c>
      <c r="D154" s="94"/>
      <c r="E154" s="85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F154" s="85"/>
      <c r="G154" s="85"/>
      <c r="H154" s="85"/>
    </row>
    <row r="155" spans="1:10" x14ac:dyDescent="0.25">
      <c r="A155" s="129"/>
      <c r="B155" s="248"/>
      <c r="C155" s="114"/>
      <c r="D155" s="331"/>
      <c r="E155" s="116">
        <f t="shared" ref="E155" si="12">SUM(E153:E154)</f>
        <v>0</v>
      </c>
      <c r="F155" s="116"/>
      <c r="G155" s="116"/>
      <c r="H155" s="116"/>
      <c r="I155" s="313"/>
    </row>
    <row r="156" spans="1:10" x14ac:dyDescent="0.25">
      <c r="A156" s="129"/>
      <c r="B156" s="248"/>
      <c r="C156" s="93" t="s">
        <v>189</v>
      </c>
      <c r="D156" s="126"/>
      <c r="E156" s="116">
        <f t="shared" ref="E156" si="13">E155+E151+E146+E143+E70+E66+E63+E59+E38+E35+E32+E29+E25+E18</f>
        <v>72810419.609999999</v>
      </c>
      <c r="F156" s="116"/>
      <c r="G156" s="116"/>
      <c r="H156" s="116">
        <f t="shared" ref="H156" si="14">H155+H151+H146+H143+H70+H66+H63+H59+H38+H35+H32+H29+H25+H18</f>
        <v>0</v>
      </c>
      <c r="I156" s="313"/>
      <c r="J156" s="231"/>
    </row>
    <row r="157" spans="1:10" hidden="1" x14ac:dyDescent="0.25">
      <c r="A157" s="129"/>
      <c r="B157" s="246"/>
      <c r="C157" s="93" t="s">
        <v>258</v>
      </c>
      <c r="D157" s="126"/>
      <c r="E157" s="117"/>
      <c r="F157" s="117"/>
      <c r="G157" s="117"/>
      <c r="H157" s="117"/>
    </row>
    <row r="158" spans="1:10" hidden="1" x14ac:dyDescent="0.25">
      <c r="A158" s="118"/>
      <c r="B158" s="246"/>
      <c r="C158" s="94" t="s">
        <v>190</v>
      </c>
      <c r="D158" s="330"/>
      <c r="E158" s="85">
        <f>+COUNCIL!D163+MAYOR!D163+SPEAKER!D163+MM!D163+CORP!D163+PROP!D163+RATES!D163+THALL!D163+FIN!D163+SOCIAL!D163+CEMETERY!D163+LIBRARIES!D163+HOUSING!D163+TRAFFIC!D163+PARKS!D163+REFUSE!D163+SEWAGE!D163+PWORKS!D163+WATER!D163+ELECTRIC!D163</f>
        <v>0</v>
      </c>
      <c r="F158" s="85"/>
      <c r="G158" s="85"/>
      <c r="H158" s="85">
        <f>+COUNCIL!H163+MAYOR!H163+SPEAKER!I163+MM!H163+CORP!H163+PROP!H163+RATES!H163+THALL!H163+FIN!H163+SOCIAL!H163+CEMETERY!H163+LIBRARIES!H163+HOUSING!H163+TRAFFIC!H163+PARKS!H163+REFUSE!H163+SEWAGE!H163+PWORKS!H163+WATER!H163+ELECTRIC!G163</f>
        <v>2580000</v>
      </c>
    </row>
    <row r="159" spans="1:10" hidden="1" x14ac:dyDescent="0.25">
      <c r="A159" s="129"/>
      <c r="B159" s="246"/>
      <c r="C159" s="94"/>
      <c r="D159" s="330"/>
      <c r="E159" s="85">
        <f>+COUNCIL!D164+MAYOR!D164+SPEAKER!D164+MM!D164+CORP!D164+PROP!D164+RATES!D164+THALL!D164+FIN!D164+SOCIAL!D164+CEMETERY!D164+LIBRARIES!D164+HOUSING!D164+TRAFFIC!D164+PARKS!D164+REFUSE!D164+SEWAGE!D164+PWORKS!D164+WATER!D164+ELECTRIC!D164</f>
        <v>0</v>
      </c>
      <c r="F159" s="85"/>
      <c r="G159" s="85"/>
      <c r="H159" s="85">
        <f>+COUNCIL!H164+MAYOR!H164+SPEAKER!I164+MM!H164+CORP!H164+PROP!H164+RATES!H164+THALL!H164+FIN!H164+SOCIAL!H164+CEMETERY!H164+LIBRARIES!H164+HOUSING!H164+TRAFFIC!H164+PARKS!H164+REFUSE!H164+SEWAGE!H164+PWORKS!H164+WATER!H164+ELECTRIC!G164</f>
        <v>10580000</v>
      </c>
    </row>
    <row r="160" spans="1:10" x14ac:dyDescent="0.25">
      <c r="A160" s="156"/>
      <c r="B160" s="249"/>
      <c r="C160" s="119" t="s">
        <v>191</v>
      </c>
      <c r="D160" s="126"/>
      <c r="E160" s="160">
        <f>SUM(E156+E159)</f>
        <v>72810419.609999999</v>
      </c>
      <c r="F160" s="160"/>
      <c r="G160" s="160"/>
      <c r="H160" s="160">
        <f t="shared" ref="H160" si="15">SUM(H156+H159)</f>
        <v>10580000</v>
      </c>
      <c r="I160" s="313"/>
      <c r="J160" s="111"/>
    </row>
    <row r="161" spans="1:11" x14ac:dyDescent="0.25">
      <c r="A161" s="101"/>
      <c r="B161" s="250"/>
      <c r="C161" s="115"/>
      <c r="D161" s="115"/>
      <c r="E161" s="111"/>
      <c r="F161" s="120"/>
      <c r="G161" s="120"/>
      <c r="H161" s="120"/>
      <c r="J161" s="231"/>
    </row>
    <row r="162" spans="1:11" x14ac:dyDescent="0.25">
      <c r="A162" s="101"/>
      <c r="B162" s="250"/>
      <c r="C162" s="115"/>
      <c r="D162" s="115"/>
      <c r="E162" s="111"/>
      <c r="F162" s="111"/>
      <c r="G162" s="111"/>
      <c r="H162" s="111"/>
    </row>
    <row r="163" spans="1:11" x14ac:dyDescent="0.25">
      <c r="A163" s="157"/>
      <c r="B163" s="710" t="s">
        <v>418</v>
      </c>
      <c r="C163" s="710"/>
      <c r="D163" s="710"/>
      <c r="E163" s="711"/>
      <c r="F163" s="277"/>
      <c r="G163" s="277"/>
      <c r="H163" s="277"/>
    </row>
    <row r="164" spans="1:11" x14ac:dyDescent="0.25">
      <c r="A164" s="706" t="s">
        <v>21</v>
      </c>
      <c r="B164" s="707"/>
      <c r="C164" s="150" t="s">
        <v>22</v>
      </c>
      <c r="D164" s="150"/>
      <c r="E164" s="104" t="s">
        <v>24</v>
      </c>
      <c r="F164" s="83" t="s">
        <v>24</v>
      </c>
      <c r="G164" s="104" t="s">
        <v>24</v>
      </c>
      <c r="H164" s="103" t="s">
        <v>24</v>
      </c>
    </row>
    <row r="165" spans="1:11" x14ac:dyDescent="0.25">
      <c r="A165" s="708"/>
      <c r="B165" s="709"/>
      <c r="C165" s="106"/>
      <c r="D165" s="106"/>
      <c r="E165" s="107" t="s">
        <v>384</v>
      </c>
      <c r="F165" s="107" t="s">
        <v>409</v>
      </c>
      <c r="G165" s="107" t="s">
        <v>416</v>
      </c>
      <c r="H165" s="107" t="s">
        <v>533</v>
      </c>
    </row>
    <row r="166" spans="1:11" x14ac:dyDescent="0.25">
      <c r="A166" s="158"/>
      <c r="B166" s="251"/>
      <c r="C166" s="93" t="s">
        <v>98</v>
      </c>
      <c r="D166" s="145"/>
      <c r="E166" s="98"/>
      <c r="F166" s="98"/>
      <c r="G166" s="98"/>
      <c r="H166" s="98"/>
    </row>
    <row r="167" spans="1:11" x14ac:dyDescent="0.25">
      <c r="A167" s="118"/>
      <c r="B167" s="246"/>
      <c r="C167" s="94" t="s">
        <v>99</v>
      </c>
      <c r="D167" s="94"/>
      <c r="E167" s="85">
        <f>+COUNCIL!D172+MAYOR!D172+SPEAKER!D172+MM!D172+CORP!D171+PROP!D172+RATES!D172+THALL!D172+FIN!D172+SOCIAL!D171+CEMETERY!D172+LIBRARIES!D172+HOUSING!D172+TRAFFIC!D172+PARKS!D172+REFUSE!D172+SEWAGE!D172+PWORKS!D172+WATER!D172+ELECTRIC!D172</f>
        <v>9799353</v>
      </c>
      <c r="F167" s="85"/>
      <c r="G167" s="85"/>
      <c r="H167" s="85"/>
      <c r="I167" s="286"/>
    </row>
    <row r="168" spans="1:11" x14ac:dyDescent="0.25">
      <c r="A168" s="118"/>
      <c r="B168" s="246"/>
      <c r="C168" s="94" t="s">
        <v>402</v>
      </c>
      <c r="D168" s="94"/>
      <c r="E168" s="85">
        <f>+COUNCIL!D173+MAYOR!D173+SPEAKER!D173+MM!D173+CORP!D172+PROP!D173+RATES!D173+THALL!D173+FIN!D173+SOCIAL!D172+CEMETERY!D173+LIBRARIES!D173+HOUSING!D173+TRAFFIC!D173+PARKS!D173+REFUSE!D173+SEWAGE!D173+PWORKS!D173+WATER!D173+ELECTRIC!D173</f>
        <v>-1557928</v>
      </c>
      <c r="F168" s="85"/>
      <c r="G168" s="85"/>
      <c r="H168" s="85"/>
      <c r="I168" s="101"/>
    </row>
    <row r="169" spans="1:11" x14ac:dyDescent="0.25">
      <c r="A169" s="129"/>
      <c r="B169" s="246"/>
      <c r="C169" s="94"/>
      <c r="D169" s="330"/>
      <c r="E169" s="99">
        <f t="shared" ref="E169" si="16">SUM(E167:E168)</f>
        <v>8241425</v>
      </c>
      <c r="F169" s="99"/>
      <c r="G169" s="99"/>
      <c r="H169" s="99"/>
    </row>
    <row r="170" spans="1:11" x14ac:dyDescent="0.25">
      <c r="A170" s="129"/>
      <c r="B170" s="246"/>
      <c r="C170" s="93" t="s">
        <v>100</v>
      </c>
      <c r="D170" s="145"/>
      <c r="E170" s="98"/>
      <c r="F170" s="98"/>
      <c r="G170" s="98"/>
      <c r="H170" s="98"/>
    </row>
    <row r="171" spans="1:11" x14ac:dyDescent="0.25">
      <c r="A171" s="118"/>
      <c r="B171" s="246"/>
      <c r="C171" s="94" t="s">
        <v>102</v>
      </c>
      <c r="D171" s="94"/>
      <c r="E171" s="85">
        <f>+COUNCIL!D176+MAYOR!D176+SPEAKER!D176+MM!D176+CORP!D175+PROP!D176+RATES!D176+THALL!D176+FIN!D176+SOCIAL!D175+CEMETERY!D176+LIBRARIES!D176+HOUSING!D176+TRAFFIC!D176+PARKS!D176+REFUSE!D176+SEWAGE!D176+PWORKS!D176+WATER!D176+ELECTRIC!D176</f>
        <v>1078</v>
      </c>
      <c r="F171" s="85"/>
      <c r="G171" s="85"/>
      <c r="H171" s="85"/>
    </row>
    <row r="172" spans="1:11" x14ac:dyDescent="0.25">
      <c r="A172" s="118"/>
      <c r="B172" s="246"/>
      <c r="C172" s="94" t="s">
        <v>343</v>
      </c>
      <c r="D172" s="94"/>
      <c r="E172" s="85">
        <f>+COUNCIL!D177+MAYOR!D177+SPEAKER!D177+MM!D177+CORP!D176+PROP!D177+RATES!D177+THALL!D177+FIN!D177+SOCIAL!D176+CEMETERY!D177+LIBRARIES!D177+HOUSING!D177+TRAFFIC!D177+PARKS!D177+REFUSE!D177+SEWAGE!D177+PWORKS!D177+WATER!D177+ELECTRIC!D177</f>
        <v>43508</v>
      </c>
      <c r="F172" s="85"/>
      <c r="G172" s="85"/>
      <c r="H172" s="85"/>
    </row>
    <row r="173" spans="1:11" x14ac:dyDescent="0.25">
      <c r="A173" s="118"/>
      <c r="B173" s="246"/>
      <c r="C173" s="94" t="s">
        <v>104</v>
      </c>
      <c r="D173" s="94"/>
      <c r="E173" s="85">
        <f>+COUNCIL!D178+MAYOR!D178+SPEAKER!D178+MM!D178+CORP!D177+PROP!D178+RATES!D178+THALL!D178+FIN!D178+SOCIAL!D177+CEMETERY!D178+LIBRARIES!D178+HOUSING!D178+TRAFFIC!D178+PARKS!D178+REFUSE!D178+SEWAGE!D178+PWORKS!D178+WATER!D178+ELECTRIC!D178</f>
        <v>791</v>
      </c>
      <c r="F173" s="85"/>
      <c r="G173" s="85"/>
      <c r="H173" s="85"/>
    </row>
    <row r="174" spans="1:11" x14ac:dyDescent="0.25">
      <c r="A174" s="118"/>
      <c r="B174" s="246"/>
      <c r="C174" s="94" t="s">
        <v>115</v>
      </c>
      <c r="D174" s="94"/>
      <c r="E174" s="85">
        <f>+COUNCIL!D179+MAYOR!D179+SPEAKER!D179+MM!D179+CORP!D178+PROP!D179+RATES!D179+THALL!D179+FIN!D179+SOCIAL!D178+CEMETERY!D179+LIBRARIES!D179+HOUSING!D179+TRAFFIC!D179+PARKS!D179+REFUSE!D179+SEWAGE!D179+PWORKS!D179+WATER!D179+ELECTRIC!D179</f>
        <v>35134</v>
      </c>
      <c r="F174" s="85"/>
      <c r="G174" s="85"/>
      <c r="H174" s="85"/>
    </row>
    <row r="175" spans="1:11" x14ac:dyDescent="0.25">
      <c r="A175" s="118"/>
      <c r="B175" s="246"/>
      <c r="C175" s="94" t="s">
        <v>109</v>
      </c>
      <c r="D175" s="94"/>
      <c r="E175" s="85">
        <f>+COUNCIL!D180+MAYOR!D180+SPEAKER!D180+MM!D180+CORP!D179+PROP!D180+RATES!D180+THALL!D180+FIN!D180+SOCIAL!D179+CEMETERY!D180+LIBRARIES!D180+HOUSING!D180+TRAFFIC!D180+PARKS!D180+REFUSE!D180+SEWAGE!D180+PWORKS!D180+WATER!D180+ELECTRIC!D180</f>
        <v>11409677</v>
      </c>
      <c r="F175" s="85"/>
      <c r="G175" s="85"/>
      <c r="H175" s="85"/>
      <c r="I175" s="109"/>
      <c r="J175" s="167"/>
      <c r="K175" s="167"/>
    </row>
    <row r="176" spans="1:11" x14ac:dyDescent="0.25">
      <c r="A176" s="118"/>
      <c r="B176" s="246"/>
      <c r="C176" s="94" t="s">
        <v>266</v>
      </c>
      <c r="D176" s="94"/>
      <c r="E176" s="85">
        <f>+COUNCIL!D181+MAYOR!D181+SPEAKER!D181+MM!D181+CORP!D180+PROP!D181+RATES!D181+THALL!D181+FIN!D181+SOCIAL!D180+CEMETERY!D181+LIBRARIES!D181+HOUSING!D181+TRAFFIC!D181+PARKS!D181+REFUSE!D181+SEWAGE!D181+PWORKS!D181+WATER!D181+ELECTRIC!D181</f>
        <v>0</v>
      </c>
      <c r="F176" s="85"/>
      <c r="G176" s="85"/>
      <c r="H176" s="85"/>
      <c r="I176" s="101"/>
    </row>
    <row r="177" spans="1:11" x14ac:dyDescent="0.25">
      <c r="A177" s="118"/>
      <c r="B177" s="246"/>
      <c r="C177" s="94" t="s">
        <v>396</v>
      </c>
      <c r="D177" s="94"/>
      <c r="E177" s="85">
        <f>+COUNCIL!D182+MAYOR!D182+SPEAKER!D182+MM!D182+CORP!D181+PROP!D182+RATES!D182+THALL!D182+FIN!D182+SOCIAL!D181+CEMETERY!D182+LIBRARIES!D182+HOUSING!D182+TRAFFIC!D182+PARKS!D182+REFUSE!D182+SEWAGE!D182+PWORKS!D182+WATER!D182+ELECTRIC!D182</f>
        <v>-63277</v>
      </c>
      <c r="F177" s="85"/>
      <c r="G177" s="85"/>
      <c r="H177" s="85"/>
      <c r="I177" s="101"/>
    </row>
    <row r="178" spans="1:11" x14ac:dyDescent="0.25">
      <c r="A178" s="118"/>
      <c r="B178" s="246"/>
      <c r="C178" s="94" t="s">
        <v>113</v>
      </c>
      <c r="D178" s="94"/>
      <c r="E178" s="85">
        <f>+COUNCIL!D183+MAYOR!D183+SPEAKER!D183+MM!D183+CORP!D182+PROP!D183+RATES!D183+THALL!D183+FIN!D183+SOCIAL!D182+CEMETERY!D183+LIBRARIES!D183+HOUSING!D183+TRAFFIC!D183+PARKS!D183+REFUSE!D183+SEWAGE!D183+PWORKS!D183+WATER!D183+ELECTRIC!D183</f>
        <v>2762</v>
      </c>
      <c r="F178" s="85"/>
      <c r="G178" s="85"/>
      <c r="H178" s="85"/>
      <c r="I178" s="109"/>
      <c r="J178" s="167"/>
      <c r="K178" s="167"/>
    </row>
    <row r="179" spans="1:11" hidden="1" x14ac:dyDescent="0.25">
      <c r="A179" s="118"/>
      <c r="B179" s="246"/>
      <c r="C179" s="94" t="s">
        <v>132</v>
      </c>
      <c r="D179" s="94"/>
      <c r="E179" s="85">
        <f>+COUNCIL!D184+MAYOR!D184+SPEAKER!D184+MM!D184+CORP!D183+PROP!D184+RATES!D184+THALL!D184+FIN!D184+SOCIAL!D183+CEMETERY!D184+LIBRARIES!D184+HOUSING!D184+TRAFFIC!D184+PARKS!D184+REFUSE!D184+SEWAGE!D184+PWORKS!D184+WATER!D184+ELECTRIC!D184</f>
        <v>0</v>
      </c>
      <c r="F179" s="85"/>
      <c r="G179" s="85"/>
      <c r="H179" s="85"/>
    </row>
    <row r="180" spans="1:11" x14ac:dyDescent="0.25">
      <c r="A180" s="118"/>
      <c r="B180" s="246"/>
      <c r="C180" s="94" t="s">
        <v>120</v>
      </c>
      <c r="D180" s="94"/>
      <c r="E180" s="85">
        <f>+COUNCIL!D185+MAYOR!D185+SPEAKER!D185+MM!D185+CORP!D184+PROP!D185+RATES!D185+THALL!D185+FIN!D185+SOCIAL!D184+CEMETERY!D185+LIBRARIES!D185+HOUSING!D185+TRAFFIC!D185+PARKS!D185+REFUSE!D185+SEWAGE!D185+PWORKS!D185+WATER!D185+ELECTRIC!D185</f>
        <v>0</v>
      </c>
      <c r="F180" s="85"/>
      <c r="G180" s="85"/>
      <c r="H180" s="85"/>
      <c r="I180" s="109"/>
    </row>
    <row r="181" spans="1:11" hidden="1" x14ac:dyDescent="0.25">
      <c r="A181" s="118"/>
      <c r="B181" s="246"/>
      <c r="C181" s="94" t="s">
        <v>116</v>
      </c>
      <c r="D181" s="94"/>
      <c r="E181" s="85">
        <f>+COUNCIL!D186+MAYOR!D186+SPEAKER!D186+MM!D186+CORP!D185+PROP!D186+RATES!D186+THALL!D186+FIN!D186+SOCIAL!D185+CEMETERY!D186+LIBRARIES!D186+HOUSING!D186+TRAFFIC!D186+PARKS!D186+REFUSE!D186+SEWAGE!D186+PWORKS!D186+WATER!D186+ELECTRIC!D186</f>
        <v>0</v>
      </c>
      <c r="F181" s="85"/>
      <c r="G181" s="85"/>
      <c r="H181" s="85"/>
    </row>
    <row r="182" spans="1:11" hidden="1" x14ac:dyDescent="0.25">
      <c r="A182" s="118"/>
      <c r="B182" s="246"/>
      <c r="C182" s="94" t="s">
        <v>101</v>
      </c>
      <c r="D182" s="94"/>
      <c r="E182" s="85">
        <f>+COUNCIL!D187+MAYOR!D187+SPEAKER!D187+MM!D187+CORP!D186+PROP!D187+RATES!D187+THALL!D187+FIN!D187+SOCIAL!D186+CEMETERY!D187+LIBRARIES!D187+HOUSING!D187+TRAFFIC!D187+PARKS!D187+REFUSE!D187+SEWAGE!D187+PWORKS!D187+WATER!D187+ELECTRIC!D187</f>
        <v>0</v>
      </c>
      <c r="F182" s="85"/>
      <c r="G182" s="85"/>
      <c r="H182" s="85"/>
    </row>
    <row r="183" spans="1:11" x14ac:dyDescent="0.25">
      <c r="A183" s="118"/>
      <c r="B183" s="246"/>
      <c r="C183" s="94" t="s">
        <v>114</v>
      </c>
      <c r="D183" s="94"/>
      <c r="E183" s="85">
        <f>+COUNCIL!D188+MAYOR!D188+SPEAKER!D188+MM!D188+CORP!D187+PROP!D188+RATES!D188+THALL!D188+FIN!D188+SOCIAL!D187+CEMETERY!D188+LIBRARIES!D188+HOUSING!D188+TRAFFIC!D188+PARKS!D188+REFUSE!D188+SEWAGE!D188+PWORKS!D188+WATER!D188+ELECTRIC!D188</f>
        <v>4899569</v>
      </c>
      <c r="F183" s="85"/>
      <c r="G183" s="85"/>
      <c r="H183" s="85"/>
    </row>
    <row r="184" spans="1:11" x14ac:dyDescent="0.25">
      <c r="A184" s="118"/>
      <c r="B184" s="246"/>
      <c r="C184" s="94" t="s">
        <v>403</v>
      </c>
      <c r="D184" s="94"/>
      <c r="E184" s="85">
        <f>+COUNCIL!D189+MAYOR!D189+SPEAKER!D189+MM!D189+CORP!D188+PROP!D189+RATES!D189+THALL!D189+FIN!D189+SOCIAL!D188+CEMETERY!D189+LIBRARIES!D189+HOUSING!D189+TRAFFIC!D189+PARKS!D189+REFUSE!D189+SEWAGE!D189+PWORKS!D189+WATER!D189+ELECTRIC!D189</f>
        <v>-649824</v>
      </c>
      <c r="F184" s="85"/>
      <c r="G184" s="85"/>
      <c r="H184" s="85"/>
    </row>
    <row r="185" spans="1:11" x14ac:dyDescent="0.25">
      <c r="A185" s="118"/>
      <c r="B185" s="246"/>
      <c r="C185" s="94" t="s">
        <v>404</v>
      </c>
      <c r="D185" s="94"/>
      <c r="E185" s="85">
        <f>+COUNCIL!D190+MAYOR!D190+SPEAKER!D190+MM!D190+CORP!D189+PROP!D190+RATES!D190+THALL!D190+FIN!D190+SOCIAL!D189+CEMETERY!D190+LIBRARIES!D190+HOUSING!D190+TRAFFIC!D190+PARKS!D190+REFUSE!D190+SEWAGE!D190+PWORKS!D190+WATER!D190+ELECTRIC!D190</f>
        <v>0</v>
      </c>
      <c r="F185" s="85"/>
      <c r="G185" s="85"/>
      <c r="H185" s="85"/>
    </row>
    <row r="186" spans="1:11" x14ac:dyDescent="0.25">
      <c r="A186" s="118"/>
      <c r="B186" s="246"/>
      <c r="C186" s="94" t="s">
        <v>405</v>
      </c>
      <c r="D186" s="94"/>
      <c r="E186" s="85">
        <f>+COUNCIL!D191+MAYOR!D191+SPEAKER!D191+MM!D191+CORP!D190+PROP!D191+RATES!D191+THALL!D191+FIN!D191+SOCIAL!D190+CEMETERY!D191+LIBRARIES!D191+HOUSING!D191+TRAFFIC!D191+PARKS!D191+REFUSE!D191+SEWAGE!D191+PWORKS!D191+WATER!D191+ELECTRIC!D191</f>
        <v>0</v>
      </c>
      <c r="F186" s="85"/>
      <c r="G186" s="85"/>
      <c r="H186" s="85"/>
    </row>
    <row r="187" spans="1:11" x14ac:dyDescent="0.25">
      <c r="A187" s="118"/>
      <c r="B187" s="246"/>
      <c r="C187" s="94" t="s">
        <v>406</v>
      </c>
      <c r="D187" s="94"/>
      <c r="E187" s="85">
        <f>+COUNCIL!D192+MAYOR!D192+SPEAKER!D192+MM!D192+CORP!D191+PROP!D192+RATES!D192+THALL!D192+FIN!D192+SOCIAL!D191+CEMETERY!D192+LIBRARIES!D192+HOUSING!D192+TRAFFIC!D192+PARKS!D192+REFUSE!D192+SEWAGE!D192+PWORKS!D192+WATER!D192+ELECTRIC!D192</f>
        <v>10019892</v>
      </c>
      <c r="F187" s="85"/>
      <c r="G187" s="85"/>
      <c r="H187" s="85"/>
    </row>
    <row r="188" spans="1:11" x14ac:dyDescent="0.25">
      <c r="A188" s="118"/>
      <c r="B188" s="246"/>
      <c r="C188" s="94" t="s">
        <v>407</v>
      </c>
      <c r="D188" s="94"/>
      <c r="E188" s="85">
        <f>+COUNCIL!D193+MAYOR!D193+SPEAKER!D193+MM!D193+CORP!D192+PROP!D193+RATES!D193+THALL!D193+FIN!D193+SOCIAL!D192+CEMETERY!D193+LIBRARIES!D193+HOUSING!D193+TRAFFIC!D193+PARKS!D193+REFUSE!D193+SEWAGE!D193+PWORKS!D193+WATER!D193+ELECTRIC!D193</f>
        <v>-1104250</v>
      </c>
      <c r="F188" s="85"/>
      <c r="G188" s="85"/>
      <c r="H188" s="85"/>
    </row>
    <row r="189" spans="1:11" x14ac:dyDescent="0.25">
      <c r="A189" s="118"/>
      <c r="B189" s="246"/>
      <c r="C189" s="94" t="s">
        <v>199</v>
      </c>
      <c r="D189" s="94"/>
      <c r="E189" s="85">
        <f>+COUNCIL!D194+MAYOR!D194+SPEAKER!D194+MM!D194+CORP!D193+PROP!D194+RATES!D194+THALL!D194+FIN!D194+SOCIAL!D193+CEMETERY!D194+LIBRARIES!D194+HOUSING!D194+TRAFFIC!D194+PARKS!D194+REFUSE!D194+SEWAGE!D194+PWORKS!D194+WATER!D194+ELECTRIC!D194</f>
        <v>64819</v>
      </c>
      <c r="F189" s="85"/>
      <c r="G189" s="85"/>
      <c r="H189" s="85"/>
    </row>
    <row r="190" spans="1:11" hidden="1" x14ac:dyDescent="0.25">
      <c r="A190" s="118"/>
      <c r="B190" s="246"/>
      <c r="C190" s="94" t="s">
        <v>117</v>
      </c>
      <c r="D190" s="94"/>
      <c r="E190" s="85">
        <f>+COUNCIL!D195+MAYOR!D195+SPEAKER!D195+MM!D195+CORP!D194+PROP!D195+RATES!D195+THALL!D195+FIN!D195+SOCIAL!D194+CEMETERY!D195+LIBRARIES!D195+HOUSING!D195+TRAFFIC!D195+PARKS!D195+REFUSE!D195+SEWAGE!D195+PWORKS!D195+WATER!D195+ELECTRIC!D195</f>
        <v>0</v>
      </c>
      <c r="F190" s="85"/>
      <c r="G190" s="85"/>
      <c r="H190" s="85"/>
    </row>
    <row r="191" spans="1:11" x14ac:dyDescent="0.25">
      <c r="A191" s="118"/>
      <c r="B191" s="246"/>
      <c r="C191" s="115" t="s">
        <v>105</v>
      </c>
      <c r="D191" s="115"/>
      <c r="E191" s="85">
        <f>+COUNCIL!D196+MAYOR!D196+SPEAKER!D196+MM!D196+CORP!D195+PROP!D196+RATES!D196+THALL!D196+FIN!D196+SOCIAL!D195+CEMETERY!D196+LIBRARIES!D196+HOUSING!D196+TRAFFIC!D196+PARKS!D196+REFUSE!D196+SEWAGE!D196+PWORKS!D196+WATER!D196+ELECTRIC!D196</f>
        <v>4408</v>
      </c>
      <c r="F191" s="85"/>
      <c r="G191" s="85"/>
      <c r="H191" s="85"/>
    </row>
    <row r="192" spans="1:11" x14ac:dyDescent="0.25">
      <c r="A192" s="118"/>
      <c r="B192" s="246"/>
      <c r="C192" s="94" t="s">
        <v>118</v>
      </c>
      <c r="D192" s="94"/>
      <c r="E192" s="85">
        <f>+COUNCIL!D197+MAYOR!D197+SPEAKER!D197+MM!D197+CORP!D196+PROP!D197+RATES!D197+THALL!D197+FIN!D197+SOCIAL!D196+CEMETERY!D197+LIBRARIES!D197+HOUSING!D197+TRAFFIC!D197+PARKS!D197+REFUSE!D197+SEWAGE!D197+PWORKS!D197+WATER!D197+ELECTRIC!D197</f>
        <v>8389422</v>
      </c>
      <c r="F192" s="85"/>
      <c r="G192" s="85"/>
      <c r="H192" s="85"/>
    </row>
    <row r="193" spans="1:10" hidden="1" x14ac:dyDescent="0.25">
      <c r="A193" s="118"/>
      <c r="B193" s="246"/>
      <c r="C193" s="94"/>
      <c r="D193" s="94"/>
      <c r="E193" s="85">
        <f>+COUNCIL!D198+MAYOR!D198+SPEAKER!D198+MM!D198+CORP!D197+PROP!D198+RATES!D198+THALL!D198+FIN!D198+SOCIAL!D197+CEMETERY!D198+LIBRARIES!D198+HOUSING!D198+TRAFFIC!D198+PARKS!D198+REFUSE!D198+SEWAGE!D198+PWORKS!D198+WATER!D198+ELECTRIC!D198</f>
        <v>0</v>
      </c>
      <c r="F193" s="85"/>
      <c r="G193" s="85"/>
      <c r="H193" s="85"/>
    </row>
    <row r="194" spans="1:10" x14ac:dyDescent="0.25">
      <c r="A194" s="118"/>
      <c r="B194" s="246"/>
      <c r="C194" s="94" t="s">
        <v>397</v>
      </c>
      <c r="D194" s="94"/>
      <c r="E194" s="85">
        <f>+COUNCIL!D199+MAYOR!D199+SPEAKER!D199+MM!D199+CORP!D198+PROP!D199+RATES!D199+THALL!D199+FIN!D199+SOCIAL!D198+CEMETERY!D199+LIBRARIES!D199+HOUSING!D199+TRAFFIC!D199+PARKS!D199+REFUSE!D199+SEWAGE!D199+PWORKS!D199+WATER!D199+ELECTRIC!D199</f>
        <v>-2012140</v>
      </c>
      <c r="F194" s="85"/>
      <c r="G194" s="85"/>
      <c r="H194" s="85"/>
      <c r="I194" s="101"/>
    </row>
    <row r="195" spans="1:10" x14ac:dyDescent="0.25">
      <c r="A195" s="118"/>
      <c r="B195" s="246"/>
      <c r="C195" s="94" t="s">
        <v>333</v>
      </c>
      <c r="D195" s="94"/>
      <c r="E195" s="85">
        <f>+COUNCIL!D200+MAYOR!D200+SPEAKER!D200+MM!D200+CORP!D199+PROP!D200+RATES!D200+THALL!D200+FIN!D200+SOCIAL!D199+CEMETERY!D200+LIBRARIES!D200+HOUSING!D200+TRAFFIC!D200+PARKS!D200+REFUSE!D200+SEWAGE!D200+PWORKS!D200+WATER!D200+ELECTRIC!D200</f>
        <v>105</v>
      </c>
      <c r="F195" s="85"/>
      <c r="G195" s="85"/>
      <c r="H195" s="85"/>
      <c r="I195" s="101"/>
    </row>
    <row r="196" spans="1:10" hidden="1" x14ac:dyDescent="0.25">
      <c r="A196" s="118"/>
      <c r="B196" s="246"/>
      <c r="C196" s="94" t="s">
        <v>340</v>
      </c>
      <c r="D196" s="94"/>
      <c r="E196" s="85">
        <f>+COUNCIL!D201+MAYOR!D201+SPEAKER!D201+MM!D201+CORP!D200+PROP!D201+RATES!D201+THALL!D201+FIN!D201+SOCIAL!D200+CEMETERY!D201+LIBRARIES!D201+HOUSING!D201+TRAFFIC!D201+PARKS!D201+REFUSE!D201+SEWAGE!D201+PWORKS!D201+WATER!D201+ELECTRIC!D201</f>
        <v>0</v>
      </c>
      <c r="F196" s="85"/>
      <c r="G196" s="85"/>
      <c r="H196" s="85"/>
    </row>
    <row r="197" spans="1:10" x14ac:dyDescent="0.25">
      <c r="A197" s="118"/>
      <c r="B197" s="246"/>
      <c r="C197" s="94" t="s">
        <v>372</v>
      </c>
      <c r="D197" s="94"/>
      <c r="E197" s="85">
        <f>+COUNCIL!D202+MAYOR!D202+SPEAKER!D202+MM!D202+CORP!D201+PROP!D202+RATES!D202+THALL!D202+FIN!D202+SOCIAL!D201+CEMETERY!D202+LIBRARIES!D202+HOUSING!D202+TRAFFIC!D202+PARKS!D202+REFUSE!D202+SEWAGE!D202+PWORKS!D202+WATER!D202+ELECTRIC!D202</f>
        <v>0</v>
      </c>
      <c r="F197" s="85"/>
      <c r="G197" s="85"/>
      <c r="H197" s="85"/>
    </row>
    <row r="198" spans="1:10" x14ac:dyDescent="0.25">
      <c r="A198" s="118"/>
      <c r="B198" s="246"/>
      <c r="C198" s="94" t="s">
        <v>119</v>
      </c>
      <c r="D198" s="94"/>
      <c r="E198" s="85">
        <f>+COUNCIL!D203+MAYOR!D203+SPEAKER!D203+MM!D203+CORP!D202+PROP!D203+RATES!D203+THALL!D203+FIN!D203+SOCIAL!D202+CEMETERY!D203+LIBRARIES!D203+HOUSING!D203+TRAFFIC!D203+PARKS!D203+REFUSE!D203+SEWAGE!D203+PWORKS!D203+WATER!D203+ELECTRIC!D203</f>
        <v>1241</v>
      </c>
      <c r="F198" s="85"/>
      <c r="G198" s="85"/>
      <c r="H198" s="85"/>
    </row>
    <row r="199" spans="1:10" hidden="1" x14ac:dyDescent="0.25">
      <c r="A199" s="118"/>
      <c r="B199" s="246"/>
      <c r="C199" s="94" t="s">
        <v>514</v>
      </c>
      <c r="D199" s="94"/>
      <c r="E199" s="85">
        <f>+COUNCIL!D204+MAYOR!D204+SPEAKER!D204+MM!D204+CORP!D203+PROP!D204+RATES!D204+THALL!D204+FIN!D204+SOCIAL!D203+CEMETERY!D204+LIBRARIES!D204+HOUSING!D204+TRAFFIC!D204+PARKS!D204+REFUSE!D204+SEWAGE!D204+PWORKS!D204+WATER!D204+ELECTRIC!D204</f>
        <v>0</v>
      </c>
      <c r="F199" s="85"/>
      <c r="G199" s="85"/>
      <c r="H199" s="85"/>
    </row>
    <row r="200" spans="1:10" x14ac:dyDescent="0.25">
      <c r="A200" s="118"/>
      <c r="B200" s="246"/>
      <c r="C200" s="94" t="s">
        <v>512</v>
      </c>
      <c r="D200" s="94"/>
      <c r="E200" s="85">
        <f>+COUNCIL!D205+MAYOR!D205+SPEAKER!D205+MM!D205+CORP!D204+PROP!D205+RATES!D205+THALL!D205+FIN!D205+SOCIAL!D204+CEMETERY!D205+LIBRARIES!D205+HOUSING!D205+TRAFFIC!D205+PARKS!D205+REFUSE!D205+SEWAGE!D205+PWORKS!D205+WATER!D205+ELECTRIC!D205</f>
        <v>4075627</v>
      </c>
      <c r="F200" s="85"/>
      <c r="G200" s="85"/>
      <c r="H200" s="85"/>
    </row>
    <row r="201" spans="1:10" x14ac:dyDescent="0.25">
      <c r="A201" s="129"/>
      <c r="B201" s="246"/>
      <c r="C201" s="94"/>
      <c r="D201" s="330"/>
      <c r="E201" s="100">
        <f>SUM(E171:E200)</f>
        <v>35118542</v>
      </c>
      <c r="F201" s="100"/>
      <c r="G201" s="100"/>
      <c r="H201" s="100"/>
      <c r="I201" s="95"/>
      <c r="J201" s="231"/>
    </row>
    <row r="202" spans="1:10" x14ac:dyDescent="0.25">
      <c r="A202" s="129"/>
      <c r="B202" s="246"/>
      <c r="C202" s="93" t="s">
        <v>66</v>
      </c>
      <c r="D202" s="145"/>
      <c r="E202" s="98"/>
      <c r="F202" s="98"/>
      <c r="G202" s="98"/>
      <c r="H202" s="98"/>
      <c r="I202" s="95"/>
    </row>
    <row r="203" spans="1:10" x14ac:dyDescent="0.25">
      <c r="A203" s="118"/>
      <c r="B203" s="246"/>
      <c r="C203" s="94" t="s">
        <v>342</v>
      </c>
      <c r="D203" s="94"/>
      <c r="E203" s="85">
        <f>+COUNCIL!D208+MAYOR!D208+SPEAKER!D208+MM!D208+CORP!D207+PROP!D208+RATES!D208+THALL!D208+FIN!D208+SOCIAL!D207+CEMETERY!D208+LIBRARIES!D208+HOUSING!D208+TRAFFIC!D208+PARKS!D208+REFUSE!D208+SEWAGE!D208+PWORKS!D208+WATER!D208+ELECTRIC!D208</f>
        <v>31585</v>
      </c>
      <c r="F203" s="85"/>
      <c r="G203" s="85"/>
      <c r="H203" s="85"/>
    </row>
    <row r="204" spans="1:10" x14ac:dyDescent="0.25">
      <c r="A204" s="118"/>
      <c r="B204" s="246"/>
      <c r="C204" s="94" t="s">
        <v>344</v>
      </c>
      <c r="D204" s="94"/>
      <c r="E204" s="85">
        <f>+COUNCIL!D209+MAYOR!D209+SPEAKER!D209+MM!D209+CORP!D208+PROP!D209+RATES!D209+THALL!D209+FIN!D209+SOCIAL!D208+CEMETERY!D209+LIBRARIES!D209+HOUSING!D209+TRAFFIC!D209+PARKS!D209+REFUSE!D209+SEWAGE!D209+PWORKS!D209+WATER!D209+ELECTRIC!D209</f>
        <v>469</v>
      </c>
      <c r="F204" s="85"/>
      <c r="G204" s="85"/>
      <c r="H204" s="85"/>
    </row>
    <row r="205" spans="1:10" hidden="1" x14ac:dyDescent="0.25">
      <c r="A205" s="118"/>
      <c r="B205" s="246"/>
      <c r="C205" s="94" t="s">
        <v>345</v>
      </c>
      <c r="D205" s="94"/>
      <c r="E205" s="85">
        <f>+COUNCIL!D210+MAYOR!D210+SPEAKER!D210+MM!D210+CORP!D209+PROP!D210+RATES!D210+THALL!D210+FIN!D210+SOCIAL!D209+CEMETERY!D210+LIBRARIES!D210+HOUSING!D210+TRAFFIC!D210+PARKS!D210+REFUSE!D210+SEWAGE!D210+PWORKS!D210+WATER!D210+ELECTRIC!D210</f>
        <v>0</v>
      </c>
      <c r="F205" s="85"/>
      <c r="G205" s="85"/>
      <c r="H205" s="85"/>
    </row>
    <row r="206" spans="1:10" x14ac:dyDescent="0.25">
      <c r="A206" s="118"/>
      <c r="B206" s="246"/>
      <c r="C206" s="94" t="s">
        <v>346</v>
      </c>
      <c r="D206" s="94"/>
      <c r="E206" s="85">
        <f>+COUNCIL!D211+MAYOR!D211+SPEAKER!D211+MM!D211+CORP!D210+PROP!D211+RATES!D211+THALL!D211+FIN!D211+SOCIAL!D210+CEMETERY!D211+LIBRARIES!D211+HOUSING!D211+TRAFFIC!D211+PARKS!D211+REFUSE!D211+SEWAGE!D211+PWORKS!D211+WATER!D211+ELECTRIC!D211</f>
        <v>535</v>
      </c>
      <c r="F206" s="85"/>
      <c r="G206" s="85"/>
      <c r="H206" s="85"/>
    </row>
    <row r="207" spans="1:10" x14ac:dyDescent="0.25">
      <c r="A207" s="129"/>
      <c r="B207" s="246"/>
      <c r="C207" s="94"/>
      <c r="D207" s="330"/>
      <c r="E207" s="99">
        <f t="shared" ref="E207" si="17">SUM(E203:E206)</f>
        <v>32589</v>
      </c>
      <c r="F207" s="99"/>
      <c r="G207" s="99"/>
      <c r="H207" s="99"/>
    </row>
    <row r="208" spans="1:10" x14ac:dyDescent="0.25">
      <c r="A208" s="129"/>
      <c r="B208" s="246"/>
      <c r="C208" s="93" t="s">
        <v>67</v>
      </c>
      <c r="D208" s="145"/>
      <c r="E208" s="98"/>
      <c r="F208" s="98"/>
      <c r="G208" s="98"/>
      <c r="H208" s="98"/>
    </row>
    <row r="209" spans="1:10" x14ac:dyDescent="0.25">
      <c r="A209" s="118"/>
      <c r="B209" s="246"/>
      <c r="C209" s="94" t="s">
        <v>68</v>
      </c>
      <c r="D209" s="94"/>
      <c r="E209" s="85">
        <f>+COUNCIL!D214+MAYOR!D214+SPEAKER!D214+MM!D214+CORP!D213+PROP!D214+RATES!D214+THALL!D214+FIN!D214+SOCIAL!D213+CEMETERY!D214+LIBRARIES!D214+HOUSING!D214+TRAFFIC!D214+PARKS!D214+REFUSE!D214+SEWAGE!D214+PWORKS!D214+WATER!D214+ELECTRIC!D214</f>
        <v>0</v>
      </c>
      <c r="F209" s="85"/>
      <c r="G209" s="85"/>
      <c r="H209" s="85"/>
    </row>
    <row r="210" spans="1:10" x14ac:dyDescent="0.25">
      <c r="A210" s="118"/>
      <c r="B210" s="246"/>
      <c r="C210" s="94" t="s">
        <v>69</v>
      </c>
      <c r="D210" s="94"/>
      <c r="E210" s="85">
        <f>+COUNCIL!D215+MAYOR!D215+SPEAKER!D215+MM!D215+CORP!D214+PROP!D215+RATES!D215+THALL!D215+FIN!D215+SOCIAL!D214+CEMETERY!D215+LIBRARIES!D215+HOUSING!D215+TRAFFIC!D215+PARKS!D215+REFUSE!D215+SEWAGE!D215+PWORKS!D215+WATER!D215+ELECTRIC!D215</f>
        <v>819</v>
      </c>
      <c r="F210" s="85"/>
      <c r="G210" s="85"/>
      <c r="H210" s="85"/>
    </row>
    <row r="211" spans="1:10" x14ac:dyDescent="0.25">
      <c r="A211" s="129"/>
      <c r="B211" s="246"/>
      <c r="C211" s="94"/>
      <c r="D211" s="330"/>
      <c r="E211" s="99">
        <f t="shared" ref="E211" si="18">SUM(E209:E210)</f>
        <v>819</v>
      </c>
      <c r="F211" s="99"/>
      <c r="G211" s="99"/>
      <c r="H211" s="99"/>
    </row>
    <row r="212" spans="1:10" x14ac:dyDescent="0.25">
      <c r="A212" s="129"/>
      <c r="B212" s="246"/>
      <c r="C212" s="93" t="s">
        <v>70</v>
      </c>
      <c r="D212" s="145"/>
      <c r="E212" s="98"/>
      <c r="F212" s="98"/>
      <c r="G212" s="98"/>
      <c r="H212" s="98"/>
    </row>
    <row r="213" spans="1:10" x14ac:dyDescent="0.25">
      <c r="A213" s="118"/>
      <c r="B213" s="246"/>
      <c r="C213" s="94" t="s">
        <v>106</v>
      </c>
      <c r="D213" s="94"/>
      <c r="E213" s="85">
        <f>+COUNCIL!D218+MAYOR!D218+SPEAKER!D218+MM!D218+CORP!D217+PROP!D218+RATES!D218+THALL!D218+FIN!D218+SOCIAL!D217+CEMETERY!D218+LIBRARIES!D218+HOUSING!D218+TRAFFIC!D218+PARKS!D218+REFUSE!D218+SEWAGE!D218+PWORKS!D218+WATER!D218+ELECTRIC!D218</f>
        <v>3015235</v>
      </c>
      <c r="F213" s="85"/>
      <c r="G213" s="85"/>
      <c r="H213" s="85"/>
    </row>
    <row r="214" spans="1:10" hidden="1" x14ac:dyDescent="0.25">
      <c r="A214" s="118"/>
      <c r="B214" s="246"/>
      <c r="C214" s="94" t="s">
        <v>71</v>
      </c>
      <c r="D214" s="94"/>
      <c r="E214" s="85">
        <f>+COUNCIL!D219+MAYOR!D219+SPEAKER!D219+MM!D219+CORP!D218+PROP!D219+RATES!D219+THALL!D219+FIN!D219+SOCIAL!D218+CEMETERY!D219+LIBRARIES!D219+HOUSING!D219+TRAFFIC!D219+PARKS!D219+REFUSE!D219+SEWAGE!D219+PWORKS!D219+WATER!D219+ELECTRIC!D219</f>
        <v>0</v>
      </c>
      <c r="F214" s="85"/>
      <c r="G214" s="85"/>
      <c r="H214" s="85"/>
    </row>
    <row r="215" spans="1:10" hidden="1" x14ac:dyDescent="0.25">
      <c r="A215" s="118"/>
      <c r="B215" s="246"/>
      <c r="C215" s="94" t="s">
        <v>72</v>
      </c>
      <c r="D215" s="94"/>
      <c r="E215" s="85">
        <f>+COUNCIL!D220+MAYOR!D220+SPEAKER!D220+MM!D220+CORP!D219+PROP!D220+RATES!D220+THALL!D220+FIN!D220+SOCIAL!D219+CEMETERY!D220+LIBRARIES!D220+HOUSING!D220+TRAFFIC!D220+PARKS!D220+REFUSE!D220+SEWAGE!D220+PWORKS!D220+WATER!D220+ELECTRIC!D220</f>
        <v>0</v>
      </c>
      <c r="F215" s="85"/>
      <c r="G215" s="85"/>
      <c r="H215" s="85"/>
    </row>
    <row r="216" spans="1:10" x14ac:dyDescent="0.25">
      <c r="A216" s="129"/>
      <c r="B216" s="246"/>
      <c r="C216" s="94"/>
      <c r="D216" s="330"/>
      <c r="E216" s="99">
        <f t="shared" ref="E216" si="19">SUM(E213:E215)</f>
        <v>3015235</v>
      </c>
      <c r="F216" s="99"/>
      <c r="G216" s="99"/>
      <c r="H216" s="99"/>
    </row>
    <row r="217" spans="1:10" x14ac:dyDescent="0.25">
      <c r="A217" s="129"/>
      <c r="B217" s="246"/>
      <c r="C217" s="93" t="s">
        <v>73</v>
      </c>
      <c r="D217" s="145"/>
      <c r="E217" s="98"/>
      <c r="F217" s="98"/>
      <c r="G217" s="98"/>
      <c r="H217" s="98"/>
    </row>
    <row r="218" spans="1:10" x14ac:dyDescent="0.25">
      <c r="A218" s="118"/>
      <c r="B218" s="246"/>
      <c r="C218" s="94" t="s">
        <v>349</v>
      </c>
      <c r="D218" s="94"/>
      <c r="E218" s="85">
        <f>+COUNCIL!D223+MAYOR!D223+SPEAKER!D223+MM!D223+CORP!D222+PROP!D223+RATES!D223+THALL!D223+FIN!D223+SOCIAL!D222+CEMETERY!D223+LIBRARIES!D223+HOUSING!D223+TRAFFIC!D223+PARKS!D223+REFUSE!D223+SEWAGE!D223+PWORKS!D223+WATER!D223+ELECTRIC!D223</f>
        <v>0</v>
      </c>
      <c r="F218" s="85"/>
      <c r="G218" s="85"/>
      <c r="H218" s="85"/>
    </row>
    <row r="219" spans="1:10" x14ac:dyDescent="0.25">
      <c r="A219" s="118"/>
      <c r="B219" s="246"/>
      <c r="C219" s="94" t="s">
        <v>348</v>
      </c>
      <c r="D219" s="94"/>
      <c r="E219" s="85">
        <f>+COUNCIL!D224+MAYOR!D224+SPEAKER!D224+MM!D224+CORP!D223+PROP!D224+RATES!D224+THALL!D224+FIN!D224+SOCIAL!D223+CEMETERY!D224+LIBRARIES!D224+HOUSING!D224+TRAFFIC!D224+PARKS!D224+REFUSE!D224+SEWAGE!D224+PWORKS!D224+WATER!D224+ELECTRIC!D224</f>
        <v>2300</v>
      </c>
      <c r="F219" s="85"/>
      <c r="G219" s="85"/>
      <c r="H219" s="85"/>
    </row>
    <row r="220" spans="1:10" x14ac:dyDescent="0.25">
      <c r="A220" s="129"/>
      <c r="B220" s="246"/>
      <c r="C220" s="94"/>
      <c r="D220" s="330"/>
      <c r="E220" s="100">
        <f t="shared" ref="E220" si="20">SUM(E218:E219)</f>
        <v>2300</v>
      </c>
      <c r="F220" s="100"/>
      <c r="G220" s="100"/>
      <c r="H220" s="100"/>
    </row>
    <row r="221" spans="1:10" ht="13.5" customHeight="1" x14ac:dyDescent="0.25">
      <c r="A221" s="129"/>
      <c r="B221" s="246"/>
      <c r="C221" s="93" t="s">
        <v>74</v>
      </c>
      <c r="D221" s="145"/>
      <c r="E221" s="98"/>
      <c r="F221" s="98"/>
      <c r="G221" s="98"/>
      <c r="H221" s="98"/>
      <c r="J221" s="167"/>
    </row>
    <row r="222" spans="1:10" x14ac:dyDescent="0.25">
      <c r="A222" s="118"/>
      <c r="B222" s="246"/>
      <c r="C222" s="94" t="s">
        <v>75</v>
      </c>
      <c r="D222" s="94"/>
      <c r="E222" s="85">
        <f>+COUNCIL!D227+MAYOR!D227+SPEAKER!D227+MM!D227+CORP!D226+PROP!D227+RATES!D227+THALL!D227+FIN!D227+SOCIAL!D226+CEMETERY!D227+LIBRARIES!D227+HOUSING!D227+TRAFFIC!D227+PARKS!D227+REFUSE!D227+SEWAGE!D227+PWORKS!D227+WATER!D227+ELECTRIC!D227</f>
        <v>60966000</v>
      </c>
      <c r="F222" s="85"/>
      <c r="G222" s="85"/>
      <c r="H222" s="85"/>
      <c r="I222" s="109"/>
    </row>
    <row r="223" spans="1:10" hidden="1" x14ac:dyDescent="0.25">
      <c r="A223" s="118"/>
      <c r="B223" s="246"/>
      <c r="C223" s="94" t="s">
        <v>131</v>
      </c>
      <c r="D223" s="94"/>
      <c r="E223" s="85">
        <f>+COUNCIL!D228+MAYOR!D228+SPEAKER!D228+MM!D228+CORP!D227+PROP!D228+RATES!D228+THALL!D228+FIN!D228+SOCIAL!D227+CEMETERY!D228+LIBRARIES!D228+HOUSING!D228+TRAFFIC!D228+PARKS!D228+REFUSE!D228+SEWAGE!D228+PWORKS!D228+WATER!D228+ELECTRIC!D228</f>
        <v>0</v>
      </c>
      <c r="F223" s="85"/>
      <c r="G223" s="85"/>
      <c r="H223" s="85"/>
    </row>
    <row r="224" spans="1:10" hidden="1" x14ac:dyDescent="0.25">
      <c r="A224" s="118"/>
      <c r="B224" s="246"/>
      <c r="C224" s="94" t="s">
        <v>182</v>
      </c>
      <c r="D224" s="94"/>
      <c r="E224" s="85">
        <f>+COUNCIL!D229+MAYOR!D229+SPEAKER!D229+MM!D229+CORP!D228+PROP!D229+RATES!D229+THALL!D229+FIN!D229+SOCIAL!D228+CEMETERY!D229+LIBRARIES!D229+HOUSING!D229+TRAFFIC!D229+PARKS!D229+REFUSE!D229+SEWAGE!D229+PWORKS!D229+WATER!D229+ELECTRIC!D229</f>
        <v>0</v>
      </c>
      <c r="F224" s="85"/>
      <c r="G224" s="85"/>
      <c r="H224" s="85"/>
    </row>
    <row r="225" spans="1:8" hidden="1" x14ac:dyDescent="0.25">
      <c r="A225" s="118"/>
      <c r="B225" s="246"/>
      <c r="C225" s="94" t="s">
        <v>255</v>
      </c>
      <c r="D225" s="94"/>
      <c r="E225" s="85">
        <f>+COUNCIL!D230+MAYOR!D230+SPEAKER!D230+MM!D230+CORP!D229+PROP!D230+RATES!D230+THALL!D230+FIN!D230+SOCIAL!D229+CEMETERY!D230+LIBRARIES!D230+HOUSING!D230+TRAFFIC!D230+PARKS!D230+REFUSE!D230+SEWAGE!D230+PWORKS!D230+WATER!D230+ELECTRIC!D230</f>
        <v>0</v>
      </c>
      <c r="F225" s="85"/>
      <c r="G225" s="85"/>
      <c r="H225" s="85"/>
    </row>
    <row r="226" spans="1:8" hidden="1" x14ac:dyDescent="0.25">
      <c r="A226" s="118"/>
      <c r="B226" s="246"/>
      <c r="C226" s="94" t="s">
        <v>108</v>
      </c>
      <c r="D226" s="94"/>
      <c r="E226" s="85">
        <f>+COUNCIL!D231+MAYOR!D231+SPEAKER!D231+MM!D231+CORP!D230+PROP!D231+RATES!D231+THALL!D231+FIN!D231+SOCIAL!D230+CEMETERY!D231+LIBRARIES!D231+HOUSING!D231+TRAFFIC!D231+PARKS!D231+REFUSE!D231+SEWAGE!D231+PWORKS!D231+WATER!D231+ELECTRIC!D231</f>
        <v>0</v>
      </c>
      <c r="F226" s="85"/>
      <c r="G226" s="85"/>
      <c r="H226" s="85"/>
    </row>
    <row r="227" spans="1:8" x14ac:dyDescent="0.25">
      <c r="A227" s="118"/>
      <c r="B227" s="246"/>
      <c r="C227" s="94" t="s">
        <v>76</v>
      </c>
      <c r="D227" s="94"/>
      <c r="E227" s="85">
        <f>+COUNCIL!D232+MAYOR!D232+SPEAKER!D232+MM!D232+CORP!D231+PROP!D232+RATES!D232+THALL!D232+FIN!D232+SOCIAL!D231+CEMETERY!D232+LIBRARIES!D232+HOUSING!D232+TRAFFIC!D232+PARKS!D232+REFUSE!D232+SEWAGE!D232+PWORKS!D232+WATER!D232+ELECTRIC!D232</f>
        <v>1650000</v>
      </c>
      <c r="F227" s="85"/>
      <c r="G227" s="85"/>
      <c r="H227" s="85"/>
    </row>
    <row r="228" spans="1:8" x14ac:dyDescent="0.25">
      <c r="A228" s="118"/>
      <c r="B228" s="246"/>
      <c r="C228" s="94" t="s">
        <v>507</v>
      </c>
      <c r="D228" s="94"/>
      <c r="E228" s="85">
        <f>+COUNCIL!D233+MAYOR!D233+SPEAKER!D233+MM!D233+CORP!D232+PROP!D233+RATES!D233+THALL!D233+FIN!D233+SOCIAL!D232+CEMETERY!D233+LIBRARIES!D233+HOUSING!D233+TRAFFIC!D233+PARKS!D233+REFUSE!D233+SEWAGE!D233+PWORKS!D233+WATER!D233+ELECTRIC!D233</f>
        <v>0</v>
      </c>
      <c r="F228" s="85"/>
      <c r="G228" s="85"/>
      <c r="H228" s="85"/>
    </row>
    <row r="229" spans="1:8" hidden="1" x14ac:dyDescent="0.25">
      <c r="A229" s="118"/>
      <c r="B229" s="246"/>
      <c r="C229" s="94" t="s">
        <v>184</v>
      </c>
      <c r="D229" s="94"/>
      <c r="E229" s="85">
        <f>+COUNCIL!D234+MAYOR!D234+SPEAKER!D234+MM!D234+CORP!D233+PROP!D234+RATES!D234+THALL!D234+FIN!D234+SOCIAL!D233+CEMETERY!D234+LIBRARIES!D234+HOUSING!D234+TRAFFIC!D234+PARKS!D234+REFUSE!D234+SEWAGE!D234+PWORKS!D234+WATER!D234+ELECTRIC!D234</f>
        <v>0</v>
      </c>
      <c r="F229" s="85"/>
      <c r="G229" s="85"/>
      <c r="H229" s="85"/>
    </row>
    <row r="230" spans="1:8" hidden="1" x14ac:dyDescent="0.25">
      <c r="A230" s="118"/>
      <c r="B230" s="246"/>
      <c r="C230" s="94" t="s">
        <v>77</v>
      </c>
      <c r="D230" s="94"/>
      <c r="E230" s="85">
        <f>+COUNCIL!D235+MAYOR!D235+SPEAKER!D235+MM!D235+CORP!D234+PROP!D235+RATES!D235+THALL!D235+FIN!D235+SOCIAL!D234+CEMETERY!D235+LIBRARIES!D235+HOUSING!D235+TRAFFIC!D235+PARKS!D235+REFUSE!D235+SEWAGE!D235+PWORKS!D235+WATER!D235+ELECTRIC!D235</f>
        <v>0</v>
      </c>
      <c r="F230" s="85"/>
      <c r="G230" s="85"/>
      <c r="H230" s="85"/>
    </row>
    <row r="231" spans="1:8" x14ac:dyDescent="0.25">
      <c r="A231" s="118"/>
      <c r="B231" s="246"/>
      <c r="C231" s="94" t="s">
        <v>78</v>
      </c>
      <c r="D231" s="94"/>
      <c r="E231" s="85">
        <f>+COUNCIL!D236+MAYOR!D236+SPEAKER!D236+MM!D236+CORP!D235+PROP!D236+RATES!D236+THALL!D236+FIN!D236+SOCIAL!D235+CEMETERY!D236+LIBRARIES!D236+HOUSING!D236+TRAFFIC!D236+PARKS!D236+REFUSE!D236+SEWAGE!D236+PWORKS!D236+WATER!D236+ELECTRIC!D236</f>
        <v>23577000</v>
      </c>
      <c r="F231" s="85"/>
      <c r="G231" s="85"/>
      <c r="H231" s="85"/>
    </row>
    <row r="232" spans="1:8" x14ac:dyDescent="0.25">
      <c r="A232" s="118"/>
      <c r="B232" s="246"/>
      <c r="C232" s="94" t="s">
        <v>200</v>
      </c>
      <c r="D232" s="94"/>
      <c r="E232" s="85">
        <f>+COUNCIL!D237+MAYOR!D237+SPEAKER!D237+MM!D237+CORP!D236+PROP!D237+RATES!D237+THALL!D237+FIN!D237+SOCIAL!D236+CEMETERY!D237+LIBRARIES!D237+HOUSING!D237+TRAFFIC!D237+PARKS!D237+REFUSE!D237+SEWAGE!D237+PWORKS!D237+WATER!D237+ELECTRIC!D237</f>
        <v>890000</v>
      </c>
      <c r="F232" s="85"/>
      <c r="G232" s="85"/>
      <c r="H232" s="85"/>
    </row>
    <row r="233" spans="1:8" x14ac:dyDescent="0.25">
      <c r="A233" s="118"/>
      <c r="B233" s="246"/>
      <c r="C233" s="94" t="s">
        <v>505</v>
      </c>
      <c r="D233" s="94"/>
      <c r="E233" s="85">
        <f>+COUNCIL!D238+MAYOR!D238+SPEAKER!D238+MM!D238+CORP!D237+PROP!D238+RATES!D238+THALL!D238+FIN!D238+SOCIAL!D237+CEMETERY!D238+LIBRARIES!D238+HOUSING!D238+TRAFFIC!D238+PARKS!D238+REFUSE!D238+SEWAGE!D238+PWORKS!D238+WATER!D238+ELECTRIC!D238</f>
        <v>700000</v>
      </c>
      <c r="F233" s="85"/>
      <c r="G233" s="85"/>
      <c r="H233" s="85"/>
    </row>
    <row r="234" spans="1:8" x14ac:dyDescent="0.25">
      <c r="A234" s="118"/>
      <c r="B234" s="246"/>
      <c r="C234" s="94" t="s">
        <v>496</v>
      </c>
      <c r="D234" s="94"/>
      <c r="E234" s="85">
        <f>+COUNCIL!D239+MAYOR!D239+SPEAKER!D239+MM!D239+CORP!D238+PROP!D239+RATES!D239+THALL!D239+FIN!D239+SOCIAL!D238+CEMETERY!D239+LIBRARIES!D239+HOUSING!D239+TRAFFIC!D239+PARKS!D239+REFUSE!D239+SEWAGE!D239+PWORKS!D239+WATER!D239+ELECTRIC!D239</f>
        <v>3929257</v>
      </c>
      <c r="F234" s="85"/>
      <c r="G234" s="85"/>
      <c r="H234" s="85"/>
    </row>
    <row r="235" spans="1:8" x14ac:dyDescent="0.25">
      <c r="A235" s="129"/>
      <c r="B235" s="246"/>
      <c r="C235" s="94"/>
      <c r="D235" s="330"/>
      <c r="E235" s="99">
        <f t="shared" ref="E235" si="21">SUM(E222:E234)</f>
        <v>91712257</v>
      </c>
      <c r="F235" s="99"/>
      <c r="G235" s="99"/>
      <c r="H235" s="99"/>
    </row>
    <row r="236" spans="1:8" x14ac:dyDescent="0.25">
      <c r="A236" s="129"/>
      <c r="B236" s="246"/>
      <c r="C236" s="93" t="s">
        <v>79</v>
      </c>
      <c r="D236" s="145"/>
      <c r="E236" s="98"/>
      <c r="F236" s="98"/>
      <c r="G236" s="98"/>
      <c r="H236" s="98"/>
    </row>
    <row r="237" spans="1:8" x14ac:dyDescent="0.25">
      <c r="A237" s="118"/>
      <c r="B237" s="246"/>
      <c r="C237" s="94" t="s">
        <v>123</v>
      </c>
      <c r="D237" s="94"/>
      <c r="E237" s="85">
        <f>+COUNCIL!D242+MAYOR!D242+SPEAKER!D242+MM!D242+CORP!D241+PROP!D242+RATES!D242+THALL!D242+FIN!D242+SOCIAL!D241+CEMETERY!D242+LIBRARIES!D242+HOUSING!D242+TRAFFIC!D242+PARKS!D242+REFUSE!D242+SEWAGE!D242+PWORKS!D242+WATER!D242+ELECTRIC!D242</f>
        <v>39662</v>
      </c>
      <c r="F237" s="85"/>
      <c r="G237" s="85"/>
      <c r="H237" s="85"/>
    </row>
    <row r="238" spans="1:8" x14ac:dyDescent="0.25">
      <c r="A238" s="118"/>
      <c r="B238" s="246"/>
      <c r="C238" s="94" t="s">
        <v>242</v>
      </c>
      <c r="D238" s="94"/>
      <c r="E238" s="85">
        <f>+COUNCIL!D243+MAYOR!D243+SPEAKER!D243+MM!D243+CORP!D242+PROP!D243+RATES!D243+THALL!D243+FIN!D243+SOCIAL!D242+CEMETERY!D243+LIBRARIES!D243+HOUSING!D243+TRAFFIC!D243+PARKS!D243+REFUSE!D243+SEWAGE!D243+PWORKS!D243+WATER!D243+ELECTRIC!D243</f>
        <v>2433</v>
      </c>
      <c r="F238" s="85"/>
      <c r="G238" s="85"/>
      <c r="H238" s="85"/>
    </row>
    <row r="239" spans="1:8" x14ac:dyDescent="0.25">
      <c r="A239" s="118"/>
      <c r="B239" s="246"/>
      <c r="C239" s="94" t="s">
        <v>183</v>
      </c>
      <c r="D239" s="94"/>
      <c r="E239" s="85">
        <f>+COUNCIL!D244+MAYOR!D244+SPEAKER!D244+MM!D244+CORP!D243+PROP!D244+RATES!D244+THALL!D244+FIN!D244+SOCIAL!D243+CEMETERY!D244+LIBRARIES!D244+HOUSING!D244+TRAFFIC!D244+PARKS!D244+REFUSE!D244+SEWAGE!D244+PWORKS!D244+WATER!D244+ELECTRIC!D244</f>
        <v>47229</v>
      </c>
      <c r="F239" s="85"/>
      <c r="G239" s="85"/>
      <c r="H239" s="85"/>
    </row>
    <row r="240" spans="1:8" x14ac:dyDescent="0.25">
      <c r="A240" s="118"/>
      <c r="B240" s="246"/>
      <c r="C240" s="94" t="s">
        <v>103</v>
      </c>
      <c r="D240" s="94"/>
      <c r="E240" s="85">
        <f>+COUNCIL!D245+MAYOR!D245+SPEAKER!D245+MM!D245+CORP!D244+PROP!D245+RATES!D245+THALL!D245+FIN!D245+SOCIAL!D244+CEMETERY!D245+LIBRARIES!D245+HOUSING!D245+TRAFFIC!D245+PARKS!D245+REFUSE!D245+SEWAGE!D245+PWORKS!D245+WATER!D245+ELECTRIC!D245</f>
        <v>0</v>
      </c>
      <c r="F240" s="85"/>
      <c r="G240" s="85"/>
      <c r="H240" s="85"/>
    </row>
    <row r="241" spans="1:11" x14ac:dyDescent="0.25">
      <c r="A241" s="118"/>
      <c r="B241" s="246"/>
      <c r="C241" s="94" t="s">
        <v>107</v>
      </c>
      <c r="D241" s="94"/>
      <c r="E241" s="85">
        <f>+COUNCIL!D246+MAYOR!D246+SPEAKER!D246+MM!D246+CORP!D245+PROP!D246+RATES!D246+THALL!D246+FIN!D246+SOCIAL!D245+CEMETERY!D246+LIBRARIES!D246+HOUSING!D246+TRAFFIC!D246+PARKS!D246+REFUSE!D246+SEWAGE!D246+PWORKS!D246+WATER!D246+ELECTRIC!D246</f>
        <v>0</v>
      </c>
      <c r="F241" s="85"/>
      <c r="G241" s="85"/>
      <c r="H241" s="85"/>
    </row>
    <row r="242" spans="1:11" x14ac:dyDescent="0.25">
      <c r="A242" s="118"/>
      <c r="B242" s="246"/>
      <c r="C242" s="94" t="s">
        <v>519</v>
      </c>
      <c r="D242" s="94"/>
      <c r="E242" s="85">
        <f>+COUNCIL!D247+MAYOR!D247+SPEAKER!D247+MM!D247+CORP!D246+PROP!D247+RATES!D247+THALL!D247+FIN!D247+SOCIAL!D246+CEMETERY!D247+LIBRARIES!D247+HOUSING!D247+TRAFFIC!D247+PARKS!D247+REFUSE!D247+SEWAGE!D247+PWORKS!D247+WATER!D247+ELECTRIC!D247</f>
        <v>976</v>
      </c>
      <c r="F242" s="85"/>
      <c r="G242" s="85"/>
      <c r="H242" s="85"/>
    </row>
    <row r="243" spans="1:11" x14ac:dyDescent="0.25">
      <c r="A243" s="129"/>
      <c r="B243" s="246"/>
      <c r="C243" s="94"/>
      <c r="D243" s="330">
        <f t="shared" ref="D243" si="22">SUM(D237:D242)</f>
        <v>0</v>
      </c>
      <c r="E243" s="99">
        <f t="shared" ref="E243" si="23">SUM(E237:E242)</f>
        <v>90300</v>
      </c>
      <c r="F243" s="99"/>
      <c r="G243" s="99"/>
      <c r="H243" s="99">
        <f t="shared" ref="H243" si="24">SUM(H237:H242)</f>
        <v>0</v>
      </c>
    </row>
    <row r="244" spans="1:11" hidden="1" x14ac:dyDescent="0.25">
      <c r="A244" s="129"/>
      <c r="B244" s="246"/>
      <c r="C244" s="93" t="s">
        <v>80</v>
      </c>
      <c r="D244" s="126"/>
      <c r="E244" s="98"/>
      <c r="F244" s="98"/>
      <c r="G244" s="98"/>
      <c r="H244" s="98"/>
    </row>
    <row r="245" spans="1:11" hidden="1" x14ac:dyDescent="0.25">
      <c r="A245" s="118"/>
      <c r="B245" s="246"/>
      <c r="C245" s="94" t="s">
        <v>81</v>
      </c>
      <c r="D245" s="330" t="e">
        <f>+COUNCIL!C250+MAYOR!C250+SPEAKER!C250+MM!C250+CORP!C249+PROP!C250+RATES!C250+THALL!C250+FIN!C250+SOCIAL!C249+CEMETERY!C250+LIBRARIES!C250+HOUSING!C250+TRAFFIC!C250+PARKS!C250+REFUSE!C250+SEWAGE!C250+PWORKS!C250+WATER!C250+ELECTRIC!C250</f>
        <v>#VALUE!</v>
      </c>
      <c r="E245" s="85">
        <f>+COUNCIL!D250+MAYOR!D250+SPEAKER!D250+MM!D250+CORP!D249+PROP!D250+RATES!D250+THALL!D250+FIN!D250+SOCIAL!D249+CEMETERY!D250+LIBRARIES!D250+HOUSING!D250+TRAFFIC!D250+PARKS!D250+REFUSE!D250+SEWAGE!D250+PWORKS!D250+WATER!D250+ELECTRIC!D250</f>
        <v>0</v>
      </c>
      <c r="F245" s="85"/>
      <c r="G245" s="85"/>
      <c r="H245" s="85">
        <f>+COUNCIL!H250+MAYOR!H250+SPEAKER!I250+MM!H250+CORP!H249+PROP!H250+RATES!H250+THALL!H250+FIN!H250+SOCIAL!H249+CEMETERY!H250+LIBRARIES!H250+HOUSING!H250+TRAFFIC!H250+PARKS!H250+REFUSE!H250+SEWAGE!H250+PWORKS!H250+WATER!H250+ELECTRIC!G250</f>
        <v>0</v>
      </c>
    </row>
    <row r="246" spans="1:11" hidden="1" x14ac:dyDescent="0.25">
      <c r="A246" s="129"/>
      <c r="B246" s="246"/>
      <c r="C246" s="94"/>
      <c r="D246" s="330" t="e">
        <f t="shared" ref="D246" si="25">D245</f>
        <v>#VALUE!</v>
      </c>
      <c r="E246" s="99">
        <f t="shared" ref="E246" si="26">E245</f>
        <v>0</v>
      </c>
      <c r="F246" s="99"/>
      <c r="G246" s="99"/>
      <c r="H246" s="99">
        <f t="shared" ref="H246" si="27">H245</f>
        <v>0</v>
      </c>
    </row>
    <row r="247" spans="1:11" x14ac:dyDescent="0.25">
      <c r="A247" s="129"/>
      <c r="B247" s="248"/>
      <c r="C247" s="93" t="s">
        <v>192</v>
      </c>
      <c r="D247" s="126">
        <f t="shared" ref="D247" si="28">+D169+D201+D207+D211+D216+D220+D235+D243</f>
        <v>0</v>
      </c>
      <c r="E247" s="117">
        <f>+E169+E201+E207+E211+E216+E220+E235+E243</f>
        <v>138213467</v>
      </c>
      <c r="F247" s="117"/>
      <c r="G247" s="117"/>
      <c r="H247" s="117">
        <f t="shared" ref="H247" si="29">+H169+H201+H207+H211+H216+H220+H235+H243</f>
        <v>0</v>
      </c>
      <c r="I247" s="101"/>
    </row>
    <row r="248" spans="1:11" hidden="1" x14ac:dyDescent="0.25">
      <c r="A248" s="129"/>
      <c r="B248" s="246"/>
      <c r="C248" s="94"/>
      <c r="D248" s="330"/>
      <c r="E248" s="117"/>
      <c r="F248" s="117"/>
      <c r="G248" s="117"/>
      <c r="H248" s="117"/>
    </row>
    <row r="249" spans="1:11" hidden="1" x14ac:dyDescent="0.25">
      <c r="A249" s="129"/>
      <c r="B249" s="246"/>
      <c r="C249" s="145" t="s">
        <v>193</v>
      </c>
      <c r="D249" s="126"/>
      <c r="E249" s="124"/>
      <c r="F249" s="146"/>
      <c r="G249" s="124"/>
      <c r="H249" s="124"/>
    </row>
    <row r="250" spans="1:11" hidden="1" x14ac:dyDescent="0.25">
      <c r="A250" s="118"/>
      <c r="B250" s="246"/>
      <c r="C250" s="118" t="s">
        <v>194</v>
      </c>
      <c r="D250" s="330" t="e">
        <f>+COUNCIL!C255+MAYOR!C255+SPEAKER!C255+MM!C255+CORP!C254+PROP!C255+RATES!C255+THALL!C255+FIN!C255+SOCIAL!C254+CEMETERY!C255+LIBRARIES!C255+HOUSING!C255+TRAFFIC!C255+PARKS!C255+REFUSE!C255+SEWAGE!C255+PWORKS!C255+WATER!C255+ELECTRIC!C255</f>
        <v>#VALUE!</v>
      </c>
      <c r="E250" s="85">
        <f>+COUNCIL!D255+MAYOR!D255+SPEAKER!D255+MM!D255+CORP!D254+PROP!D255+RATES!D255+THALL!D255+FIN!D255+SOCIAL!D254+CEMETERY!D255+LIBRARIES!D255+HOUSING!D255+TRAFFIC!D255+PARKS!D255+REFUSE!D255+SEWAGE!D255+PWORKS!D255+WATER!D255+ELECTRIC!D255</f>
        <v>0</v>
      </c>
      <c r="F250" s="85"/>
      <c r="G250" s="85"/>
      <c r="H250" s="85">
        <f>+COUNCIL!H255+MAYOR!H255+SPEAKER!I255+MM!H255+CORP!H254+PROP!H255+RATES!H255+THALL!H255+FIN!H255+SOCIAL!H254+CEMETERY!H255+LIBRARIES!H255+HOUSING!H255+TRAFFIC!H255+PARKS!H255+REFUSE!H255+SEWAGE!H255+PWORKS!H255+WATER!H255+ELECTRIC!G255</f>
        <v>0</v>
      </c>
    </row>
    <row r="251" spans="1:11" hidden="1" x14ac:dyDescent="0.25">
      <c r="A251" s="129"/>
      <c r="B251" s="246"/>
      <c r="C251" s="94"/>
      <c r="D251" s="330" t="e">
        <f t="shared" ref="D251" si="30">SUM(D250)</f>
        <v>#VALUE!</v>
      </c>
      <c r="E251" s="117">
        <f t="shared" ref="E251" si="31">SUM(E250)</f>
        <v>0</v>
      </c>
      <c r="F251" s="117"/>
      <c r="G251" s="117"/>
      <c r="H251" s="117">
        <f t="shared" ref="H251" si="32">SUM(H250)</f>
        <v>0</v>
      </c>
    </row>
    <row r="252" spans="1:11" x14ac:dyDescent="0.25">
      <c r="A252" s="129"/>
      <c r="B252" s="246"/>
      <c r="C252" s="93" t="s">
        <v>189</v>
      </c>
      <c r="D252" s="126" t="e">
        <f t="shared" ref="D252" si="33">D247+D251</f>
        <v>#VALUE!</v>
      </c>
      <c r="E252" s="117">
        <f>E247+E251</f>
        <v>138213467</v>
      </c>
      <c r="F252" s="117"/>
      <c r="G252" s="117"/>
      <c r="H252" s="117">
        <f t="shared" ref="H252" si="34">H247+H251</f>
        <v>0</v>
      </c>
    </row>
    <row r="253" spans="1:11" hidden="1" x14ac:dyDescent="0.25">
      <c r="A253" s="129"/>
      <c r="B253" s="246"/>
      <c r="C253" s="145" t="s">
        <v>195</v>
      </c>
      <c r="D253" s="126"/>
      <c r="E253" s="125"/>
      <c r="F253" s="148"/>
      <c r="G253" s="125"/>
      <c r="H253" s="125"/>
    </row>
    <row r="254" spans="1:11" hidden="1" x14ac:dyDescent="0.25">
      <c r="A254" s="118"/>
      <c r="B254" s="246"/>
      <c r="C254" s="118" t="s">
        <v>196</v>
      </c>
      <c r="D254" s="330" t="e">
        <f>+COUNCIL!C259+MAYOR!C259+SPEAKER!C259+MM!C259+CORP!C258+PROP!C259+RATES!C259+THALL!C259+FIN!C259+SOCIAL!C258+CEMETERY!C259+LIBRARIES!C259+HOUSING!C259+TRAFFIC!C259+PARKS!C259+REFUSE!C259+SEWAGE!C259+PWORKS!C259+WATER!C259+ELECTRIC!C259</f>
        <v>#VALUE!</v>
      </c>
      <c r="E254" s="85">
        <f>+COUNCIL!D259+MAYOR!D259+SPEAKER!D259+MM!D259+CORP!D258+PROP!D259+RATES!D259+THALL!D259+FIN!D259+SOCIAL!D258+CEMETERY!D259+LIBRARIES!D259+HOUSING!D259+TRAFFIC!D259+PARKS!D259+REFUSE!D259+SEWAGE!D259+PWORKS!D259+WATER!D259+ELECTRIC!D259</f>
        <v>0</v>
      </c>
      <c r="F254" s="85"/>
      <c r="G254" s="85"/>
      <c r="H254" s="85">
        <f>+COUNCIL!H259+MAYOR!H259+SPEAKER!I259+MM!H259+CORP!H258+PROP!H259+RATES!H259+THALL!H259+FIN!H259+SOCIAL!H258+CEMETERY!H259+LIBRARIES!H259+HOUSING!H259+TRAFFIC!H259+PARKS!H259+REFUSE!H259+SEWAGE!H259+PWORKS!H259+WATER!H259+ELECTRIC!G259</f>
        <v>0</v>
      </c>
    </row>
    <row r="255" spans="1:11" hidden="1" x14ac:dyDescent="0.25">
      <c r="A255" s="129"/>
      <c r="B255" s="248"/>
      <c r="C255" s="94"/>
      <c r="D255" s="330" t="e">
        <f t="shared" ref="D255" si="35">D254</f>
        <v>#VALUE!</v>
      </c>
      <c r="E255" s="124">
        <f t="shared" ref="E255" si="36">E254</f>
        <v>0</v>
      </c>
      <c r="F255" s="124"/>
      <c r="G255" s="124"/>
      <c r="H255" s="124">
        <f t="shared" ref="H255" si="37">H254</f>
        <v>0</v>
      </c>
    </row>
    <row r="256" spans="1:11" x14ac:dyDescent="0.25">
      <c r="A256" s="156"/>
      <c r="B256" s="252"/>
      <c r="C256" s="93" t="s">
        <v>197</v>
      </c>
      <c r="D256" s="126" t="e">
        <f t="shared" ref="D256" si="38">D252+D255</f>
        <v>#VALUE!</v>
      </c>
      <c r="E256" s="160">
        <f>E252+E255</f>
        <v>138213467</v>
      </c>
      <c r="F256" s="160"/>
      <c r="G256" s="160"/>
      <c r="H256" s="160">
        <f t="shared" ref="H256" si="39">H252+H255</f>
        <v>0</v>
      </c>
      <c r="I256" s="313"/>
      <c r="J256" s="244"/>
      <c r="K256" s="244"/>
    </row>
    <row r="257" spans="1:8" x14ac:dyDescent="0.25">
      <c r="A257" s="157"/>
      <c r="B257" s="253"/>
      <c r="C257" s="126" t="s">
        <v>82</v>
      </c>
      <c r="D257" s="126" t="e">
        <f>D256-D160</f>
        <v>#VALUE!</v>
      </c>
      <c r="E257" s="161">
        <f>E256-E160</f>
        <v>65403047.390000001</v>
      </c>
      <c r="F257" s="161"/>
      <c r="G257" s="161"/>
      <c r="H257" s="161">
        <f>H256-H160</f>
        <v>-10580000</v>
      </c>
    </row>
    <row r="258" spans="1:8" x14ac:dyDescent="0.25">
      <c r="A258" s="101"/>
      <c r="B258" s="254"/>
      <c r="C258" s="184" t="s">
        <v>524</v>
      </c>
      <c r="D258" s="184" t="e">
        <f>+D257-D231</f>
        <v>#VALUE!</v>
      </c>
      <c r="E258" s="244">
        <f>+E252-E234-E231-E160</f>
        <v>37896790.390000001</v>
      </c>
      <c r="F258" s="244"/>
      <c r="G258" s="244"/>
      <c r="H258" s="244">
        <f>+H257-H231</f>
        <v>-10580000</v>
      </c>
    </row>
    <row r="259" spans="1:8" x14ac:dyDescent="0.25">
      <c r="A259" s="101"/>
      <c r="B259" s="254"/>
      <c r="C259" s="184"/>
      <c r="D259" s="184"/>
      <c r="E259" s="302"/>
      <c r="F259" s="244"/>
      <c r="G259" s="244"/>
      <c r="H259" s="244"/>
    </row>
    <row r="260" spans="1:8" x14ac:dyDescent="0.25">
      <c r="A260" s="101"/>
      <c r="C260" s="184" t="s">
        <v>523</v>
      </c>
      <c r="D260" s="184"/>
      <c r="E260" s="314">
        <f>+E256-E231-E234</f>
        <v>110707210</v>
      </c>
      <c r="F260" s="314"/>
      <c r="G260" s="314"/>
      <c r="H260" s="314">
        <f>+H256-H231</f>
        <v>0</v>
      </c>
    </row>
    <row r="261" spans="1:8" x14ac:dyDescent="0.25">
      <c r="A261" s="101"/>
      <c r="C261" s="184" t="s">
        <v>525</v>
      </c>
      <c r="D261" s="184"/>
      <c r="E261" s="314">
        <f t="shared" ref="E261" si="40">+E160</f>
        <v>72810419.609999999</v>
      </c>
      <c r="F261" s="314"/>
      <c r="G261" s="314"/>
      <c r="H261" s="314">
        <f t="shared" ref="H261" si="41">+H160</f>
        <v>10580000</v>
      </c>
    </row>
    <row r="262" spans="1:8" ht="13.8" thickBot="1" x14ac:dyDescent="0.3">
      <c r="C262" s="184" t="s">
        <v>526</v>
      </c>
      <c r="D262" s="184"/>
      <c r="E262" s="315">
        <f t="shared" ref="E262" si="42">+E260-E261</f>
        <v>37896790.390000001</v>
      </c>
      <c r="F262" s="315"/>
      <c r="G262" s="315"/>
      <c r="H262" s="315">
        <f t="shared" ref="H262" si="43">+H260-H261</f>
        <v>-10580000</v>
      </c>
    </row>
    <row r="263" spans="1:8" ht="13.8" thickTop="1" x14ac:dyDescent="0.25">
      <c r="F263" s="128"/>
      <c r="G263" s="128"/>
      <c r="H263" s="128"/>
    </row>
    <row r="264" spans="1:8" x14ac:dyDescent="0.25">
      <c r="F264" s="128"/>
      <c r="G264" s="128"/>
      <c r="H264" s="128"/>
    </row>
    <row r="265" spans="1:8" x14ac:dyDescent="0.25">
      <c r="F265" s="128"/>
      <c r="G265" s="128"/>
      <c r="H265" s="128"/>
    </row>
  </sheetData>
  <mergeCells count="5">
    <mergeCell ref="A1:H2"/>
    <mergeCell ref="A3:C3"/>
    <mergeCell ref="A4:B5"/>
    <mergeCell ref="B163:E163"/>
    <mergeCell ref="A164:B165"/>
  </mergeCells>
  <phoneticPr fontId="0" type="noConversion"/>
  <printOptions gridLines="1"/>
  <pageMargins left="0.19685039370078741" right="0.15748031496062992" top="0.70866141732283472" bottom="0.98425196850393704" header="0.51181102362204722" footer="0.51181102362204722"/>
  <pageSetup scale="6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21" workbookViewId="0">
      <selection activeCell="E24" sqref="E24"/>
    </sheetView>
  </sheetViews>
  <sheetFormatPr defaultRowHeight="13.2" x14ac:dyDescent="0.25"/>
  <cols>
    <col min="7" max="7" width="7.6640625" customWidth="1"/>
    <col min="8" max="8" width="6.109375" customWidth="1"/>
    <col min="9" max="9" width="6.5546875" hidden="1" customWidth="1"/>
    <col min="10" max="12" width="9.109375" hidden="1" customWidth="1"/>
    <col min="13" max="13" width="7.33203125" customWidth="1"/>
  </cols>
  <sheetData>
    <row r="1" spans="1:14" x14ac:dyDescent="0.25">
      <c r="A1" s="365"/>
      <c r="B1" s="19"/>
      <c r="C1" s="19"/>
      <c r="D1" s="19"/>
      <c r="E1" s="19"/>
      <c r="F1" s="19"/>
      <c r="G1" s="19"/>
      <c r="H1" s="19"/>
      <c r="I1" s="19"/>
      <c r="J1" s="19"/>
      <c r="K1" s="19"/>
      <c r="L1" s="366"/>
      <c r="M1" s="19"/>
      <c r="N1" s="20"/>
    </row>
    <row r="2" spans="1:14" x14ac:dyDescent="0.25">
      <c r="A2" s="6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  <c r="M2" s="11"/>
      <c r="N2" s="7"/>
    </row>
    <row r="3" spans="1:14" x14ac:dyDescent="0.25">
      <c r="A3" s="6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  <c r="M3" s="11"/>
      <c r="N3" s="7"/>
    </row>
    <row r="4" spans="1:14" x14ac:dyDescent="0.25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  <c r="M4" s="11"/>
      <c r="N4" s="7"/>
    </row>
    <row r="5" spans="1:14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  <c r="M5" s="11"/>
      <c r="N5" s="7"/>
    </row>
    <row r="6" spans="1:14" x14ac:dyDescent="0.25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  <c r="M6" s="11"/>
      <c r="N6" s="7"/>
    </row>
    <row r="7" spans="1:14" ht="44.4" x14ac:dyDescent="0.7">
      <c r="A7" s="367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  <c r="M7" s="11"/>
      <c r="N7" s="7"/>
    </row>
    <row r="8" spans="1:14" x14ac:dyDescent="0.2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  <c r="M8" s="11"/>
      <c r="N8" s="7"/>
    </row>
    <row r="9" spans="1:14" ht="24.6" x14ac:dyDescent="0.4">
      <c r="A9" s="368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11"/>
      <c r="N9" s="7"/>
    </row>
    <row r="10" spans="1:14" x14ac:dyDescent="0.25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  <c r="M10" s="11"/>
      <c r="N10" s="7"/>
    </row>
    <row r="11" spans="1:14" x14ac:dyDescent="0.25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  <c r="M11" s="11"/>
      <c r="N11" s="7"/>
    </row>
    <row r="12" spans="1:14" ht="60.6" x14ac:dyDescent="1">
      <c r="A12" s="372" t="s">
        <v>175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4"/>
      <c r="M12" s="11"/>
      <c r="N12" s="7"/>
    </row>
    <row r="13" spans="1:14" x14ac:dyDescent="0.25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  <c r="M13" s="11"/>
      <c r="N13" s="7"/>
    </row>
    <row r="14" spans="1:14" ht="24.6" x14ac:dyDescent="0.4">
      <c r="A14" s="712" t="s">
        <v>176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6"/>
      <c r="M14" s="11"/>
      <c r="N14" s="7"/>
    </row>
    <row r="15" spans="1:14" x14ac:dyDescent="0.25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  <c r="M15" s="11"/>
      <c r="N15" s="7"/>
    </row>
    <row r="16" spans="1:14" x14ac:dyDescent="0.25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  <c r="M16" s="11"/>
      <c r="N16" s="7"/>
    </row>
    <row r="17" spans="1:14" ht="24.6" x14ac:dyDescent="0.4">
      <c r="A17" s="712" t="s">
        <v>177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6"/>
      <c r="M17" s="11"/>
      <c r="N17" s="7"/>
    </row>
    <row r="18" spans="1:14" x14ac:dyDescent="0.25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  <c r="M18" s="11"/>
      <c r="N18" s="7"/>
    </row>
    <row r="19" spans="1:14" x14ac:dyDescent="0.25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  <c r="M19" s="11"/>
      <c r="N19" s="7"/>
    </row>
    <row r="20" spans="1:14" x14ac:dyDescent="0.25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  <c r="M20" s="11"/>
      <c r="N20" s="7"/>
    </row>
    <row r="21" spans="1:14" x14ac:dyDescent="0.25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  <c r="M21" s="11"/>
      <c r="N21" s="7"/>
    </row>
    <row r="22" spans="1:14" x14ac:dyDescent="0.25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  <c r="M22" s="11"/>
      <c r="N22" s="7"/>
    </row>
    <row r="23" spans="1:14" x14ac:dyDescent="0.25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  <c r="M23" s="11"/>
      <c r="N23" s="7"/>
    </row>
    <row r="24" spans="1:14" x14ac:dyDescent="0.25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  <c r="M24" s="11"/>
      <c r="N24" s="7"/>
    </row>
    <row r="25" spans="1:14" x14ac:dyDescent="0.25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  <c r="M25" s="11"/>
      <c r="N25" s="7"/>
    </row>
    <row r="26" spans="1:14" x14ac:dyDescent="0.25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  <c r="M26" s="11"/>
      <c r="N26" s="7"/>
    </row>
    <row r="27" spans="1:14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  <c r="M27" s="11"/>
      <c r="N27" s="7"/>
    </row>
    <row r="28" spans="1:14" ht="7.5" customHeight="1" x14ac:dyDescent="0.25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  <c r="M28" s="11"/>
      <c r="N28" s="7"/>
    </row>
    <row r="29" spans="1:14" x14ac:dyDescent="0.25">
      <c r="A29" s="713" t="s">
        <v>951</v>
      </c>
      <c r="B29" s="678"/>
      <c r="C29" s="678"/>
      <c r="D29" s="678"/>
      <c r="E29" s="678"/>
      <c r="F29" s="678"/>
      <c r="G29" s="678"/>
      <c r="H29" s="678"/>
      <c r="I29" s="678"/>
      <c r="J29" s="678"/>
      <c r="K29" s="678"/>
      <c r="L29" s="679"/>
      <c r="M29" s="11"/>
      <c r="N29" s="7"/>
    </row>
    <row r="30" spans="1:14" ht="21.75" customHeight="1" x14ac:dyDescent="0.25">
      <c r="A30" s="713"/>
      <c r="B30" s="678"/>
      <c r="C30" s="678"/>
      <c r="D30" s="678"/>
      <c r="E30" s="678"/>
      <c r="F30" s="678"/>
      <c r="G30" s="678"/>
      <c r="H30" s="678"/>
      <c r="I30" s="678"/>
      <c r="J30" s="678"/>
      <c r="K30" s="678"/>
      <c r="L30" s="679"/>
      <c r="M30" s="11"/>
      <c r="N30" s="7"/>
    </row>
    <row r="31" spans="1:14" x14ac:dyDescent="0.25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  <c r="M31" s="11"/>
      <c r="N31" s="7"/>
    </row>
    <row r="32" spans="1:14" x14ac:dyDescent="0.25">
      <c r="A32" s="714" t="s">
        <v>409</v>
      </c>
      <c r="B32" s="681"/>
      <c r="C32" s="681"/>
      <c r="D32" s="681"/>
      <c r="E32" s="681"/>
      <c r="F32" s="681"/>
      <c r="G32" s="681"/>
      <c r="H32" s="681"/>
      <c r="I32" s="681"/>
      <c r="J32" s="681"/>
      <c r="K32" s="681"/>
      <c r="L32" s="682"/>
      <c r="M32" s="11"/>
      <c r="N32" s="7"/>
    </row>
    <row r="33" spans="1:15" x14ac:dyDescent="0.25">
      <c r="A33" s="714"/>
      <c r="B33" s="681"/>
      <c r="C33" s="681"/>
      <c r="D33" s="681"/>
      <c r="E33" s="681"/>
      <c r="F33" s="681"/>
      <c r="G33" s="681"/>
      <c r="H33" s="681"/>
      <c r="I33" s="681"/>
      <c r="J33" s="681"/>
      <c r="K33" s="681"/>
      <c r="L33" s="682"/>
      <c r="M33" s="11"/>
      <c r="N33" s="7"/>
    </row>
    <row r="34" spans="1:15" x14ac:dyDescent="0.25">
      <c r="A34" s="714"/>
      <c r="B34" s="681"/>
      <c r="C34" s="681"/>
      <c r="D34" s="681"/>
      <c r="E34" s="681"/>
      <c r="F34" s="681"/>
      <c r="G34" s="681"/>
      <c r="H34" s="681"/>
      <c r="I34" s="681"/>
      <c r="J34" s="681"/>
      <c r="K34" s="681"/>
      <c r="L34" s="682"/>
      <c r="M34" s="11"/>
      <c r="N34" s="7"/>
      <c r="O34" s="337"/>
    </row>
    <row r="35" spans="1:15" x14ac:dyDescent="0.25">
      <c r="A35" s="714"/>
      <c r="B35" s="681"/>
      <c r="C35" s="681"/>
      <c r="D35" s="681"/>
      <c r="E35" s="681"/>
      <c r="F35" s="681"/>
      <c r="G35" s="681"/>
      <c r="H35" s="681"/>
      <c r="I35" s="681"/>
      <c r="J35" s="681"/>
      <c r="K35" s="681"/>
      <c r="L35" s="682"/>
      <c r="M35" s="11"/>
      <c r="N35" s="7"/>
    </row>
    <row r="36" spans="1:15" ht="35.4" x14ac:dyDescent="0.6">
      <c r="A36" s="369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40"/>
      <c r="M36" s="11"/>
      <c r="N36" s="7"/>
    </row>
    <row r="37" spans="1:15" ht="35.4" x14ac:dyDescent="0.6">
      <c r="A37" s="369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40"/>
      <c r="M37" s="11"/>
      <c r="N37" s="7"/>
    </row>
    <row r="38" spans="1:15" ht="35.4" x14ac:dyDescent="0.6">
      <c r="A38" s="369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40"/>
      <c r="M38" s="11"/>
      <c r="N38" s="7"/>
    </row>
    <row r="39" spans="1:15" ht="30" customHeight="1" x14ac:dyDescent="0.6">
      <c r="A39" s="369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40"/>
      <c r="M39" s="11"/>
      <c r="N39" s="7"/>
    </row>
    <row r="40" spans="1:15" ht="36" hidden="1" thickBot="1" x14ac:dyDescent="0.65">
      <c r="A40" s="370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11"/>
      <c r="N40" s="7"/>
    </row>
    <row r="41" spans="1:15" ht="15.75" customHeight="1" x14ac:dyDescent="0.25">
      <c r="A41" s="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7"/>
    </row>
    <row r="42" spans="1:15" x14ac:dyDescent="0.25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7"/>
    </row>
    <row r="43" spans="1:15" x14ac:dyDescent="0.25">
      <c r="A43" s="37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</sheetData>
  <mergeCells count="4">
    <mergeCell ref="A14:L14"/>
    <mergeCell ref="A17:L17"/>
    <mergeCell ref="A29:L30"/>
    <mergeCell ref="A32:L3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6"/>
  <sheetViews>
    <sheetView tabSelected="1" topLeftCell="A246" zoomScaleNormal="100" workbookViewId="0">
      <selection activeCell="F249" sqref="F249"/>
    </sheetView>
  </sheetViews>
  <sheetFormatPr defaultRowHeight="13.2" x14ac:dyDescent="0.25"/>
  <cols>
    <col min="1" max="1" width="24.88671875" customWidth="1"/>
    <col min="2" max="6" width="10.6640625" customWidth="1"/>
    <col min="7" max="7" width="11.33203125" customWidth="1"/>
    <col min="9" max="9" width="10.88671875" bestFit="1" customWidth="1"/>
    <col min="10" max="10" width="15" bestFit="1" customWidth="1"/>
    <col min="11" max="11" width="11.33203125" bestFit="1" customWidth="1"/>
  </cols>
  <sheetData>
    <row r="1" spans="1:7" s="433" customFormat="1" x14ac:dyDescent="0.25">
      <c r="A1" s="666" t="s">
        <v>412</v>
      </c>
      <c r="B1" s="666"/>
      <c r="C1" s="666"/>
      <c r="D1" s="666"/>
      <c r="E1" s="666"/>
      <c r="F1" s="666"/>
      <c r="G1" s="666"/>
    </row>
    <row r="2" spans="1:7" s="433" customFormat="1" x14ac:dyDescent="0.25">
      <c r="A2" s="666"/>
      <c r="B2" s="666"/>
      <c r="C2" s="666"/>
      <c r="D2" s="666"/>
      <c r="E2" s="666"/>
      <c r="F2" s="666"/>
      <c r="G2" s="666"/>
    </row>
    <row r="3" spans="1:7" x14ac:dyDescent="0.25">
      <c r="A3" s="666"/>
      <c r="B3" s="667" t="s">
        <v>20</v>
      </c>
      <c r="C3" s="666"/>
      <c r="D3" s="666"/>
      <c r="E3" s="666"/>
      <c r="F3" s="666"/>
      <c r="G3" s="666"/>
    </row>
    <row r="4" spans="1:7" s="285" customFormat="1" x14ac:dyDescent="0.25">
      <c r="A4" s="150" t="s">
        <v>22</v>
      </c>
      <c r="B4" s="103" t="s">
        <v>23</v>
      </c>
      <c r="C4" s="104" t="s">
        <v>24</v>
      </c>
      <c r="D4" s="103" t="s">
        <v>537</v>
      </c>
      <c r="E4" s="104" t="s">
        <v>24</v>
      </c>
      <c r="F4" s="104" t="s">
        <v>24</v>
      </c>
      <c r="G4" s="104" t="s">
        <v>24</v>
      </c>
    </row>
    <row r="5" spans="1:7" s="285" customFormat="1" x14ac:dyDescent="0.25">
      <c r="A5" s="106"/>
      <c r="B5" s="333">
        <v>41639</v>
      </c>
      <c r="C5" s="107" t="s">
        <v>384</v>
      </c>
      <c r="D5" s="107" t="s">
        <v>384</v>
      </c>
      <c r="E5" s="107" t="s">
        <v>409</v>
      </c>
      <c r="F5" s="107" t="s">
        <v>416</v>
      </c>
      <c r="G5" s="107" t="s">
        <v>532</v>
      </c>
    </row>
    <row r="6" spans="1:7" s="285" customFormat="1" x14ac:dyDescent="0.25">
      <c r="A6" s="93" t="s">
        <v>33</v>
      </c>
      <c r="B6" s="435"/>
      <c r="C6" s="435"/>
      <c r="D6" s="435"/>
      <c r="E6" s="435"/>
      <c r="F6" s="435"/>
      <c r="G6" s="435"/>
    </row>
    <row r="7" spans="1:7" s="285" customFormat="1" x14ac:dyDescent="0.25">
      <c r="A7" s="94" t="s">
        <v>241</v>
      </c>
      <c r="B7" s="435">
        <f>+COUNCIL!D7+MAYOR!D8+SPEAKER!D7+MM!D7+CORP!D7+PROP!D7+RATES!D7+THALL!D7+FIN!D7+SOCIAL!D8+CEMETERY!D7+LIBRARIES!D7+HOUSING!D7+TRAFFIC!D7+PARKS!D7+REFUSE!D7+SEWAGE!D7+PWORKS!D7+WATER!D7+ELECTRIC!D7</f>
        <v>41838</v>
      </c>
      <c r="C7" s="435">
        <v>94310</v>
      </c>
      <c r="D7" s="86">
        <v>94310</v>
      </c>
      <c r="E7" s="435">
        <f>+COUNCIL!G7+MAYOR!G8+SPEAKER!G7+MM!G7+CORP!G7+PROP!G7+RATES!G7+THALL!G7+FIN!G7+SOCIAL!G8+CEMETERY!G7+LIBRARIES!G7+HOUSING!G7+TRAFFIC!G7+PARKS!G7+REFUSE!G7+SEWAGE!G7+PWORKS!G7+WATER!G7+ELECTRIC!G7</f>
        <v>53731.08</v>
      </c>
      <c r="F7" s="435">
        <f>+COUNCIL!H7+MAYOR!H8+SPEAKER!H7+MM!H7+CORP!H7+PROP!H7+RATES!H7+THALL!H7+FIN!H7+SOCIAL!H8+CEMETERY!H7+LIBRARIES!H7+HOUSING!H7+TRAFFIC!H7+PARKS!H7+REFUSE!H7+SEWAGE!H7+PWORKS!H7+WATER!H7+ELECTRIC!H7</f>
        <v>57384.793439999994</v>
      </c>
      <c r="G7" s="435">
        <f>+COUNCIL!I7+MAYOR!I8+SPEAKER!I7+MM!I7+CORP!I7+PROP!I7+RATES!I7+THALL!I7+FIN!I7+SOCIAL!I8+CEMETERY!I7+LIBRARIES!I7+HOUSING!I7+TRAFFIC!I7+PARKS!I7+REFUSE!I7+SEWAGE!I7+PWORKS!I7+WATER!I7+ELECTRIC!I7</f>
        <v>61286.959393919999</v>
      </c>
    </row>
    <row r="8" spans="1:7" s="285" customFormat="1" x14ac:dyDescent="0.25">
      <c r="A8" s="94" t="s">
        <v>34</v>
      </c>
      <c r="B8" s="435"/>
      <c r="C8" s="435"/>
      <c r="D8" s="86"/>
      <c r="E8" s="435"/>
      <c r="F8" s="435"/>
      <c r="G8" s="435"/>
    </row>
    <row r="9" spans="1:7" s="285" customFormat="1" x14ac:dyDescent="0.25">
      <c r="A9" s="94" t="s">
        <v>35</v>
      </c>
      <c r="B9" s="435">
        <f>+COUNCIL!D9+MAYOR!D10+SPEAKER!D9+MM!D9+CORP!D9+PROP!D9+RATES!D9+THALL!D9+FIN!D9+SOCIAL!D10+CEMETERY!D9+LIBRARIES!D9+HOUSING!D9+TRAFFIC!D9+PARKS!D9+REFUSE!D9+SEWAGE!D9+PWORKS!D9+WATER!D9+ELECTRIC!D9</f>
        <v>96600</v>
      </c>
      <c r="C9" s="435">
        <v>51300</v>
      </c>
      <c r="D9" s="86">
        <v>51300</v>
      </c>
      <c r="E9" s="435">
        <f>+COUNCIL!G9+MAYOR!G10+SPEAKER!G9+MM!G9+CORP!G9+PROP!G9+RATES!G9+THALL!G9+FIN!G9+SOCIAL!G10+CEMETERY!G9+LIBRARIES!G9+HOUSING!G9+TRAFFIC!G9+PARKS!G9+REFUSE!G9+SEWAGE!G9+PWORKS!G9+WATER!G9+ELECTRIC!G9</f>
        <v>981812.4</v>
      </c>
      <c r="F9" s="435">
        <f>+COUNCIL!H9+MAYOR!H10+SPEAKER!H9+MM!H9+CORP!H9+PROP!H9+RATES!H9+THALL!H9+FIN!H9+SOCIAL!H10+CEMETERY!H9+LIBRARIES!H9+HOUSING!H9+TRAFFIC!H9+PARKS!H9+REFUSE!H9+SEWAGE!H9+PWORKS!H9+WATER!H9+ELECTRIC!H9</f>
        <v>1048575.6432</v>
      </c>
      <c r="G9" s="435">
        <f>+COUNCIL!I9+MAYOR!I10+SPEAKER!I9+MM!I9+CORP!I9+PROP!I9+RATES!I9+THALL!I9+FIN!I9+SOCIAL!I10+CEMETERY!I9+LIBRARIES!I9+HOUSING!I9+TRAFFIC!I9+PARKS!I9+REFUSE!I9+SEWAGE!I9+PWORKS!I9+WATER!I9+ELECTRIC!I9</f>
        <v>1119878.7869375998</v>
      </c>
    </row>
    <row r="10" spans="1:7" s="285" customFormat="1" x14ac:dyDescent="0.25">
      <c r="A10" s="94" t="s">
        <v>350</v>
      </c>
      <c r="B10" s="435">
        <f>+COUNCIL!D10+MAYOR!D11+SPEAKER!D10+MM!D10+CORP!D10+PROP!D10+RATES!D10+THALL!D10+FIN!D10+SOCIAL!D11+CEMETERY!D10+LIBRARIES!D10+HOUSING!D10+TRAFFIC!D10+PARKS!D10+REFUSE!D10+SEWAGE!D10+PWORKS!D10+WATER!D10+ELECTRIC!D10</f>
        <v>645032</v>
      </c>
      <c r="C10" s="435">
        <v>2096200</v>
      </c>
      <c r="D10" s="86">
        <v>2096200</v>
      </c>
      <c r="E10" s="435">
        <f>+COUNCIL!G10+MAYOR!G11+SPEAKER!G10+MM!G10+CORP!G10+PROP!G10+RATES!G10+THALL!G10+FIN!G10+SOCIAL!G11+CEMETERY!G10+LIBRARIES!G10+HOUSING!G10+TRAFFIC!G10+PARKS!G10+REFUSE!G10+SEWAGE!G10+PWORKS!G10+WATER!G10+ELECTRIC!G10</f>
        <v>1296765.6000000001</v>
      </c>
      <c r="F10" s="435">
        <f>+COUNCIL!H10+MAYOR!H11+SPEAKER!H10+MM!H10+CORP!H10+PROP!H10+RATES!H10+THALL!H10+FIN!H10+SOCIAL!H11+CEMETERY!H10+LIBRARIES!H10+HOUSING!H10+TRAFFIC!H10+PARKS!H10+REFUSE!H10+SEWAGE!H10+PWORKS!H10+WATER!H10+ELECTRIC!H10</f>
        <v>1384945.6608</v>
      </c>
      <c r="G10" s="435">
        <f>+COUNCIL!I10+MAYOR!I11+SPEAKER!I10+MM!I10+CORP!I10+PROP!I10+RATES!I10+THALL!I10+FIN!I10+SOCIAL!I11+CEMETERY!I10+LIBRARIES!I10+HOUSING!I10+TRAFFIC!I10+PARKS!I10+REFUSE!I10+SEWAGE!I10+PWORKS!I10+WATER!I10+ELECTRIC!I10</f>
        <v>1479121.9657343999</v>
      </c>
    </row>
    <row r="11" spans="1:7" s="285" customFormat="1" x14ac:dyDescent="0.25">
      <c r="A11" s="94" t="s">
        <v>36</v>
      </c>
      <c r="B11" s="435">
        <f>+COUNCIL!D11+MAYOR!D12+SPEAKER!D11+MM!D11+CORP!D11+PROP!D11+RATES!D11+THALL!D11+FIN!D11+SOCIAL!D12+CEMETERY!D11+LIBRARIES!D11+HOUSING!D11+TRAFFIC!D11+PARKS!D11+REFUSE!D11+SEWAGE!D11+PWORKS!D11+WATER!D11+ELECTRIC!D11</f>
        <v>0</v>
      </c>
      <c r="C11" s="435">
        <f>+COUNCIL!E11+MAYOR!E12+SPEAKER!E11+MM!E11+CORP!E11+PROP!E11+RATES!E11+THALL!E11+FIN!E11+SOCIAL!E12+CEMETERY!E11+LIBRARIES!E11+HOUSING!E11+TRAFFIC!E11+PARKS!E11+REFUSE!E11+SEWAGE!E11+PWORKS!E11+WATER!E11+ELECTRIC!E11</f>
        <v>0</v>
      </c>
      <c r="D11" s="86">
        <f>COUNCIL!F11+MAYOR!F11+SPEAKER!F11+MM!F11+CORP!F11+PROP!F11+RATES!F11+THALL!F11+FIN!F11+SOCIAL!F11+CEMETERY!F11+LIBRARIES!F11+HOUSING!F11+TRAFFIC!F11+PARKS!F11+REFUSE!F11+SEWAGE!F11+PWORKS!F11+WATER!F11+ELECTRIC!F11</f>
        <v>0</v>
      </c>
      <c r="E11" s="435">
        <f>+COUNCIL!G11+MAYOR!G12+SPEAKER!G11+MM!G11+CORP!G11+PROP!G11+RATES!G11+THALL!G11+FIN!G11+SOCIAL!G12+CEMETERY!G11+LIBRARIES!G11+HOUSING!G11+TRAFFIC!G11+PARKS!G11+REFUSE!G11+SEWAGE!G11+PWORKS!G11+WATER!G11+ELECTRIC!G11</f>
        <v>0</v>
      </c>
      <c r="F11" s="435">
        <f>+COUNCIL!H11+MAYOR!H12+SPEAKER!H11+MM!H11+CORP!H11+PROP!H11+RATES!H11+THALL!H11+FIN!H11+SOCIAL!H12+CEMETERY!H11+LIBRARIES!H11+HOUSING!H11+TRAFFIC!H11+PARKS!H11+REFUSE!H11+SEWAGE!H11+PWORKS!H11+WATER!H11+ELECTRIC!H11</f>
        <v>0</v>
      </c>
      <c r="G11" s="435">
        <f>+COUNCIL!I11+MAYOR!I12+SPEAKER!I11+MM!I11+CORP!I11+PROP!I11+RATES!I11+THALL!I11+FIN!I11+SOCIAL!I12+CEMETERY!I11+LIBRARIES!I11+HOUSING!I11+TRAFFIC!I11+PARKS!I11+REFUSE!I11+SEWAGE!I11+PWORKS!I11+WATER!I11+ELECTRIC!I11</f>
        <v>0</v>
      </c>
    </row>
    <row r="12" spans="1:7" s="285" customFormat="1" x14ac:dyDescent="0.25">
      <c r="A12" s="94" t="s">
        <v>85</v>
      </c>
      <c r="B12" s="435">
        <f>+COUNCIL!D12+MAYOR!D13+SPEAKER!D12+MM!D12+CORP!D12+PROP!D12+RATES!D12+THALL!D12+FIN!D12+SOCIAL!D13+CEMETERY!D12+LIBRARIES!D12+HOUSING!D12+TRAFFIC!D12+PARKS!D12+REFUSE!D12+SEWAGE!D12+PWORKS!D12+WATER!D12+ELECTRIC!D12</f>
        <v>104715</v>
      </c>
      <c r="C12" s="435">
        <f>+COUNCIL!E12+MAYOR!E13+SPEAKER!E12+MM!E12+CORP!E12+PROP!E12+RATES!E12+THALL!E12+FIN!E12+SOCIAL!E13+CEMETERY!E12+LIBRARIES!E12+HOUSING!E12+TRAFFIC!E12+PARKS!E12+REFUSE!E12+SEWAGE!E12+PWORKS!E12+WATER!E12+ELECTRIC!E12</f>
        <v>484500</v>
      </c>
      <c r="D12" s="86">
        <f>COUNCIL!F12+MAYOR!F12+SPEAKER!F12+MM!F12+CORP!F12+PROP!F12+RATES!F12+THALL!F12+FIN!F12+SOCIAL!F12+CEMETERY!F12+LIBRARIES!F12+HOUSING!F12+TRAFFIC!F12+PARKS!F12+REFUSE!F12+SEWAGE!F12+PWORKS!F12+WATER!F12+ELECTRIC!F12</f>
        <v>484500</v>
      </c>
      <c r="E12" s="435">
        <f>+COUNCIL!G12+MAYOR!G13+SPEAKER!G12+MM!G12+CORP!G12+PROP!G12+RATES!G12+THALL!G12+FIN!G12+SOCIAL!G13+CEMETERY!G12+LIBRARIES!G12+HOUSING!G12+TRAFFIC!G12+PARKS!G12+REFUSE!G12+SEWAGE!G12+PWORKS!G12+WATER!G12+ELECTRIC!G12</f>
        <v>517446</v>
      </c>
      <c r="F12" s="435">
        <f>+COUNCIL!H12+MAYOR!H13+SPEAKER!H12+MM!H12+CORP!H12+PROP!H12+RATES!H12+THALL!H12+FIN!H12+SOCIAL!H13+CEMETERY!H12+LIBRARIES!H12+HOUSING!H12+TRAFFIC!H12+PARKS!H12+REFUSE!H12+SEWAGE!H12+PWORKS!H12+WATER!H12+ELECTRIC!H12</f>
        <v>552632.32799999998</v>
      </c>
      <c r="G12" s="435">
        <f>+COUNCIL!I12+MAYOR!I13+SPEAKER!I12+MM!I12+CORP!I12+PROP!I12+RATES!I12+THALL!I12+FIN!I12+SOCIAL!I13+CEMETERY!I12+LIBRARIES!I12+HOUSING!I12+TRAFFIC!I12+PARKS!I12+REFUSE!I12+SEWAGE!I12+PWORKS!I12+WATER!I12+ELECTRIC!I12</f>
        <v>590211.32630399999</v>
      </c>
    </row>
    <row r="13" spans="1:7" s="285" customFormat="1" x14ac:dyDescent="0.25">
      <c r="A13" s="94" t="s">
        <v>84</v>
      </c>
      <c r="B13" s="435"/>
      <c r="C13" s="435"/>
      <c r="D13" s="86">
        <f>COUNCIL!F13+MAYOR!F13+SPEAKER!F13+MM!F13+CORP!F13+PROP!F13+RATES!F13+THALL!F13+FIN!F13+SOCIAL!F13+CEMETERY!F13+LIBRARIES!F13+HOUSING!F13+TRAFFIC!F13+PARKS!F13+REFUSE!F13+SEWAGE!F13+PWORKS!F13+WATER!F13+ELECTRIC!F13</f>
        <v>0</v>
      </c>
      <c r="E13" s="435"/>
      <c r="F13" s="435"/>
      <c r="G13" s="435"/>
    </row>
    <row r="14" spans="1:7" s="285" customFormat="1" x14ac:dyDescent="0.25">
      <c r="A14" s="94" t="s">
        <v>37</v>
      </c>
      <c r="B14" s="435">
        <f>+COUNCIL!D14+MAYOR!D15+SPEAKER!D14+MM!D14+CORP!D14+PROP!D14+RATES!D14+THALL!D14+FIN!D14+SOCIAL!D15+CEMETERY!D14+LIBRARIES!D14+HOUSING!D14+TRAFFIC!D14+PARKS!D14+REFUSE!D14+SEWAGE!D14+PWORKS!D14+WATER!D14+ELECTRIC!D14</f>
        <v>925747</v>
      </c>
      <c r="C14" s="435">
        <v>3842000</v>
      </c>
      <c r="D14" s="86">
        <f>COUNCIL!F14+MAYOR!F14+SPEAKER!F14+MM!F14+CORP!F14+PROP!F14+RATES!F14+THALL!F14+FIN!F14+SOCIAL!F14+CEMETERY!F14+LIBRARIES!F14+HOUSING!F14+TRAFFIC!F14+PARKS!F14+REFUSE!F14+SEWAGE!F14+PWORKS!F14+WATER!F14+ELECTRIC!F14</f>
        <v>3842000</v>
      </c>
      <c r="E14" s="435">
        <f>COUNCIL!G14+MAYOR!G15+SPEAKER!G14+MM!G14+CORP!G14+PROP!G14+RATES!G14+THALL!G14+FIN!G14+SOCIAL!G15+CEMETERY!G14+LIBRARIES!G14+HOUSING!G14+TRAFFIC!G14+PARKS!G14+REFUSE!G14+SEWAGE!G14+PWORKS!G14+WATER!G14+ELECTRIC!G14</f>
        <v>3736932</v>
      </c>
      <c r="F14" s="435">
        <f>+COUNCIL!H14+MAYOR!H15+SPEAKER!H14+MM!H14+CORP!H14+PROP!H14+RATES!H14+THALL!H14+FIN!H14+SOCIAL!H15+CEMETERY!H14+LIBRARIES!H14+HOUSING!H14+TRAFFIC!H14+PARKS!H14+REFUSE!H14+SEWAGE!H14+PWORKS!H14+WATER!H14+ELECTRIC!H14</f>
        <v>3991043.3760000002</v>
      </c>
      <c r="G14" s="435">
        <f>+COUNCIL!I14+MAYOR!I15+SPEAKER!I14+MM!I14+CORP!I14+PROP!I14+RATES!I14+THALL!I14+FIN!I14+SOCIAL!I15+CEMETERY!I14+LIBRARIES!I14+HOUSING!I14+TRAFFIC!I14+PARKS!I14+REFUSE!I14+SEWAGE!I14+PWORKS!I14+WATER!I14+ELECTRIC!I14</f>
        <v>4262434.3255679999</v>
      </c>
    </row>
    <row r="15" spans="1:7" s="285" customFormat="1" x14ac:dyDescent="0.25">
      <c r="A15" s="94" t="s">
        <v>38</v>
      </c>
      <c r="B15" s="435"/>
      <c r="C15" s="435"/>
      <c r="D15" s="86">
        <f>COUNCIL!F15+MAYOR!F15+SPEAKER!F15+MM!F15+CORP!F15+PROP!F15+RATES!F15+THALL!F15+FIN!F15+SOCIAL!F15+CEMETERY!F15+LIBRARIES!F15+HOUSING!F15+TRAFFIC!F15+PARKS!F15+REFUSE!F15+SEWAGE!F15+PWORKS!F15+WATER!F15+ELECTRIC!F15</f>
        <v>0</v>
      </c>
      <c r="E15" s="435"/>
      <c r="F15" s="435"/>
      <c r="G15" s="435"/>
    </row>
    <row r="16" spans="1:7" s="285" customFormat="1" x14ac:dyDescent="0.25">
      <c r="A16" s="94" t="s">
        <v>83</v>
      </c>
      <c r="B16" s="435">
        <f>+COUNCIL!D16+MAYOR!D17+SPEAKER!D16+MM!D16+CORP!D16+PROP!D16+RATES!D16+THALL!D16+FIN!D16+SOCIAL!D17+CEMETERY!D16+LIBRARIES!D16+HOUSING!D16+TRAFFIC!D16+PARKS!D16+REFUSE!D16+SEWAGE!D16+PWORKS!D16+WATER!D16+ELECTRIC!D16</f>
        <v>2131933</v>
      </c>
      <c r="C16" s="435">
        <v>1050000</v>
      </c>
      <c r="D16" s="86">
        <f>COUNCIL!F16+MAYOR!F16+SPEAKER!F16+MM!F16+CORP!F16+PROP!F16+RATES!F16+THALL!F16+FIN!F16+SOCIAL!F16+CEMETERY!F16+LIBRARIES!F16+HOUSING!F16+TRAFFIC!F16+PARKS!F16+REFUSE!F16+SEWAGE!F16+PWORKS!F16+WATER!F16+ELECTRIC!F16</f>
        <v>1050000</v>
      </c>
      <c r="E16" s="435">
        <f>+(D16*0.1)+D16</f>
        <v>1155000</v>
      </c>
      <c r="F16" s="435">
        <f t="shared" ref="F16:G17" si="0">+(E16*0.1)+E16</f>
        <v>1270500</v>
      </c>
      <c r="G16" s="435">
        <f t="shared" si="0"/>
        <v>1397550</v>
      </c>
    </row>
    <row r="17" spans="1:7" s="285" customFormat="1" x14ac:dyDescent="0.25">
      <c r="A17" s="94" t="s">
        <v>39</v>
      </c>
      <c r="B17" s="435">
        <f>+COUNCIL!D17+MAYOR!D18+SPEAKER!D17+MM!D17+CORP!D17+PROP!D17+RATES!D17+THALL!D17+FIN!D17+SOCIAL!D18+CEMETERY!D17+LIBRARIES!D17+HOUSING!D17+TRAFFIC!D17+PARKS!D17+REFUSE!D17+SEWAGE!D17+PWORKS!D17+WATER!D17+ELECTRIC!D17</f>
        <v>19875151</v>
      </c>
      <c r="C17" s="435">
        <v>50356000</v>
      </c>
      <c r="D17" s="86">
        <v>45787070</v>
      </c>
      <c r="E17" s="435">
        <f>+(D17*0.1)+D17</f>
        <v>50365777</v>
      </c>
      <c r="F17" s="435">
        <f t="shared" si="0"/>
        <v>55402354.700000003</v>
      </c>
      <c r="G17" s="435">
        <f t="shared" si="0"/>
        <v>60942590.170000002</v>
      </c>
    </row>
    <row r="18" spans="1:7" s="285" customFormat="1" x14ac:dyDescent="0.25">
      <c r="A18" s="94"/>
      <c r="B18" s="436">
        <f>SUM(B7:B17)</f>
        <v>23821016</v>
      </c>
      <c r="C18" s="436">
        <f t="shared" ref="C18:G18" si="1">SUM(C7:C17)</f>
        <v>57974310</v>
      </c>
      <c r="D18" s="436">
        <f t="shared" si="1"/>
        <v>53405380</v>
      </c>
      <c r="E18" s="436">
        <f t="shared" si="1"/>
        <v>58107464.079999998</v>
      </c>
      <c r="F18" s="436">
        <f t="shared" si="1"/>
        <v>63707436.501440004</v>
      </c>
      <c r="G18" s="436">
        <f t="shared" si="1"/>
        <v>69853073.533937916</v>
      </c>
    </row>
    <row r="19" spans="1:7" s="285" customFormat="1" x14ac:dyDescent="0.25">
      <c r="A19" s="93" t="s">
        <v>40</v>
      </c>
      <c r="B19" s="435"/>
      <c r="C19" s="86"/>
      <c r="D19" s="86"/>
      <c r="E19" s="86"/>
      <c r="F19" s="86"/>
      <c r="G19" s="88"/>
    </row>
    <row r="20" spans="1:7" s="285" customFormat="1" x14ac:dyDescent="0.25">
      <c r="A20" s="94" t="s">
        <v>41</v>
      </c>
      <c r="B20" s="435">
        <f>+COUNCIL!D20+MAYOR!D21+SPEAKER!D20+MM!D20+CORP!D20+PROP!D20+RATES!D20+THALL!D20+FIN!D20+SOCIAL!D21+CEMETERY!D20+LIBRARIES!D20+HOUSING!D20+TRAFFIC!D20+PARKS!D20+REFUSE!D20+SEWAGE!D20+PWORKS!D20+WATER!D20+ELECTRIC!D20</f>
        <v>1497468</v>
      </c>
      <c r="C20" s="435">
        <v>3157200</v>
      </c>
      <c r="D20" s="435">
        <v>3157200</v>
      </c>
      <c r="E20" s="435">
        <f>+COUNCIL!G20+MAYOR!G21+SPEAKER!G20+MM!G20+CORP!G20+PROP!G20+RATES!G20+THALL!G20+FIN!G20+SOCIAL!G21+CEMETERY!G20+LIBRARIES!G20+HOUSING!G20+TRAFFIC!G20+PARKS!G20+REFUSE!G20+SEWAGE!G20+PWORKS!G20+WATER!G20+ELECTRIC!G20</f>
        <v>3559857.6</v>
      </c>
      <c r="F20" s="435">
        <f>+COUNCIL!H20+MAYOR!H21+SPEAKER!H20+MM!H20+CORP!H20+PROP!H20+RATES!H20+THALL!H20+FIN!H20+SOCIAL!H21+CEMETERY!H20+LIBRARIES!H20+HOUSING!H20+TRAFFIC!H20+PARKS!H20+REFUSE!H20+SEWAGE!H20+PWORKS!H20+WATER!H20+ELECTRIC!H20</f>
        <v>3801927.9168000002</v>
      </c>
      <c r="G20" s="435">
        <f>+COUNCIL!I20+MAYOR!I21+SPEAKER!I20+MM!I20+CORP!I20+PROP!I20+RATES!I20+THALL!I20+FIN!I20+SOCIAL!I21+CEMETERY!I20+LIBRARIES!I20+HOUSING!I20+TRAFFIC!I20+PARKS!I20+REFUSE!I20+SEWAGE!I20+PWORKS!I20+WATER!I20+ELECTRIC!I20</f>
        <v>4060459.0151424003</v>
      </c>
    </row>
    <row r="21" spans="1:7" s="285" customFormat="1" x14ac:dyDescent="0.25">
      <c r="A21" s="94" t="s">
        <v>42</v>
      </c>
      <c r="B21" s="435">
        <f>+COUNCIL!D21+MAYOR!D22+SPEAKER!D21+MM!D21+CORP!D21+PROP!D21+RATES!D21+THALL!D21+FIN!D21+SOCIAL!D22+CEMETERY!D21+LIBRARIES!D21+HOUSING!D21+TRAFFIC!D21+PARKS!D21+REFUSE!D21+SEWAGE!D21+PWORKS!D21+WATER!D21+ELECTRIC!D21</f>
        <v>2225502</v>
      </c>
      <c r="C21" s="435">
        <v>5398000</v>
      </c>
      <c r="D21" s="435">
        <v>5398000</v>
      </c>
      <c r="E21" s="435">
        <f>+COUNCIL!G21+MAYOR!G22+SPEAKER!G21+MM!G21+CORP!G21+PROP!G21+RATES!G21+THALL!G21+FIN!G21+SOCIAL!G22+CEMETERY!G21+LIBRARIES!G21+HOUSING!G21+TRAFFIC!G21+PARKS!G21+REFUSE!G21+SEWAGE!G21+PWORKS!G21+WATER!G21+ELECTRIC!G21</f>
        <v>5122341.5999999996</v>
      </c>
      <c r="F21" s="435">
        <f>+COUNCIL!H21+MAYOR!H22+SPEAKER!H21+MM!H21+CORP!H21+PROP!H21+RATES!H21+THALL!H21+FIN!H21+SOCIAL!H22+CEMETERY!H21+LIBRARIES!H21+HOUSING!H21+TRAFFIC!H21+PARKS!H21+REFUSE!H21+SEWAGE!H21+PWORKS!H21+WATER!H21+ELECTRIC!H21</f>
        <v>5470660.8288000003</v>
      </c>
      <c r="G21" s="435">
        <f>+COUNCIL!I21+MAYOR!I22+SPEAKER!I21+MM!I21+CORP!I21+PROP!I21+RATES!I21+THALL!I21+FIN!I21+SOCIAL!I22+CEMETERY!I21+LIBRARIES!I21+HOUSING!I21+TRAFFIC!I21+PARKS!I21+REFUSE!I21+SEWAGE!I21+PWORKS!I21+WATER!I21+ELECTRIC!I21</f>
        <v>5842665.7651583999</v>
      </c>
    </row>
    <row r="22" spans="1:7" s="285" customFormat="1" x14ac:dyDescent="0.25">
      <c r="A22" s="94" t="s">
        <v>43</v>
      </c>
      <c r="B22" s="435">
        <f>+COUNCIL!D22+MAYOR!D23+SPEAKER!D22+MM!D22+CORP!D22+PROP!D22+RATES!D22+THALL!D22+FIN!D22+SOCIAL!D23+CEMETERY!D22+LIBRARIES!D22+HOUSING!D22+TRAFFIC!D22+PARKS!D22+REFUSE!D22+SEWAGE!D22+PWORKS!D22+WATER!D22+ELECTRIC!D22</f>
        <v>710070</v>
      </c>
      <c r="C22" s="435">
        <v>1480000</v>
      </c>
      <c r="D22" s="435">
        <v>1480500</v>
      </c>
      <c r="E22" s="435">
        <f>+COUNCIL!G22+MAYOR!G23+SPEAKER!G22+MM!G22+CORP!G22+PROP!G22+RATES!G22+THALL!G22+FIN!G22+SOCIAL!G23+CEMETERY!G22+LIBRARIES!G22+HOUSING!G22+TRAFFIC!G22+PARKS!G22+REFUSE!G22+SEWAGE!G22+PWORKS!G22+WATER!G22+ELECTRIC!G22</f>
        <v>1554260.4</v>
      </c>
      <c r="F22" s="435">
        <f>+COUNCIL!H22+MAYOR!H23+SPEAKER!H22+MM!H22+CORP!H22+PROP!H22+RATES!H22+THALL!H22+FIN!H22+SOCIAL!H23+CEMETERY!H22+LIBRARIES!H22+HOUSING!H22+TRAFFIC!H22+PARKS!H22+REFUSE!H22+SEWAGE!H22+PWORKS!H22+WATER!H22+ELECTRIC!H22</f>
        <v>1659950.1072000002</v>
      </c>
      <c r="G22" s="435">
        <f>+COUNCIL!I22+MAYOR!I23+SPEAKER!I22+MM!I22+CORP!I22+PROP!I22+RATES!I22+THALL!I22+FIN!I22+SOCIAL!I23+CEMETERY!I22+LIBRARIES!I22+HOUSING!I22+TRAFFIC!I22+PARKS!I22+REFUSE!I22+SEWAGE!I22+PWORKS!I22+WATER!I22+ELECTRIC!I22</f>
        <v>1772826.7144896002</v>
      </c>
    </row>
    <row r="23" spans="1:7" s="285" customFormat="1" x14ac:dyDescent="0.25">
      <c r="A23" s="94" t="s">
        <v>44</v>
      </c>
      <c r="B23" s="435"/>
      <c r="C23" s="435"/>
      <c r="D23" s="435">
        <v>0</v>
      </c>
      <c r="E23" s="435"/>
      <c r="F23" s="435"/>
      <c r="G23" s="435"/>
    </row>
    <row r="24" spans="1:7" s="285" customFormat="1" x14ac:dyDescent="0.25">
      <c r="A24" s="94" t="s">
        <v>45</v>
      </c>
      <c r="B24" s="435">
        <f>+COUNCIL!D24+MAYOR!D25+SPEAKER!D24+MM!D24+CORP!D24+PROP!D24+RATES!D24+THALL!D24+FIN!D24+SOCIAL!D25+CEMETERY!D24+LIBRARIES!D24+HOUSING!D24+TRAFFIC!D24+PARKS!D24+REFUSE!D24+SEWAGE!D24+PWORKS!D24+WATER!D24+ELECTRIC!D24</f>
        <v>503286</v>
      </c>
      <c r="C24" s="435">
        <v>496300</v>
      </c>
      <c r="D24" s="435">
        <v>496300</v>
      </c>
      <c r="E24" s="435">
        <f>+COUNCIL!G24+MAYOR!G25+SPEAKER!G24+MM!G24+CORP!G24+PROP!G24+RATES!G24+THALL!G24+FIN!G24+SOCIAL!G25+CEMETERY!G24+LIBRARIES!G24+HOUSING!G24+TRAFFIC!G24+PARKS!G24+REFUSE!G24+SEWAGE!G24+PWORKS!G24+WATER!G24+ELECTRIC!G24</f>
        <v>1659958.8</v>
      </c>
      <c r="F24" s="435">
        <f>+COUNCIL!H24+MAYOR!H25+SPEAKER!H24+MM!H24+CORP!H24+PROP!H24+RATES!H24+THALL!H24+FIN!H24+SOCIAL!H25+CEMETERY!H24+LIBRARIES!H24+HOUSING!H24+TRAFFIC!H24+PARKS!H24+REFUSE!H24+SEWAGE!H24+PWORKS!H24+WATER!H24+ELECTRIC!H24</f>
        <v>1724528.7984</v>
      </c>
      <c r="G24" s="435">
        <f>+COUNCIL!I24+MAYOR!I25+SPEAKER!I24+MM!I24+CORP!I24+PROP!I24+RATES!I24+THALL!I24+FIN!I24+SOCIAL!I25+CEMETERY!I24+LIBRARIES!I24+HOUSING!I24+TRAFFIC!I24+PARKS!I24+REFUSE!I24+SEWAGE!I24+PWORKS!I24+WATER!I24+ELECTRIC!I24</f>
        <v>1793489.5566911998</v>
      </c>
    </row>
    <row r="25" spans="1:7" s="285" customFormat="1" x14ac:dyDescent="0.25">
      <c r="A25" s="94"/>
      <c r="B25" s="436">
        <f t="shared" ref="B25:G25" si="2">SUM(B20:B24)</f>
        <v>4936326</v>
      </c>
      <c r="C25" s="436">
        <f t="shared" si="2"/>
        <v>10531500</v>
      </c>
      <c r="D25" s="436">
        <f t="shared" si="2"/>
        <v>10532000</v>
      </c>
      <c r="E25" s="436">
        <f t="shared" si="2"/>
        <v>11896418.4</v>
      </c>
      <c r="F25" s="436">
        <f t="shared" si="2"/>
        <v>12657067.6512</v>
      </c>
      <c r="G25" s="436">
        <f t="shared" si="2"/>
        <v>13469441.051481599</v>
      </c>
    </row>
    <row r="26" spans="1:7" s="285" customFormat="1" x14ac:dyDescent="0.25">
      <c r="A26" s="93" t="s">
        <v>46</v>
      </c>
      <c r="B26" s="225"/>
      <c r="C26" s="86"/>
      <c r="D26" s="86"/>
      <c r="E26" s="86"/>
      <c r="F26" s="86"/>
      <c r="G26" s="88"/>
    </row>
    <row r="27" spans="1:7" s="285" customFormat="1" x14ac:dyDescent="0.25">
      <c r="A27" s="93" t="s">
        <v>47</v>
      </c>
      <c r="B27" s="225"/>
      <c r="C27" s="86"/>
      <c r="D27" s="435"/>
      <c r="E27" s="86"/>
      <c r="F27" s="86"/>
      <c r="G27" s="435"/>
    </row>
    <row r="28" spans="1:7" s="285" customFormat="1" x14ac:dyDescent="0.25">
      <c r="A28" s="94" t="s">
        <v>48</v>
      </c>
      <c r="B28" s="435">
        <f>+COUNCIL!D28+MAYOR!D29+SPEAKER!D28+MM!D28+CORP!D28+PROP!D28+RATES!D28+THALL!D28+FIN!D28+SOCIAL!D29+CEMETERY!D28+LIBRARIES!D28+HOUSING!D28+TRAFFIC!D28+PARKS!D28+REFUSE!D28+SEWAGE!D28+PWORKS!D28+WATER!D28+ELECTRIC!D28</f>
        <v>2396604</v>
      </c>
      <c r="C28" s="435">
        <f>+COUNCIL!E28+MAYOR!E29+SPEAKER!E28+MM!E28+CORP!E28+PROP!E28+RATES!E28+THALL!E28+FIN!E28+SOCIAL!E29+CEMETERY!E28+LIBRARIES!E28+HOUSING!E28+TRAFFIC!E28+PARKS!E28+REFUSE!E28+SEWAGE!E28+PWORKS!E28+WATER!E28+ELECTRIC!E28</f>
        <v>6285000</v>
      </c>
      <c r="D28" s="435">
        <f>+COUNCIL!F28+MAYOR!F29+SPEAKER!F28+MM!F28+CORP!F28+PROP!F28+RATES!F28+THALL!F28+FIN!F28+SOCIAL!F29+CEMETERY!F28+LIBRARIES!F28+HOUSING!F28+TRAFFIC!F28+PARKS!F28+REFUSE!F28+SEWAGE!F28+PWORKS!F28+WATER!F28+ELECTRIC!F28</f>
        <v>6285000</v>
      </c>
      <c r="E28" s="435">
        <f>+COUNCIL!G28+MAYOR!G29+SPEAKER!G28+MM!G28+CORP!G28+PROP!G28+RATES!G28+THALL!G28+FIN!G28+SOCIAL!G29+CEMETERY!G28+LIBRARIES!G28+HOUSING!G28+TRAFFIC!G28+PARKS!G28+REFUSE!G28+SEWAGE!G28+PWORKS!G28+WATER!G28+ELECTRIC!G28</f>
        <v>6712380</v>
      </c>
      <c r="F28" s="435">
        <f>+COUNCIL!H28+MAYOR!H29+SPEAKER!H28+MM!H28+CORP!H28+PROP!H28+RATES!H28+THALL!H28+FIN!H28+SOCIAL!H29+CEMETERY!H28+LIBRARIES!H28+HOUSING!H28+TRAFFIC!H28+PARKS!H28+REFUSE!H28+SEWAGE!H28+PWORKS!H28+WATER!H28+ELECTRIC!H28</f>
        <v>7168821.8400000008</v>
      </c>
      <c r="G28" s="435">
        <f>+COUNCIL!I28+MAYOR!I29+SPEAKER!I28+MM!I28+CORP!I28+PROP!I28+RATES!I28+THALL!I28+FIN!I28+SOCIAL!I29+CEMETERY!I28+LIBRARIES!I28+HOUSING!I28+TRAFFIC!I28+PARKS!I28+REFUSE!I28+SEWAGE!I28+PWORKS!I28+WATER!I28+ELECTRIC!I28</f>
        <v>7656301.7251199996</v>
      </c>
    </row>
    <row r="29" spans="1:7" s="285" customFormat="1" x14ac:dyDescent="0.25">
      <c r="A29" s="94"/>
      <c r="B29" s="226">
        <f>SUM(B28)</f>
        <v>2396604</v>
      </c>
      <c r="C29" s="226">
        <f t="shared" ref="C29:G29" si="3">SUM(C28)</f>
        <v>6285000</v>
      </c>
      <c r="D29" s="226">
        <f t="shared" si="3"/>
        <v>6285000</v>
      </c>
      <c r="E29" s="226">
        <f t="shared" si="3"/>
        <v>6712380</v>
      </c>
      <c r="F29" s="226">
        <f t="shared" si="3"/>
        <v>7168821.8400000008</v>
      </c>
      <c r="G29" s="226">
        <f t="shared" si="3"/>
        <v>7656301.7251199996</v>
      </c>
    </row>
    <row r="30" spans="1:7" s="285" customFormat="1" x14ac:dyDescent="0.25">
      <c r="A30" s="93" t="s">
        <v>49</v>
      </c>
      <c r="B30" s="225"/>
      <c r="C30" s="86"/>
      <c r="D30" s="86"/>
      <c r="E30" s="86"/>
      <c r="F30" s="86"/>
      <c r="G30" s="88"/>
    </row>
    <row r="31" spans="1:7" s="285" customFormat="1" x14ac:dyDescent="0.25">
      <c r="A31" s="94" t="s">
        <v>341</v>
      </c>
      <c r="B31" s="435">
        <f>+COUNCIL!D31+MAYOR!D32+SPEAKER!D31+MM!D31+CORP!D31+PROP!D31+RATES!D31+THALL!D31+FIN!D31+SOCIAL!D32+CEMETERY!D31+LIBRARIES!D31+HOUSING!D31+TRAFFIC!D31+PARKS!D31+REFUSE!D31+SEWAGE!D31+PWORKS!D31+WATER!D31+ELECTRIC!D31</f>
        <v>0</v>
      </c>
      <c r="C31" s="435">
        <f>+COUNCIL!E31+MAYOR!E32+SPEAKER!E31+MM!E31+CORP!E31+PROP!E31+RATES!E31+THALL!E31+FIN!E31+SOCIAL!E32+CEMETERY!E31+LIBRARIES!E31+HOUSING!E31+TRAFFIC!E31+PARKS!E31+REFUSE!E31+SEWAGE!E31+PWORKS!E31+WATER!E31+ELECTRIC!E31</f>
        <v>29532802.651472002</v>
      </c>
      <c r="D31" s="435">
        <v>6578432.6514720004</v>
      </c>
      <c r="E31" s="435">
        <f>+COUNCIL!G31+MAYOR!G32+SPEAKER!G31+MM!G31+CORP!G31+PROP!G31+RATES!G31+THALL!G31+FIN!G31+SOCIAL!G32+CEMETERY!G31+LIBRARIES!G31+HOUSING!G31+TRAFFIC!G31+PARKS!G31+REFUSE!G31+SEWAGE!G31+PWORKS!G31+WATER!G31+ELECTRIC!G31</f>
        <v>9568388.8835247997</v>
      </c>
      <c r="F31" s="435">
        <f>+COUNCIL!H31+MAYOR!H32+SPEAKER!H31+MM!H31+CORP!H31+PROP!H31+RATES!H31+THALL!H31+FIN!H31+SOCIAL!H32+CEMETERY!H31+LIBRARIES!H31+HOUSING!H31+TRAFFIC!H31+PARKS!H31+REFUSE!H31+SEWAGE!H31+PWORKS!H31+WATER!H31+ELECTRIC!H31</f>
        <v>5366990.8718772801</v>
      </c>
      <c r="G31" s="435">
        <f>+COUNCIL!I31+MAYOR!I32+SPEAKER!I31+MM!I31+CORP!I31+PROP!I31+RATES!I31+THALL!I31+FIN!I31+SOCIAL!I32+CEMETERY!I31+LIBRARIES!I31+HOUSING!I31+TRAFFIC!I31+PARKS!I31+REFUSE!I31+SEWAGE!I31+PWORKS!I31+WATER!I31+ELECTRIC!I31</f>
        <v>3921495.5590650081</v>
      </c>
    </row>
    <row r="32" spans="1:7" s="285" customFormat="1" x14ac:dyDescent="0.25">
      <c r="A32" s="94"/>
      <c r="B32" s="226">
        <f t="shared" ref="B32:G32" si="4">SUM(B31)</f>
        <v>0</v>
      </c>
      <c r="C32" s="226">
        <f t="shared" si="4"/>
        <v>29532802.651472002</v>
      </c>
      <c r="D32" s="226">
        <f t="shared" si="4"/>
        <v>6578432.6514720004</v>
      </c>
      <c r="E32" s="226">
        <f t="shared" si="4"/>
        <v>9568388.8835247997</v>
      </c>
      <c r="F32" s="226">
        <f t="shared" si="4"/>
        <v>5366990.8718772801</v>
      </c>
      <c r="G32" s="226">
        <f t="shared" si="4"/>
        <v>3921495.5590650081</v>
      </c>
    </row>
    <row r="33" spans="1:7" s="285" customFormat="1" x14ac:dyDescent="0.25">
      <c r="A33" s="93" t="s">
        <v>50</v>
      </c>
      <c r="B33" s="225"/>
      <c r="C33" s="86"/>
      <c r="D33" s="86"/>
      <c r="E33" s="86"/>
      <c r="F33" s="86"/>
      <c r="G33" s="88"/>
    </row>
    <row r="34" spans="1:7" s="285" customFormat="1" x14ac:dyDescent="0.25">
      <c r="A34" s="94" t="s">
        <v>51</v>
      </c>
      <c r="B34" s="435">
        <f>+COUNCIL!D34+MAYOR!D35+SPEAKER!D34+MM!D34+CORP!D34+PROP!D34+RATES!D34+THALL!D34+FIN!D34+SOCIAL!D35+CEMETERY!D34+LIBRARIES!D34+HOUSING!D34+TRAFFIC!D34+PARKS!D34+REFUSE!D34+SEWAGE!D34+PWORKS!D34+WATER!D34+ELECTRIC!D34</f>
        <v>0</v>
      </c>
      <c r="C34" s="435">
        <f>+COUNCIL!E34+MAYOR!E35+SPEAKER!E34+MM!E34+CORP!E34+PROP!E34+RATES!E34+THALL!E34+FIN!E34+SOCIAL!E35+CEMETERY!E34+LIBRARIES!E34+HOUSING!E34+TRAFFIC!E34+PARKS!E34+REFUSE!E34+SEWAGE!E34+PWORKS!E34+WATER!E34+ELECTRIC!E34</f>
        <v>0</v>
      </c>
      <c r="D34" s="435">
        <f>+COUNCIL!F34+MAYOR!F35+SPEAKER!F34+MM!F34+CORP!F34+PROP!F34+RATES!F34+THALL!F34+FIN!F34+SOCIAL!F35+CEMETERY!F34+LIBRARIES!F34+HOUSING!F34+TRAFFIC!F34+PARKS!F34+REFUSE!F34+SEWAGE!F34+PWORKS!F34+WATER!F34+ELECTRIC!F34</f>
        <v>0</v>
      </c>
      <c r="E34" s="435">
        <f>+COUNCIL!G34+MAYOR!G35+SPEAKER!G34+MM!G34+CORP!G34+PROP!G34+RATES!G34+THALL!G34+FIN!G34+SOCIAL!G35+CEMETERY!G34+LIBRARIES!G34+HOUSING!G34+TRAFFIC!G34+PARKS!G34+REFUSE!G34+SEWAGE!G34+PWORKS!G34+WATER!G34+ELECTRIC!G34</f>
        <v>0</v>
      </c>
      <c r="F34" s="435">
        <f>+COUNCIL!H34+MAYOR!H35+SPEAKER!H34+MM!H34+CORP!H34+PROP!H34+RATES!H34+THALL!H34+FIN!H34+SOCIAL!H35+CEMETERY!H34+LIBRARIES!H34+HOUSING!H34+TRAFFIC!H34+PARKS!H34+REFUSE!H34+SEWAGE!H34+PWORKS!H34+WATER!H34+ELECTRIC!H34</f>
        <v>0</v>
      </c>
      <c r="G34" s="435">
        <f>+COUNCIL!I34+MAYOR!I35+SPEAKER!I34+MM!I34+CORP!I34+PROP!I34+RATES!I34+THALL!I34+FIN!I34+SOCIAL!I35+CEMETERY!I34+LIBRARIES!I34+HOUSING!I34+TRAFFIC!I34+PARKS!I34+REFUSE!I34+SEWAGE!I34+PWORKS!I34+WATER!I34+ELECTRIC!I34</f>
        <v>0</v>
      </c>
    </row>
    <row r="35" spans="1:7" s="285" customFormat="1" x14ac:dyDescent="0.25">
      <c r="A35" s="94"/>
      <c r="B35" s="226">
        <f t="shared" ref="B35:G35" si="5">SUM(B34)</f>
        <v>0</v>
      </c>
      <c r="C35" s="226">
        <f t="shared" si="5"/>
        <v>0</v>
      </c>
      <c r="D35" s="226">
        <f t="shared" si="5"/>
        <v>0</v>
      </c>
      <c r="E35" s="226">
        <f t="shared" si="5"/>
        <v>0</v>
      </c>
      <c r="F35" s="226">
        <f t="shared" si="5"/>
        <v>0</v>
      </c>
      <c r="G35" s="226">
        <f t="shared" si="5"/>
        <v>0</v>
      </c>
    </row>
    <row r="36" spans="1:7" s="285" customFormat="1" x14ac:dyDescent="0.25">
      <c r="A36" s="93" t="s">
        <v>52</v>
      </c>
      <c r="B36" s="225"/>
      <c r="C36" s="86"/>
      <c r="D36" s="86"/>
      <c r="E36" s="86"/>
      <c r="F36" s="86"/>
      <c r="G36" s="88"/>
    </row>
    <row r="37" spans="1:7" s="285" customFormat="1" x14ac:dyDescent="0.25">
      <c r="A37" s="94" t="s">
        <v>53</v>
      </c>
      <c r="B37" s="435">
        <f>+COUNCIL!D37+MAYOR!D38+SPEAKER!D37+MM!D37+CORP!D37+PROP!D37+RATES!D37+THALL!D37+FIN!D37+SOCIAL!D38+CEMETERY!D37+LIBRARIES!D37+HOUSING!D37+TRAFFIC!D37+PARKS!D37+REFUSE!D37+SEWAGE!D37+PWORKS!D37+WATER!D37+ELECTRIC!D37</f>
        <v>0</v>
      </c>
      <c r="C37" s="435">
        <f>+COUNCIL!E37+MAYOR!E38+SPEAKER!E37+MM!E37+CORP!E37+PROP!E37+RATES!E37+THALL!E37+FIN!E37+SOCIAL!E38+CEMETERY!E37+LIBRARIES!E37+HOUSING!E37+TRAFFIC!E37+PARKS!E37+REFUSE!E37+SEWAGE!E37+PWORKS!E37+WATER!E37+ELECTRIC!E37</f>
        <v>2006400</v>
      </c>
      <c r="D37" s="435">
        <v>6400</v>
      </c>
      <c r="E37" s="435">
        <f>+COUNCIL!G37+MAYOR!G38+SPEAKER!G37+MM!G37+CORP!G37+PROP!G37+RATES!G37+THALL!G37+FIN!G37+SOCIAL!G38+CEMETERY!G37+LIBRARIES!G37+HOUSING!G37+TRAFFIC!G37+PARKS!G37+REFUSE!G37+SEWAGE!G37+PWORKS!G37+WATER!G37+ELECTRIC!G37</f>
        <v>7040</v>
      </c>
      <c r="F37" s="435">
        <f>+COUNCIL!H37+MAYOR!H38+SPEAKER!H37+MM!H37+CORP!H37+PROP!H37+RATES!H37+THALL!H37+FIN!H37+SOCIAL!H38+CEMETERY!H37+LIBRARIES!H37+HOUSING!H37+TRAFFIC!H37+PARKS!H37+REFUSE!H37+SEWAGE!H37+PWORKS!H37+WATER!H37+ELECTRIC!H37</f>
        <v>7744</v>
      </c>
      <c r="G37" s="435">
        <f>+COUNCIL!I37+MAYOR!I38+SPEAKER!I37+MM!I37+CORP!I37+PROP!I37+RATES!I37+THALL!I37+FIN!I37+SOCIAL!I38+CEMETERY!I37+LIBRARIES!I37+HOUSING!I37+TRAFFIC!I37+PARKS!I37+REFUSE!I37+SEWAGE!I37+PWORKS!I37+WATER!I37+ELECTRIC!I37</f>
        <v>8518.4</v>
      </c>
    </row>
    <row r="38" spans="1:7" s="285" customFormat="1" x14ac:dyDescent="0.25">
      <c r="A38" s="94"/>
      <c r="B38" s="226">
        <f t="shared" ref="B38:G38" si="6">B37</f>
        <v>0</v>
      </c>
      <c r="C38" s="226">
        <f t="shared" si="6"/>
        <v>2006400</v>
      </c>
      <c r="D38" s="226">
        <f t="shared" si="6"/>
        <v>6400</v>
      </c>
      <c r="E38" s="226">
        <f t="shared" si="6"/>
        <v>7040</v>
      </c>
      <c r="F38" s="226">
        <f t="shared" si="6"/>
        <v>7744</v>
      </c>
      <c r="G38" s="226">
        <f t="shared" si="6"/>
        <v>8518.4</v>
      </c>
    </row>
    <row r="39" spans="1:7" s="285" customFormat="1" x14ac:dyDescent="0.25">
      <c r="A39" s="93" t="s">
        <v>54</v>
      </c>
      <c r="B39" s="225"/>
      <c r="C39" s="86"/>
      <c r="D39" s="86"/>
      <c r="E39" s="86"/>
      <c r="F39" s="86"/>
      <c r="G39" s="88"/>
    </row>
    <row r="40" spans="1:7" s="285" customFormat="1" x14ac:dyDescent="0.25">
      <c r="A40" s="94" t="s">
        <v>55</v>
      </c>
      <c r="B40" s="435">
        <f>+COUNCIL!D40+MAYOR!D41+SPEAKER!D40+MM!D40+CORP!D40+PROP!D40+RATES!D40+THALL!D40+FIN!D40+SOCIAL!D41+CEMETERY!D40+LIBRARIES!D40+HOUSING!D40+TRAFFIC!D40+PARKS!D40+REFUSE!D40+SEWAGE!D40+PWORKS!D40+WATER!D40+ELECTRIC!D40</f>
        <v>131537</v>
      </c>
      <c r="C40" s="435">
        <f>+COUNCIL!E40+MAYOR!E41+SPEAKER!E40+MM!E40+CORP!E40+PROP!E40+RATES!E40+THALL!E40+FIN!E40+SOCIAL!E41+CEMETERY!E40+LIBRARIES!E40+HOUSING!E40+TRAFFIC!E40+PARKS!E40+REFUSE!E40+SEWAGE!E40+PWORKS!E40+WATER!E40+ELECTRIC!E40</f>
        <v>0</v>
      </c>
      <c r="D40" s="435">
        <f>+COUNCIL!F40+MAYOR!F40+SPEAKER!F40+MM!F40+CORP!F40+PROP!F40+RATES!F40+THALL!F40+FIN!F40+SOCIAL!F40+CEMETERY!F40+LIBRARIES!F40+HOUSING!F40+TRAFFIC!F40+PARKS!F40+REFUSE!F40+SEWAGE!F40+PWORKS!F40+WATER!F40+ELECTRIC!F40</f>
        <v>0</v>
      </c>
      <c r="E40" s="435">
        <f>+COUNCIL!G40+MAYOR!G40+SPEAKER!G40+MM!G40+CORP!G40+PROP!G40+RATES!G40+THALL!G40+FIN!G40+SOCIAL!G40+CEMETERY!G40+LIBRARIES!G40+HOUSING!G40+TRAFFIC!G40+PARKS!G40+REFUSE!G40+SEWAGE!G40+PWORKS!G40+WATER!G40+ELECTRIC!G40</f>
        <v>10000</v>
      </c>
      <c r="F40" s="435">
        <f>+COUNCIL!H40+MAYOR!H40+SPEAKER!H40+MM!H40+CORP!H40+PROP!H40+RATES!H40+THALL!H40+FIN!H40+SOCIAL!H40+CEMETERY!H40+LIBRARIES!H40+HOUSING!H40+TRAFFIC!H40+PARKS!H40+REFUSE!H40+SEWAGE!H40+PWORKS!H40+WATER!H40+ELECTRIC!H40</f>
        <v>11000</v>
      </c>
      <c r="G40" s="435">
        <f>+COUNCIL!I40+MAYOR!I40+SPEAKER!I40+MM!I40+CORP!I40+PROP!I40+RATES!I40+THALL!I40+FIN!I40+SOCIAL!I40+CEMETERY!I40+LIBRARIES!I40+HOUSING!I40+TRAFFIC!I40+PARKS!I40+REFUSE!I40+SEWAGE!I40+PWORKS!I40+WATER!I40+ELECTRIC!I40</f>
        <v>12100</v>
      </c>
    </row>
    <row r="41" spans="1:7" s="285" customFormat="1" x14ac:dyDescent="0.25">
      <c r="A41" s="94" t="s">
        <v>56</v>
      </c>
      <c r="B41" s="435">
        <f>+COUNCIL!D41+MAYOR!D42+SPEAKER!D41+MM!D41+CORP!D41+PROP!D41+RATES!D41+THALL!D41+FIN!D41+SOCIAL!D42+CEMETERY!D41+LIBRARIES!D41+HOUSING!D41+TRAFFIC!D41+PARKS!D41+REFUSE!D41+SEWAGE!D41+PWORKS!D41+WATER!D41+ELECTRIC!D41</f>
        <v>124238</v>
      </c>
      <c r="C41" s="435">
        <v>608245</v>
      </c>
      <c r="D41" s="435">
        <f>+COUNCIL!F41+MAYOR!F41+SPEAKER!F41+MM!F41+CORP!F41+PROP!F41+RATES!F41+THALL!F41+FIN!F41+SOCIAL!F41+CEMETERY!F41+LIBRARIES!F41+HOUSING!F41+TRAFFIC!F41+PARKS!F41+REFUSE!F41+SEWAGE!F41+PWORKS!F41+WATER!F41+ELECTRIC!F41</f>
        <v>318244.96999999997</v>
      </c>
      <c r="E41" s="435">
        <f>+COUNCIL!G41+MAYOR!G41+SPEAKER!G41+MM!G41+CORP!G41+PROP!G41+RATES!G41+THALL!G41+FIN!G41+SOCIAL!G41+CEMETERY!G41+LIBRARIES!G41+HOUSING!G41+TRAFFIC!G41+PARKS!G41+REFUSE!G41+SEWAGE!G41+PWORKS!G41+WATER!G41+ELECTRIC!G41</f>
        <v>740253.45699999994</v>
      </c>
      <c r="F41" s="435">
        <f>+COUNCIL!H41+MAYOR!H42+SPEAKER!H41+MM!H41+CORP!H41+PROP!H41+RATES!H41+THALL!H41+FIN!H41+SOCIAL!H42+CEMETERY!H41+LIBRARIES!H41+HOUSING!H41+TRAFFIC!H41+PARKS!H41+REFUSE!H41+SEWAGE!H41+PWORKS!H41+WATER!H41+ELECTRIC!H41</f>
        <v>816978.8027</v>
      </c>
      <c r="G41" s="435">
        <f>+COUNCIL!I41+MAYOR!I42+SPEAKER!I41+MM!I41+CORP!I41+PROP!I41+RATES!I41+THALL!I41+FIN!I41+SOCIAL!I42+CEMETERY!I41+LIBRARIES!I41+HOUSING!I41+TRAFFIC!I41+PARKS!I41+REFUSE!I41+SEWAGE!I41+PWORKS!I41+WATER!I41+ELECTRIC!I41</f>
        <v>872576.68296999997</v>
      </c>
    </row>
    <row r="42" spans="1:7" s="285" customFormat="1" x14ac:dyDescent="0.25">
      <c r="A42" s="94" t="s">
        <v>57</v>
      </c>
      <c r="B42" s="435">
        <f>+COUNCIL!D42+MAYOR!D43+SPEAKER!D42+MM!D42+CORP!D42+PROP!D42+RATES!D42+THALL!D42+FIN!D42+SOCIAL!D43+CEMETERY!D42+LIBRARIES!D42+HOUSING!D42+TRAFFIC!D42+PARKS!D42+REFUSE!D42+SEWAGE!D42+PWORKS!D42+WATER!D42+ELECTRIC!D42</f>
        <v>16597</v>
      </c>
      <c r="C42" s="435">
        <v>120650</v>
      </c>
      <c r="D42" s="435">
        <f>+COUNCIL!F42+MAYOR!F42+SPEAKER!F42+MM!F42+CORP!F42+PROP!F42+RATES!F42+THALL!F42+FIN!F42+SOCIAL!F42+CEMETERY!F42+LIBRARIES!F42+HOUSING!F42+TRAFFIC!F42+PARKS!F42+REFUSE!F42+SEWAGE!F42+PWORKS!F42+WATER!F42+ELECTRIC!F42</f>
        <v>60650</v>
      </c>
      <c r="E42" s="435">
        <f>+COUNCIL!G42+MAYOR!G42+SPEAKER!G42+MM!G42+CORP!G42+PROP!G42+RATES!G42+THALL!G42+FIN!G42+SOCIAL!G42+CEMETERY!G42+LIBRARIES!G42+HOUSING!G42+TRAFFIC!G42+PARKS!G42+REFUSE!G42+SEWAGE!G42+PWORKS!G42+WATER!G42+ELECTRIC!G42</f>
        <v>95000</v>
      </c>
      <c r="F42" s="435">
        <f>+COUNCIL!H42+MAYOR!H43+SPEAKER!H42+MM!H42+CORP!H42+PROP!H42+RATES!H42+THALL!H42+FIN!H42+SOCIAL!H43+CEMETERY!H42+LIBRARIES!H42+HOUSING!H42+TRAFFIC!H42+PARKS!H42+REFUSE!H42+SEWAGE!H42+PWORKS!H42+WATER!H42+ELECTRIC!H42</f>
        <v>82500</v>
      </c>
      <c r="G42" s="435">
        <f>+COUNCIL!I42+MAYOR!I43+SPEAKER!I42+MM!I42+CORP!I42+PROP!I42+RATES!I42+THALL!I42+FIN!I42+SOCIAL!I43+CEMETERY!I42+LIBRARIES!I42+HOUSING!I42+TRAFFIC!I42+PARKS!I42+REFUSE!I42+SEWAGE!I42+PWORKS!I42+WATER!I42+ELECTRIC!I42</f>
        <v>90750</v>
      </c>
    </row>
    <row r="43" spans="1:7" s="285" customFormat="1" x14ac:dyDescent="0.25">
      <c r="A43" s="94" t="s">
        <v>95</v>
      </c>
      <c r="B43" s="435">
        <f>+COUNCIL!D43+MAYOR!D44+SPEAKER!D43+MM!D43+CORP!D43+PROP!D43+RATES!D43+THALL!D43+FIN!D43+SOCIAL!D44+CEMETERY!D43+LIBRARIES!D43+HOUSING!D43+TRAFFIC!D43+PARKS!D43+REFUSE!D43+SEWAGE!D43+PWORKS!D43+WATER!D43+ELECTRIC!D43</f>
        <v>75231</v>
      </c>
      <c r="C43" s="435">
        <f>+COUNCIL!E43+MAYOR!E44+SPEAKER!E43+MM!E43+CORP!E43+PROP!E43+RATES!E43+THALL!E43+FIN!E43+SOCIAL!E44+CEMETERY!E43+LIBRARIES!E43+HOUSING!E43+TRAFFIC!E43+PARKS!E43+REFUSE!E43+SEWAGE!E43+PWORKS!E43+WATER!E43+ELECTRIC!E43</f>
        <v>222218.87</v>
      </c>
      <c r="D43" s="435">
        <f>+COUNCIL!F43+MAYOR!F43+SPEAKER!F43+MM!F43+CORP!F43+PROP!F43+RATES!F43+THALL!F43+FIN!F43+SOCIAL!F43+CEMETERY!F43+LIBRARIES!F43+HOUSING!F43+TRAFFIC!F43+PARKS!F43+REFUSE!F43+SEWAGE!F43+PWORKS!F43+WATER!F43+ELECTRIC!F43</f>
        <v>222218.87</v>
      </c>
      <c r="E43" s="435">
        <f>+COUNCIL!G43+MAYOR!G43+SPEAKER!G43+MM!G43+CORP!G43+PROP!G43+RATES!G43+THALL!G43+FIN!G43+SOCIAL!G43+CEMETERY!G43+LIBRARIES!G43+HOUSING!G43+TRAFFIC!G43+PARKS!G43+REFUSE!G43+SEWAGE!G43+PWORKS!G43+WATER!G43+ELECTRIC!G43</f>
        <v>243626.81899999999</v>
      </c>
      <c r="F43" s="435">
        <f>+COUNCIL!H43+MAYOR!H44+SPEAKER!H43+MM!H43+CORP!H43+PROP!H43+RATES!H43+THALL!H43+FIN!H43+SOCIAL!H44+CEMETERY!H43+LIBRARIES!H43+HOUSING!H43+TRAFFIC!H43+PARKS!H43+REFUSE!H43+SEWAGE!H43+PWORKS!H43+WATER!H43+ELECTRIC!H43</f>
        <v>267989.50089999998</v>
      </c>
      <c r="G43" s="435">
        <f>+COUNCIL!I43+MAYOR!I44+SPEAKER!I43+MM!I43+CORP!I43+PROP!I43+RATES!I43+THALL!I43+FIN!I43+SOCIAL!I44+CEMETERY!I43+LIBRARIES!I43+HOUSING!I43+TRAFFIC!I43+PARKS!I43+REFUSE!I43+SEWAGE!I43+PWORKS!I43+WATER!I43+ELECTRIC!I43</f>
        <v>294788.45098999998</v>
      </c>
    </row>
    <row r="44" spans="1:7" s="285" customFormat="1" x14ac:dyDescent="0.25">
      <c r="A44" s="94" t="s">
        <v>58</v>
      </c>
      <c r="B44" s="435">
        <f>+COUNCIL!D44+MAYOR!D45+SPEAKER!D44+MM!D44+CORP!D44+PROP!D44+RATES!D44+THALL!D44+FIN!D44+SOCIAL!D45+CEMETERY!D44+LIBRARIES!D44+HOUSING!D44+TRAFFIC!D44+PARKS!D44+REFUSE!D44+SEWAGE!D44+PWORKS!D44+WATER!D44+ELECTRIC!D44</f>
        <v>88600</v>
      </c>
      <c r="C44" s="435">
        <f>+COUNCIL!E44+MAYOR!E45+SPEAKER!E44+MM!E44+CORP!E44+PROP!E44+RATES!E44+THALL!E44+FIN!E44+SOCIAL!E45+CEMETERY!E44+LIBRARIES!E44+HOUSING!E44+TRAFFIC!E44+PARKS!E44+REFUSE!E44+SEWAGE!E44+PWORKS!E44+WATER!E44+ELECTRIC!E44</f>
        <v>56000</v>
      </c>
      <c r="D44" s="435">
        <f>+COUNCIL!F44+MAYOR!F44+SPEAKER!F44+MM!F44+CORP!F44+PROP!F44+RATES!F44+THALL!F44+FIN!F44+SOCIAL!F44+CEMETERY!F44+LIBRARIES!F44+HOUSING!F44+TRAFFIC!F44+PARKS!F44+REFUSE!F44+SEWAGE!F44+PWORKS!F44+WATER!F44+ELECTRIC!F44</f>
        <v>116000</v>
      </c>
      <c r="E44" s="435">
        <f>+COUNCIL!G44+MAYOR!G44+SPEAKER!G44+MM!G44+CORP!G44+PROP!G44+RATES!G44+THALL!G44+FIN!G44+SOCIAL!G44+CEMETERY!G44+LIBRARIES!G44+HOUSING!G44+TRAFFIC!G44+PARKS!G44+REFUSE!G44+SEWAGE!G44+PWORKS!G44+WATER!G44+ELECTRIC!G44</f>
        <v>95000</v>
      </c>
      <c r="F44" s="435">
        <f>+COUNCIL!H44+MAYOR!H45+SPEAKER!H44+MM!H44+CORP!H44+PROP!H44+RATES!H44+THALL!H44+FIN!H44+SOCIAL!H45+CEMETERY!H44+LIBRARIES!H44+HOUSING!H44+TRAFFIC!H44+PARKS!H44+REFUSE!H44+SEWAGE!H44+PWORKS!H44+WATER!H44+ELECTRIC!H44</f>
        <v>105000</v>
      </c>
      <c r="G44" s="435">
        <f>+COUNCIL!I44+MAYOR!I45+SPEAKER!I44+MM!I44+CORP!I44+PROP!I44+RATES!I44+THALL!I44+FIN!I44+SOCIAL!I45+CEMETERY!I44+LIBRARIES!I44+HOUSING!I44+TRAFFIC!I44+PARKS!I44+REFUSE!I44+SEWAGE!I44+PWORKS!I44+WATER!I44+ELECTRIC!I44</f>
        <v>115000</v>
      </c>
    </row>
    <row r="45" spans="1:7" s="285" customFormat="1" x14ac:dyDescent="0.25">
      <c r="A45" s="94" t="s">
        <v>92</v>
      </c>
      <c r="B45" s="435">
        <f>+COUNCIL!D45+MAYOR!D46+SPEAKER!D45+MM!D45+CORP!D45+PROP!D45+RATES!D45+THALL!D45+FIN!D45+SOCIAL!D46+CEMETERY!D45+LIBRARIES!D45+HOUSING!D45+TRAFFIC!D45+PARKS!D45+REFUSE!D45+SEWAGE!D45+PWORKS!D45+WATER!D45+ELECTRIC!D45</f>
        <v>216214</v>
      </c>
      <c r="C45" s="435">
        <f>+COUNCIL!E45+MAYOR!E46+SPEAKER!E45+MM!E45+CORP!E45+PROP!E45+RATES!E45+THALL!E45+FIN!E45+SOCIAL!E46+CEMETERY!E45+LIBRARIES!E45+HOUSING!E45+TRAFFIC!E45+PARKS!E45+REFUSE!E45+SEWAGE!E45+PWORKS!E45+WATER!E45+ELECTRIC!E45</f>
        <v>350000</v>
      </c>
      <c r="D45" s="435">
        <f>+COUNCIL!F45+MAYOR!F45+SPEAKER!F45+MM!F45+CORP!F45+PROP!F45+RATES!F45+THALL!F45+FIN!F45+SOCIAL!F45+CEMETERY!F45+LIBRARIES!F45+HOUSING!F45+TRAFFIC!F45+PARKS!F45+REFUSE!F45+SEWAGE!F45+PWORKS!F45+WATER!F45+ELECTRIC!F45</f>
        <v>434000</v>
      </c>
      <c r="E45" s="435">
        <f>+COUNCIL!G45+MAYOR!G45+SPEAKER!G45+MM!G45+CORP!G45+PROP!G45+RATES!G45+THALL!G45+FIN!G45+SOCIAL!G45+CEMETERY!G45+LIBRARIES!G45+HOUSING!G45+TRAFFIC!G45+PARKS!G45+REFUSE!G45+SEWAGE!G45+PWORKS!G45+WATER!G45+ELECTRIC!G45</f>
        <v>250000</v>
      </c>
      <c r="F45" s="435">
        <f>+COUNCIL!H45+MAYOR!H46+SPEAKER!H45+MM!H45+CORP!H45+PROP!H45+RATES!H45+THALL!H45+FIN!H45+SOCIAL!H46+CEMETERY!H45+LIBRARIES!H45+HOUSING!H45+TRAFFIC!H45+PARKS!H45+REFUSE!H45+SEWAGE!H45+PWORKS!H45+WATER!H45+ELECTRIC!H45</f>
        <v>275000</v>
      </c>
      <c r="G45" s="435">
        <f>+COUNCIL!I45+MAYOR!I46+SPEAKER!I45+MM!I45+CORP!I45+PROP!I45+RATES!I45+THALL!I45+FIN!I45+SOCIAL!I46+CEMETERY!I45+LIBRARIES!I45+HOUSING!I45+TRAFFIC!I45+PARKS!I45+REFUSE!I45+SEWAGE!I45+PWORKS!I45+WATER!I45+ELECTRIC!I45</f>
        <v>290000</v>
      </c>
    </row>
    <row r="46" spans="1:7" s="285" customFormat="1" x14ac:dyDescent="0.25">
      <c r="A46" s="94" t="s">
        <v>86</v>
      </c>
      <c r="B46" s="435">
        <f>+COUNCIL!D46+MAYOR!D47+SPEAKER!D46+MM!D46+CORP!D46+PROP!D46+RATES!D46+THALL!D46+FIN!D46+SOCIAL!D47+CEMETERY!D46+LIBRARIES!D46+HOUSING!D46+TRAFFIC!D46+PARKS!D46+REFUSE!D46+SEWAGE!D46+PWORKS!D46+WATER!D46+ELECTRIC!D46</f>
        <v>821359</v>
      </c>
      <c r="C46" s="435">
        <f>+COUNCIL!E46+MAYOR!E47+SPEAKER!E46+MM!E46+CORP!E46+PROP!E46+RATES!E46+THALL!E46+FIN!E46+SOCIAL!E47+CEMETERY!E46+LIBRARIES!E46+HOUSING!E46+TRAFFIC!E46+PARKS!E46+REFUSE!E46+SEWAGE!E46+PWORKS!E46+WATER!E46+ELECTRIC!E46</f>
        <v>1987742.6041199998</v>
      </c>
      <c r="D46" s="435">
        <f>+COUNCIL!F46+MAYOR!F46+SPEAKER!F46+MM!F46+CORP!F46+PROP!F46+RATES!F46+THALL!F46+FIN!F46+SOCIAL!F46+CEMETERY!F46+LIBRARIES!F46+HOUSING!F46+TRAFFIC!F46+PARKS!F46+REFUSE!F46+SEWAGE!F46+PWORKS!F46+WATER!F46+ELECTRIC!F46</f>
        <v>2082742.6041199998</v>
      </c>
      <c r="E46" s="435">
        <f>+COUNCIL!G46+MAYOR!G46+SPEAKER!G46+MM!G46+CORP!G46+PROP!G46+RATES!G46+THALL!G46+FIN!G46+SOCIAL!G46+CEMETERY!G46+LIBRARIES!G46+HOUSING!G46+TRAFFIC!G46+PARKS!G46+REFUSE!G46+SEWAGE!G46+PWORKS!G46+WATER!G46+ELECTRIC!G46</f>
        <v>2268589.5310319997</v>
      </c>
      <c r="F46" s="435">
        <f>+COUNCIL!H46+MAYOR!H47+SPEAKER!H46+MM!H46+CORP!H46+PROP!H46+RATES!H46+THALL!H46+FIN!H46+SOCIAL!H47+CEMETERY!H46+LIBRARIES!H46+HOUSING!H46+TRAFFIC!H46+PARKS!H46+REFUSE!H46+SEWAGE!H46+PWORKS!H46+WATER!H46+ELECTRIC!H46</f>
        <v>2495448.4841352003</v>
      </c>
      <c r="G46" s="435">
        <f>+COUNCIL!I46+MAYOR!I47+SPEAKER!I46+MM!I46+CORP!I46+PROP!I46+RATES!I46+THALL!I46+FIN!I46+SOCIAL!I47+CEMETERY!I46+LIBRARIES!I46+HOUSING!I46+TRAFFIC!I46+PARKS!I46+REFUSE!I46+SEWAGE!I46+PWORKS!I46+WATER!I46+ELECTRIC!I46</f>
        <v>2744993.3325487198</v>
      </c>
    </row>
    <row r="47" spans="1:7" s="285" customFormat="1" x14ac:dyDescent="0.25">
      <c r="A47" s="94" t="s">
        <v>124</v>
      </c>
      <c r="B47" s="435">
        <f>+COUNCIL!D47+MAYOR!D48+SPEAKER!D47+MM!D47+CORP!D47+PROP!D47+RATES!D47+THALL!D47+FIN!D47+SOCIAL!D48+CEMETERY!D47+LIBRARIES!D47+HOUSING!D47+TRAFFIC!D47+PARKS!D47+REFUSE!D47+SEWAGE!D47+PWORKS!D47+WATER!D47+ELECTRIC!D47</f>
        <v>3879063</v>
      </c>
      <c r="C47" s="435">
        <v>1563750</v>
      </c>
      <c r="D47" s="435">
        <f>+COUNCIL!F47+MAYOR!F47+SPEAKER!F47+MM!F47+CORP!F47+PROP!F47+RATES!F47+THALL!F47+FIN!F47+SOCIAL!F47+CEMETERY!F47+LIBRARIES!F47+HOUSING!F47+TRAFFIC!F47+PARKS!F47+REFUSE!F47+SEWAGE!F47+PWORKS!F47+WATER!F47+ELECTRIC!F47</f>
        <v>5463750</v>
      </c>
      <c r="E47" s="435">
        <f>+COUNCIL!G47+MAYOR!G47+SPEAKER!G47+MM!G47+CORP!G47+PROP!G47+RATES!G47+THALL!G47+FIN!G47+SOCIAL!G47+CEMETERY!G47+LIBRARIES!G47+HOUSING!G47+TRAFFIC!G47+PARKS!G47+REFUSE!G47+SEWAGE!G47+PWORKS!G47+WATER!G47+ELECTRIC!G47</f>
        <v>2490000</v>
      </c>
      <c r="F47" s="435">
        <f>+COUNCIL!H47+MAYOR!H48+SPEAKER!H47+MM!H47+CORP!H47+PROP!H47+RATES!H47+THALL!H47+FIN!H47+SOCIAL!H48+CEMETERY!H47+LIBRARIES!H47+HOUSING!H47+TRAFFIC!H47+PARKS!H47+REFUSE!H47+SEWAGE!H47+PWORKS!H47+WATER!H47+ELECTRIC!H47</f>
        <v>2739000</v>
      </c>
      <c r="G47" s="435">
        <f>+COUNCIL!I47+MAYOR!I48+SPEAKER!I47+MM!I47+CORP!I47+PROP!I47+RATES!I47+THALL!I47+FIN!I47+SOCIAL!I48+CEMETERY!I47+LIBRARIES!I47+HOUSING!I47+TRAFFIC!I47+PARKS!I47+REFUSE!I47+SEWAGE!I47+PWORKS!I47+WATER!I47+ELECTRIC!I47</f>
        <v>3012900</v>
      </c>
    </row>
    <row r="48" spans="1:7" s="285" customFormat="1" x14ac:dyDescent="0.25">
      <c r="A48" s="94" t="s">
        <v>59</v>
      </c>
      <c r="B48" s="435">
        <f>+COUNCIL!D48+MAYOR!D49+SPEAKER!D48+MM!D48+CORP!D48+PROP!D48+RATES!D48+THALL!D48+FIN!D48+SOCIAL!D49+CEMETERY!D48+LIBRARIES!D48+HOUSING!D48+TRAFFIC!D48+PARKS!D48+REFUSE!D48+SEWAGE!D48+PWORKS!D48+WATER!D48+ELECTRIC!D48</f>
        <v>120525</v>
      </c>
      <c r="C48" s="435">
        <v>169122</v>
      </c>
      <c r="D48" s="435">
        <f>+COUNCIL!F48+MAYOR!F48+SPEAKER!F48+MM!F48+CORP!F48+PROP!F48+RATES!F48+THALL!F48+FIN!F48+SOCIAL!F48+CEMETERY!F48+LIBRARIES!F48+HOUSING!F48+TRAFFIC!F48+PARKS!F48+REFUSE!F48+SEWAGE!F48+PWORKS!F48+WATER!F48+ELECTRIC!F48</f>
        <v>204122</v>
      </c>
      <c r="E48" s="435">
        <f>+COUNCIL!G48+MAYOR!G48+SPEAKER!G48+MM!G48+CORP!G48+PROP!G48+RATES!G48+THALL!G48+FIN!G48+SOCIAL!G48+CEMETERY!G48+LIBRARIES!G48+HOUSING!G48+TRAFFIC!G48+PARKS!G48+REFUSE!G48+SEWAGE!G48+PWORKS!G48+WATER!G48+ELECTRIC!G48</f>
        <v>155000</v>
      </c>
      <c r="F48" s="435">
        <f>+COUNCIL!H48+MAYOR!H49+SPEAKER!H48+MM!H48+CORP!H48+PROP!H48+RATES!H48+THALL!H48+FIN!H48+SOCIAL!H49+CEMETERY!H48+LIBRARIES!H48+HOUSING!H48+TRAFFIC!H48+PARKS!H48+REFUSE!H48+SEWAGE!H48+PWORKS!H48+WATER!H48+ELECTRIC!H48</f>
        <v>137500</v>
      </c>
      <c r="G48" s="435">
        <f>+COUNCIL!I48+MAYOR!I49+SPEAKER!I48+MM!I48+CORP!I48+PROP!I48+RATES!I48+THALL!I48+FIN!I48+SOCIAL!I49+CEMETERY!I48+LIBRARIES!I48+HOUSING!I48+TRAFFIC!I48+PARKS!I48+REFUSE!I48+SEWAGE!I48+PWORKS!I48+WATER!I48+ELECTRIC!I48</f>
        <v>151250</v>
      </c>
    </row>
    <row r="49" spans="1:7" s="285" customFormat="1" x14ac:dyDescent="0.25">
      <c r="A49" s="94" t="s">
        <v>91</v>
      </c>
      <c r="B49" s="435">
        <f>+COUNCIL!D49+MAYOR!D50+SPEAKER!D49+MM!D49+CORP!D49+PROP!D49+RATES!D49+THALL!D49+FIN!D49+SOCIAL!D50+CEMETERY!D49+LIBRARIES!D49+HOUSING!D49+TRAFFIC!D49+PARKS!D49+REFUSE!D49+SEWAGE!D49+PWORKS!D49+WATER!D49+ELECTRIC!D49</f>
        <v>545092.25</v>
      </c>
      <c r="C49" s="435">
        <f>+COUNCIL!E49+MAYOR!E50+SPEAKER!E49+MM!E49+CORP!E49+PROP!E49+RATES!E49+THALL!E49+FIN!E49+SOCIAL!E50+CEMETERY!E49+LIBRARIES!E49+HOUSING!E49+TRAFFIC!E49+PARKS!E49+REFUSE!E49+SEWAGE!E49+PWORKS!E49+WATER!E49+ELECTRIC!E49</f>
        <v>1211397.7</v>
      </c>
      <c r="D49" s="435">
        <f>+COUNCIL!F49+MAYOR!F49+SPEAKER!F49+MM!F49+CORP!F49+PROP!F49+RATES!F49+THALL!F49+FIN!F49+SOCIAL!F49+CEMETERY!F49+LIBRARIES!F49+HOUSING!F49+TRAFFIC!F49+PARKS!F49+REFUSE!F49+SEWAGE!F49+PWORKS!F49+WATER!F49+ELECTRIC!F49</f>
        <v>1111250</v>
      </c>
      <c r="E49" s="435">
        <f>+COUNCIL!G49+MAYOR!G49+SPEAKER!G49+MM!G49+CORP!G49+PROP!G49+RATES!G49+THALL!G49+FIN!G49+SOCIAL!G49+CEMETERY!G49+LIBRARIES!G49+HOUSING!G49+TRAFFIC!G49+PARKS!G49+REFUSE!G49+SEWAGE!G49+PWORKS!G49+WATER!G49+ELECTRIC!G49</f>
        <v>1400000</v>
      </c>
      <c r="F49" s="435">
        <f>+COUNCIL!H49+MAYOR!H50+SPEAKER!H49+MM!H49+CORP!H49+PROP!H49+RATES!H49+THALL!H49+FIN!H49+SOCIAL!H50+CEMETERY!H49+LIBRARIES!H49+HOUSING!H49+TRAFFIC!H49+PARKS!H49+REFUSE!H49+SEWAGE!H49+PWORKS!H49+WATER!H49+ELECTRIC!H49</f>
        <v>1540000</v>
      </c>
      <c r="G49" s="435">
        <f>+COUNCIL!I49+MAYOR!I50+SPEAKER!I49+MM!I49+CORP!I49+PROP!I49+RATES!I49+THALL!I49+FIN!I49+SOCIAL!I50+CEMETERY!I49+LIBRARIES!I49+HOUSING!I49+TRAFFIC!I49+PARKS!I49+REFUSE!I49+SEWAGE!I49+PWORKS!I49+WATER!I49+ELECTRIC!I49</f>
        <v>1694000</v>
      </c>
    </row>
    <row r="50" spans="1:7" s="285" customFormat="1" x14ac:dyDescent="0.25">
      <c r="A50" s="94" t="s">
        <v>88</v>
      </c>
      <c r="B50" s="435">
        <f>+COUNCIL!D50+MAYOR!D51+SPEAKER!D50+MM!D50+CORP!D50+PROP!D50+RATES!D50+THALL!D50+FIN!D50+SOCIAL!D51+CEMETERY!D50+LIBRARIES!D50+HOUSING!D50+TRAFFIC!D50+PARKS!D50+REFUSE!D50+SEWAGE!D50+PWORKS!D50+WATER!D50+ELECTRIC!D50</f>
        <v>968689.91</v>
      </c>
      <c r="C50" s="435">
        <v>1388267</v>
      </c>
      <c r="D50" s="435">
        <f>+COUNCIL!F50+MAYOR!F50+SPEAKER!F50+MM!F50+CORP!F50+PROP!F50+RATES!F50+THALL!F50+FIN!F50+SOCIAL!F50+CEMETERY!F50+LIBRARIES!F50+HOUSING!F50+TRAFFIC!F50+PARKS!F50+REFUSE!F50+SEWAGE!F50+PWORKS!F50+WATER!F50+ELECTRIC!F50</f>
        <v>1468267.24398</v>
      </c>
      <c r="E50" s="435">
        <f>+COUNCIL!G50+MAYOR!G50+SPEAKER!G50+MM!G50+CORP!G50+PROP!G50+RATES!G50+THALL!G50+FIN!G50+SOCIAL!G50+CEMETERY!G50+LIBRARIES!G50+HOUSING!G50+TRAFFIC!G50+PARKS!G50+REFUSE!G50+SEWAGE!G50+PWORKS!G50+WATER!G50+ELECTRIC!G50</f>
        <v>1876256.498378</v>
      </c>
      <c r="F50" s="435">
        <f>+COUNCIL!H50+MAYOR!H51+SPEAKER!H50+MM!H50+CORP!H50+PROP!H50+RATES!H50+THALL!H50+FIN!H50+SOCIAL!H51+CEMETERY!H50+LIBRARIES!H50+HOUSING!H50+TRAFFIC!H50+PARKS!H50+REFUSE!H50+SEWAGE!H50+PWORKS!H50+WATER!H50+ELECTRIC!H50</f>
        <v>2059582.1482158001</v>
      </c>
      <c r="G50" s="435">
        <f>+COUNCIL!I50+MAYOR!I51+SPEAKER!I50+MM!I50+CORP!I50+PROP!I50+RATES!I50+THALL!I50+FIN!I50+SOCIAL!I51+CEMETERY!I50+LIBRARIES!I50+HOUSING!I50+TRAFFIC!I50+PARKS!I50+REFUSE!I50+SEWAGE!I50+PWORKS!I50+WATER!I50+ELECTRIC!I50</f>
        <v>2259110.3630373799</v>
      </c>
    </row>
    <row r="51" spans="1:7" s="285" customFormat="1" x14ac:dyDescent="0.25">
      <c r="A51" s="94" t="s">
        <v>125</v>
      </c>
      <c r="B51" s="435">
        <f>+COUNCIL!D51+MAYOR!D52+SPEAKER!D51+MM!D51+CORP!D51+PROP!D51+RATES!D51+THALL!D51+FIN!D51+SOCIAL!D52+CEMETERY!D51+LIBRARIES!D51+HOUSING!D51+TRAFFIC!D51+PARKS!D51+REFUSE!D51+SEWAGE!D51+PWORKS!D51+WATER!D51+ELECTRIC!D51</f>
        <v>0</v>
      </c>
      <c r="C51" s="435">
        <f>+COUNCIL!E51+MAYOR!E52+SPEAKER!E51+MM!E51+CORP!E51+PROP!E51+RATES!E51+THALL!E51+FIN!E51+SOCIAL!E52+CEMETERY!E51+LIBRARIES!E51+HOUSING!E51+TRAFFIC!E51+PARKS!E51+REFUSE!E51+SEWAGE!E51+PWORKS!E51+WATER!E51+ELECTRIC!E51</f>
        <v>0</v>
      </c>
      <c r="D51" s="435">
        <f>+COUNCIL!F51+MAYOR!F51+SPEAKER!F51+MM!F51+CORP!F51+PROP!F51+RATES!F51+THALL!F51+FIN!F51+SOCIAL!F51+CEMETERY!F51+LIBRARIES!F51+HOUSING!F51+TRAFFIC!F51+PARKS!F51+REFUSE!F51+SEWAGE!F51+PWORKS!F51+WATER!F51+ELECTRIC!F51</f>
        <v>0</v>
      </c>
      <c r="E51" s="435">
        <f>+COUNCIL!G51+MAYOR!G51+SPEAKER!G51+MM!G51+CORP!G51+PROP!G51+RATES!G51+THALL!G51+FIN!G51+SOCIAL!G51+CEMETERY!G51+LIBRARIES!G51+HOUSING!G51+TRAFFIC!G51+PARKS!G51+REFUSE!G51+SEWAGE!G51+PWORKS!G51+WATER!G51+ELECTRIC!G51</f>
        <v>0</v>
      </c>
      <c r="F51" s="435">
        <f>+COUNCIL!H51+MAYOR!H52+SPEAKER!H51+MM!H51+CORP!H51+PROP!H51+RATES!H51+THALL!H51+FIN!H51+SOCIAL!H52+CEMETERY!H51+LIBRARIES!H51+HOUSING!H51+TRAFFIC!H51+PARKS!H51+REFUSE!H51+SEWAGE!H51+PWORKS!H51+WATER!H51+ELECTRIC!H51</f>
        <v>0</v>
      </c>
      <c r="G51" s="435">
        <f>+COUNCIL!I51+MAYOR!I52+SPEAKER!I51+MM!I51+CORP!I51+PROP!I51+RATES!I51+THALL!I51+FIN!I51+SOCIAL!I52+CEMETERY!I51+LIBRARIES!I51+HOUSING!I51+TRAFFIC!I51+PARKS!I51+REFUSE!I51+SEWAGE!I51+PWORKS!I51+WATER!I51+ELECTRIC!I51</f>
        <v>0</v>
      </c>
    </row>
    <row r="52" spans="1:7" s="285" customFormat="1" x14ac:dyDescent="0.25">
      <c r="A52" s="94" t="s">
        <v>90</v>
      </c>
      <c r="B52" s="435">
        <f>+COUNCIL!D52+MAYOR!D53+SPEAKER!D52+MM!D52+CORP!D52+PROP!D52+RATES!D52+THALL!D52+FIN!D52+SOCIAL!D53+CEMETERY!D52+LIBRARIES!D52+HOUSING!D52+TRAFFIC!D52+PARKS!D52+REFUSE!D52+SEWAGE!D52+PWORKS!D52+WATER!D52+ELECTRIC!D52</f>
        <v>126543</v>
      </c>
      <c r="C52" s="435">
        <f>+COUNCIL!E52+MAYOR!E53+SPEAKER!E52+MM!E52+CORP!E52+PROP!E52+RATES!E52+THALL!E52+FIN!E52+SOCIAL!E53+CEMETERY!E52+LIBRARIES!E52+HOUSING!E52+TRAFFIC!E52+PARKS!E52+REFUSE!E52+SEWAGE!E52+PWORKS!E52+WATER!E52+ELECTRIC!E52</f>
        <v>190000</v>
      </c>
      <c r="D52" s="435">
        <f>+COUNCIL!F52+MAYOR!F52+SPEAKER!F52+MM!F52+CORP!F52+PROP!F52+RATES!F52+THALL!F52+FIN!F52+SOCIAL!F52+CEMETERY!F52+LIBRARIES!F52+HOUSING!F52+TRAFFIC!F52+PARKS!F52+REFUSE!F52+SEWAGE!F52+PWORKS!F52+WATER!F52+ELECTRIC!F52</f>
        <v>230000</v>
      </c>
      <c r="E52" s="435">
        <f>+COUNCIL!G52+MAYOR!G52+SPEAKER!G52+MM!G52+CORP!G52+PROP!G52+RATES!G52+THALL!G52+FIN!G52+SOCIAL!G52+CEMETERY!G52+LIBRARIES!G52+HOUSING!G52+TRAFFIC!G52+PARKS!G52+REFUSE!G52+SEWAGE!G52+PWORKS!G52+WATER!G52+ELECTRIC!G52</f>
        <v>220000</v>
      </c>
      <c r="F52" s="435">
        <f>+COUNCIL!H52+MAYOR!H53+SPEAKER!H52+MM!H52+CORP!H52+PROP!H52+RATES!H52+THALL!H52+FIN!H52+SOCIAL!H53+CEMETERY!H52+LIBRARIES!H52+HOUSING!H52+TRAFFIC!H52+PARKS!H52+REFUSE!H52+SEWAGE!H52+PWORKS!H52+WATER!H52+ELECTRIC!H52</f>
        <v>240000</v>
      </c>
      <c r="G52" s="435">
        <f>+COUNCIL!I52+MAYOR!I53+SPEAKER!I52+MM!I52+CORP!I52+PROP!I52+RATES!I52+THALL!I52+FIN!I52+SOCIAL!I53+CEMETERY!I52+LIBRARIES!I52+HOUSING!I52+TRAFFIC!I52+PARKS!I52+REFUSE!I52+SEWAGE!I52+PWORKS!I52+WATER!I52+ELECTRIC!I52</f>
        <v>260000</v>
      </c>
    </row>
    <row r="53" spans="1:7" s="285" customFormat="1" x14ac:dyDescent="0.25">
      <c r="A53" s="94" t="s">
        <v>87</v>
      </c>
      <c r="B53" s="435">
        <f>+COUNCIL!D53+MAYOR!D54+SPEAKER!D53+MM!D53+CORP!D53+PROP!D53+RATES!D53+THALL!D53+FIN!D53+SOCIAL!D54+CEMETERY!D53+LIBRARIES!D53+HOUSING!D53+TRAFFIC!D53+PARKS!D53+REFUSE!D53+SEWAGE!D53+PWORKS!D53+WATER!D53+ELECTRIC!D53</f>
        <v>1232781</v>
      </c>
      <c r="C53" s="435">
        <f>+COUNCIL!E53+MAYOR!E54+SPEAKER!E53+MM!E53+CORP!E53+PROP!E53+RATES!E53+THALL!E53+FIN!E53+SOCIAL!E54+CEMETERY!E53+LIBRARIES!E53+HOUSING!E53+TRAFFIC!E53+PARKS!E53+REFUSE!E53+SEWAGE!E53+PWORKS!E53+WATER!E53+ELECTRIC!E53</f>
        <v>1071350</v>
      </c>
      <c r="D53" s="435">
        <f>+COUNCIL!F53+MAYOR!F53+SPEAKER!F53+MM!F53+CORP!F53+PROP!F53+RATES!F53+THALL!F53+FIN!F53+SOCIAL!F53+CEMETERY!F53+LIBRARIES!F53+HOUSING!F53+TRAFFIC!F53+PARKS!F53+REFUSE!F53+SEWAGE!F53+PWORKS!F53+WATER!F53+ELECTRIC!F53</f>
        <v>1811350</v>
      </c>
      <c r="E53" s="435">
        <f>+COUNCIL!G53+MAYOR!G53+SPEAKER!G53+MM!G53+CORP!G53+PROP!G53+RATES!G53+THALL!G53+FIN!G53+SOCIAL!G53+CEMETERY!G53+LIBRARIES!G53+HOUSING!G53+TRAFFIC!G53+PARKS!G53+REFUSE!G53+SEWAGE!G53+PWORKS!G53+WATER!G53+ELECTRIC!G53</f>
        <v>1407000</v>
      </c>
      <c r="F53" s="435">
        <f>+COUNCIL!H53+MAYOR!H54+SPEAKER!H53+MM!H53+CORP!H53+PROP!H53+RATES!H53+THALL!H53+FIN!H53+SOCIAL!H54+CEMETERY!H53+LIBRARIES!H53+HOUSING!H53+TRAFFIC!H53+PARKS!H53+REFUSE!H53+SEWAGE!H53+PWORKS!H53+WATER!H53+ELECTRIC!H53</f>
        <v>1547700</v>
      </c>
      <c r="G53" s="435">
        <f>+COUNCIL!I53+MAYOR!I54+SPEAKER!I53+MM!I53+CORP!I53+PROP!I53+RATES!I53+THALL!I53+FIN!I53+SOCIAL!I54+CEMETERY!I53+LIBRARIES!I53+HOUSING!I53+TRAFFIC!I53+PARKS!I53+REFUSE!I53+SEWAGE!I53+PWORKS!I53+WATER!I53+ELECTRIC!I53</f>
        <v>1702470</v>
      </c>
    </row>
    <row r="54" spans="1:7" s="285" customFormat="1" x14ac:dyDescent="0.25">
      <c r="A54" s="94" t="s">
        <v>89</v>
      </c>
      <c r="B54" s="435">
        <f>+COUNCIL!D54+MAYOR!D55+SPEAKER!D54+MM!D54+CORP!D54+PROP!D54+RATES!D54+THALL!D54+FIN!D54+SOCIAL!D55+CEMETERY!D54+LIBRARIES!D54+HOUSING!D54+TRAFFIC!D54+PARKS!D54+REFUSE!D54+SEWAGE!D54+PWORKS!D54+WATER!D54+ELECTRIC!D54</f>
        <v>6288</v>
      </c>
      <c r="C54" s="435">
        <f>+COUNCIL!E54+MAYOR!E55+SPEAKER!E54+MM!E54+CORP!E54+PROP!E54+RATES!E54+THALL!E54+FIN!E54+SOCIAL!E55+CEMETERY!E54+LIBRARIES!E54+HOUSING!E54+TRAFFIC!E54+PARKS!E54+REFUSE!E54+SEWAGE!E54+PWORKS!E54+WATER!E54+ELECTRIC!E54</f>
        <v>14000</v>
      </c>
      <c r="D54" s="435">
        <f>+COUNCIL!F54+MAYOR!F54+SPEAKER!F54+MM!F54+CORP!F54+PROP!F54+RATES!F54+THALL!F54+FIN!F54+SOCIAL!F54+CEMETERY!F54+LIBRARIES!F54+HOUSING!F54+TRAFFIC!F54+PARKS!F54+REFUSE!F54+SEWAGE!F54+PWORKS!F54+WATER!F54+ELECTRIC!F54</f>
        <v>14000</v>
      </c>
      <c r="E54" s="435">
        <f>+COUNCIL!G54+MAYOR!G54+SPEAKER!G54+MM!G54+CORP!G54+PROP!G54+RATES!G54+THALL!G54+FIN!G54+SOCIAL!G54+CEMETERY!G54+LIBRARIES!G54+HOUSING!G54+TRAFFIC!G54+PARKS!G54+REFUSE!G54+SEWAGE!G54+PWORKS!G54+WATER!G54+ELECTRIC!G54</f>
        <v>14000</v>
      </c>
      <c r="F54" s="435">
        <f>+COUNCIL!H54+MAYOR!H55+SPEAKER!H54+MM!H54+CORP!H54+PROP!H54+RATES!H54+THALL!H54+FIN!H54+SOCIAL!H55+CEMETERY!H54+LIBRARIES!H54+HOUSING!H54+TRAFFIC!H54+PARKS!H54+REFUSE!H54+SEWAGE!H54+PWORKS!H54+WATER!H54+ELECTRIC!H54</f>
        <v>15500</v>
      </c>
      <c r="G54" s="435">
        <f>+COUNCIL!I54+MAYOR!I55+SPEAKER!I54+MM!I54+CORP!I54+PROP!I54+RATES!I54+THALL!I54+FIN!I54+SOCIAL!I55+CEMETERY!I54+LIBRARIES!I54+HOUSING!I54+TRAFFIC!I54+PARKS!I54+REFUSE!I54+SEWAGE!I54+PWORKS!I54+WATER!I54+ELECTRIC!I54</f>
        <v>17000</v>
      </c>
    </row>
    <row r="55" spans="1:7" s="285" customFormat="1" x14ac:dyDescent="0.25">
      <c r="A55" s="94" t="s">
        <v>93</v>
      </c>
      <c r="B55" s="435">
        <f>+COUNCIL!D55+MAYOR!D56+SPEAKER!D55+MM!D55+CORP!D55+PROP!D55+RATES!D55+THALL!D55+FIN!D55+SOCIAL!D56+CEMETERY!D55+LIBRARIES!D55+HOUSING!D55+TRAFFIC!D55+PARKS!D55+REFUSE!D55+SEWAGE!D55+PWORKS!D55+WATER!D55+ELECTRIC!D55</f>
        <v>317496</v>
      </c>
      <c r="C55" s="435">
        <f>+COUNCIL!E55+MAYOR!E56+SPEAKER!E55+MM!E55+CORP!E55+PROP!E55+RATES!E55+THALL!E55+FIN!E55+SOCIAL!E56+CEMETERY!E55+LIBRARIES!E55+HOUSING!E55+TRAFFIC!E55+PARKS!E55+REFUSE!E55+SEWAGE!E55+PWORKS!E55+WATER!E55+ELECTRIC!E55</f>
        <v>527500</v>
      </c>
      <c r="D55" s="435">
        <f>+COUNCIL!F55+MAYOR!F55+SPEAKER!F55+MM!F55+CORP!F55+PROP!F55+RATES!F55+THALL!F55+FIN!F55+SOCIAL!F55+CEMETERY!F55+LIBRARIES!F55+HOUSING!F55+TRAFFIC!F55+PARKS!F55+REFUSE!F55+SEWAGE!F55+PWORKS!F55+WATER!F55+ELECTRIC!F55</f>
        <v>627500</v>
      </c>
      <c r="E55" s="435">
        <f>+COUNCIL!G55+MAYOR!G55+SPEAKER!G55+MM!G55+CORP!G55+PROP!G55+RATES!G55+THALL!G55+FIN!G55+SOCIAL!G55+CEMETERY!G55+LIBRARIES!G55+HOUSING!G55+TRAFFIC!G55+PARKS!G55+REFUSE!G55+SEWAGE!G55+PWORKS!G55+WATER!G55+ELECTRIC!G55</f>
        <v>600000</v>
      </c>
      <c r="F55" s="435">
        <f>+COUNCIL!H55+MAYOR!H56+SPEAKER!H55+MM!H55+CORP!H55+PROP!H55+RATES!H55+THALL!H55+FIN!H55+SOCIAL!H56+CEMETERY!H55+LIBRARIES!H55+HOUSING!H55+TRAFFIC!H55+PARKS!H55+REFUSE!H55+SEWAGE!H55+PWORKS!H55+WATER!H55+ELECTRIC!H55</f>
        <v>660000</v>
      </c>
      <c r="G55" s="435">
        <f>+COUNCIL!I55+MAYOR!I56+SPEAKER!I55+MM!I55+CORP!I55+PROP!I55+RATES!I55+THALL!I55+FIN!I55+SOCIAL!I56+CEMETERY!I55+LIBRARIES!I55+HOUSING!I55+TRAFFIC!I55+PARKS!I55+REFUSE!I55+SEWAGE!I55+PWORKS!I55+WATER!I55+ELECTRIC!I55</f>
        <v>726000</v>
      </c>
    </row>
    <row r="56" spans="1:7" s="285" customFormat="1" x14ac:dyDescent="0.25">
      <c r="A56" s="94" t="s">
        <v>94</v>
      </c>
      <c r="B56" s="435">
        <f>+COUNCIL!D56+MAYOR!D57+SPEAKER!D56+MM!D56+CORP!D56+PROP!D56+RATES!D56+THALL!D56+FIN!D56+SOCIAL!D57+CEMETERY!D56+LIBRARIES!D56+HOUSING!D56+TRAFFIC!D56+PARKS!D56+REFUSE!D56+SEWAGE!D56+PWORKS!D56+WATER!D56+ELECTRIC!D56</f>
        <v>523741</v>
      </c>
      <c r="C56" s="435">
        <v>860395</v>
      </c>
      <c r="D56" s="435">
        <f>+COUNCIL!F56+MAYOR!F56+SPEAKER!F56+MM!F56+CORP!F56+PROP!F56+RATES!F56+THALL!F56+FIN!F56+SOCIAL!F56+CEMETERY!F56+LIBRARIES!F56+HOUSING!F56+TRAFFIC!F56+PARKS!F56+REFUSE!F56+SEWAGE!F56+PWORKS!F56+WATER!F56+ELECTRIC!F56</f>
        <v>870395</v>
      </c>
      <c r="E56" s="435">
        <f>+COUNCIL!G56+MAYOR!G56+SPEAKER!G56+MM!G56+CORP!G56+PROP!G56+RATES!G56+THALL!G56+FIN!G56+SOCIAL!G56+CEMETERY!G56+LIBRARIES!G56+HOUSING!G56+TRAFFIC!G56+PARKS!G56+REFUSE!G56+SEWAGE!G56+PWORKS!G56+WATER!G56+ELECTRIC!G56</f>
        <v>895000</v>
      </c>
      <c r="F56" s="435">
        <f>+COUNCIL!H56+MAYOR!H57+SPEAKER!H56+MM!H56+CORP!H56+PROP!H56+RATES!H56+THALL!H56+FIN!H56+SOCIAL!H57+CEMETERY!H56+LIBRARIES!H56+HOUSING!H56+TRAFFIC!H56+PARKS!H56+REFUSE!H56+SEWAGE!H56+PWORKS!H56+WATER!H56+ELECTRIC!H56</f>
        <v>1001500</v>
      </c>
      <c r="G56" s="435">
        <f>+COUNCIL!I56+MAYOR!I57+SPEAKER!I56+MM!I56+CORP!I56+PROP!I56+RATES!I56+THALL!I56+FIN!I56+SOCIAL!I57+CEMETERY!I56+LIBRARIES!I56+HOUSING!I56+TRAFFIC!I56+PARKS!I56+REFUSE!I56+SEWAGE!I56+PWORKS!I56+WATER!I56+ELECTRIC!I56</f>
        <v>1101950</v>
      </c>
    </row>
    <row r="57" spans="1:7" s="285" customFormat="1" x14ac:dyDescent="0.25">
      <c r="A57" s="94" t="s">
        <v>60</v>
      </c>
      <c r="B57" s="435">
        <f>+COUNCIL!D57+MAYOR!D58+SPEAKER!D57+MM!D57+CORP!D57+PROP!D57+RATES!D57+THALL!D57+FIN!D57+SOCIAL!D58+CEMETERY!D57+LIBRARIES!D57+HOUSING!D57+TRAFFIC!D57+PARKS!D57+REFUSE!D57+SEWAGE!D57+PWORKS!D57+WATER!D57+ELECTRIC!D57</f>
        <v>479744.89</v>
      </c>
      <c r="C57" s="435">
        <v>1769743</v>
      </c>
      <c r="D57" s="435">
        <f>+COUNCIL!F57+MAYOR!F57+SPEAKER!F57+MM!F57+CORP!F57+PROP!F57+RATES!F57+THALL!F57+FIN!F57+SOCIAL!F57+CEMETERY!F57+LIBRARIES!F57+HOUSING!F57+TRAFFIC!F57+PARKS!F57+REFUSE!F57+SEWAGE!F57+PWORKS!F57+WATER!F57+ELECTRIC!F57</f>
        <v>1099742.9956999999</v>
      </c>
      <c r="E57" s="435">
        <f>+COUNCIL!G57+MAYOR!G57+SPEAKER!G57+MM!G57+CORP!G57+PROP!G57+RATES!G57+THALL!G57+FIN!G57+SOCIAL!G57+CEMETERY!G57+LIBRARIES!G57+HOUSING!G57+TRAFFIC!G57+PARKS!G57+REFUSE!G57+SEWAGE!G57+PWORKS!G57+WATER!G57+ELECTRIC!G57</f>
        <v>1391890.1147699999</v>
      </c>
      <c r="F57" s="435">
        <f>+COUNCIL!H57+MAYOR!H58+SPEAKER!H57+MM!H57+CORP!H57+PROP!H57+RATES!H57+THALL!H57+FIN!H57+SOCIAL!H58+CEMETERY!H57+LIBRARIES!H57+HOUSING!H57+TRAFFIC!H57+PARKS!H57+REFUSE!H57+SEWAGE!H57+PWORKS!H57+WATER!H57+ELECTRIC!H57</f>
        <v>1488119.1262469999</v>
      </c>
      <c r="G57" s="435">
        <f>+COUNCIL!I57+MAYOR!I58+SPEAKER!I57+MM!I57+CORP!I57+PROP!I57+RATES!I57+THALL!I57+FIN!I57+SOCIAL!I58+CEMETERY!I57+LIBRARIES!I57+HOUSING!I57+TRAFFIC!I57+PARKS!I57+REFUSE!I57+SEWAGE!I57+PWORKS!I57+WATER!I57+ELECTRIC!I57</f>
        <v>1607531.0388716999</v>
      </c>
    </row>
    <row r="58" spans="1:7" s="285" customFormat="1" x14ac:dyDescent="0.25">
      <c r="A58" s="94" t="s">
        <v>186</v>
      </c>
      <c r="B58" s="435"/>
      <c r="C58" s="435"/>
      <c r="D58" s="435"/>
      <c r="E58" s="435">
        <f>+COUNCIL!G58+MAYOR!G58+SPEAKER!G58+MM!G58+CORP!G58+PROP!G58+RATES!G58+THALL!G58+FIN!G58+SOCIAL!G58+CEMETERY!G58+LIBRARIES!G58+HOUSING!G58+TRAFFIC!G58+PARKS!G58+REFUSE!G58+SEWAGE!G58+PWORKS!G58+WATER!G58+ELECTRIC!G58</f>
        <v>0</v>
      </c>
      <c r="F58" s="435"/>
      <c r="G58" s="435"/>
    </row>
    <row r="59" spans="1:7" s="285" customFormat="1" x14ac:dyDescent="0.25">
      <c r="A59" s="106"/>
      <c r="B59" s="227">
        <f t="shared" ref="B59:G59" si="7">SUM(B40:B58)</f>
        <v>9673740.0500000007</v>
      </c>
      <c r="C59" s="227">
        <f t="shared" si="7"/>
        <v>12110381.174120001</v>
      </c>
      <c r="D59" s="227">
        <f t="shared" si="7"/>
        <v>16134233.683799999</v>
      </c>
      <c r="E59" s="227">
        <f t="shared" si="7"/>
        <v>14151616.42018</v>
      </c>
      <c r="F59" s="227">
        <f t="shared" si="7"/>
        <v>15482818.062198002</v>
      </c>
      <c r="G59" s="227">
        <f t="shared" si="7"/>
        <v>16952419.868417799</v>
      </c>
    </row>
    <row r="60" spans="1:7" s="285" customFormat="1" x14ac:dyDescent="0.25">
      <c r="A60" s="332" t="s">
        <v>198</v>
      </c>
      <c r="B60" s="228"/>
      <c r="C60" s="377"/>
      <c r="D60" s="377"/>
      <c r="E60" s="377"/>
      <c r="F60" s="377"/>
      <c r="G60" s="335"/>
    </row>
    <row r="61" spans="1:7" s="285" customFormat="1" x14ac:dyDescent="0.25">
      <c r="A61" s="94" t="s">
        <v>334</v>
      </c>
      <c r="B61" s="435">
        <f>+COUNCIL!D61+MAYOR!D62+SPEAKER!D61+MM!D61+CORP!D61+PROP!D61+RATES!D61+THALL!D61+FIN!D61+SOCIAL!D62+CEMETERY!D61+LIBRARIES!D61+HOUSING!D61+TRAFFIC!D61+PARKS!D61+REFUSE!D61+SEWAGE!D61+PWORKS!D61+WATER!D61+ELECTRIC!D61</f>
        <v>0</v>
      </c>
      <c r="C61" s="435">
        <f>+COUNCIL!E61+MAYOR!E62+SPEAKER!E61+MM!E61+CORP!E61+PROP!E61+RATES!E61+THALL!E61+FIN!E61+SOCIAL!E62+CEMETERY!E61+LIBRARIES!E61+HOUSING!E61+TRAFFIC!E61+PARKS!E61+REFUSE!E61+SEWAGE!E61+PWORKS!E61+WATER!E61+ELECTRIC!E61</f>
        <v>0</v>
      </c>
      <c r="D61" s="435">
        <f>+COUNCIL!F61+MAYOR!F62+SPEAKER!F61+MM!F61+CORP!F61+PROP!F61+RATES!F61+THALL!F61+FIN!F61+SOCIAL!F62+CEMETERY!F61+LIBRARIES!F61+HOUSING!F61+TRAFFIC!F61+PARKS!F61+REFUSE!F61+SEWAGE!F61+PWORKS!F61+WATER!F61+ELECTRIC!F61</f>
        <v>0</v>
      </c>
      <c r="E61" s="435">
        <f>+COUNCIL!G61+MAYOR!G62+SPEAKER!G61+MM!G61+CORP!G61+PROP!G61+RATES!G61+THALL!G61+FIN!G61+SOCIAL!G62+CEMETERY!G61+LIBRARIES!G61+HOUSING!G61+TRAFFIC!G61+PARKS!G61+REFUSE!G61+SEWAGE!G61+PWORKS!G61+WATER!G61+ELECTRIC!G61</f>
        <v>0</v>
      </c>
      <c r="F61" s="435">
        <f>+COUNCIL!H61+MAYOR!H62+SPEAKER!H61+MM!H61+CORP!H61+PROP!H61+RATES!H61+THALL!H61+FIN!H61+SOCIAL!H62+CEMETERY!H61+LIBRARIES!H61+HOUSING!H61+TRAFFIC!H61+PARKS!H61+REFUSE!H61+SEWAGE!H61+PWORKS!H61+WATER!H61+ELECTRIC!H61</f>
        <v>0</v>
      </c>
      <c r="G61" s="435">
        <f>+COUNCIL!I61+MAYOR!I62+SPEAKER!I61+MM!I61+CORP!I61+PROP!I61+RATES!I61+THALL!I61+FIN!I61+SOCIAL!I62+CEMETERY!I61+LIBRARIES!I61+HOUSING!I61+TRAFFIC!I61+PARKS!I61+REFUSE!I61+SEWAGE!I61+PWORKS!I61+WATER!I61+ELECTRIC!I61</f>
        <v>0</v>
      </c>
    </row>
    <row r="62" spans="1:7" s="285" customFormat="1" x14ac:dyDescent="0.25">
      <c r="A62" s="94" t="s">
        <v>335</v>
      </c>
      <c r="B62" s="435">
        <f>+COUNCIL!D62+MAYOR!D63+SPEAKER!D62+MM!D62+CORP!D62+PROP!D62+RATES!D62+THALL!D62+FIN!D62+SOCIAL!D63+CEMETERY!D62+LIBRARIES!D62+HOUSING!D62+TRAFFIC!D62+PARKS!D62+REFUSE!D62+SEWAGE!D62+PWORKS!D62+WATER!D62+ELECTRIC!D62</f>
        <v>986595.86</v>
      </c>
      <c r="C62" s="435">
        <f>+COUNCIL!E62+MAYOR!E63+SPEAKER!E62+MM!E62+CORP!E62+PROP!E62+RATES!E62+THALL!E62+FIN!E62+SOCIAL!E63+CEMETERY!E62+LIBRARIES!E62+HOUSING!E62+TRAFFIC!E62+PARKS!E62+REFUSE!E62+SEWAGE!E62+PWORKS!E62+WATER!E62+ELECTRIC!E62</f>
        <v>424200</v>
      </c>
      <c r="D62" s="435">
        <v>1315716</v>
      </c>
      <c r="E62" s="435">
        <v>1315716</v>
      </c>
      <c r="F62" s="435">
        <v>1315716</v>
      </c>
      <c r="G62" s="435">
        <v>1315716</v>
      </c>
    </row>
    <row r="63" spans="1:7" s="285" customFormat="1" x14ac:dyDescent="0.25">
      <c r="A63" s="94"/>
      <c r="B63" s="226">
        <f>B62</f>
        <v>986595.86</v>
      </c>
      <c r="C63" s="226">
        <f t="shared" ref="C63:F63" si="8">C62</f>
        <v>424200</v>
      </c>
      <c r="D63" s="226">
        <f t="shared" si="8"/>
        <v>1315716</v>
      </c>
      <c r="E63" s="226">
        <f t="shared" si="8"/>
        <v>1315716</v>
      </c>
      <c r="F63" s="226">
        <f t="shared" si="8"/>
        <v>1315716</v>
      </c>
      <c r="G63" s="436">
        <f>SUM(G61:G62)</f>
        <v>1315716</v>
      </c>
    </row>
    <row r="64" spans="1:7" s="285" customFormat="1" x14ac:dyDescent="0.25">
      <c r="A64" s="93" t="s">
        <v>61</v>
      </c>
      <c r="B64" s="225"/>
      <c r="C64" s="86"/>
      <c r="D64" s="86"/>
      <c r="E64" s="86"/>
      <c r="F64" s="86"/>
      <c r="G64" s="88"/>
    </row>
    <row r="65" spans="1:7" s="285" customFormat="1" x14ac:dyDescent="0.25">
      <c r="A65" s="94" t="s">
        <v>351</v>
      </c>
      <c r="B65" s="435">
        <f>+COUNCIL!D65+MAYOR!D66+SPEAKER!D65+MM!D65+CORP!D65+PROP!D65+RATES!D65+THALL!D65+FIN!D65+SOCIAL!D66+CEMETERY!D65+LIBRARIES!D65+HOUSING!D65+TRAFFIC!D65+PARKS!D65+REFUSE!D65+SEWAGE!D65+PWORKS!D65+WATER!D65+ELECTRIC!D65</f>
        <v>4693</v>
      </c>
      <c r="C65" s="435">
        <f>+COUNCIL!E65+MAYOR!E66+SPEAKER!E65+MM!E65+CORP!E65+PROP!E65+RATES!E65+THALL!E65+FIN!E65+SOCIAL!E66+CEMETERY!E65+LIBRARIES!E65+HOUSING!E65+TRAFFIC!E65+PARKS!E65+REFUSE!E65+SEWAGE!E65+PWORKS!E65+WATER!E65+ELECTRIC!E65</f>
        <v>0</v>
      </c>
      <c r="D65" s="435">
        <f>+COUNCIL!F65+MAYOR!F66+SPEAKER!F65+MM!F65+CORP!F65+PROP!F65+RATES!F65+THALL!F65+FIN!F65+SOCIAL!F66+CEMETERY!F65+LIBRARIES!F65+HOUSING!F65+TRAFFIC!F65+PARKS!F65+REFUSE!F65+SEWAGE!F65+PWORKS!F65+WATER!F65+ELECTRIC!F65</f>
        <v>0</v>
      </c>
      <c r="E65" s="435">
        <f>+COUNCIL!G65+MAYOR!G66+SPEAKER!G65+MM!G65+CORP!G65+PROP!G65+RATES!G65+THALL!G65+FIN!G65+SOCIAL!G66+CEMETERY!G65+LIBRARIES!G65+HOUSING!G65+TRAFFIC!G65+PARKS!G65+REFUSE!G65+SEWAGE!G65+PWORKS!G65+WATER!G65+ELECTRIC!G65</f>
        <v>30000</v>
      </c>
      <c r="F65" s="435">
        <f>+COUNCIL!H65+MAYOR!H66+SPEAKER!H65+MM!H65+CORP!H65+PROP!H65+RATES!H65+THALL!H65+FIN!H65+SOCIAL!H66+CEMETERY!H65+LIBRARIES!H65+HOUSING!H65+TRAFFIC!H65+PARKS!H65+REFUSE!H65+SEWAGE!H65+PWORKS!H65+WATER!H65+ELECTRIC!H65</f>
        <v>33000</v>
      </c>
      <c r="G65" s="435">
        <f>+COUNCIL!I65+MAYOR!I66+SPEAKER!I65+MM!I65+CORP!I65+PROP!I65+RATES!I65+THALL!I65+FIN!I65+SOCIAL!I66+CEMETERY!I65+LIBRARIES!I65+HOUSING!I65+TRAFFIC!I65+PARKS!I65+REFUSE!I65+SEWAGE!I65+PWORKS!I65+WATER!I65+ELECTRIC!I65</f>
        <v>36300</v>
      </c>
    </row>
    <row r="66" spans="1:7" s="285" customFormat="1" x14ac:dyDescent="0.25">
      <c r="A66" s="94"/>
      <c r="B66" s="226">
        <f t="shared" ref="B66:G66" si="9">B65</f>
        <v>4693</v>
      </c>
      <c r="C66" s="226">
        <f t="shared" si="9"/>
        <v>0</v>
      </c>
      <c r="D66" s="226">
        <f t="shared" si="9"/>
        <v>0</v>
      </c>
      <c r="E66" s="226">
        <f t="shared" si="9"/>
        <v>30000</v>
      </c>
      <c r="F66" s="226">
        <f t="shared" si="9"/>
        <v>33000</v>
      </c>
      <c r="G66" s="226">
        <f t="shared" si="9"/>
        <v>36300</v>
      </c>
    </row>
    <row r="67" spans="1:7" s="285" customFormat="1" x14ac:dyDescent="0.25">
      <c r="A67" s="93" t="s">
        <v>96</v>
      </c>
      <c r="B67" s="225"/>
      <c r="C67" s="86"/>
      <c r="D67" s="86"/>
      <c r="E67" s="86"/>
      <c r="F67" s="86"/>
      <c r="G67" s="88"/>
    </row>
    <row r="68" spans="1:7" s="285" customFormat="1" x14ac:dyDescent="0.25">
      <c r="A68" s="94" t="s">
        <v>97</v>
      </c>
      <c r="B68" s="435">
        <f>+COUNCIL!D68+MAYOR!D69+SPEAKER!D68+MM!D68+CORP!D68+PROP!D68+RATES!D68+THALL!D68+FIN!D68+SOCIAL!D69+CEMETERY!D68+LIBRARIES!D68+HOUSING!D68+TRAFFIC!D68+PARKS!D68+REFUSE!D68+SEWAGE!D68+PWORKS!D68+WATER!D68+ELECTRIC!D68</f>
        <v>16401073.370000001</v>
      </c>
      <c r="C68" s="435">
        <f>+COUNCIL!E68+MAYOR!E69+SPEAKER!E68+MM!E68+CORP!E68+PROP!E68+RATES!E68+THALL!E68+FIN!E68+SOCIAL!E69+CEMETERY!E68+LIBRARIES!E68+HOUSING!E68+TRAFFIC!E68+PARKS!E68+REFUSE!E68+SEWAGE!E68+PWORKS!E68+WATER!E68+ELECTRIC!E68</f>
        <v>25272000</v>
      </c>
      <c r="D68" s="435">
        <f>+COUNCIL!F68+MAYOR!F69+SPEAKER!F68+MM!F68+CORP!F68+PROP!F68+RATES!F68+THALL!F68+FIN!F68+SOCIAL!F69+CEMETERY!F68+LIBRARIES!F68+HOUSING!F68+TRAFFIC!F68+PARKS!F68+REFUSE!F68+SEWAGE!F68+PWORKS!F68+WATER!F68+ELECTRIC!F68</f>
        <v>33272000</v>
      </c>
      <c r="E68" s="435">
        <f>+COUNCIL!G68+MAYOR!G69+SPEAKER!G68+MM!G68+CORP!G68+PROP!G68+RATES!G68+THALL!G68+FIN!G68+SOCIAL!G69+CEMETERY!G68+LIBRARIES!G68+HOUSING!G68+TRAFFIC!G68+PARKS!G68+REFUSE!G68+SEWAGE!G68+PWORKS!G68+WATER!G68+ELECTRIC!G68</f>
        <v>36599200</v>
      </c>
      <c r="F68" s="435">
        <f>+COUNCIL!H68+MAYOR!H69+SPEAKER!H68+MM!H68+CORP!H68+PROP!H68+RATES!H68+THALL!H68+FIN!H68+SOCIAL!H69+CEMETERY!H68+LIBRARIES!H68+HOUSING!H68+TRAFFIC!H68+PARKS!H68+REFUSE!H68+SEWAGE!H68+PWORKS!H68+WATER!H68+ELECTRIC!H68</f>
        <v>40259120</v>
      </c>
      <c r="G68" s="435">
        <f>+COUNCIL!I68+MAYOR!I69+SPEAKER!I68+MM!I68+CORP!I68+PROP!I68+RATES!I68+THALL!I68+FIN!I68+SOCIAL!I69+CEMETERY!I68+LIBRARIES!I68+HOUSING!I68+TRAFFIC!I68+PARKS!I68+REFUSE!I68+SEWAGE!I68+PWORKS!I68+WATER!I68+ELECTRIC!I68</f>
        <v>44285032</v>
      </c>
    </row>
    <row r="69" spans="1:7" s="285" customFormat="1" x14ac:dyDescent="0.25">
      <c r="A69" s="94" t="s">
        <v>134</v>
      </c>
      <c r="B69" s="435">
        <f>+COUNCIL!D69+MAYOR!D70+SPEAKER!D69+MM!D69+CORP!D69+PROP!D69+RATES!D69+THALL!D69+FIN!D69+SOCIAL!D70+CEMETERY!D69+LIBRARIES!D69+HOUSING!D69+TRAFFIC!D69+PARKS!D69+REFUSE!D69+SEWAGE!D69+PWORKS!D69+WATER!D69+ELECTRIC!D69</f>
        <v>1699357</v>
      </c>
      <c r="C69" s="435">
        <f>+COUNCIL!E69+MAYOR!E70+SPEAKER!E69+MM!E69+CORP!E69+PROP!E69+RATES!E69+THALL!E69+FIN!E69+SOCIAL!E70+CEMETERY!E69+LIBRARIES!E69+HOUSING!E69+TRAFFIC!E69+PARKS!E69+REFUSE!E69+SEWAGE!E69+PWORKS!E69+WATER!E69+ELECTRIC!E69</f>
        <v>2162750</v>
      </c>
      <c r="D69" s="435">
        <f>+COUNCIL!F69+MAYOR!F70+SPEAKER!F69+MM!F69+CORP!F69+PROP!F69+RATES!F69+THALL!F69+FIN!F69+SOCIAL!F70+CEMETERY!F69+LIBRARIES!F69+HOUSING!F69+TRAFFIC!F69+PARKS!F69+REFUSE!F69+SEWAGE!F69+PWORKS!F69+WATER!F69+ELECTRIC!F69</f>
        <v>3362750</v>
      </c>
      <c r="E69" s="435">
        <f>+COUNCIL!G69+MAYOR!G70+SPEAKER!G69+MM!G69+CORP!G69+PROP!G69+RATES!G69+THALL!G69+FIN!G69+SOCIAL!G70+CEMETERY!G69+LIBRARIES!G69+HOUSING!G69+TRAFFIC!G69+PARKS!G69+REFUSE!G69+SEWAGE!G69+PWORKS!G69+WATER!G69+ELECTRIC!G69</f>
        <v>3699025</v>
      </c>
      <c r="F69" s="435">
        <f>+COUNCIL!H69+MAYOR!H70+SPEAKER!H69+MM!H69+CORP!H69+PROP!H69+RATES!H69+THALL!H69+FIN!H69+SOCIAL!H70+CEMETERY!H69+LIBRARIES!H69+HOUSING!H69+TRAFFIC!H69+PARKS!H69+REFUSE!H69+SEWAGE!H69+PWORKS!H69+WATER!H69+ELECTRIC!H69</f>
        <v>4068927.5</v>
      </c>
      <c r="G69" s="435">
        <f>+COUNCIL!I69+MAYOR!I70+SPEAKER!I69+MM!I69+CORP!I69+PROP!I69+RATES!I69+THALL!I69+FIN!I69+SOCIAL!I70+CEMETERY!I69+LIBRARIES!I69+HOUSING!I69+TRAFFIC!I69+PARKS!I69+REFUSE!I69+SEWAGE!I69+PWORKS!I69+WATER!I69+ELECTRIC!I69</f>
        <v>4475820.25</v>
      </c>
    </row>
    <row r="70" spans="1:7" s="285" customFormat="1" x14ac:dyDescent="0.25">
      <c r="A70" s="94"/>
      <c r="B70" s="227">
        <f t="shared" ref="B70:G70" si="10">SUM(B68:B69)</f>
        <v>18100430.370000001</v>
      </c>
      <c r="C70" s="227">
        <f t="shared" si="10"/>
        <v>27434750</v>
      </c>
      <c r="D70" s="227">
        <f t="shared" si="10"/>
        <v>36634750</v>
      </c>
      <c r="E70" s="227">
        <f t="shared" si="10"/>
        <v>40298225</v>
      </c>
      <c r="F70" s="227">
        <f t="shared" si="10"/>
        <v>44328047.5</v>
      </c>
      <c r="G70" s="436">
        <f t="shared" si="10"/>
        <v>48760852.25</v>
      </c>
    </row>
    <row r="71" spans="1:7" s="285" customFormat="1" x14ac:dyDescent="0.25">
      <c r="A71" s="93" t="s">
        <v>62</v>
      </c>
      <c r="B71" s="228"/>
      <c r="C71" s="113"/>
      <c r="D71" s="113"/>
      <c r="E71" s="113"/>
      <c r="F71" s="113"/>
      <c r="G71" s="336"/>
    </row>
    <row r="72" spans="1:7" s="285" customFormat="1" x14ac:dyDescent="0.25">
      <c r="A72" s="94" t="s">
        <v>259</v>
      </c>
      <c r="B72" s="435">
        <f>+COUNCIL!D72+MAYOR!D73+SPEAKER!D72+MM!D72+CORP!D72+PROP!D72+RATES!D72+THALL!D72+FIN!D72+SOCIAL!D73+CEMETERY!D72+LIBRARIES!D72+HOUSING!D72+TRAFFIC!D72+PARKS!D72+REFUSE!D72+SEWAGE!D72+PWORKS!D72+WATER!D72+ELECTRIC!D72</f>
        <v>962906</v>
      </c>
      <c r="C72" s="435">
        <v>1917720</v>
      </c>
      <c r="D72" s="435">
        <v>1977720</v>
      </c>
      <c r="E72" s="435">
        <f>+COUNCIL!G72+MAYOR!G73+SPEAKER!G72+MM!G72+CORP!G72+PROP!G72+RATES!G72+THALL!G72+FIN!G72+SOCIAL!G73+CEMETERY!G72+LIBRARIES!G72+HOUSING!G72+TRAFFIC!G72+PARKS!G72+REFUSE!G72+SEWAGE!G72+PWORKS!G72+WATER!G72+ELECTRIC!G72</f>
        <v>2569268.4</v>
      </c>
      <c r="F72" s="435">
        <f>+COUNCIL!H72+MAYOR!H73+SPEAKER!H72+MM!H72+CORP!H72+PROP!H72+RATES!H72+THALL!H72+FIN!H72+SOCIAL!H73+CEMETERY!H72+LIBRARIES!H72+HOUSING!H72+TRAFFIC!H72+PARKS!H72+REFUSE!H72+SEWAGE!H72+PWORKS!H72+WATER!H72+ELECTRIC!H72</f>
        <v>2767416.44</v>
      </c>
      <c r="G72" s="435">
        <f>+COUNCIL!I72+MAYOR!I73+SPEAKER!I72+MM!I72+CORP!I72+PROP!I72+RATES!I72+THALL!I72+FIN!I72+SOCIAL!I73+CEMETERY!I72+LIBRARIES!I72+HOUSING!I72+TRAFFIC!I72+PARKS!I72+REFUSE!I72+SEWAGE!I72+PWORKS!I72+WATER!I72+ELECTRIC!I72</f>
        <v>2993399.8840000001</v>
      </c>
    </row>
    <row r="73" spans="1:7" s="285" customFormat="1" x14ac:dyDescent="0.25">
      <c r="A73" s="94" t="s">
        <v>63</v>
      </c>
      <c r="B73" s="435">
        <f>+COUNCIL!D73+MAYOR!D74+SPEAKER!D73+MM!D73+CORP!D73+PROP!D73+RATES!D73+THALL!D73+FIN!D73+SOCIAL!D74+CEMETERY!D73+LIBRARIES!D73+HOUSING!D73+TRAFFIC!D73+PARKS!D73+REFUSE!D73+SEWAGE!D73+PWORKS!D73+WATER!D73+ELECTRIC!D73</f>
        <v>44306</v>
      </c>
      <c r="C73" s="435">
        <v>280561</v>
      </c>
      <c r="D73" s="435">
        <v>182921</v>
      </c>
      <c r="E73" s="435">
        <f>+COUNCIL!G73+MAYOR!G74+SPEAKER!G73+MM!G73+CORP!G73+PROP!G73+RATES!G73+THALL!G73+FIN!G73+SOCIAL!G74+CEMETERY!G73+LIBRARIES!G73+HOUSING!G73+TRAFFIC!G73+PARKS!G73+REFUSE!G73+SEWAGE!G73+PWORKS!G73+WATER!G73+ELECTRIC!G73</f>
        <v>974642.00000000012</v>
      </c>
      <c r="F73" s="435">
        <f>+COUNCIL!H73+MAYOR!H74+SPEAKER!H73+MM!H73+CORP!H73+PROP!H73+RATES!H73+THALL!H73+FIN!H73+SOCIAL!H74+CEMETERY!H73+LIBRARIES!H73+HOUSING!H73+TRAFFIC!H73+PARKS!H73+REFUSE!H73+SEWAGE!H73+PWORKS!H73+WATER!H73+ELECTRIC!H73</f>
        <v>1064406.2</v>
      </c>
      <c r="G73" s="435">
        <f>+COUNCIL!I73+MAYOR!I74+SPEAKER!I73+MM!I73+CORP!I73+PROP!I73+RATES!I73+THALL!I73+FIN!I73+SOCIAL!I74+CEMETERY!I73+LIBRARIES!I73+HOUSING!I73+TRAFFIC!I73+PARKS!I73+REFUSE!I73+SEWAGE!I73+PWORKS!I73+WATER!I73+ELECTRIC!I73</f>
        <v>1168646.82</v>
      </c>
    </row>
    <row r="74" spans="1:7" s="285" customFormat="1" x14ac:dyDescent="0.25">
      <c r="A74" s="94" t="s">
        <v>260</v>
      </c>
      <c r="B74" s="435">
        <f>+COUNCIL!D74+MAYOR!D75+SPEAKER!D74+MM!D74+CORP!D74+PROP!D74+RATES!D74+THALL!D74+FIN!D74+SOCIAL!D75+CEMETERY!D74+LIBRARIES!D74+HOUSING!D74+TRAFFIC!D74+PARKS!D74+REFUSE!D74+SEWAGE!D74+PWORKS!D74+WATER!D74+ELECTRIC!D74</f>
        <v>1675364.72</v>
      </c>
      <c r="C74" s="435">
        <f>+COUNCIL!E74+MAYOR!E75+SPEAKER!E74+MM!E74+CORP!E74+PROP!E74+RATES!E74+THALL!E74+FIN!E74+SOCIAL!E75+CEMETERY!E74+LIBRARIES!E74+HOUSING!E74+TRAFFIC!E74+PARKS!E74+REFUSE!E74+SEWAGE!E74+PWORKS!E74+WATER!E74+ELECTRIC!E74</f>
        <v>3259634.5150000001</v>
      </c>
      <c r="D74" s="435">
        <v>3281634.5150000001</v>
      </c>
      <c r="E74" s="435">
        <f>+COUNCIL!G74+MAYOR!G75+SPEAKER!G74+MM!G74+CORP!G74+PROP!G74+RATES!G74+THALL!G74+FIN!G74+SOCIAL!G75+CEMETERY!G74+LIBRARIES!G74+HOUSING!G74+TRAFFIC!G74+PARKS!G74+REFUSE!G74+SEWAGE!G74+PWORKS!G74+WATER!G74+ELECTRIC!G74</f>
        <v>3591686.9665000001</v>
      </c>
      <c r="F74" s="435">
        <f>+COUNCIL!H74+MAYOR!H75+SPEAKER!H74+MM!H74+CORP!H74+PROP!H74+RATES!H74+THALL!H74+FIN!H74+SOCIAL!H75+CEMETERY!H74+LIBRARIES!H74+HOUSING!H74+TRAFFIC!H74+PARKS!H74+REFUSE!H74+SEWAGE!H74+PWORKS!H74+WATER!H74+ELECTRIC!H74</f>
        <v>3945778.6631500004</v>
      </c>
      <c r="G74" s="435">
        <f>+COUNCIL!I74+MAYOR!I75+SPEAKER!I74+MM!I74+CORP!I74+PROP!I74+RATES!I74+THALL!I74+FIN!I74+SOCIAL!I75+CEMETERY!I74+LIBRARIES!I74+HOUSING!I74+TRAFFIC!I74+PARKS!I74+REFUSE!I74+SEWAGE!I74+PWORKS!I74+WATER!I74+ELECTRIC!I74</f>
        <v>4336556.5294650001</v>
      </c>
    </row>
    <row r="75" spans="1:7" s="285" customFormat="1" x14ac:dyDescent="0.25">
      <c r="A75" s="94" t="s">
        <v>261</v>
      </c>
      <c r="B75" s="435">
        <f>+COUNCIL!D75+MAYOR!D76+SPEAKER!D75+MM!D75+CORP!D75+PROP!D75+RATES!D75+THALL!D75+FIN!D75+SOCIAL!D76+CEMETERY!D75+LIBRARIES!D75+HOUSING!D75+TRAFFIC!D75+PARKS!D75+REFUSE!D75+SEWAGE!D75+PWORKS!D75+WATER!D75+ELECTRIC!D75</f>
        <v>174214</v>
      </c>
      <c r="C75" s="435">
        <f>+COUNCIL!E75+MAYOR!E76+SPEAKER!E75+MM!E75+CORP!E75+PROP!E75+RATES!E75+THALL!E75+FIN!E75+SOCIAL!E76+CEMETERY!E75+LIBRARIES!E75+HOUSING!E75+TRAFFIC!E75+PARKS!E75+REFUSE!E75+SEWAGE!E75+PWORKS!E75+WATER!E75+ELECTRIC!E75</f>
        <v>271747.40500000003</v>
      </c>
      <c r="D75" s="435">
        <v>351394</v>
      </c>
      <c r="E75" s="435">
        <f>+COUNCIL!G75+MAYOR!G76+SPEAKER!G75+MM!G75+CORP!G75+PROP!G75+RATES!G75+THALL!G75+FIN!G75+SOCIAL!G76+CEMETERY!G75+LIBRARIES!G75+HOUSING!G75+TRAFFIC!G75+PARKS!G75+REFUSE!G75+SEWAGE!G75+PWORKS!G75+WATER!G75+ELECTRIC!G75</f>
        <v>570000</v>
      </c>
      <c r="F75" s="435">
        <f>+COUNCIL!H75+MAYOR!H76+SPEAKER!H75+MM!H75+CORP!H75+PROP!H75+RATES!H75+THALL!H75+FIN!H75+SOCIAL!H76+CEMETERY!H75+LIBRARIES!H75+HOUSING!H75+TRAFFIC!H75+PARKS!H75+REFUSE!H75+SEWAGE!H75+PWORKS!H75+WATER!H75+ELECTRIC!H75</f>
        <v>330000</v>
      </c>
      <c r="G75" s="435">
        <f>+COUNCIL!I75+MAYOR!I76+SPEAKER!I75+MM!I75+CORP!I75+PROP!I75+RATES!I75+THALL!I75+FIN!I75+SOCIAL!I76+CEMETERY!I75+LIBRARIES!I75+HOUSING!I75+TRAFFIC!I75+PARKS!I75+REFUSE!I75+SEWAGE!I75+PWORKS!I75+WATER!I75+ELECTRIC!I75</f>
        <v>363000</v>
      </c>
    </row>
    <row r="76" spans="1:7" s="285" customFormat="1" x14ac:dyDescent="0.25">
      <c r="A76" s="94" t="s">
        <v>262</v>
      </c>
      <c r="B76" s="435"/>
      <c r="C76" s="435"/>
      <c r="D76" s="435">
        <v>0</v>
      </c>
      <c r="E76" s="435"/>
      <c r="F76" s="435"/>
      <c r="G76" s="435"/>
    </row>
    <row r="77" spans="1:7" s="285" customFormat="1" x14ac:dyDescent="0.25">
      <c r="A77" s="94" t="s">
        <v>263</v>
      </c>
      <c r="B77" s="435">
        <f>+COUNCIL!D77+MAYOR!D78+SPEAKER!D77+MM!D77+CORP!D77+PROP!D77+RATES!D77+THALL!D77+FIN!D77+SOCIAL!D78+CEMETERY!D77+LIBRARIES!D77+HOUSING!D77+TRAFFIC!D77+PARKS!D77+REFUSE!D77+SEWAGE!D77+PWORKS!D77+WATER!D77+ELECTRIC!D77</f>
        <v>55529.2</v>
      </c>
      <c r="C77" s="435">
        <v>150000</v>
      </c>
      <c r="D77" s="435">
        <v>117000</v>
      </c>
      <c r="E77" s="435">
        <f>+COUNCIL!G77+MAYOR!G78+SPEAKER!G77+MM!G77+CORP!G77+PROP!G77+RATES!G77+THALL!G77+FIN!G77+SOCIAL!G78+CEMETERY!G77+LIBRARIES!G77+HOUSING!G77+TRAFFIC!G77+PARKS!G77+REFUSE!G77+SEWAGE!G77+PWORKS!G77+WATER!G77+ELECTRIC!G77</f>
        <v>159600</v>
      </c>
      <c r="F77" s="435">
        <f>+COUNCIL!H77+MAYOR!H78+SPEAKER!H77+MM!H77+CORP!H77+PROP!H77+RATES!H77+THALL!H77+FIN!H77+SOCIAL!H78+CEMETERY!H77+LIBRARIES!H77+HOUSING!H77+TRAFFIC!H77+PARKS!H77+REFUSE!H77+SEWAGE!H77+PWORKS!H77+WATER!H77+ELECTRIC!H77</f>
        <v>172560</v>
      </c>
      <c r="G77" s="435">
        <f>+COUNCIL!I77+MAYOR!I78+SPEAKER!I77+MM!I77+CORP!I77+PROP!I77+RATES!I77+THALL!I77+FIN!I77+SOCIAL!I78+CEMETERY!I77+LIBRARIES!I77+HOUSING!I77+TRAFFIC!I77+PARKS!I77+REFUSE!I77+SEWAGE!I77+PWORKS!I77+WATER!I77+ELECTRIC!I77</f>
        <v>186816</v>
      </c>
    </row>
    <row r="78" spans="1:7" s="285" customFormat="1" x14ac:dyDescent="0.25">
      <c r="A78" s="94" t="s">
        <v>264</v>
      </c>
      <c r="B78" s="435">
        <f>+COUNCIL!D78+MAYOR!D79+SPEAKER!D78+MM!D78+CORP!D78+PROP!D78+RATES!D78+THALL!D78+FIN!D78+SOCIAL!D79+CEMETERY!D78+LIBRARIES!D78+HOUSING!D78+TRAFFIC!D78+PARKS!D78+REFUSE!D78+SEWAGE!D78+PWORKS!D78+WATER!D78+ELECTRIC!D78</f>
        <v>1629367</v>
      </c>
      <c r="C78" s="435">
        <v>3425365</v>
      </c>
      <c r="D78" s="435">
        <v>2993823</v>
      </c>
      <c r="E78" s="435">
        <f>+COUNCIL!G78+MAYOR!G79+SPEAKER!G78+MM!G78+CORP!G78+PROP!G78+RATES!G78+THALL!G78+FIN!G78+SOCIAL!G79+CEMETERY!G78+LIBRARIES!G78+HOUSING!G78+TRAFFIC!G78+PARKS!G78+REFUSE!G78+SEWAGE!G78+PWORKS!G78+WATER!G78+ELECTRIC!G78</f>
        <v>3245986.7</v>
      </c>
      <c r="F78" s="435">
        <f>+COUNCIL!H78+MAYOR!H79+SPEAKER!H78+MM!H78+CORP!H78+PROP!H78+RATES!H78+THALL!H78+FIN!H78+SOCIAL!H79+CEMETERY!H78+LIBRARIES!H78+HOUSING!H78+TRAFFIC!H78+PARKS!H78+REFUSE!H78+SEWAGE!H78+PWORKS!H78+WATER!H78+ELECTRIC!H78</f>
        <v>3295185.37</v>
      </c>
      <c r="G78" s="435">
        <f>+COUNCIL!I78+MAYOR!I79+SPEAKER!I78+MM!I78+CORP!I78+PROP!I78+RATES!I78+THALL!I78+FIN!I78+SOCIAL!I79+CEMETERY!I78+LIBRARIES!I78+HOUSING!I78+TRAFFIC!I78+PARKS!I78+REFUSE!I78+SEWAGE!I78+PWORKS!I78+WATER!I78+ELECTRIC!I78</f>
        <v>3621803.9069999997</v>
      </c>
    </row>
    <row r="79" spans="1:7" s="285" customFormat="1" x14ac:dyDescent="0.25">
      <c r="A79" s="94" t="s">
        <v>265</v>
      </c>
      <c r="B79" s="435">
        <f>+COUNCIL!D79+MAYOR!D80+SPEAKER!D79+MM!D79+CORP!D79+PROP!D79+RATES!D79+THALL!D79+FIN!D79+SOCIAL!D80+CEMETERY!D79+LIBRARIES!D79+HOUSING!D79+TRAFFIC!D79+PARKS!D79+REFUSE!D79+SEWAGE!D79+PWORKS!D79+WATER!D79+ELECTRIC!D79</f>
        <v>17738</v>
      </c>
      <c r="C79" s="435">
        <v>199808</v>
      </c>
      <c r="D79" s="435">
        <v>71807.475000000006</v>
      </c>
      <c r="E79" s="435">
        <f>+COUNCIL!G79+MAYOR!G80+SPEAKER!G79+MM!G79+CORP!G79+PROP!G79+RATES!G79+THALL!G79+FIN!G79+SOCIAL!G80+CEMETERY!G79+LIBRARIES!G79+HOUSING!G79+TRAFFIC!G79+PARKS!G79+REFUSE!G79+SEWAGE!G79+PWORKS!G79+WATER!G79+ELECTRIC!G79</f>
        <v>120185.5</v>
      </c>
      <c r="F79" s="435">
        <f>+COUNCIL!H79+MAYOR!H80+SPEAKER!H79+MM!H79+CORP!H79+PROP!H79+RATES!H79+THALL!H79+FIN!H79+SOCIAL!H80+CEMETERY!H79+LIBRARIES!H79+HOUSING!H79+TRAFFIC!H79+PARKS!H79+REFUSE!H79+SEWAGE!H79+PWORKS!H79+WATER!H79+ELECTRIC!H79</f>
        <v>135204.04999999999</v>
      </c>
      <c r="G79" s="435">
        <f>+COUNCIL!I79+MAYOR!I80+SPEAKER!I79+MM!I79+CORP!I79+PROP!I79+RATES!I79+THALL!I79+FIN!I79+SOCIAL!I80+CEMETERY!I79+LIBRARIES!I79+HOUSING!I79+TRAFFIC!I79+PARKS!I79+REFUSE!I79+SEWAGE!I79+PWORKS!I79+WATER!I79+ELECTRIC!I79</f>
        <v>148724.45500000002</v>
      </c>
    </row>
    <row r="80" spans="1:7" s="285" customFormat="1" x14ac:dyDescent="0.25">
      <c r="A80" s="94" t="s">
        <v>267</v>
      </c>
      <c r="B80" s="435">
        <f>+COUNCIL!D80+MAYOR!D81+SPEAKER!D80+MM!D80+CORP!D80+PROP!D80+RATES!D80+THALL!D80+FIN!D80+SOCIAL!D81+CEMETERY!D80+LIBRARIES!D80+HOUSING!D80+TRAFFIC!D80+PARKS!D80+REFUSE!D80+SEWAGE!D80+PWORKS!D80+WATER!D80+ELECTRIC!D80</f>
        <v>0</v>
      </c>
      <c r="C80" s="435">
        <f>+COUNCIL!E80+MAYOR!E81+SPEAKER!E80+MM!E80+CORP!E80+PROP!E80+RATES!E80+THALL!E80+FIN!E80+SOCIAL!E81+CEMETERY!E80+LIBRARIES!E80+HOUSING!E80+TRAFFIC!E80+PARKS!E80+REFUSE!E80+SEWAGE!E80+PWORKS!E80+WATER!E80+ELECTRIC!E80</f>
        <v>0</v>
      </c>
      <c r="D80" s="435">
        <v>0</v>
      </c>
      <c r="E80" s="435">
        <f>+COUNCIL!G80+MAYOR!G81+SPEAKER!G80+MM!G80+CORP!G80+PROP!G80+RATES!G80+THALL!G80+FIN!G80+SOCIAL!G81+CEMETERY!G80+LIBRARIES!G80+HOUSING!G80+TRAFFIC!G80+PARKS!G80+REFUSE!G80+SEWAGE!G80+PWORKS!G80+WATER!G80+ELECTRIC!G80</f>
        <v>0</v>
      </c>
      <c r="F80" s="435">
        <f>+COUNCIL!H80+MAYOR!H81+SPEAKER!H80+MM!H80+CORP!H80+PROP!H80+RATES!H80+THALL!H80+FIN!H80+SOCIAL!H81+CEMETERY!H80+LIBRARIES!H80+HOUSING!H80+TRAFFIC!H80+PARKS!H80+REFUSE!H80+SEWAGE!H80+PWORKS!H80+WATER!H80+ELECTRIC!H80</f>
        <v>0</v>
      </c>
      <c r="G80" s="435">
        <f>+COUNCIL!I80+MAYOR!I81+SPEAKER!I80+MM!I80+CORP!I80+PROP!I80+RATES!I80+THALL!I80+FIN!I80+SOCIAL!I81+CEMETERY!I80+LIBRARIES!I80+HOUSING!I80+TRAFFIC!I80+PARKS!I80+REFUSE!I80+SEWAGE!I80+PWORKS!I80+WATER!I80+ELECTRIC!I80</f>
        <v>0</v>
      </c>
    </row>
    <row r="81" spans="1:7" s="285" customFormat="1" x14ac:dyDescent="0.25">
      <c r="A81" s="94" t="s">
        <v>268</v>
      </c>
      <c r="B81" s="435">
        <f>+COUNCIL!D81+MAYOR!D82+SPEAKER!D81+MM!D81+CORP!D81+PROP!D81+RATES!D81+THALL!D81+FIN!D81+SOCIAL!D82+CEMETERY!D81+LIBRARIES!D81+HOUSING!D81+TRAFFIC!D81+PARKS!D81+REFUSE!D81+SEWAGE!D81+PWORKS!D81+WATER!D81+ELECTRIC!D81</f>
        <v>337471.43</v>
      </c>
      <c r="C81" s="435">
        <f>+COUNCIL!E81+MAYOR!E82+SPEAKER!E81+MM!E81+CORP!E81+PROP!E81+RATES!E81+THALL!E81+FIN!E81+SOCIAL!E82+CEMETERY!E81+LIBRARIES!E81+HOUSING!E81+TRAFFIC!E81+PARKS!E81+REFUSE!E81+SEWAGE!E81+PWORKS!E81+WATER!E81+ELECTRIC!E81</f>
        <v>659846</v>
      </c>
      <c r="D81" s="435">
        <v>407695</v>
      </c>
      <c r="E81" s="435">
        <f>+COUNCIL!G81+MAYOR!G82+SPEAKER!G81+MM!G81+CORP!G81+PROP!G81+RATES!G81+THALL!G81+FIN!G81+SOCIAL!G82+CEMETERY!G81+LIBRARIES!G81+HOUSING!G81+TRAFFIC!G81+PARKS!G81+REFUSE!G81+SEWAGE!G81+PWORKS!G81+WATER!G81+ELECTRIC!G81</f>
        <v>362081.6</v>
      </c>
      <c r="F81" s="435">
        <f>+COUNCIL!H81+MAYOR!H82+SPEAKER!H81+MM!H81+CORP!H81+PROP!H81+RATES!H81+THALL!H81+FIN!H81+SOCIAL!H82+CEMETERY!H81+LIBRARIES!H81+HOUSING!H81+TRAFFIC!H81+PARKS!H81+REFUSE!H81+SEWAGE!H81+PWORKS!H81+WATER!H81+ELECTRIC!H81</f>
        <v>392739.76</v>
      </c>
      <c r="G81" s="435">
        <f>+COUNCIL!I81+MAYOR!I82+SPEAKER!I81+MM!I81+CORP!I81+PROP!I81+RATES!I81+THALL!I81+FIN!I81+SOCIAL!I82+CEMETERY!I81+LIBRARIES!I81+HOUSING!I81+TRAFFIC!I81+PARKS!I81+REFUSE!I81+SEWAGE!I81+PWORKS!I81+WATER!I81+ELECTRIC!I81</f>
        <v>434013.73599999998</v>
      </c>
    </row>
    <row r="82" spans="1:7" s="285" customFormat="1" x14ac:dyDescent="0.25">
      <c r="A82" s="94" t="s">
        <v>269</v>
      </c>
      <c r="B82" s="435">
        <f>+COUNCIL!D82+MAYOR!D83+SPEAKER!D82+MM!D82+CORP!D82+PROP!D82+RATES!D82+THALL!D82+FIN!D82+SOCIAL!D83+CEMETERY!D82+LIBRARIES!D82+HOUSING!D82+TRAFFIC!D82+PARKS!D82+REFUSE!D82+SEWAGE!D82+PWORKS!D82+WATER!D82+ELECTRIC!D82</f>
        <v>312288</v>
      </c>
      <c r="C82" s="435">
        <f>+COUNCIL!E82+MAYOR!E83+SPEAKER!E82+MM!E82+CORP!E82+PROP!E82+RATES!E82+THALL!E82+FIN!E82+SOCIAL!E83+CEMETERY!E82+LIBRARIES!E82+HOUSING!E82+TRAFFIC!E82+PARKS!E82+REFUSE!E82+SEWAGE!E82+PWORKS!E82+WATER!E82+ELECTRIC!E82</f>
        <v>125271</v>
      </c>
      <c r="D82" s="435">
        <v>692818</v>
      </c>
      <c r="E82" s="435">
        <f>+COUNCIL!G82+MAYOR!G83+SPEAKER!G82+MM!G82+CORP!G82+PROP!G82+RATES!G82+THALL!G82+FIN!G82+SOCIAL!G83+CEMETERY!G82+LIBRARIES!G82+HOUSING!G82+TRAFFIC!G82+PARKS!G82+REFUSE!G82+SEWAGE!G82+PWORKS!G82+WATER!G82+ELECTRIC!G82</f>
        <v>264752</v>
      </c>
      <c r="F82" s="435">
        <f>+COUNCIL!H82+MAYOR!H83+SPEAKER!H82+MM!H82+CORP!H82+PROP!H82+RATES!H82+THALL!H82+FIN!H82+SOCIAL!H83+CEMETERY!H82+LIBRARIES!H82+HOUSING!H82+TRAFFIC!H82+PARKS!H82+REFUSE!H82+SEWAGE!H82+PWORKS!H82+WATER!H82+ELECTRIC!H82</f>
        <v>246347.2</v>
      </c>
      <c r="G82" s="435">
        <f>+COUNCIL!I82+MAYOR!I83+SPEAKER!I82+MM!I82+CORP!I82+PROP!I82+RATES!I82+THALL!I82+FIN!I82+SOCIAL!I83+CEMETERY!I82+LIBRARIES!I82+HOUSING!I82+TRAFFIC!I82+PARKS!I82+REFUSE!I82+SEWAGE!I82+PWORKS!I82+WATER!I82+ELECTRIC!I82</f>
        <v>270981.92000000004</v>
      </c>
    </row>
    <row r="83" spans="1:7" s="285" customFormat="1" x14ac:dyDescent="0.25">
      <c r="A83" s="94" t="s">
        <v>246</v>
      </c>
      <c r="B83" s="435">
        <f>+COUNCIL!D83+MAYOR!D84+SPEAKER!D83+MM!D83+CORP!D83+PROP!D83+RATES!D83+THALL!D83+FIN!D83+SOCIAL!D84+CEMETERY!D83+LIBRARIES!D83+HOUSING!D83+TRAFFIC!D83+PARKS!D83+REFUSE!D83+SEWAGE!D83+PWORKS!D83+WATER!D83+ELECTRIC!D83</f>
        <v>73786</v>
      </c>
      <c r="C83" s="435">
        <f>+COUNCIL!E83+MAYOR!E84+SPEAKER!E83+MM!E83+CORP!E83+PROP!E83+RATES!E83+THALL!E83+FIN!E83+SOCIAL!E84+CEMETERY!E83+LIBRARIES!E83+HOUSING!E83+TRAFFIC!E83+PARKS!E83+REFUSE!E83+SEWAGE!E83+PWORKS!E83+WATER!E83+ELECTRIC!E83</f>
        <v>745986.38500000001</v>
      </c>
      <c r="D83" s="435">
        <v>719866</v>
      </c>
      <c r="E83" s="435">
        <f>+COUNCIL!G83+MAYOR!G84+SPEAKER!G83+MM!G83+CORP!G83+PROP!G83+RATES!G83+THALL!G83+FIN!G83+SOCIAL!G84+CEMETERY!G83+LIBRARIES!G83+HOUSING!G83+TRAFFIC!G83+PARKS!G83+REFUSE!G83+SEWAGE!G83+PWORKS!G83+WATER!G83+ELECTRIC!G83</f>
        <v>150835.29999999999</v>
      </c>
      <c r="F83" s="435">
        <f>+COUNCIL!H83+MAYOR!H84+SPEAKER!H83+MM!H83+CORP!H83+PROP!H83+RATES!H83+THALL!H83+FIN!H83+SOCIAL!H84+CEMETERY!H83+LIBRARIES!H83+HOUSING!H83+TRAFFIC!H83+PARKS!H83+REFUSE!H83+SEWAGE!H83+PWORKS!H83+WATER!H83+ELECTRIC!H83</f>
        <v>164118.82999999999</v>
      </c>
      <c r="G83" s="435">
        <f>+COUNCIL!I83+MAYOR!I84+SPEAKER!I83+MM!I83+CORP!I83+PROP!I83+RATES!I83+THALL!I83+FIN!I83+SOCIAL!I84+CEMETERY!I83+LIBRARIES!I83+HOUSING!I83+TRAFFIC!I83+PARKS!I83+REFUSE!I83+SEWAGE!I83+PWORKS!I83+WATER!I83+ELECTRIC!I83</f>
        <v>178730.71299999999</v>
      </c>
    </row>
    <row r="84" spans="1:7" s="285" customFormat="1" x14ac:dyDescent="0.25">
      <c r="A84" s="94" t="s">
        <v>270</v>
      </c>
      <c r="B84" s="435">
        <f>+COUNCIL!D84+MAYOR!D85+SPEAKER!D84+MM!D84+CORP!D84+PROP!D84+RATES!D84+THALL!D84+FIN!D84+SOCIAL!D85+CEMETERY!D84+LIBRARIES!D84+HOUSING!D84+TRAFFIC!D84+PARKS!D84+REFUSE!D84+SEWAGE!D84+PWORKS!D84+WATER!D84+ELECTRIC!D84</f>
        <v>547831</v>
      </c>
      <c r="C84" s="435">
        <f>+COUNCIL!E84+MAYOR!E85+SPEAKER!E84+MM!E84+CORP!E84+PROP!E84+RATES!E84+THALL!E84+FIN!E84+SOCIAL!E85+CEMETERY!E84+LIBRARIES!E84+HOUSING!E84+TRAFFIC!E84+PARKS!E84+REFUSE!E84+SEWAGE!E84+PWORKS!E84+WATER!E84+ELECTRIC!E84</f>
        <v>469191.04000000004</v>
      </c>
      <c r="D84" s="435">
        <v>42514.424999999996</v>
      </c>
      <c r="E84" s="435">
        <f>+COUNCIL!G84+MAYOR!G85+SPEAKER!G84+MM!G84+CORP!G84+PROP!G84+RATES!G84+THALL!G84+FIN!G84+SOCIAL!G85+CEMETERY!G84+LIBRARIES!G84+HOUSING!G84+TRAFFIC!G84+PARKS!G84+REFUSE!G84+SEWAGE!G84+PWORKS!G84+WATER!G84+ELECTRIC!G84</f>
        <v>830300.4</v>
      </c>
      <c r="F84" s="435">
        <f>+COUNCIL!H84+MAYOR!H85+SPEAKER!H84+MM!H84+CORP!H84+PROP!H84+RATES!H84+THALL!H84+FIN!H84+SOCIAL!H85+CEMETERY!H84+LIBRARIES!H84+HOUSING!H84+TRAFFIC!H84+PARKS!H84+REFUSE!H84+SEWAGE!H84+PWORKS!H84+WATER!H84+ELECTRIC!H84</f>
        <v>905488.44</v>
      </c>
      <c r="G84" s="435">
        <f>+COUNCIL!I84+MAYOR!I85+SPEAKER!I84+MM!I84+CORP!I84+PROP!I84+RATES!I84+THALL!I84+FIN!I84+SOCIAL!I85+CEMETERY!I84+LIBRARIES!I84+HOUSING!I84+TRAFFIC!I84+PARKS!I84+REFUSE!I84+SEWAGE!I84+PWORKS!I84+WATER!I84+ELECTRIC!I84</f>
        <v>995195.28399999999</v>
      </c>
    </row>
    <row r="85" spans="1:7" s="285" customFormat="1" x14ac:dyDescent="0.25">
      <c r="A85" s="94" t="s">
        <v>271</v>
      </c>
      <c r="B85" s="435">
        <f>+COUNCIL!D85+MAYOR!D86+SPEAKER!D85+MM!D85+CORP!D85+PROP!D85+RATES!D85+THALL!D85+FIN!D85+SOCIAL!D86+CEMETERY!D85+LIBRARIES!D85+HOUSING!D85+TRAFFIC!D85+PARKS!D85+REFUSE!D85+SEWAGE!D85+PWORKS!D85+WATER!D85+ELECTRIC!D85</f>
        <v>1128646.7</v>
      </c>
      <c r="C85" s="435">
        <f>+COUNCIL!E85+MAYOR!E86+SPEAKER!E85+MM!E85+CORP!E85+PROP!E85+RATES!E85+THALL!E85+FIN!E85+SOCIAL!E86+CEMETERY!E85+LIBRARIES!E85+HOUSING!E85+TRAFFIC!E85+PARKS!E85+REFUSE!E85+SEWAGE!E85+PWORKS!E85+WATER!E85+ELECTRIC!E85</f>
        <v>1105000</v>
      </c>
      <c r="D85" s="435">
        <v>2665000</v>
      </c>
      <c r="E85" s="435">
        <f>+COUNCIL!G85+MAYOR!G86+SPEAKER!G85+MM!G85+CORP!G85+PROP!G85+RATES!G85+THALL!G85+FIN!G85+SOCIAL!G86+CEMETERY!G85+LIBRARIES!G85+HOUSING!G85+TRAFFIC!G85+PARKS!G85+REFUSE!G85+SEWAGE!G85+PWORKS!G85+WATER!G85+ELECTRIC!G85</f>
        <v>2191000</v>
      </c>
      <c r="F85" s="435">
        <f>+COUNCIL!H85+MAYOR!H86+SPEAKER!H85+MM!H85+CORP!H85+PROP!H85+RATES!H85+THALL!H85+FIN!H85+SOCIAL!H86+CEMETERY!H85+LIBRARIES!H85+HOUSING!H85+TRAFFIC!H85+PARKS!H85+REFUSE!H85+SEWAGE!H85+PWORKS!H85+WATER!H85+ELECTRIC!H85</f>
        <v>1531100</v>
      </c>
      <c r="G85" s="435">
        <f>+COUNCIL!I85+MAYOR!I86+SPEAKER!I85+MM!I85+CORP!I85+PROP!I85+RATES!I85+THALL!I85+FIN!I85+SOCIAL!I86+CEMETERY!I85+LIBRARIES!I85+HOUSING!I85+TRAFFIC!I85+PARKS!I85+REFUSE!I85+SEWAGE!I85+PWORKS!I85+WATER!I85+ELECTRIC!I85</f>
        <v>1685010</v>
      </c>
    </row>
    <row r="86" spans="1:7" s="285" customFormat="1" x14ac:dyDescent="0.25">
      <c r="A86" s="94" t="s">
        <v>272</v>
      </c>
      <c r="B86" s="435">
        <f>+COUNCIL!D86+MAYOR!D87+SPEAKER!D86+MM!D86+CORP!D86+PROP!D86+RATES!D86+THALL!D86+FIN!D86+SOCIAL!D87+CEMETERY!D86+LIBRARIES!D86+HOUSING!D86+TRAFFIC!D86+PARKS!D86+REFUSE!D86+SEWAGE!D86+PWORKS!D86+WATER!D86+ELECTRIC!D86</f>
        <v>28680.84</v>
      </c>
      <c r="C86" s="435">
        <f>+COUNCIL!E86+MAYOR!E87+SPEAKER!E86+MM!E86+CORP!E86+PROP!E86+RATES!E86+THALL!E86+FIN!E86+SOCIAL!E87+CEMETERY!E86+LIBRARIES!E86+HOUSING!E86+TRAFFIC!E86+PARKS!E86+REFUSE!E86+SEWAGE!E86+PWORKS!E86+WATER!E86+ELECTRIC!E86</f>
        <v>120000</v>
      </c>
      <c r="D86" s="435">
        <v>380000</v>
      </c>
      <c r="E86" s="435">
        <f>+COUNCIL!G86+MAYOR!G87+SPEAKER!G86+MM!G86+CORP!G86+PROP!G86+RATES!G86+THALL!G86+FIN!G86+SOCIAL!G87+CEMETERY!G86+LIBRARIES!G86+HOUSING!G86+TRAFFIC!G86+PARKS!G86+REFUSE!G86+SEWAGE!G86+PWORKS!G86+WATER!G86+ELECTRIC!G86</f>
        <v>152000</v>
      </c>
      <c r="F86" s="435">
        <f>+COUNCIL!H86+MAYOR!H87+SPEAKER!H86+MM!H86+CORP!H86+PROP!H86+RATES!H86+THALL!H86+FIN!H86+SOCIAL!H87+CEMETERY!H86+LIBRARIES!H86+HOUSING!H86+TRAFFIC!H86+PARKS!H86+REFUSE!H86+SEWAGE!H86+PWORKS!H86+WATER!H86+ELECTRIC!H86</f>
        <v>167700</v>
      </c>
      <c r="G86" s="435">
        <f>+COUNCIL!I86+MAYOR!I87+SPEAKER!I86+MM!I86+CORP!I86+PROP!I86+RATES!I86+THALL!I86+FIN!I86+SOCIAL!I87+CEMETERY!I86+LIBRARIES!I86+HOUSING!I86+TRAFFIC!I86+PARKS!I86+REFUSE!I86+SEWAGE!I86+PWORKS!I86+WATER!I86+ELECTRIC!I86</f>
        <v>189470</v>
      </c>
    </row>
    <row r="87" spans="1:7" s="285" customFormat="1" x14ac:dyDescent="0.25">
      <c r="A87" s="94" t="s">
        <v>273</v>
      </c>
      <c r="B87" s="435">
        <f>+COUNCIL!D87+MAYOR!D88+SPEAKER!D87+MM!D87+CORP!D87+PROP!D87+RATES!D87+THALL!D87+FIN!D87+SOCIAL!D88+CEMETERY!D87+LIBRARIES!D87+HOUSING!D87+TRAFFIC!D87+PARKS!D87+REFUSE!D87+SEWAGE!D87+PWORKS!D87+WATER!D87+ELECTRIC!D87</f>
        <v>213370</v>
      </c>
      <c r="C87" s="435">
        <f>+COUNCIL!E87+MAYOR!E88+SPEAKER!E87+MM!E87+CORP!E87+PROP!E87+RATES!E87+THALL!E87+FIN!E87+SOCIAL!E88+CEMETERY!E87+LIBRARIES!E87+HOUSING!E87+TRAFFIC!E87+PARKS!E87+REFUSE!E87+SEWAGE!E87+PWORKS!E87+WATER!E87+ELECTRIC!E87</f>
        <v>390384</v>
      </c>
      <c r="D87" s="435">
        <v>284892</v>
      </c>
      <c r="E87" s="435">
        <f>+COUNCIL!G87+MAYOR!G88+SPEAKER!G87+MM!G87+CORP!G87+PROP!G87+RATES!G87+THALL!G87+FIN!G87+SOCIAL!G88+CEMETERY!G87+LIBRARIES!G87+HOUSING!G87+TRAFFIC!G87+PARKS!G87+REFUSE!G87+SEWAGE!G87+PWORKS!G87+WATER!G87+ELECTRIC!G87</f>
        <v>424661.2</v>
      </c>
      <c r="F87" s="435">
        <f>+COUNCIL!H87+MAYOR!H88+SPEAKER!H87+MM!H87+CORP!H87+PROP!H87+RATES!H87+THALL!H87+FIN!H87+SOCIAL!H88+CEMETERY!H87+LIBRARIES!H87+HOUSING!H87+TRAFFIC!H87+PARKS!H87+REFUSE!H87+SEWAGE!H87+PWORKS!H87+WATER!H87+ELECTRIC!H87</f>
        <v>401727.32</v>
      </c>
      <c r="G87" s="435">
        <f>+COUNCIL!I87+MAYOR!I88+SPEAKER!I87+MM!I87+CORP!I87+PROP!I87+RATES!I87+THALL!I87+FIN!I87+SOCIAL!I88+CEMETERY!I87+LIBRARIES!I87+HOUSING!I87+TRAFFIC!I87+PARKS!I87+REFUSE!I87+SEWAGE!I87+PWORKS!I87+WATER!I87+ELECTRIC!I87</f>
        <v>441400.05199999997</v>
      </c>
    </row>
    <row r="88" spans="1:7" s="285" customFormat="1" x14ac:dyDescent="0.25">
      <c r="A88" s="94" t="s">
        <v>274</v>
      </c>
      <c r="B88" s="435">
        <f>+COUNCIL!D88+MAYOR!D89+SPEAKER!D88+MM!D88+CORP!D88+PROP!D88+RATES!D88+THALL!D88+FIN!D88+SOCIAL!D89+CEMETERY!D88+LIBRARIES!D88+HOUSING!D88+TRAFFIC!D88+PARKS!D88+REFUSE!D88+SEWAGE!D88+PWORKS!D88+WATER!D88+ELECTRIC!D88</f>
        <v>627246</v>
      </c>
      <c r="C88" s="435">
        <f>+COUNCIL!E88+MAYOR!E89+SPEAKER!E88+MM!E88+CORP!E88+PROP!E88+RATES!E88+THALL!E88+FIN!E88+SOCIAL!E89+CEMETERY!E88+LIBRARIES!E88+HOUSING!E88+TRAFFIC!E88+PARKS!E88+REFUSE!E88+SEWAGE!E88+PWORKS!E88+WATER!E88+ELECTRIC!E88</f>
        <v>342184</v>
      </c>
      <c r="D88" s="435">
        <v>1124442</v>
      </c>
      <c r="E88" s="435">
        <f>+COUNCIL!G88+MAYOR!G89+SPEAKER!G88+MM!G88+CORP!G88+PROP!G88+RATES!G88+THALL!G88+FIN!G88+SOCIAL!G89+CEMETERY!G88+LIBRARIES!G88+HOUSING!G88+TRAFFIC!G88+PARKS!G88+REFUSE!G88+SEWAGE!G88+PWORKS!G88+WATER!G88+ELECTRIC!G88</f>
        <v>871720</v>
      </c>
      <c r="F88" s="435">
        <f>+COUNCIL!H88+MAYOR!H89+SPEAKER!H88+MM!H88+CORP!H88+PROP!H88+RATES!H88+THALL!H88+FIN!H88+SOCIAL!H89+CEMETERY!H88+LIBRARIES!H88+HOUSING!H88+TRAFFIC!H88+PARKS!H88+REFUSE!H88+SEWAGE!H88+PWORKS!H88+WATER!H88+ELECTRIC!H88</f>
        <v>848892</v>
      </c>
      <c r="G88" s="435">
        <f>+COUNCIL!I88+MAYOR!I89+SPEAKER!I88+MM!I88+CORP!I88+PROP!I88+RATES!I88+THALL!I88+FIN!I88+SOCIAL!I89+CEMETERY!I88+LIBRARIES!I88+HOUSING!I88+TRAFFIC!I88+PARKS!I88+REFUSE!I88+SEWAGE!I88+PWORKS!I88+WATER!I88+ELECTRIC!I88</f>
        <v>933781.2</v>
      </c>
    </row>
    <row r="89" spans="1:7" s="285" customFormat="1" x14ac:dyDescent="0.25">
      <c r="A89" s="94" t="s">
        <v>275</v>
      </c>
      <c r="B89" s="435">
        <f>+COUNCIL!D89+MAYOR!D90+SPEAKER!D89+MM!D89+CORP!D89+PROP!D89+RATES!D89+THALL!D89+FIN!D89+SOCIAL!D90+CEMETERY!D89+LIBRARIES!D89+HOUSING!D89+TRAFFIC!D89+PARKS!D89+REFUSE!D89+SEWAGE!D89+PWORKS!D89+WATER!D89+ELECTRIC!D89</f>
        <v>750547</v>
      </c>
      <c r="C89" s="435">
        <f>+COUNCIL!E89+MAYOR!E90+SPEAKER!E89+MM!E89+CORP!E89+PROP!E89+RATES!E89+THALL!E89+FIN!E89+SOCIAL!E90+CEMETERY!E89+LIBRARIES!E89+HOUSING!E89+TRAFFIC!E89+PARKS!E89+REFUSE!E89+SEWAGE!E89+PWORKS!E89+WATER!E89+ELECTRIC!E89</f>
        <v>940000</v>
      </c>
      <c r="D89" s="435">
        <v>1490200</v>
      </c>
      <c r="E89" s="435">
        <f>+COUNCIL!G89+MAYOR!G90+SPEAKER!G89+MM!G89+CORP!G89+PROP!G89+RATES!G89+THALL!G89+FIN!G89+SOCIAL!G90+CEMETERY!G89+LIBRARIES!G89+HOUSING!G89+TRAFFIC!G89+PARKS!G89+REFUSE!G89+SEWAGE!G89+PWORKS!G89+WATER!G89+ELECTRIC!G89</f>
        <v>1270000</v>
      </c>
      <c r="F89" s="435">
        <f>+COUNCIL!H89+MAYOR!H90+SPEAKER!H89+MM!H89+CORP!H89+PROP!H89+RATES!H89+THALL!H89+FIN!H89+SOCIAL!H90+CEMETERY!H89+LIBRARIES!H89+HOUSING!H89+TRAFFIC!H89+PARKS!H89+REFUSE!H89+SEWAGE!H89+PWORKS!H89+WATER!H89+ELECTRIC!H89</f>
        <v>517000</v>
      </c>
      <c r="G89" s="435">
        <f>+COUNCIL!I89+MAYOR!I90+SPEAKER!I89+MM!I89+CORP!I89+PROP!I89+RATES!I89+THALL!I89+FIN!I89+SOCIAL!I90+CEMETERY!I89+LIBRARIES!I89+HOUSING!I89+TRAFFIC!I89+PARKS!I89+REFUSE!I89+SEWAGE!I89+PWORKS!I89+WATER!I89+ELECTRIC!I89</f>
        <v>568700</v>
      </c>
    </row>
    <row r="90" spans="1:7" s="285" customFormat="1" x14ac:dyDescent="0.25">
      <c r="A90" s="159" t="s">
        <v>276</v>
      </c>
      <c r="B90" s="435">
        <f>+COUNCIL!D90+MAYOR!D91+SPEAKER!D90+MM!D90+CORP!D90+PROP!D90+RATES!D90+THALL!D90+FIN!D90+SOCIAL!D91+CEMETERY!D90+LIBRARIES!D90+HOUSING!D90+TRAFFIC!D90+PARKS!D90+REFUSE!D90+SEWAGE!D90+PWORKS!D90+WATER!D90+ELECTRIC!D90</f>
        <v>3810214</v>
      </c>
      <c r="C90" s="435">
        <f>+COUNCIL!E90+MAYOR!E91+SPEAKER!E90+MM!E90+CORP!E90+PROP!E90+RATES!E90+THALL!E90+FIN!E90+SOCIAL!E91+CEMETERY!E90+LIBRARIES!E90+HOUSING!E90+TRAFFIC!E90+PARKS!E90+REFUSE!E90+SEWAGE!E90+PWORKS!E90+WATER!E90+ELECTRIC!E90</f>
        <v>2479250</v>
      </c>
      <c r="D90" s="435">
        <v>3810214</v>
      </c>
      <c r="E90" s="435">
        <f>+COUNCIL!G90+MAYOR!G91+SPEAKER!G90+MM!G90+CORP!G90+PROP!G90+RATES!G90+THALL!G90+FIN!G90+SOCIAL!G91+CEMETERY!G90+LIBRARIES!G90+HOUSING!G90+TRAFFIC!G90+PARKS!G90+REFUSE!G90+SEWAGE!G90+PWORKS!G90+WATER!G90+ELECTRIC!G90</f>
        <v>3500000</v>
      </c>
      <c r="F90" s="435">
        <f>+COUNCIL!H90+MAYOR!H91+SPEAKER!H90+MM!H90+CORP!H90+PROP!H90+RATES!H90+THALL!H90+FIN!H90+SOCIAL!H91+CEMETERY!H90+LIBRARIES!H90+HOUSING!H90+TRAFFIC!H90+PARKS!H90+REFUSE!H90+SEWAGE!H90+PWORKS!H90+WATER!H90+ELECTRIC!H90</f>
        <v>3850000</v>
      </c>
      <c r="G90" s="435">
        <f>+COUNCIL!I90+MAYOR!I91+SPEAKER!I90+MM!I90+CORP!I90+PROP!I90+RATES!I90+THALL!I90+FIN!I90+SOCIAL!I91+CEMETERY!I90+LIBRARIES!I90+HOUSING!I90+TRAFFIC!I90+PARKS!I90+REFUSE!I90+SEWAGE!I90+PWORKS!I90+WATER!I90+ELECTRIC!I90</f>
        <v>4235000</v>
      </c>
    </row>
    <row r="91" spans="1:7" s="285" customFormat="1" x14ac:dyDescent="0.25">
      <c r="A91" s="159" t="s">
        <v>277</v>
      </c>
      <c r="B91" s="435">
        <f>+COUNCIL!D91+MAYOR!D92+SPEAKER!D91+MM!D91+CORP!D91+PROP!D91+RATES!D91+THALL!D91+FIN!D91+SOCIAL!D92+CEMETERY!D91+LIBRARIES!D91+HOUSING!D91+TRAFFIC!D91+PARKS!D91+REFUSE!D91+SEWAGE!D91+PWORKS!D91+WATER!D91+ELECTRIC!D91</f>
        <v>620430</v>
      </c>
      <c r="C91" s="435">
        <f>+COUNCIL!E91+MAYOR!E92+SPEAKER!E91+MM!E91+CORP!E91+PROP!E91+RATES!E91+THALL!E91+FIN!E91+SOCIAL!E92+CEMETERY!E91+LIBRARIES!E91+HOUSING!E91+TRAFFIC!E91+PARKS!E91+REFUSE!E91+SEWAGE!E91+PWORKS!E91+WATER!E91+ELECTRIC!E91</f>
        <v>351000</v>
      </c>
      <c r="D91" s="435">
        <v>1201000</v>
      </c>
      <c r="E91" s="435">
        <f>+COUNCIL!G91+MAYOR!G92+SPEAKER!G91+MM!G91+CORP!G91+PROP!G91+RATES!G91+THALL!G91+FIN!G91+SOCIAL!G92+CEMETERY!G91+LIBRARIES!G91+HOUSING!G91+TRAFFIC!G91+PARKS!G91+REFUSE!G91+SEWAGE!G91+PWORKS!G91+WATER!G91+ELECTRIC!G91</f>
        <v>1165000</v>
      </c>
      <c r="F91" s="435">
        <f>+COUNCIL!H91+MAYOR!H92+SPEAKER!H91+MM!H91+CORP!H91+PROP!H91+RATES!H91+THALL!H91+FIN!H91+SOCIAL!H92+CEMETERY!H91+LIBRARIES!H91+HOUSING!H91+TRAFFIC!H91+PARKS!H91+REFUSE!H91+SEWAGE!H91+PWORKS!H91+WATER!H91+ELECTRIC!H91</f>
        <v>1281500</v>
      </c>
      <c r="G91" s="435">
        <f>+COUNCIL!I91+MAYOR!I92+SPEAKER!I91+MM!I91+CORP!I91+PROP!I91+RATES!I91+THALL!I91+FIN!I91+SOCIAL!I92+CEMETERY!I91+LIBRARIES!I91+HOUSING!I91+TRAFFIC!I91+PARKS!I91+REFUSE!I91+SEWAGE!I91+PWORKS!I91+WATER!I91+ELECTRIC!I91</f>
        <v>1409650</v>
      </c>
    </row>
    <row r="92" spans="1:7" s="285" customFormat="1" x14ac:dyDescent="0.25">
      <c r="A92" s="159" t="s">
        <v>278</v>
      </c>
      <c r="B92" s="435">
        <f>+COUNCIL!D92+MAYOR!D93+SPEAKER!D92+MM!D92+CORP!D92+PROP!D92+RATES!D92+THALL!D92+FIN!D92+SOCIAL!D93+CEMETERY!D92+LIBRARIES!D92+HOUSING!D92+TRAFFIC!D92+PARKS!D92+REFUSE!D92+SEWAGE!D92+PWORKS!D92+WATER!D92+ELECTRIC!D92</f>
        <v>0</v>
      </c>
      <c r="C92" s="435">
        <f>+COUNCIL!E92+MAYOR!E93+SPEAKER!E92+MM!E92+CORP!E92+PROP!E92+RATES!E92+THALL!E92+FIN!E92+SOCIAL!E93+CEMETERY!E92+LIBRARIES!E92+HOUSING!E92+TRAFFIC!E92+PARKS!E92+REFUSE!E92+SEWAGE!E92+PWORKS!E92+WATER!E92+ELECTRIC!E92</f>
        <v>0</v>
      </c>
      <c r="D92" s="435">
        <v>1070984</v>
      </c>
      <c r="E92" s="435">
        <f>+COUNCIL!G92+MAYOR!G93+SPEAKER!G92+MM!G92+CORP!G92+PROP!G92+RATES!G92+THALL!G92+FIN!G92+SOCIAL!G93+CEMETERY!G92+LIBRARIES!G92+HOUSING!G92+TRAFFIC!G92+PARKS!G92+REFUSE!G92+SEWAGE!G92+PWORKS!G92+WATER!G92+ELECTRIC!G92</f>
        <v>0</v>
      </c>
      <c r="F92" s="435">
        <f>+COUNCIL!H92+MAYOR!H93+SPEAKER!H92+MM!H92+CORP!H92+PROP!H92+RATES!H92+THALL!H92+FIN!H92+SOCIAL!H93+CEMETERY!H92+LIBRARIES!H92+HOUSING!H92+TRAFFIC!H92+PARKS!H92+REFUSE!H92+SEWAGE!H92+PWORKS!H92+WATER!H92+ELECTRIC!H92</f>
        <v>0</v>
      </c>
      <c r="G92" s="435">
        <f>+COUNCIL!I92+MAYOR!I93+SPEAKER!I92+MM!I92+CORP!I92+PROP!I92+RATES!I92+THALL!I92+FIN!I92+SOCIAL!I93+CEMETERY!I92+LIBRARIES!I92+HOUSING!I92+TRAFFIC!I92+PARKS!I92+REFUSE!I92+SEWAGE!I92+PWORKS!I92+WATER!I92+ELECTRIC!I92</f>
        <v>0</v>
      </c>
    </row>
    <row r="93" spans="1:7" s="285" customFormat="1" x14ac:dyDescent="0.25">
      <c r="A93" s="159" t="s">
        <v>279</v>
      </c>
      <c r="B93" s="435">
        <f>+COUNCIL!D93+MAYOR!D94+SPEAKER!D93+MM!D93+CORP!D93+PROP!D93+RATES!D93+THALL!D93+FIN!D93+SOCIAL!D94+CEMETERY!D93+LIBRARIES!D93+HOUSING!D93+TRAFFIC!D93+PARKS!D93+REFUSE!D93+SEWAGE!D93+PWORKS!D93+WATER!D93+ELECTRIC!D93</f>
        <v>161799</v>
      </c>
      <c r="C93" s="435">
        <f>+COUNCIL!E93+MAYOR!E94+SPEAKER!E93+MM!E93+CORP!E93+PROP!E93+RATES!E93+THALL!E93+FIN!E93+SOCIAL!E94+CEMETERY!E93+LIBRARIES!E93+HOUSING!E93+TRAFFIC!E93+PARKS!E93+REFUSE!E93+SEWAGE!E93+PWORKS!E93+WATER!E93+ELECTRIC!E93</f>
        <v>450000</v>
      </c>
      <c r="D93" s="435">
        <v>30000</v>
      </c>
      <c r="E93" s="435">
        <f>+COUNCIL!G93+MAYOR!G94+SPEAKER!G93+MM!G93+CORP!G93+PROP!G93+RATES!G93+THALL!G93+FIN!G93+SOCIAL!G94+CEMETERY!G93+LIBRARIES!G93+HOUSING!G93+TRAFFIC!G93+PARKS!G93+REFUSE!G93+SEWAGE!G93+PWORKS!G93+WATER!G93+ELECTRIC!G93</f>
        <v>962000</v>
      </c>
      <c r="F93" s="435">
        <f>+COUNCIL!H93+MAYOR!H94+SPEAKER!H93+MM!H93+CORP!H93+PROP!H93+RATES!H93+THALL!H93+FIN!H93+SOCIAL!H94+CEMETERY!H93+LIBRARIES!H93+HOUSING!H93+TRAFFIC!H93+PARKS!H93+REFUSE!H93+SEWAGE!H93+PWORKS!H93+WATER!H93+ELECTRIC!H93</f>
        <v>508200</v>
      </c>
      <c r="G93" s="435">
        <f>+COUNCIL!I93+MAYOR!I94+SPEAKER!I93+MM!I93+CORP!I93+PROP!I93+RATES!I93+THALL!I93+FIN!I93+SOCIAL!I94+CEMETERY!I93+LIBRARIES!I93+HOUSING!I93+TRAFFIC!I93+PARKS!I93+REFUSE!I93+SEWAGE!I93+PWORKS!I93+WATER!I93+ELECTRIC!I93</f>
        <v>559020</v>
      </c>
    </row>
    <row r="94" spans="1:7" s="285" customFormat="1" x14ac:dyDescent="0.25">
      <c r="A94" s="159" t="s">
        <v>280</v>
      </c>
      <c r="B94" s="435">
        <f>+COUNCIL!D94+MAYOR!D95+SPEAKER!D94+MM!D94+CORP!D94+PROP!D94+RATES!D94+THALL!D94+FIN!D94+SOCIAL!D95+CEMETERY!D94+LIBRARIES!D94+HOUSING!D94+TRAFFIC!D94+PARKS!D94+REFUSE!D94+SEWAGE!D94+PWORKS!D94+WATER!D94+ELECTRIC!D94</f>
        <v>0</v>
      </c>
      <c r="C94" s="435">
        <f>+COUNCIL!E94+MAYOR!E95+SPEAKER!E94+MM!E94+CORP!E94+PROP!E94+RATES!E94+THALL!E94+FIN!E94+SOCIAL!E95+CEMETERY!E94+LIBRARIES!E94+HOUSING!E94+TRAFFIC!E94+PARKS!E94+REFUSE!E94+SEWAGE!E94+PWORKS!E94+WATER!E94+ELECTRIC!E94</f>
        <v>200000</v>
      </c>
      <c r="D94" s="435">
        <v>451799</v>
      </c>
      <c r="E94" s="435">
        <f>+COUNCIL!G94+MAYOR!G95+SPEAKER!G94+MM!G94+CORP!G94+PROP!G94+RATES!G94+THALL!G94+FIN!G94+SOCIAL!G95+CEMETERY!G94+LIBRARIES!G94+HOUSING!G94+TRAFFIC!G94+PARKS!G94+REFUSE!G94+SEWAGE!G94+PWORKS!G94+WATER!G94+ELECTRIC!G94</f>
        <v>250000</v>
      </c>
      <c r="F94" s="435">
        <f>+COUNCIL!H94+MAYOR!H95+SPEAKER!H94+MM!H94+CORP!H94+PROP!H94+RATES!H94+THALL!H94+FIN!H94+SOCIAL!H95+CEMETERY!H94+LIBRARIES!H94+HOUSING!H94+TRAFFIC!H94+PARKS!H94+REFUSE!H94+SEWAGE!H94+PWORKS!H94+WATER!H94+ELECTRIC!H94</f>
        <v>0</v>
      </c>
      <c r="G94" s="435">
        <f>+COUNCIL!I94+MAYOR!I95+SPEAKER!I94+MM!I94+CORP!I94+PROP!I94+RATES!I94+THALL!I94+FIN!I94+SOCIAL!I95+CEMETERY!I94+LIBRARIES!I94+HOUSING!I94+TRAFFIC!I94+PARKS!I94+REFUSE!I94+SEWAGE!I94+PWORKS!I94+WATER!I94+ELECTRIC!I94</f>
        <v>0</v>
      </c>
    </row>
    <row r="95" spans="1:7" s="285" customFormat="1" x14ac:dyDescent="0.25">
      <c r="A95" s="159" t="s">
        <v>281</v>
      </c>
      <c r="B95" s="435">
        <f>+COUNCIL!D95+MAYOR!D96+SPEAKER!D95+MM!D95+CORP!D95+PROP!D95+RATES!D95+THALL!D95+FIN!D95+SOCIAL!D96+CEMETERY!D95+LIBRARIES!D95+HOUSING!D95+TRAFFIC!D95+PARKS!D95+REFUSE!D95+SEWAGE!D95+PWORKS!D95+WATER!D95+ELECTRIC!D95</f>
        <v>0</v>
      </c>
      <c r="C95" s="435">
        <f>+COUNCIL!E95+MAYOR!E96+SPEAKER!E95+MM!E95+CORP!E95+PROP!E95+RATES!E95+THALL!E95+FIN!E95+SOCIAL!E96+CEMETERY!E95+LIBRARIES!E95+HOUSING!E95+TRAFFIC!E95+PARKS!E95+REFUSE!E95+SEWAGE!E95+PWORKS!E95+WATER!E95+ELECTRIC!E95</f>
        <v>0</v>
      </c>
      <c r="D95" s="435">
        <v>0</v>
      </c>
      <c r="E95" s="435">
        <f>+COUNCIL!G95+MAYOR!G96+SPEAKER!G95+MM!G95+CORP!G95+PROP!G95+RATES!G95+THALL!G95+FIN!G95+SOCIAL!G96+CEMETERY!G95+LIBRARIES!G95+HOUSING!G95+TRAFFIC!G95+PARKS!G95+REFUSE!G95+SEWAGE!G95+PWORKS!G95+WATER!G95+ELECTRIC!G95</f>
        <v>0</v>
      </c>
      <c r="F95" s="435">
        <f>+COUNCIL!H95+MAYOR!H96+SPEAKER!H95+MM!H95+CORP!H95+PROP!H95+RATES!H95+THALL!H95+FIN!H95+SOCIAL!H96+CEMETERY!H95+LIBRARIES!H95+HOUSING!H95+TRAFFIC!H95+PARKS!H95+REFUSE!H95+SEWAGE!H95+PWORKS!H95+WATER!H95+ELECTRIC!H95</f>
        <v>0</v>
      </c>
      <c r="G95" s="435">
        <f>+COUNCIL!I95+MAYOR!I96+SPEAKER!I95+MM!I95+CORP!I95+PROP!I95+RATES!I95+THALL!I95+FIN!I95+SOCIAL!I96+CEMETERY!I95+LIBRARIES!I95+HOUSING!I95+TRAFFIC!I95+PARKS!I95+REFUSE!I95+SEWAGE!I95+PWORKS!I95+WATER!I95+ELECTRIC!I95</f>
        <v>0</v>
      </c>
    </row>
    <row r="96" spans="1:7" s="285" customFormat="1" x14ac:dyDescent="0.25">
      <c r="A96" s="159" t="s">
        <v>282</v>
      </c>
      <c r="B96" s="435">
        <f>+COUNCIL!D96+MAYOR!D97+SPEAKER!D96+MM!D96+CORP!D96+PROP!D96+RATES!D96+THALL!D96+FIN!D96+SOCIAL!D97+CEMETERY!D96+LIBRARIES!D96+HOUSING!D96+TRAFFIC!D96+PARKS!D96+REFUSE!D96+SEWAGE!D96+PWORKS!D96+WATER!D96+ELECTRIC!D96</f>
        <v>0</v>
      </c>
      <c r="C96" s="435">
        <f>+COUNCIL!E96+MAYOR!E97+SPEAKER!E96+MM!E96+CORP!E96+PROP!E96+RATES!E96+THALL!E96+FIN!E96+SOCIAL!E97+CEMETERY!E96+LIBRARIES!E96+HOUSING!E96+TRAFFIC!E96+PARKS!E96+REFUSE!E96+SEWAGE!E96+PWORKS!E96+WATER!E96+ELECTRIC!E96</f>
        <v>0</v>
      </c>
      <c r="D96" s="435">
        <v>0</v>
      </c>
      <c r="E96" s="435">
        <f>+COUNCIL!G96+MAYOR!G97+SPEAKER!G96+MM!G96+CORP!G96+PROP!G96+RATES!G96+THALL!G96+FIN!G96+SOCIAL!G97+CEMETERY!G96+LIBRARIES!G96+HOUSING!G96+TRAFFIC!G96+PARKS!G96+REFUSE!G96+SEWAGE!G96+PWORKS!G96+WATER!G96+ELECTRIC!G96</f>
        <v>100000</v>
      </c>
      <c r="F96" s="435">
        <f>+COUNCIL!H96+MAYOR!H97+SPEAKER!H96+MM!H96+CORP!H96+PROP!H96+RATES!H96+THALL!H96+FIN!H96+SOCIAL!H97+CEMETERY!H96+LIBRARIES!H96+HOUSING!H96+TRAFFIC!H96+PARKS!H96+REFUSE!H96+SEWAGE!H96+PWORKS!H96+WATER!H96+ELECTRIC!H96</f>
        <v>110000</v>
      </c>
      <c r="G96" s="435">
        <f>+COUNCIL!I96+MAYOR!I97+SPEAKER!I96+MM!I96+CORP!I96+PROP!I96+RATES!I96+THALL!I96+FIN!I96+SOCIAL!I97+CEMETERY!I96+LIBRARIES!I96+HOUSING!I96+TRAFFIC!I96+PARKS!I96+REFUSE!I96+SEWAGE!I96+PWORKS!I96+WATER!I96+ELECTRIC!I96</f>
        <v>121000</v>
      </c>
    </row>
    <row r="97" spans="1:7" s="285" customFormat="1" x14ac:dyDescent="0.25">
      <c r="A97" s="159" t="s">
        <v>283</v>
      </c>
      <c r="B97" s="435">
        <f>+COUNCIL!D97+MAYOR!D98+SPEAKER!D97+MM!D97+CORP!D97+PROP!D97+RATES!D97+THALL!D97+FIN!D97+SOCIAL!D98+CEMETERY!D97+LIBRARIES!D97+HOUSING!D97+TRAFFIC!D97+PARKS!D97+REFUSE!D97+SEWAGE!D97+PWORKS!D97+WATER!D97+ELECTRIC!D97</f>
        <v>64334</v>
      </c>
      <c r="C97" s="435">
        <f>+COUNCIL!E97+MAYOR!E98+SPEAKER!E97+MM!E97+CORP!E97+PROP!E97+RATES!E97+THALL!E97+FIN!E97+SOCIAL!E98+CEMETERY!E97+LIBRARIES!E97+HOUSING!E97+TRAFFIC!E97+PARKS!E97+REFUSE!E97+SEWAGE!E97+PWORKS!E97+WATER!E97+ELECTRIC!E97</f>
        <v>60000</v>
      </c>
      <c r="D97" s="435">
        <v>0</v>
      </c>
      <c r="E97" s="435">
        <f>+COUNCIL!G97+MAYOR!G98+SPEAKER!G97+MM!G97+CORP!G97+PROP!G97+RATES!G97+THALL!G97+FIN!G97+SOCIAL!G98+CEMETERY!G97+LIBRARIES!G97+HOUSING!G97+TRAFFIC!G97+PARKS!G97+REFUSE!G97+SEWAGE!G97+PWORKS!G97+WATER!G97+ELECTRIC!G97</f>
        <v>66000</v>
      </c>
      <c r="F97" s="435">
        <f>+COUNCIL!H97+MAYOR!H98+SPEAKER!H97+MM!H97+CORP!H97+PROP!H97+RATES!H97+THALL!H97+FIN!H97+SOCIAL!H98+CEMETERY!H97+LIBRARIES!H97+HOUSING!H97+TRAFFIC!H97+PARKS!H97+REFUSE!H97+SEWAGE!H97+PWORKS!H97+WATER!H97+ELECTRIC!H97</f>
        <v>72600</v>
      </c>
      <c r="G97" s="435">
        <f>+COUNCIL!I97+MAYOR!I98+SPEAKER!I97+MM!I97+CORP!I97+PROP!I97+RATES!I97+THALL!I97+FIN!I97+SOCIAL!I98+CEMETERY!I97+LIBRARIES!I97+HOUSING!I97+TRAFFIC!I97+PARKS!I97+REFUSE!I97+SEWAGE!I97+PWORKS!I97+WATER!I97+ELECTRIC!I97</f>
        <v>79860</v>
      </c>
    </row>
    <row r="98" spans="1:7" s="285" customFormat="1" x14ac:dyDescent="0.25">
      <c r="A98" s="159" t="s">
        <v>284</v>
      </c>
      <c r="B98" s="435">
        <f>+COUNCIL!D98+MAYOR!D99+SPEAKER!D98+MM!D98+CORP!D98+PROP!D98+RATES!D98+THALL!D98+FIN!D98+SOCIAL!D99+CEMETERY!D98+LIBRARIES!D98+HOUSING!D98+TRAFFIC!D98+PARKS!D98+REFUSE!D98+SEWAGE!D98+PWORKS!D98+WATER!D98+ELECTRIC!D98</f>
        <v>129287.44</v>
      </c>
      <c r="C98" s="435">
        <f>+COUNCIL!E98+MAYOR!E99+SPEAKER!E98+MM!E98+CORP!E98+PROP!E98+RATES!E98+THALL!E98+FIN!E98+SOCIAL!E99+CEMETERY!E98+LIBRARIES!E98+HOUSING!E98+TRAFFIC!E98+PARKS!E98+REFUSE!E98+SEWAGE!E98+PWORKS!E98+WATER!E98+ELECTRIC!E98</f>
        <v>259513</v>
      </c>
      <c r="D98" s="435">
        <v>589513</v>
      </c>
      <c r="E98" s="435">
        <f>+COUNCIL!G98+MAYOR!G99+SPEAKER!G98+MM!G98+CORP!G98+PROP!G98+RATES!G98+THALL!G98+FIN!G98+SOCIAL!G99+CEMETERY!G98+LIBRARIES!G98+HOUSING!G98+TRAFFIC!G98+PARKS!G98+REFUSE!G98+SEWAGE!G98+PWORKS!G98+WATER!G98+ELECTRIC!G98</f>
        <v>340000</v>
      </c>
      <c r="F98" s="435">
        <f>+COUNCIL!H98+MAYOR!H99+SPEAKER!H98+MM!H98+CORP!H98+PROP!H98+RATES!H98+THALL!H98+FIN!H98+SOCIAL!H99+CEMETERY!H98+LIBRARIES!H98+HOUSING!H98+TRAFFIC!H98+PARKS!H98+REFUSE!H98+SEWAGE!H98+PWORKS!H98+WATER!H98+ELECTRIC!H98</f>
        <v>374000</v>
      </c>
      <c r="G98" s="435">
        <f>+COUNCIL!I98+MAYOR!I99+SPEAKER!I98+MM!I98+CORP!I98+PROP!I98+RATES!I98+THALL!I98+FIN!I98+SOCIAL!I99+CEMETERY!I98+LIBRARIES!I98+HOUSING!I98+TRAFFIC!I98+PARKS!I98+REFUSE!I98+SEWAGE!I98+PWORKS!I98+WATER!I98+ELECTRIC!I98</f>
        <v>411400</v>
      </c>
    </row>
    <row r="99" spans="1:7" s="285" customFormat="1" x14ac:dyDescent="0.25">
      <c r="A99" s="159" t="s">
        <v>285</v>
      </c>
      <c r="B99" s="435">
        <f>+COUNCIL!D99+MAYOR!D100+SPEAKER!D99+MM!D99+CORP!D99+PROP!D99+RATES!D99+THALL!D99+FIN!D99+SOCIAL!D100+CEMETERY!D99+LIBRARIES!D99+HOUSING!D99+TRAFFIC!D99+PARKS!D99+REFUSE!D99+SEWAGE!D99+PWORKS!D99+WATER!D99+ELECTRIC!D99</f>
        <v>0</v>
      </c>
      <c r="C99" s="435">
        <f>+COUNCIL!E99+MAYOR!E100+SPEAKER!E99+MM!E99+CORP!E99+PROP!E99+RATES!E99+THALL!E99+FIN!E99+SOCIAL!E100+CEMETERY!E99+LIBRARIES!E99+HOUSING!E99+TRAFFIC!E99+PARKS!E99+REFUSE!E99+SEWAGE!E99+PWORKS!E99+WATER!E99+ELECTRIC!E99</f>
        <v>67000</v>
      </c>
      <c r="D99" s="435">
        <v>0</v>
      </c>
      <c r="E99" s="435">
        <f>+COUNCIL!G99+MAYOR!G100+SPEAKER!G99+MM!G99+CORP!G99+PROP!G99+RATES!G99+THALL!G99+FIN!G99+SOCIAL!G100+CEMETERY!G99+LIBRARIES!G99+HOUSING!G99+TRAFFIC!G99+PARKS!G99+REFUSE!G99+SEWAGE!G99+PWORKS!G99+WATER!G99+ELECTRIC!G99</f>
        <v>67000</v>
      </c>
      <c r="F99" s="435">
        <f>+COUNCIL!H99+MAYOR!H100+SPEAKER!H99+MM!H99+CORP!H99+PROP!H99+RATES!H99+THALL!H99+FIN!H99+SOCIAL!H100+CEMETERY!H99+LIBRARIES!H99+HOUSING!H99+TRAFFIC!H99+PARKS!H99+REFUSE!H99+SEWAGE!H99+PWORKS!H99+WATER!H99+ELECTRIC!H99</f>
        <v>70000</v>
      </c>
      <c r="G99" s="435">
        <f>+COUNCIL!I99+MAYOR!I100+SPEAKER!I99+MM!I99+CORP!I99+PROP!I99+RATES!I99+THALL!I99+FIN!I99+SOCIAL!I100+CEMETERY!I99+LIBRARIES!I99+HOUSING!I99+TRAFFIC!I99+PARKS!I99+REFUSE!I99+SEWAGE!I99+PWORKS!I99+WATER!I99+ELECTRIC!I99</f>
        <v>80000</v>
      </c>
    </row>
    <row r="100" spans="1:7" s="285" customFormat="1" x14ac:dyDescent="0.25">
      <c r="A100" s="159" t="s">
        <v>286</v>
      </c>
      <c r="B100" s="435">
        <f>+COUNCIL!D100+MAYOR!D101+SPEAKER!D100+MM!D100+CORP!D100+PROP!D100+RATES!D100+THALL!D100+FIN!D100+SOCIAL!D101+CEMETERY!D100+LIBRARIES!D100+HOUSING!D100+TRAFFIC!D100+PARKS!D100+REFUSE!D100+SEWAGE!D100+PWORKS!D100+WATER!D100+ELECTRIC!D100</f>
        <v>594249</v>
      </c>
      <c r="C100" s="435">
        <f>+COUNCIL!E100+MAYOR!E101+SPEAKER!E100+MM!E100+CORP!E100+PROP!E100+RATES!E100+THALL!E100+FIN!E100+SOCIAL!E101+CEMETERY!E100+LIBRARIES!E100+HOUSING!E100+TRAFFIC!E100+PARKS!E100+REFUSE!E100+SEWAGE!E100+PWORKS!E100+WATER!E100+ELECTRIC!E100</f>
        <v>800000</v>
      </c>
      <c r="D100" s="435">
        <v>817000</v>
      </c>
      <c r="E100" s="435">
        <f>+COUNCIL!G100+MAYOR!G101+SPEAKER!G100+MM!G100+CORP!G100+PROP!G100+RATES!G100+THALL!G100+FIN!G100+SOCIAL!G101+CEMETERY!G100+LIBRARIES!G100+HOUSING!G100+TRAFFIC!G100+PARKS!G100+REFUSE!G100+SEWAGE!G100+PWORKS!G100+WATER!G100+ELECTRIC!G100</f>
        <v>2000000</v>
      </c>
      <c r="F100" s="435">
        <f>+COUNCIL!H100+MAYOR!H101+SPEAKER!H100+MM!H100+CORP!H100+PROP!H100+RATES!H100+THALL!H100+FIN!H100+SOCIAL!H101+CEMETERY!H100+LIBRARIES!H100+HOUSING!H100+TRAFFIC!H100+PARKS!H100+REFUSE!H100+SEWAGE!H100+PWORKS!H100+WATER!H100+ELECTRIC!H100</f>
        <v>2200000</v>
      </c>
      <c r="G100" s="435">
        <f>+COUNCIL!I100+MAYOR!I101+SPEAKER!I100+MM!I100+CORP!I100+PROP!I100+RATES!I100+THALL!I100+FIN!I100+SOCIAL!I101+CEMETERY!I100+LIBRARIES!I100+HOUSING!I100+TRAFFIC!I100+PARKS!I100+REFUSE!I100+SEWAGE!I100+PWORKS!I100+WATER!I100+ELECTRIC!I100</f>
        <v>2420000</v>
      </c>
    </row>
    <row r="101" spans="1:7" s="285" customFormat="1" x14ac:dyDescent="0.25">
      <c r="A101" s="159" t="s">
        <v>287</v>
      </c>
      <c r="B101" s="435">
        <f>+COUNCIL!D101+MAYOR!D102+SPEAKER!D101+MM!D101+CORP!D101+PROP!D101+RATES!D101+THALL!D101+FIN!D101+SOCIAL!D102+CEMETERY!D101+LIBRARIES!D101+HOUSING!D101+TRAFFIC!D101+PARKS!D101+REFUSE!D101+SEWAGE!D101+PWORKS!D101+WATER!D101+ELECTRIC!D101</f>
        <v>470230</v>
      </c>
      <c r="C101" s="435">
        <f>+COUNCIL!E101+MAYOR!E102+SPEAKER!E101+MM!E101+CORP!E101+PROP!E101+RATES!E101+THALL!E101+FIN!E101+SOCIAL!E102+CEMETERY!E101+LIBRARIES!E101+HOUSING!E101+TRAFFIC!E101+PARKS!E101+REFUSE!E101+SEWAGE!E101+PWORKS!E101+WATER!E101+ELECTRIC!E101</f>
        <v>480000</v>
      </c>
      <c r="D101" s="435">
        <v>510000</v>
      </c>
      <c r="E101" s="435">
        <f>+COUNCIL!G101+MAYOR!G102+SPEAKER!G101+MM!G101+CORP!G101+PROP!G101+RATES!G101+THALL!G101+FIN!G101+SOCIAL!G102+CEMETERY!G101+LIBRARIES!G101+HOUSING!G101+TRAFFIC!G101+PARKS!G101+REFUSE!G101+SEWAGE!G101+PWORKS!G101+WATER!G101+ELECTRIC!G101</f>
        <v>480000</v>
      </c>
      <c r="F101" s="435">
        <f>+COUNCIL!H101+MAYOR!H102+SPEAKER!H101+MM!H101+CORP!H101+PROP!H101+RATES!H101+THALL!H101+FIN!H101+SOCIAL!H102+CEMETERY!H101+LIBRARIES!H101+HOUSING!H101+TRAFFIC!H101+PARKS!H101+REFUSE!H101+SEWAGE!H101+PWORKS!H101+WATER!H101+ELECTRIC!H101</f>
        <v>0</v>
      </c>
      <c r="G101" s="435">
        <f>+COUNCIL!I101+MAYOR!I102+SPEAKER!I101+MM!I101+CORP!I101+PROP!I101+RATES!I101+THALL!I101+FIN!I101+SOCIAL!I102+CEMETERY!I101+LIBRARIES!I101+HOUSING!I101+TRAFFIC!I101+PARKS!I101+REFUSE!I101+SEWAGE!I101+PWORKS!I101+WATER!I101+ELECTRIC!I101</f>
        <v>0</v>
      </c>
    </row>
    <row r="102" spans="1:7" s="285" customFormat="1" x14ac:dyDescent="0.25">
      <c r="A102" s="159" t="s">
        <v>288</v>
      </c>
      <c r="B102" s="435">
        <f>+COUNCIL!D102+MAYOR!D103+SPEAKER!D102+MM!D102+CORP!D102+PROP!D102+RATES!D102+THALL!D102+FIN!D102+SOCIAL!D103+CEMETERY!D102+LIBRARIES!D102+HOUSING!D102+TRAFFIC!D102+PARKS!D102+REFUSE!D102+SEWAGE!D102+PWORKS!D102+WATER!D102+ELECTRIC!D102</f>
        <v>0</v>
      </c>
      <c r="C102" s="435">
        <f>+COUNCIL!E102+MAYOR!E103+SPEAKER!E102+MM!E102+CORP!E102+PROP!E102+RATES!E102+THALL!E102+FIN!E102+SOCIAL!E103+CEMETERY!E102+LIBRARIES!E102+HOUSING!E102+TRAFFIC!E102+PARKS!E102+REFUSE!E102+SEWAGE!E102+PWORKS!E102+WATER!E102+ELECTRIC!E102</f>
        <v>0</v>
      </c>
      <c r="D102" s="435">
        <v>0</v>
      </c>
      <c r="E102" s="435">
        <f>+COUNCIL!G102+MAYOR!G103+SPEAKER!G102+MM!G102+CORP!G102+PROP!G102+RATES!G102+THALL!G102+FIN!G102+SOCIAL!G103+CEMETERY!G102+LIBRARIES!G102+HOUSING!G102+TRAFFIC!G102+PARKS!G102+REFUSE!G102+SEWAGE!G102+PWORKS!G102+WATER!G102+ELECTRIC!G102</f>
        <v>0</v>
      </c>
      <c r="F102" s="435">
        <f>+COUNCIL!H102+MAYOR!H103+SPEAKER!H102+MM!H102+CORP!H102+PROP!H102+RATES!H102+THALL!H102+FIN!H102+SOCIAL!H103+CEMETERY!H102+LIBRARIES!H102+HOUSING!H102+TRAFFIC!H102+PARKS!H102+REFUSE!H102+SEWAGE!H102+PWORKS!H102+WATER!H102+ELECTRIC!H102</f>
        <v>0</v>
      </c>
      <c r="G102" s="435">
        <f>+COUNCIL!I102+MAYOR!I103+SPEAKER!I102+MM!I102+CORP!I102+PROP!I102+RATES!I102+THALL!I102+FIN!I102+SOCIAL!I103+CEMETERY!I102+LIBRARIES!I102+HOUSING!I102+TRAFFIC!I102+PARKS!I102+REFUSE!I102+SEWAGE!I102+PWORKS!I102+WATER!I102+ELECTRIC!I102</f>
        <v>0</v>
      </c>
    </row>
    <row r="103" spans="1:7" s="285" customFormat="1" x14ac:dyDescent="0.25">
      <c r="A103" s="94" t="s">
        <v>503</v>
      </c>
      <c r="B103" s="435">
        <f>+COUNCIL!D103+MAYOR!D104+SPEAKER!D103+MM!D103+CORP!D103+PROP!D103+RATES!D103+THALL!D103+FIN!D103+SOCIAL!D104+CEMETERY!D103+LIBRARIES!D103+HOUSING!D103+TRAFFIC!D103+PARKS!D103+REFUSE!D103+SEWAGE!D103+PWORKS!D103+WATER!D103+ELECTRIC!D103</f>
        <v>11175</v>
      </c>
      <c r="C103" s="435">
        <f>+COUNCIL!E103+MAYOR!E104+SPEAKER!E103+MM!E103+CORP!E103+PROP!E103+RATES!E103+THALL!E103+FIN!E103+SOCIAL!E104+CEMETERY!E103+LIBRARIES!E103+HOUSING!E103+TRAFFIC!E103+PARKS!E103+REFUSE!E103+SEWAGE!E103+PWORKS!E103+WATER!E103+ELECTRIC!E103</f>
        <v>520000</v>
      </c>
      <c r="D103" s="435">
        <v>20000</v>
      </c>
      <c r="E103" s="435">
        <f>+COUNCIL!G103+MAYOR!G104+SPEAKER!G103+MM!G103+CORP!G103+PROP!G103+RATES!G103+THALL!G103+FIN!G103+SOCIAL!G104+CEMETERY!G103+LIBRARIES!G103+HOUSING!G103+TRAFFIC!G103+PARKS!G103+REFUSE!G103+SEWAGE!G103+PWORKS!G103+WATER!G103+ELECTRIC!G103</f>
        <v>0</v>
      </c>
      <c r="F103" s="435">
        <f>+COUNCIL!H103+MAYOR!H104+SPEAKER!H103+MM!H103+CORP!H103+PROP!H103+RATES!H103+THALL!H103+FIN!H103+SOCIAL!H104+CEMETERY!H103+LIBRARIES!H103+HOUSING!H103+TRAFFIC!H103+PARKS!H103+REFUSE!H103+SEWAGE!H103+PWORKS!H103+WATER!H103+ELECTRIC!H103</f>
        <v>0</v>
      </c>
      <c r="G103" s="435">
        <f>+COUNCIL!I103+MAYOR!I104+SPEAKER!I103+MM!I103+CORP!I103+PROP!I103+RATES!I103+THALL!I103+FIN!I103+SOCIAL!I104+CEMETERY!I103+LIBRARIES!I103+HOUSING!I103+TRAFFIC!I103+PARKS!I103+REFUSE!I103+SEWAGE!I103+PWORKS!I103+WATER!I103+ELECTRIC!I103</f>
        <v>0</v>
      </c>
    </row>
    <row r="104" spans="1:7" s="285" customFormat="1" x14ac:dyDescent="0.25">
      <c r="A104" s="94" t="s">
        <v>290</v>
      </c>
      <c r="B104" s="435">
        <f>+COUNCIL!D104+MAYOR!D105+SPEAKER!D104+MM!D104+CORP!D104+PROP!D104+RATES!D104+THALL!D104+FIN!D104+SOCIAL!D105+CEMETERY!D104+LIBRARIES!D104+HOUSING!D104+TRAFFIC!D104+PARKS!D104+REFUSE!D104+SEWAGE!D104+PWORKS!D104+WATER!D104+ELECTRIC!D104</f>
        <v>0</v>
      </c>
      <c r="C104" s="435">
        <f>+COUNCIL!E104+MAYOR!E105+SPEAKER!E104+MM!E104+CORP!E104+PROP!E104+RATES!E104+THALL!E104+FIN!E104+SOCIAL!E105+CEMETERY!E104+LIBRARIES!E104+HOUSING!E104+TRAFFIC!E104+PARKS!E104+REFUSE!E104+SEWAGE!E104+PWORKS!E104+WATER!E104+ELECTRIC!E104</f>
        <v>0</v>
      </c>
      <c r="D104" s="435">
        <v>0</v>
      </c>
      <c r="E104" s="435">
        <f>+COUNCIL!G104+MAYOR!G105+SPEAKER!G104+MM!G104+CORP!G104+PROP!G104+RATES!G104+THALL!G104+FIN!G104+SOCIAL!G105+CEMETERY!G104+LIBRARIES!G104+HOUSING!G104+TRAFFIC!G104+PARKS!G104+REFUSE!G104+SEWAGE!G104+PWORKS!G104+WATER!G104+ELECTRIC!G104</f>
        <v>0</v>
      </c>
      <c r="F104" s="435">
        <f>+COUNCIL!H104+MAYOR!H105+SPEAKER!H104+MM!H104+CORP!H104+PROP!H104+RATES!H104+THALL!H104+FIN!H104+SOCIAL!H105+CEMETERY!H104+LIBRARIES!H104+HOUSING!H104+TRAFFIC!H104+PARKS!H104+REFUSE!H104+SEWAGE!H104+PWORKS!H104+WATER!H104+ELECTRIC!H104</f>
        <v>0</v>
      </c>
      <c r="G104" s="435">
        <f>+COUNCIL!I104+MAYOR!I105+SPEAKER!I104+MM!I104+CORP!I104+PROP!I104+RATES!I104+THALL!I104+FIN!I104+SOCIAL!I105+CEMETERY!I104+LIBRARIES!I104+HOUSING!I104+TRAFFIC!I104+PARKS!I104+REFUSE!I104+SEWAGE!I104+PWORKS!I104+WATER!I104+ELECTRIC!I104</f>
        <v>0</v>
      </c>
    </row>
    <row r="105" spans="1:7" s="285" customFormat="1" x14ac:dyDescent="0.25">
      <c r="A105" s="94" t="s">
        <v>291</v>
      </c>
      <c r="B105" s="435">
        <f>+COUNCIL!D105+MAYOR!D106+SPEAKER!D105+MM!D105+CORP!D105+PROP!D105+RATES!D105+THALL!D105+FIN!D105+SOCIAL!D106+CEMETERY!D105+LIBRARIES!D105+HOUSING!D105+TRAFFIC!D105+PARKS!D105+REFUSE!D105+SEWAGE!D105+PWORKS!D105+WATER!D105+ELECTRIC!D105</f>
        <v>0</v>
      </c>
      <c r="C105" s="435">
        <f>+COUNCIL!E105+MAYOR!E106+SPEAKER!E105+MM!E105+CORP!E105+PROP!E105+RATES!E105+THALL!E105+FIN!E105+SOCIAL!E106+CEMETERY!E105+LIBRARIES!E105+HOUSING!E105+TRAFFIC!E105+PARKS!E105+REFUSE!E105+SEWAGE!E105+PWORKS!E105+WATER!E105+ELECTRIC!E105</f>
        <v>0</v>
      </c>
      <c r="D105" s="435">
        <v>0</v>
      </c>
      <c r="E105" s="435">
        <f>+COUNCIL!G105+MAYOR!G106+SPEAKER!G105+MM!G105+CORP!G105+PROP!G105+RATES!G105+THALL!G105+FIN!G105+SOCIAL!G106+CEMETERY!G105+LIBRARIES!G105+HOUSING!G105+TRAFFIC!G105+PARKS!G105+REFUSE!G105+SEWAGE!G105+PWORKS!G105+WATER!G105+ELECTRIC!G105</f>
        <v>0</v>
      </c>
      <c r="F105" s="435">
        <f>+COUNCIL!H105+MAYOR!H106+SPEAKER!H105+MM!H105+CORP!H105+PROP!H105+RATES!H105+THALL!H105+FIN!H105+SOCIAL!H106+CEMETERY!H105+LIBRARIES!H105+HOUSING!H105+TRAFFIC!H105+PARKS!H105+REFUSE!H105+SEWAGE!H105+PWORKS!H105+WATER!H105+ELECTRIC!H105</f>
        <v>0</v>
      </c>
      <c r="G105" s="435">
        <f>+COUNCIL!I105+MAYOR!I106+SPEAKER!I105+MM!I105+CORP!I105+PROP!I105+RATES!I105+THALL!I105+FIN!I105+SOCIAL!I106+CEMETERY!I105+LIBRARIES!I105+HOUSING!I105+TRAFFIC!I105+PARKS!I105+REFUSE!I105+SEWAGE!I105+PWORKS!I105+WATER!I105+ELECTRIC!I105</f>
        <v>0</v>
      </c>
    </row>
    <row r="106" spans="1:7" s="285" customFormat="1" x14ac:dyDescent="0.25">
      <c r="A106" s="94" t="s">
        <v>292</v>
      </c>
      <c r="B106" s="435">
        <f>+COUNCIL!D106+MAYOR!D107+SPEAKER!D106+MM!D106+CORP!D106+PROP!D106+RATES!D106+THALL!D106+FIN!D106+SOCIAL!D107+CEMETERY!D106+LIBRARIES!D106+HOUSING!D106+TRAFFIC!D106+PARKS!D106+REFUSE!D106+SEWAGE!D106+PWORKS!D106+WATER!D106+ELECTRIC!D106</f>
        <v>0</v>
      </c>
      <c r="C106" s="435">
        <f>+COUNCIL!E106+MAYOR!E107+SPEAKER!E106+MM!E106+CORP!E106+PROP!E106+RATES!E106+THALL!E106+FIN!E106+SOCIAL!E107+CEMETERY!E106+LIBRARIES!E106+HOUSING!E106+TRAFFIC!E106+PARKS!E106+REFUSE!E106+SEWAGE!E106+PWORKS!E106+WATER!E106+ELECTRIC!E106</f>
        <v>0</v>
      </c>
      <c r="D106" s="435">
        <v>0</v>
      </c>
      <c r="E106" s="435">
        <f>+COUNCIL!G106+MAYOR!G107+SPEAKER!G106+MM!G106+CORP!G106+PROP!G106+RATES!G106+THALL!G106+FIN!G106+SOCIAL!G107+CEMETERY!G106+LIBRARIES!G106+HOUSING!G106+TRAFFIC!G106+PARKS!G106+REFUSE!G106+SEWAGE!G106+PWORKS!G106+WATER!G106+ELECTRIC!G106</f>
        <v>0</v>
      </c>
      <c r="F106" s="435">
        <f>+COUNCIL!H106+MAYOR!H107+SPEAKER!H106+MM!H106+CORP!H106+PROP!H106+RATES!H106+THALL!H106+FIN!H106+SOCIAL!H107+CEMETERY!H106+LIBRARIES!H106+HOUSING!H106+TRAFFIC!H106+PARKS!H106+REFUSE!H106+SEWAGE!H106+PWORKS!H106+WATER!H106+ELECTRIC!H106</f>
        <v>0</v>
      </c>
      <c r="G106" s="435">
        <f>+COUNCIL!I106+MAYOR!I107+SPEAKER!I106+MM!I106+CORP!I106+PROP!I106+RATES!I106+THALL!I106+FIN!I106+SOCIAL!I107+CEMETERY!I106+LIBRARIES!I106+HOUSING!I106+TRAFFIC!I106+PARKS!I106+REFUSE!I106+SEWAGE!I106+PWORKS!I106+WATER!I106+ELECTRIC!I106</f>
        <v>0</v>
      </c>
    </row>
    <row r="107" spans="1:7" s="285" customFormat="1" x14ac:dyDescent="0.25">
      <c r="A107" s="94" t="s">
        <v>293</v>
      </c>
      <c r="B107" s="435">
        <f>+COUNCIL!D107+MAYOR!D108+SPEAKER!D107+MM!D107+CORP!D107+PROP!D107+RATES!D107+THALL!D107+FIN!D107+SOCIAL!D108+CEMETERY!D107+LIBRARIES!D107+HOUSING!D107+TRAFFIC!D107+PARKS!D107+REFUSE!D107+SEWAGE!D107+PWORKS!D107+WATER!D107+ELECTRIC!D107</f>
        <v>0</v>
      </c>
      <c r="C107" s="435">
        <f>+COUNCIL!E107+MAYOR!E108+SPEAKER!E107+MM!E107+CORP!E107+PROP!E107+RATES!E107+THALL!E107+FIN!E107+SOCIAL!E108+CEMETERY!E107+LIBRARIES!E107+HOUSING!E107+TRAFFIC!E107+PARKS!E107+REFUSE!E107+SEWAGE!E107+PWORKS!E107+WATER!E107+ELECTRIC!E107</f>
        <v>0</v>
      </c>
      <c r="D107" s="435">
        <v>0</v>
      </c>
      <c r="E107" s="435">
        <f>+COUNCIL!G107+MAYOR!G108+SPEAKER!G107+MM!G107+CORP!G107+PROP!G107+RATES!G107+THALL!G107+FIN!G107+SOCIAL!G108+CEMETERY!G107+LIBRARIES!G107+HOUSING!G107+TRAFFIC!G107+PARKS!G107+REFUSE!G107+SEWAGE!G107+PWORKS!G107+WATER!G107+ELECTRIC!G107</f>
        <v>0</v>
      </c>
      <c r="F107" s="435">
        <f>+COUNCIL!H107+MAYOR!H108+SPEAKER!H107+MM!H107+CORP!H107+PROP!H107+RATES!H107+THALL!H107+FIN!H107+SOCIAL!H108+CEMETERY!H107+LIBRARIES!H107+HOUSING!H107+TRAFFIC!H107+PARKS!H107+REFUSE!H107+SEWAGE!H107+PWORKS!H107+WATER!H107+ELECTRIC!H107</f>
        <v>0</v>
      </c>
      <c r="G107" s="435">
        <f>+COUNCIL!I107+MAYOR!I108+SPEAKER!I107+MM!I107+CORP!I107+PROP!I107+RATES!I107+THALL!I107+FIN!I107+SOCIAL!I108+CEMETERY!I107+LIBRARIES!I107+HOUSING!I107+TRAFFIC!I107+PARKS!I107+REFUSE!I107+SEWAGE!I107+PWORKS!I107+WATER!I107+ELECTRIC!I107</f>
        <v>0</v>
      </c>
    </row>
    <row r="108" spans="1:7" s="285" customFormat="1" x14ac:dyDescent="0.25">
      <c r="A108" s="94" t="s">
        <v>247</v>
      </c>
      <c r="B108" s="435">
        <f>+COUNCIL!D108+MAYOR!D109+SPEAKER!D108+MM!D108+CORP!D108+PROP!D108+RATES!D108+THALL!D108+FIN!D108+SOCIAL!D109+CEMETERY!D108+LIBRARIES!D108+HOUSING!D108+TRAFFIC!D108+PARKS!D108+REFUSE!D108+SEWAGE!D108+PWORKS!D108+WATER!D108+ELECTRIC!D108</f>
        <v>0</v>
      </c>
      <c r="C108" s="435">
        <f>+COUNCIL!E108+MAYOR!E109+SPEAKER!E108+MM!E108+CORP!E108+PROP!E108+RATES!E108+THALL!E108+FIN!E108+SOCIAL!E109+CEMETERY!E108+LIBRARIES!E108+HOUSING!E108+TRAFFIC!E108+PARKS!E108+REFUSE!E108+SEWAGE!E108+PWORKS!E108+WATER!E108+ELECTRIC!E108</f>
        <v>0</v>
      </c>
      <c r="D108" s="435">
        <v>0</v>
      </c>
      <c r="E108" s="435">
        <f>+COUNCIL!G108+MAYOR!G109+SPEAKER!G108+MM!G108+CORP!G108+PROP!G108+RATES!G108+THALL!G108+FIN!G108+SOCIAL!G109+CEMETERY!G108+LIBRARIES!G108+HOUSING!G108+TRAFFIC!G108+PARKS!G108+REFUSE!G108+SEWAGE!G108+PWORKS!G108+WATER!G108+ELECTRIC!G108</f>
        <v>0</v>
      </c>
      <c r="F108" s="435">
        <f>+COUNCIL!H108+MAYOR!H109+SPEAKER!H108+MM!H108+CORP!H108+PROP!H108+RATES!H108+THALL!H108+FIN!H108+SOCIAL!H109+CEMETERY!H108+LIBRARIES!H108+HOUSING!H108+TRAFFIC!H108+PARKS!H108+REFUSE!H108+SEWAGE!H108+PWORKS!H108+WATER!H108+ELECTRIC!H108</f>
        <v>0</v>
      </c>
      <c r="G108" s="435">
        <f>+COUNCIL!I108+MAYOR!I109+SPEAKER!I108+MM!I108+CORP!I108+PROP!I108+RATES!I108+THALL!I108+FIN!I108+SOCIAL!I109+CEMETERY!I108+LIBRARIES!I108+HOUSING!I108+TRAFFIC!I108+PARKS!I108+REFUSE!I108+SEWAGE!I108+PWORKS!I108+WATER!I108+ELECTRIC!I108</f>
        <v>0</v>
      </c>
    </row>
    <row r="109" spans="1:7" s="285" customFormat="1" x14ac:dyDescent="0.25">
      <c r="A109" s="94" t="s">
        <v>294</v>
      </c>
      <c r="B109" s="435">
        <f>+COUNCIL!D109+MAYOR!D110+SPEAKER!D109+MM!D109+CORP!D109+PROP!D109+RATES!D109+THALL!D109+FIN!D109+SOCIAL!D110+CEMETERY!D109+LIBRARIES!D109+HOUSING!D109+TRAFFIC!D109+PARKS!D109+REFUSE!D109+SEWAGE!D109+PWORKS!D109+WATER!D109+ELECTRIC!D109</f>
        <v>147165</v>
      </c>
      <c r="C109" s="435">
        <f>+COUNCIL!E109+MAYOR!E110+SPEAKER!E109+MM!E109+CORP!E109+PROP!E109+RATES!E109+THALL!E109+FIN!E109+SOCIAL!E110+CEMETERY!E109+LIBRARIES!E109+HOUSING!E109+TRAFFIC!E109+PARKS!E109+REFUSE!E109+SEWAGE!E109+PWORKS!E109+WATER!E109+ELECTRIC!E109</f>
        <v>238000</v>
      </c>
      <c r="D109" s="435">
        <v>290000</v>
      </c>
      <c r="E109" s="435">
        <f>+COUNCIL!G109+MAYOR!G110+SPEAKER!G109+MM!G109+CORP!G109+PROP!G109+RATES!G109+THALL!G109+FIN!G109+SOCIAL!G110+CEMETERY!G109+LIBRARIES!G109+HOUSING!G109+TRAFFIC!G109+PARKS!G109+REFUSE!G109+SEWAGE!G109+PWORKS!G109+WATER!G109+ELECTRIC!G109</f>
        <v>348000</v>
      </c>
      <c r="F109" s="435">
        <f>+COUNCIL!H109+MAYOR!H110+SPEAKER!H109+MM!H109+CORP!H109+PROP!H109+RATES!H109+THALL!H109+FIN!H109+SOCIAL!H110+CEMETERY!H109+LIBRARIES!H109+HOUSING!H109+TRAFFIC!H109+PARKS!H109+REFUSE!H109+SEWAGE!H109+PWORKS!H109+WATER!H109+ELECTRIC!H109</f>
        <v>378000</v>
      </c>
      <c r="G109" s="435">
        <f>+COUNCIL!I109+MAYOR!I110+SPEAKER!I109+MM!I109+CORP!I109+PROP!I109+RATES!I109+THALL!I109+FIN!I109+SOCIAL!I110+CEMETERY!I109+LIBRARIES!I109+HOUSING!I109+TRAFFIC!I109+PARKS!I109+REFUSE!I109+SEWAGE!I109+PWORKS!I109+WATER!I109+ELECTRIC!I109</f>
        <v>411000</v>
      </c>
    </row>
    <row r="110" spans="1:7" s="285" customFormat="1" x14ac:dyDescent="0.25">
      <c r="A110" s="94" t="s">
        <v>295</v>
      </c>
      <c r="B110" s="435">
        <f>+COUNCIL!D110+MAYOR!D111+SPEAKER!D110+MM!D110+CORP!D110+PROP!D110+RATES!D110+THALL!D110+FIN!D110+SOCIAL!D111+CEMETERY!D110+LIBRARIES!D110+HOUSING!D110+TRAFFIC!D110+PARKS!D110+REFUSE!D110+SEWAGE!D110+PWORKS!D110+WATER!D110+ELECTRIC!D110</f>
        <v>239931</v>
      </c>
      <c r="C110" s="435">
        <f>+COUNCIL!E110+MAYOR!E111+SPEAKER!E110+MM!E110+CORP!E110+PROP!E110+RATES!E110+THALL!E110+FIN!E110+SOCIAL!E111+CEMETERY!E110+LIBRARIES!E110+HOUSING!E110+TRAFFIC!E110+PARKS!E110+REFUSE!E110+SEWAGE!E110+PWORKS!E110+WATER!E110+ELECTRIC!E110</f>
        <v>882975</v>
      </c>
      <c r="D110" s="435">
        <v>559475</v>
      </c>
      <c r="E110" s="435">
        <f>+COUNCIL!G110+MAYOR!G111+SPEAKER!G110+MM!G110+CORP!G110+PROP!G110+RATES!G110+THALL!G110+FIN!G110+SOCIAL!G111+CEMETERY!G110+LIBRARIES!G110+HOUSING!G110+TRAFFIC!G110+PARKS!G110+REFUSE!G110+SEWAGE!G110+PWORKS!G110+WATER!G110+ELECTRIC!G110</f>
        <v>1104892.5</v>
      </c>
      <c r="F110" s="435">
        <f>+COUNCIL!H110+MAYOR!H111+SPEAKER!H110+MM!H110+CORP!H110+PROP!H110+RATES!H110+THALL!H110+FIN!H110+SOCIAL!H111+CEMETERY!H110+LIBRARIES!H110+HOUSING!H110+TRAFFIC!H110+PARKS!H110+REFUSE!H110+SEWAGE!H110+PWORKS!H110+WATER!H110+ELECTRIC!H110</f>
        <v>1162098.75</v>
      </c>
      <c r="G110" s="435">
        <f>+COUNCIL!I110+MAYOR!I111+SPEAKER!I110+MM!I110+CORP!I110+PROP!I110+RATES!I110+THALL!I110+FIN!I110+SOCIAL!I111+CEMETERY!I110+LIBRARIES!I110+HOUSING!I110+TRAFFIC!I110+PARKS!I110+REFUSE!I110+SEWAGE!I110+PWORKS!I110+WATER!I110+ELECTRIC!I110</f>
        <v>1238725.625</v>
      </c>
    </row>
    <row r="111" spans="1:7" s="285" customFormat="1" x14ac:dyDescent="0.25">
      <c r="A111" s="94" t="s">
        <v>297</v>
      </c>
      <c r="B111" s="435">
        <f>+COUNCIL!D111+MAYOR!D112+SPEAKER!D111+MM!D111+CORP!D111+PROP!D111+RATES!D111+THALL!D111+FIN!D111+SOCIAL!D112+CEMETERY!D111+LIBRARIES!D111+HOUSING!D111+TRAFFIC!D111+PARKS!D111+REFUSE!D111+SEWAGE!D111+PWORKS!D111+WATER!D111+ELECTRIC!D111</f>
        <v>0</v>
      </c>
      <c r="C111" s="435">
        <f>+COUNCIL!E111+MAYOR!E112+SPEAKER!E111+MM!E111+CORP!E111+PROP!E111+RATES!E111+THALL!E111+FIN!E111+SOCIAL!E112+CEMETERY!E111+LIBRARIES!E111+HOUSING!E111+TRAFFIC!E111+PARKS!E111+REFUSE!E111+SEWAGE!E111+PWORKS!E111+WATER!E111+ELECTRIC!E111</f>
        <v>0</v>
      </c>
      <c r="D111" s="435">
        <v>0</v>
      </c>
      <c r="E111" s="435">
        <f>+COUNCIL!G111+MAYOR!G112+SPEAKER!G111+MM!G111+CORP!G111+PROP!G111+RATES!G111+THALL!G111+FIN!G111+SOCIAL!G112+CEMETERY!G111+LIBRARIES!G111+HOUSING!G111+TRAFFIC!G111+PARKS!G111+REFUSE!G111+SEWAGE!G111+PWORKS!G111+WATER!G111+ELECTRIC!G111</f>
        <v>0</v>
      </c>
      <c r="F111" s="435">
        <f>+COUNCIL!H111+MAYOR!H112+SPEAKER!H111+MM!H111+CORP!H111+PROP!H111+RATES!H111+THALL!H111+FIN!H111+SOCIAL!H112+CEMETERY!H111+LIBRARIES!H111+HOUSING!H111+TRAFFIC!H111+PARKS!H111+REFUSE!H111+SEWAGE!H111+PWORKS!H111+WATER!H111+ELECTRIC!H111</f>
        <v>0</v>
      </c>
      <c r="G111" s="435">
        <f>+COUNCIL!I111+MAYOR!I112+SPEAKER!I111+MM!I111+CORP!I111+PROP!I111+RATES!I111+THALL!I111+FIN!I111+SOCIAL!I112+CEMETERY!I111+LIBRARIES!I111+HOUSING!I111+TRAFFIC!I111+PARKS!I111+REFUSE!I111+SEWAGE!I111+PWORKS!I111+WATER!I111+ELECTRIC!I111</f>
        <v>0</v>
      </c>
    </row>
    <row r="112" spans="1:7" s="285" customFormat="1" x14ac:dyDescent="0.25">
      <c r="A112" s="94" t="s">
        <v>298</v>
      </c>
      <c r="B112" s="435">
        <f>+COUNCIL!D112+MAYOR!D113+SPEAKER!D112+MM!D112+CORP!D112+PROP!D112+RATES!D112+THALL!D112+FIN!D112+SOCIAL!D113+CEMETERY!D112+LIBRARIES!D112+HOUSING!D112+TRAFFIC!D112+PARKS!D112+REFUSE!D112+SEWAGE!D112+PWORKS!D112+WATER!D112+ELECTRIC!D112</f>
        <v>0</v>
      </c>
      <c r="C112" s="435">
        <f>+COUNCIL!E112+MAYOR!E113+SPEAKER!E112+MM!E112+CORP!E112+PROP!E112+RATES!E112+THALL!E112+FIN!E112+SOCIAL!E113+CEMETERY!E112+LIBRARIES!E112+HOUSING!E112+TRAFFIC!E112+PARKS!E112+REFUSE!E112+SEWAGE!E112+PWORKS!E112+WATER!E112+ELECTRIC!E112</f>
        <v>8000</v>
      </c>
      <c r="D112" s="435">
        <v>8000</v>
      </c>
      <c r="E112" s="435">
        <f>+COUNCIL!G112+MAYOR!G113+SPEAKER!G112+MM!G112+CORP!G112+PROP!G112+RATES!G112+THALL!G112+FIN!G112+SOCIAL!G113+CEMETERY!G112+LIBRARIES!G112+HOUSING!G112+TRAFFIC!G112+PARKS!G112+REFUSE!G112+SEWAGE!G112+PWORKS!G112+WATER!G112+ELECTRIC!G112</f>
        <v>229000</v>
      </c>
      <c r="F112" s="435">
        <f>+COUNCIL!H112+MAYOR!H113+SPEAKER!H112+MM!H112+CORP!H112+PROP!H112+RATES!H112+THALL!H112+FIN!H112+SOCIAL!H113+CEMETERY!H112+LIBRARIES!H112+HOUSING!H112+TRAFFIC!H112+PARKS!H112+REFUSE!H112+SEWAGE!H112+PWORKS!H112+WATER!H112+ELECTRIC!H112</f>
        <v>229000</v>
      </c>
      <c r="G112" s="435">
        <f>+COUNCIL!I112+MAYOR!I113+SPEAKER!I112+MM!I112+CORP!I112+PROP!I112+RATES!I112+THALL!I112+FIN!I112+SOCIAL!I113+CEMETERY!I112+LIBRARIES!I112+HOUSING!I112+TRAFFIC!I112+PARKS!I112+REFUSE!I112+SEWAGE!I112+PWORKS!I112+WATER!I112+ELECTRIC!I112</f>
        <v>229000</v>
      </c>
    </row>
    <row r="113" spans="1:7" s="285" customFormat="1" x14ac:dyDescent="0.25">
      <c r="A113" s="94" t="s">
        <v>299</v>
      </c>
      <c r="B113" s="435">
        <f>+COUNCIL!D113+MAYOR!D114+SPEAKER!D113+MM!D113+CORP!D113+PROP!D113+RATES!D113+THALL!D113+FIN!D113+SOCIAL!D114+CEMETERY!D113+LIBRARIES!D113+HOUSING!D113+TRAFFIC!D113+PARKS!D113+REFUSE!D113+SEWAGE!D113+PWORKS!D113+WATER!D113+ELECTRIC!D113</f>
        <v>0</v>
      </c>
      <c r="C113" s="435">
        <f>+COUNCIL!E113+MAYOR!E114+SPEAKER!E113+MM!E113+CORP!E113+PROP!E113+RATES!E113+THALL!E113+FIN!E113+SOCIAL!E114+CEMETERY!E113+LIBRARIES!E113+HOUSING!E113+TRAFFIC!E113+PARKS!E113+REFUSE!E113+SEWAGE!E113+PWORKS!E113+WATER!E113+ELECTRIC!E113</f>
        <v>180000</v>
      </c>
      <c r="D113" s="435">
        <v>80000</v>
      </c>
      <c r="E113" s="435">
        <f>+COUNCIL!G113+MAYOR!G114+SPEAKER!G113+MM!G113+CORP!G113+PROP!G113+RATES!G113+THALL!G113+FIN!G113+SOCIAL!G114+CEMETERY!G113+LIBRARIES!G113+HOUSING!G113+TRAFFIC!G113+PARKS!G113+REFUSE!G113+SEWAGE!G113+PWORKS!G113+WATER!G113+ELECTRIC!G113</f>
        <v>150000</v>
      </c>
      <c r="F113" s="435">
        <f>+COUNCIL!H113+MAYOR!H114+SPEAKER!H113+MM!H113+CORP!H113+PROP!H113+RATES!H113+THALL!H113+FIN!H113+SOCIAL!H114+CEMETERY!H113+LIBRARIES!H113+HOUSING!H113+TRAFFIC!H113+PARKS!H113+REFUSE!H113+SEWAGE!H113+PWORKS!H113+WATER!H113+ELECTRIC!H113</f>
        <v>165000</v>
      </c>
      <c r="G113" s="435">
        <f>+COUNCIL!I113+MAYOR!I114+SPEAKER!I113+MM!I113+CORP!I113+PROP!I113+RATES!I113+THALL!I113+FIN!I113+SOCIAL!I114+CEMETERY!I113+LIBRARIES!I113+HOUSING!I113+TRAFFIC!I113+PARKS!I113+REFUSE!I113+SEWAGE!I113+PWORKS!I113+WATER!I113+ELECTRIC!I113</f>
        <v>181500</v>
      </c>
    </row>
    <row r="114" spans="1:7" s="285" customFormat="1" x14ac:dyDescent="0.25">
      <c r="A114" s="94" t="s">
        <v>300</v>
      </c>
      <c r="B114" s="435">
        <f>+COUNCIL!D114+MAYOR!D115+SPEAKER!D114+MM!D114+CORP!D114+PROP!D114+RATES!D114+THALL!D114+FIN!D114+SOCIAL!D115+CEMETERY!D114+LIBRARIES!D114+HOUSING!D114+TRAFFIC!D114+PARKS!D114+REFUSE!D114+SEWAGE!D114+PWORKS!D114+WATER!D114+ELECTRIC!D114</f>
        <v>61234</v>
      </c>
      <c r="C114" s="435">
        <f>+COUNCIL!E114+MAYOR!E115+SPEAKER!E114+MM!E114+CORP!E114+PROP!E114+RATES!E114+THALL!E114+FIN!E114+SOCIAL!E115+CEMETERY!E114+LIBRARIES!E114+HOUSING!E114+TRAFFIC!E114+PARKS!E114+REFUSE!E114+SEWAGE!E114+PWORKS!E114+WATER!E114+ELECTRIC!E114</f>
        <v>156034.5</v>
      </c>
      <c r="D114" s="435">
        <v>156034.5</v>
      </c>
      <c r="E114" s="435">
        <f>+COUNCIL!G114+MAYOR!G115+SPEAKER!G114+MM!G114+CORP!G114+PROP!G114+RATES!G114+THALL!G114+FIN!G114+SOCIAL!G115+CEMETERY!G114+LIBRARIES!G114+HOUSING!G114+TRAFFIC!G114+PARKS!G114+REFUSE!G114+SEWAGE!G114+PWORKS!G114+WATER!G114+ELECTRIC!G114</f>
        <v>171803.25</v>
      </c>
      <c r="F114" s="435">
        <f>+COUNCIL!H114+MAYOR!H115+SPEAKER!H114+MM!H114+CORP!H114+PROP!H114+RATES!H114+THALL!H114+FIN!H114+SOCIAL!H115+CEMETERY!H114+LIBRARIES!H114+HOUSING!H114+TRAFFIC!H114+PARKS!H114+REFUSE!H114+SEWAGE!H114+PWORKS!H114+WATER!H114+ELECTRIC!H114</f>
        <v>188983.57500000001</v>
      </c>
      <c r="G114" s="435">
        <f>+COUNCIL!I114+MAYOR!I115+SPEAKER!I114+MM!I114+CORP!I114+PROP!I114+RATES!I114+THALL!I114+FIN!I114+SOCIAL!I115+CEMETERY!I114+LIBRARIES!I114+HOUSING!I114+TRAFFIC!I114+PARKS!I114+REFUSE!I114+SEWAGE!I114+PWORKS!I114+WATER!I114+ELECTRIC!I114</f>
        <v>207881.9325</v>
      </c>
    </row>
    <row r="115" spans="1:7" s="285" customFormat="1" x14ac:dyDescent="0.25">
      <c r="A115" s="94" t="s">
        <v>301</v>
      </c>
      <c r="B115" s="435">
        <f>+COUNCIL!D115+MAYOR!D116+SPEAKER!D115+MM!D115+CORP!D115+PROP!D115+RATES!D115+THALL!D115+FIN!D115+SOCIAL!D116+CEMETERY!D115+LIBRARIES!D115+HOUSING!D115+TRAFFIC!D115+PARKS!D115+REFUSE!D115+SEWAGE!D115+PWORKS!D115+WATER!D115+ELECTRIC!D115</f>
        <v>1652410</v>
      </c>
      <c r="C115" s="435">
        <f>+COUNCIL!E115+MAYOR!E116+SPEAKER!E115+MM!E115+CORP!E115+PROP!E115+RATES!E115+THALL!E115+FIN!E115+SOCIAL!E116+CEMETERY!E115+LIBRARIES!E115+HOUSING!E115+TRAFFIC!E115+PARKS!E115+REFUSE!E115+SEWAGE!E115+PWORKS!E115+WATER!E115+ELECTRIC!E115</f>
        <v>2025599.9999999998</v>
      </c>
      <c r="D115" s="435">
        <v>3225600</v>
      </c>
      <c r="E115" s="435">
        <f>+COUNCIL!G115+MAYOR!G116+SPEAKER!G115+MM!G115+CORP!G115+PROP!G115+RATES!G115+THALL!G115+FIN!G115+SOCIAL!G116+CEMETERY!G115+LIBRARIES!G115+HOUSING!G115+TRAFFIC!G115+PARKS!G115+REFUSE!G115+SEWAGE!G115+PWORKS!G115+WATER!G115+ELECTRIC!G115</f>
        <v>2600000</v>
      </c>
      <c r="F115" s="435">
        <f>+COUNCIL!H115+MAYOR!H116+SPEAKER!H115+MM!H115+CORP!H115+PROP!H115+RATES!H115+THALL!H115+FIN!H115+SOCIAL!H116+CEMETERY!H115+LIBRARIES!H115+HOUSING!H115+TRAFFIC!H115+PARKS!H115+REFUSE!H115+SEWAGE!H115+PWORKS!H115+WATER!H115+ELECTRIC!H115</f>
        <v>2860000</v>
      </c>
      <c r="G115" s="435">
        <f>+COUNCIL!I115+MAYOR!I116+SPEAKER!I115+MM!I115+CORP!I115+PROP!I115+RATES!I115+THALL!I115+FIN!I115+SOCIAL!I116+CEMETERY!I115+LIBRARIES!I115+HOUSING!I115+TRAFFIC!I115+PARKS!I115+REFUSE!I115+SEWAGE!I115+PWORKS!I115+WATER!I115+ELECTRIC!I115</f>
        <v>3146000</v>
      </c>
    </row>
    <row r="116" spans="1:7" s="285" customFormat="1" x14ac:dyDescent="0.25">
      <c r="A116" s="94" t="s">
        <v>302</v>
      </c>
      <c r="B116" s="435">
        <f>+COUNCIL!D116+MAYOR!D117+SPEAKER!D116+MM!D116+CORP!D116+PROP!D116+RATES!D116+THALL!D116+FIN!D116+SOCIAL!D117+CEMETERY!D116+LIBRARIES!D116+HOUSING!D116+TRAFFIC!D116+PARKS!D116+REFUSE!D116+SEWAGE!D116+PWORKS!D116+WATER!D116+ELECTRIC!D116</f>
        <v>1228821</v>
      </c>
      <c r="C116" s="435">
        <f>+COUNCIL!E116+MAYOR!E117+SPEAKER!E116+MM!E116+CORP!E116+PROP!E116+RATES!E116+THALL!E116+FIN!E116+SOCIAL!E117+CEMETERY!E116+LIBRARIES!E116+HOUSING!E116+TRAFFIC!E116+PARKS!E116+REFUSE!E116+SEWAGE!E116+PWORKS!E116+WATER!E116+ELECTRIC!E116</f>
        <v>350000</v>
      </c>
      <c r="D116" s="435">
        <v>1550000</v>
      </c>
      <c r="E116" s="435">
        <f>+COUNCIL!G116+MAYOR!G117+SPEAKER!G116+MM!G116+CORP!G116+PROP!G116+RATES!G116+THALL!G116+FIN!G116+SOCIAL!G117+CEMETERY!G116+LIBRARIES!G116+HOUSING!G116+TRAFFIC!G116+PARKS!G116+REFUSE!G116+SEWAGE!G116+PWORKS!G116+WATER!G116+ELECTRIC!G116</f>
        <v>800000</v>
      </c>
      <c r="F116" s="435">
        <f>+COUNCIL!H116+MAYOR!H117+SPEAKER!H116+MM!H116+CORP!H116+PROP!H116+RATES!H116+THALL!H116+FIN!H116+SOCIAL!H117+CEMETERY!H116+LIBRARIES!H116+HOUSING!H116+TRAFFIC!H116+PARKS!H116+REFUSE!H116+SEWAGE!H116+PWORKS!H116+WATER!H116+ELECTRIC!H116</f>
        <v>0</v>
      </c>
      <c r="G116" s="435">
        <f>+COUNCIL!I116+MAYOR!I117+SPEAKER!I116+MM!I116+CORP!I116+PROP!I116+RATES!I116+THALL!I116+FIN!I116+SOCIAL!I117+CEMETERY!I116+LIBRARIES!I116+HOUSING!I116+TRAFFIC!I116+PARKS!I116+REFUSE!I116+SEWAGE!I116+PWORKS!I116+WATER!I116+ELECTRIC!I116</f>
        <v>0</v>
      </c>
    </row>
    <row r="117" spans="1:7" s="285" customFormat="1" x14ac:dyDescent="0.25">
      <c r="A117" s="94" t="s">
        <v>303</v>
      </c>
      <c r="B117" s="435">
        <f>+COUNCIL!D117+MAYOR!D118+SPEAKER!D117+MM!D117+CORP!D117+PROP!D117+RATES!D117+THALL!D117+FIN!D117+SOCIAL!D118+CEMETERY!D117+LIBRARIES!D117+HOUSING!D117+TRAFFIC!D117+PARKS!D117+REFUSE!D117+SEWAGE!D117+PWORKS!D117+WATER!D117+ELECTRIC!D117</f>
        <v>369</v>
      </c>
      <c r="C117" s="435">
        <f>+COUNCIL!E117+MAYOR!E118+SPEAKER!E117+MM!E117+CORP!E117+PROP!E117+RATES!E117+THALL!E117+FIN!E117+SOCIAL!E118+CEMETERY!E117+LIBRARIES!E117+HOUSING!E117+TRAFFIC!E117+PARKS!E117+REFUSE!E117+SEWAGE!E117+PWORKS!E117+WATER!E117+ELECTRIC!E117</f>
        <v>2181</v>
      </c>
      <c r="D117" s="435">
        <v>0</v>
      </c>
      <c r="E117" s="435">
        <f>+COUNCIL!G117+MAYOR!G118+SPEAKER!G117+MM!G117+CORP!G117+PROP!G117+RATES!G117+THALL!G117+FIN!G117+SOCIAL!G118+CEMETERY!G117+LIBRARIES!G117+HOUSING!G117+TRAFFIC!G117+PARKS!G117+REFUSE!G117+SEWAGE!G117+PWORKS!G117+WATER!G117+ELECTRIC!G117</f>
        <v>2189.1</v>
      </c>
      <c r="F117" s="435">
        <f>+COUNCIL!H117+MAYOR!H118+SPEAKER!H117+MM!H117+CORP!H117+PROP!H117+RATES!H117+THALL!H117+FIN!H117+SOCIAL!H118+CEMETERY!H117+LIBRARIES!H117+HOUSING!H117+TRAFFIC!H117+PARKS!H117+REFUSE!H117+SEWAGE!H117+PWORKS!H117+WATER!H117+ELECTRIC!H117</f>
        <v>2198.0100000000002</v>
      </c>
      <c r="G117" s="435">
        <f>+COUNCIL!I117+MAYOR!I118+SPEAKER!I117+MM!I117+CORP!I117+PROP!I117+RATES!I117+THALL!I117+FIN!I117+SOCIAL!I118+CEMETERY!I117+LIBRARIES!I117+HOUSING!I117+TRAFFIC!I117+PARKS!I117+REFUSE!I117+SEWAGE!I117+PWORKS!I117+WATER!I117+ELECTRIC!I117</f>
        <v>2207.8110000000001</v>
      </c>
    </row>
    <row r="118" spans="1:7" s="285" customFormat="1" x14ac:dyDescent="0.25">
      <c r="A118" s="106" t="s">
        <v>304</v>
      </c>
      <c r="B118" s="435">
        <f>+COUNCIL!D118+MAYOR!D119+SPEAKER!D118+MM!D118+CORP!D118+PROP!D118+RATES!D118+THALL!D118+FIN!D118+SOCIAL!D119+CEMETERY!D118+LIBRARIES!D118+HOUSING!D118+TRAFFIC!D118+PARKS!D118+REFUSE!D118+SEWAGE!D118+PWORKS!D118+WATER!D118+ELECTRIC!D118</f>
        <v>10881</v>
      </c>
      <c r="C118" s="435">
        <f>+COUNCIL!E118+MAYOR!E119+SPEAKER!E118+MM!E118+CORP!E118+PROP!E118+RATES!E118+THALL!E118+FIN!E118+SOCIAL!E119+CEMETERY!E118+LIBRARIES!E118+HOUSING!E118+TRAFFIC!E118+PARKS!E118+REFUSE!E118+SEWAGE!E118+PWORKS!E118+WATER!E118+ELECTRIC!E118</f>
        <v>80030</v>
      </c>
      <c r="D118" s="435">
        <v>35281</v>
      </c>
      <c r="E118" s="435">
        <f>+COUNCIL!G118+MAYOR!G119+SPEAKER!G118+MM!G118+CORP!G118+PROP!G118+RATES!G118+THALL!G118+FIN!G118+SOCIAL!G119+CEMETERY!G118+LIBRARIES!G118+HOUSING!G118+TRAFFIC!G118+PARKS!G118+REFUSE!G118+SEWAGE!G118+PWORKS!G118+WATER!G118+ELECTRIC!G118</f>
        <v>82262</v>
      </c>
      <c r="F118" s="435">
        <f>+COUNCIL!H118+MAYOR!H119+SPEAKER!H118+MM!H118+CORP!H118+PROP!H118+RATES!H118+THALL!H118+FIN!H118+SOCIAL!H119+CEMETERY!H118+LIBRARIES!H118+HOUSING!H118+TRAFFIC!H118+PARKS!H118+REFUSE!H118+SEWAGE!H118+PWORKS!H118+WATER!H118+ELECTRIC!H118</f>
        <v>85104.2</v>
      </c>
      <c r="G118" s="435">
        <f>+COUNCIL!I118+MAYOR!I119+SPEAKER!I118+MM!I118+CORP!I118+PROP!I118+RATES!I118+THALL!I118+FIN!I118+SOCIAL!I119+CEMETERY!I118+LIBRARIES!I118+HOUSING!I118+TRAFFIC!I118+PARKS!I118+REFUSE!I118+SEWAGE!I118+PWORKS!I118+WATER!I118+ELECTRIC!I118</f>
        <v>89862.62000000001</v>
      </c>
    </row>
    <row r="119" spans="1:7" s="285" customFormat="1" x14ac:dyDescent="0.25">
      <c r="A119" s="97" t="s">
        <v>305</v>
      </c>
      <c r="B119" s="435">
        <f>+COUNCIL!D119+MAYOR!D120+SPEAKER!D119+MM!D119+CORP!D119+PROP!D119+RATES!D119+THALL!D119+FIN!D119+SOCIAL!D120+CEMETERY!D119+LIBRARIES!D119+HOUSING!D119+TRAFFIC!D119+PARKS!D119+REFUSE!D119+SEWAGE!D119+PWORKS!D119+WATER!D119+ELECTRIC!D119</f>
        <v>71296</v>
      </c>
      <c r="C119" s="435">
        <f>+COUNCIL!E119+MAYOR!E120+SPEAKER!E119+MM!E119+CORP!E119+PROP!E119+RATES!E119+THALL!E119+FIN!E119+SOCIAL!E120+CEMETERY!E119+LIBRARIES!E119+HOUSING!E119+TRAFFIC!E119+PARKS!E119+REFUSE!E119+SEWAGE!E119+PWORKS!E119+WATER!E119+ELECTRIC!E119</f>
        <v>497450</v>
      </c>
      <c r="D119" s="435">
        <v>540800</v>
      </c>
      <c r="E119" s="435">
        <f>+COUNCIL!G119+MAYOR!G120+SPEAKER!G119+MM!G119+CORP!G119+PROP!G119+RATES!G119+THALL!G119+FIN!G119+SOCIAL!G120+CEMETERY!G119+LIBRARIES!G119+HOUSING!G119+TRAFFIC!G119+PARKS!G119+REFUSE!G119+SEWAGE!G119+PWORKS!G119+WATER!G119+ELECTRIC!G119</f>
        <v>420460</v>
      </c>
      <c r="F119" s="435">
        <f>+COUNCIL!H119+MAYOR!H120+SPEAKER!H119+MM!H119+CORP!H119+PROP!H119+RATES!H119+THALL!H119+FIN!H119+SOCIAL!H120+CEMETERY!H119+LIBRARIES!H119+HOUSING!H119+TRAFFIC!H119+PARKS!H119+REFUSE!H119+SEWAGE!H119+PWORKS!H119+WATER!H119+ELECTRIC!H119</f>
        <v>450596</v>
      </c>
      <c r="G119" s="435">
        <f>+COUNCIL!I119+MAYOR!I120+SPEAKER!I119+MM!I119+CORP!I119+PROP!I119+RATES!I119+THALL!I119+FIN!I119+SOCIAL!I120+CEMETERY!I119+LIBRARIES!I119+HOUSING!I119+TRAFFIC!I119+PARKS!I119+REFUSE!I119+SEWAGE!I119+PWORKS!I119+WATER!I119+ELECTRIC!I119</f>
        <v>483735.6</v>
      </c>
    </row>
    <row r="120" spans="1:7" s="285" customFormat="1" x14ac:dyDescent="0.25">
      <c r="A120" s="94" t="s">
        <v>386</v>
      </c>
      <c r="B120" s="435">
        <f>+COUNCIL!D120+MAYOR!D121+SPEAKER!D120+MM!D120+CORP!D120+PROP!D120+RATES!D120+THALL!D120+FIN!D120+SOCIAL!D121+CEMETERY!D120+LIBRARIES!D120+HOUSING!D120+TRAFFIC!D120+PARKS!D120+REFUSE!D120+SEWAGE!D120+PWORKS!D120+WATER!D120+ELECTRIC!D120</f>
        <v>0</v>
      </c>
      <c r="C120" s="435">
        <f>+COUNCIL!E120+MAYOR!E121+SPEAKER!E120+MM!E120+CORP!E120+PROP!E120+RATES!E120+THALL!E120+FIN!E120+SOCIAL!E121+CEMETERY!E120+LIBRARIES!E120+HOUSING!E120+TRAFFIC!E120+PARKS!E120+REFUSE!E120+SEWAGE!E120+PWORKS!E120+WATER!E120+ELECTRIC!E120</f>
        <v>80000</v>
      </c>
      <c r="D120" s="435">
        <v>80000</v>
      </c>
      <c r="E120" s="435">
        <f>+COUNCIL!G120+MAYOR!G121+SPEAKER!G120+MM!G120+CORP!G120+PROP!G120+RATES!G120+THALL!G120+FIN!G120+SOCIAL!G121+CEMETERY!G120+LIBRARIES!G120+HOUSING!G120+TRAFFIC!G120+PARKS!G120+REFUSE!G120+SEWAGE!G120+PWORKS!G120+WATER!G120+ELECTRIC!G120</f>
        <v>0</v>
      </c>
      <c r="F120" s="435">
        <f>+COUNCIL!H120+MAYOR!H121+SPEAKER!H120+MM!H120+CORP!H120+PROP!H120+RATES!H120+THALL!H120+FIN!H120+SOCIAL!H121+CEMETERY!H120+LIBRARIES!H120+HOUSING!H120+TRAFFIC!H120+PARKS!H120+REFUSE!H120+SEWAGE!H120+PWORKS!H120+WATER!H120+ELECTRIC!H120</f>
        <v>0</v>
      </c>
      <c r="G120" s="435">
        <f>+COUNCIL!I120+MAYOR!I121+SPEAKER!I120+MM!I120+CORP!I120+PROP!I120+RATES!I120+THALL!I120+FIN!I120+SOCIAL!I121+CEMETERY!I120+LIBRARIES!I120+HOUSING!I120+TRAFFIC!I120+PARKS!I120+REFUSE!I120+SEWAGE!I120+PWORKS!I120+WATER!I120+ELECTRIC!I120</f>
        <v>0</v>
      </c>
    </row>
    <row r="121" spans="1:7" s="285" customFormat="1" x14ac:dyDescent="0.25">
      <c r="A121" s="94" t="s">
        <v>307</v>
      </c>
      <c r="B121" s="435">
        <f>+COUNCIL!D121+MAYOR!D122+SPEAKER!D121+MM!D121+CORP!D121+PROP!D121+RATES!D121+THALL!D121+FIN!D121+SOCIAL!D122+CEMETERY!D121+LIBRARIES!D121+HOUSING!D121+TRAFFIC!D121+PARKS!D121+REFUSE!D121+SEWAGE!D121+PWORKS!D121+WATER!D121+ELECTRIC!D121</f>
        <v>183228</v>
      </c>
      <c r="C121" s="435">
        <f>+COUNCIL!E121+MAYOR!E122+SPEAKER!E121+MM!E121+CORP!E121+PROP!E121+RATES!E121+THALL!E121+FIN!E121+SOCIAL!E122+CEMETERY!E121+LIBRARIES!E121+HOUSING!E121+TRAFFIC!E121+PARKS!E121+REFUSE!E121+SEWAGE!E121+PWORKS!E121+WATER!E121+ELECTRIC!E121</f>
        <v>1136427.5549999999</v>
      </c>
      <c r="D121" s="435">
        <v>938307</v>
      </c>
      <c r="E121" s="435">
        <f>+COUNCIL!G121+MAYOR!G122+SPEAKER!G121+MM!G121+CORP!G121+PROP!G121+RATES!G121+THALL!G121+FIN!G121+SOCIAL!G122+CEMETERY!G121+LIBRARIES!G121+HOUSING!G121+TRAFFIC!G121+PARKS!G121+REFUSE!G121+SEWAGE!G121+PWORKS!G121+WATER!G121+ELECTRIC!G121</f>
        <v>202248</v>
      </c>
      <c r="F121" s="435">
        <f>+COUNCIL!H121+MAYOR!H122+SPEAKER!H121+MM!H121+CORP!H121+PROP!H121+RATES!H121+THALL!H121+FIN!H121+SOCIAL!H122+CEMETERY!H121+LIBRARIES!H121+HOUSING!H121+TRAFFIC!H121+PARKS!H121+REFUSE!H121+SEWAGE!H121+PWORKS!H121+WATER!H121+ELECTRIC!H121</f>
        <v>222500</v>
      </c>
      <c r="G121" s="435">
        <f>+COUNCIL!I121+MAYOR!I122+SPEAKER!I121+MM!I121+CORP!I121+PROP!I121+RATES!I121+THALL!I121+FIN!I121+SOCIAL!I122+CEMETERY!I121+LIBRARIES!I121+HOUSING!I121+TRAFFIC!I121+PARKS!I121+REFUSE!I121+SEWAGE!I121+PWORKS!I121+WATER!I121+ELECTRIC!I121</f>
        <v>244500</v>
      </c>
    </row>
    <row r="122" spans="1:7" s="285" customFormat="1" x14ac:dyDescent="0.25">
      <c r="A122" s="94" t="s">
        <v>308</v>
      </c>
      <c r="B122" s="435">
        <f>+COUNCIL!D122+MAYOR!D123+SPEAKER!D122+MM!D122+CORP!D122+PROP!D122+RATES!D122+THALL!D122+FIN!D122+SOCIAL!D123+CEMETERY!D122+LIBRARIES!D122+HOUSING!D122+TRAFFIC!D122+PARKS!D122+REFUSE!D122+SEWAGE!D122+PWORKS!D122+WATER!D122+ELECTRIC!D122</f>
        <v>58767</v>
      </c>
      <c r="C122" s="435">
        <f>+COUNCIL!E122+MAYOR!E123+SPEAKER!E122+MM!E122+CORP!E122+PROP!E122+RATES!E122+THALL!E122+FIN!E122+SOCIAL!E123+CEMETERY!E122+LIBRARIES!E122+HOUSING!E122+TRAFFIC!E122+PARKS!E122+REFUSE!E122+SEWAGE!E122+PWORKS!E122+WATER!E122+ELECTRIC!E122</f>
        <v>120766</v>
      </c>
      <c r="D122" s="435">
        <v>124892.55499999999</v>
      </c>
      <c r="E122" s="435">
        <f>+COUNCIL!G122+MAYOR!G123+SPEAKER!G122+MM!G122+CORP!G122+PROP!G122+RATES!G122+THALL!G122+FIN!G122+SOCIAL!G123+CEMETERY!G122+LIBRARIES!G122+HOUSING!G122+TRAFFIC!G122+PARKS!G122+REFUSE!G122+SEWAGE!G122+PWORKS!G122+WATER!G122+ELECTRIC!G122</f>
        <v>126842.6</v>
      </c>
      <c r="F122" s="435">
        <f>+COUNCIL!H122+MAYOR!H123+SPEAKER!H122+MM!H122+CORP!H122+PROP!H122+RATES!H122+THALL!H122+FIN!H122+SOCIAL!H123+CEMETERY!H122+LIBRARIES!H122+HOUSING!H122+TRAFFIC!H122+PARKS!H122+REFUSE!H122+SEWAGE!H122+PWORKS!H122+WATER!H122+ELECTRIC!H122</f>
        <v>122726.86</v>
      </c>
      <c r="G122" s="435">
        <f>+COUNCIL!I122+MAYOR!I123+SPEAKER!I122+MM!I122+CORP!I122+PROP!I122+RATES!I122+THALL!I122+FIN!I122+SOCIAL!I123+CEMETERY!I122+LIBRARIES!I122+HOUSING!I122+TRAFFIC!I122+PARKS!I122+REFUSE!I122+SEWAGE!I122+PWORKS!I122+WATER!I122+ELECTRIC!I122</f>
        <v>134819.546</v>
      </c>
    </row>
    <row r="123" spans="1:7" s="285" customFormat="1" x14ac:dyDescent="0.25">
      <c r="A123" s="94" t="s">
        <v>309</v>
      </c>
      <c r="B123" s="435">
        <f>+COUNCIL!D123+MAYOR!D124+SPEAKER!D123+MM!D123+CORP!D123+PROP!D123+RATES!D123+THALL!D123+FIN!D123+SOCIAL!D124+CEMETERY!D123+LIBRARIES!D123+HOUSING!D123+TRAFFIC!D123+PARKS!D123+REFUSE!D123+SEWAGE!D123+PWORKS!D123+WATER!D123+ELECTRIC!D123</f>
        <v>467163</v>
      </c>
      <c r="C123" s="435">
        <f>+COUNCIL!E123+MAYOR!E124+SPEAKER!E123+MM!E123+CORP!E123+PROP!E123+RATES!E123+THALL!E123+FIN!E123+SOCIAL!E124+CEMETERY!E123+LIBRARIES!E123+HOUSING!E123+TRAFFIC!E123+PARKS!E123+REFUSE!E123+SEWAGE!E123+PWORKS!E123+WATER!E123+ELECTRIC!E123</f>
        <v>437825</v>
      </c>
      <c r="D123" s="435">
        <v>907825</v>
      </c>
      <c r="E123" s="435">
        <f>+COUNCIL!G123+MAYOR!G124+SPEAKER!G123+MM!G123+CORP!G123+PROP!G123+RATES!G123+THALL!G123+FIN!G123+SOCIAL!G124+CEMETERY!G123+LIBRARIES!G123+HOUSING!G123+TRAFFIC!G123+PARKS!G123+REFUSE!G123+SEWAGE!G123+PWORKS!G123+WATER!G123+ELECTRIC!G123</f>
        <v>500000</v>
      </c>
      <c r="F123" s="435">
        <f>+COUNCIL!H123+MAYOR!H124+SPEAKER!H123+MM!H123+CORP!H123+PROP!H123+RATES!H123+THALL!H123+FIN!H123+SOCIAL!H124+CEMETERY!H123+LIBRARIES!H123+HOUSING!H123+TRAFFIC!H123+PARKS!H123+REFUSE!H123+SEWAGE!H123+PWORKS!H123+WATER!H123+ELECTRIC!H123</f>
        <v>550000</v>
      </c>
      <c r="G123" s="435">
        <f>+COUNCIL!I123+MAYOR!I124+SPEAKER!I123+MM!I123+CORP!I123+PROP!I123+RATES!I123+THALL!I123+FIN!I123+SOCIAL!I124+CEMETERY!I123+LIBRARIES!I123+HOUSING!I123+TRAFFIC!I123+PARKS!I123+REFUSE!I123+SEWAGE!I123+PWORKS!I123+WATER!I123+ELECTRIC!I123</f>
        <v>605000</v>
      </c>
    </row>
    <row r="124" spans="1:7" s="285" customFormat="1" x14ac:dyDescent="0.25">
      <c r="A124" s="94" t="s">
        <v>310</v>
      </c>
      <c r="B124" s="435">
        <f>+COUNCIL!D124+MAYOR!D125+SPEAKER!D124+MM!D124+CORP!D124+PROP!D124+RATES!D124+THALL!D124+FIN!D124+SOCIAL!D125+CEMETERY!D124+LIBRARIES!D124+HOUSING!D124+TRAFFIC!D124+PARKS!D124+REFUSE!D124+SEWAGE!D124+PWORKS!D124+WATER!D124+ELECTRIC!D124</f>
        <v>0</v>
      </c>
      <c r="C124" s="435">
        <f>+COUNCIL!E124+MAYOR!E125+SPEAKER!E124+MM!E124+CORP!E124+PROP!E124+RATES!E124+THALL!E124+FIN!E124+SOCIAL!E125+CEMETERY!E124+LIBRARIES!E124+HOUSING!E124+TRAFFIC!E124+PARKS!E124+REFUSE!E124+SEWAGE!E124+PWORKS!E124+WATER!E124+ELECTRIC!E124</f>
        <v>0</v>
      </c>
      <c r="D124" s="435">
        <v>0</v>
      </c>
      <c r="E124" s="435">
        <f>+COUNCIL!G124+MAYOR!G125+SPEAKER!G124+MM!G124+CORP!G124+PROP!G124+RATES!G124+THALL!G124+FIN!G124+SOCIAL!G125+CEMETERY!G124+LIBRARIES!G124+HOUSING!G124+TRAFFIC!G124+PARKS!G124+REFUSE!G124+SEWAGE!G124+PWORKS!G124+WATER!G124+ELECTRIC!G124</f>
        <v>0</v>
      </c>
      <c r="F124" s="435">
        <f>+COUNCIL!H124+MAYOR!H125+SPEAKER!H124+MM!H124+CORP!H124+PROP!H124+RATES!H124+THALL!H124+FIN!H124+SOCIAL!H125+CEMETERY!H124+LIBRARIES!H124+HOUSING!H124+TRAFFIC!H124+PARKS!H124+REFUSE!H124+SEWAGE!H124+PWORKS!H124+WATER!H124+ELECTRIC!H124</f>
        <v>0</v>
      </c>
      <c r="G124" s="435">
        <f>+COUNCIL!I124+MAYOR!I125+SPEAKER!I124+MM!I124+CORP!I124+PROP!I124+RATES!I124+THALL!I124+FIN!I124+SOCIAL!I125+CEMETERY!I124+LIBRARIES!I124+HOUSING!I124+TRAFFIC!I124+PARKS!I124+REFUSE!I124+SEWAGE!I124+PWORKS!I124+WATER!I124+ELECTRIC!I124</f>
        <v>0</v>
      </c>
    </row>
    <row r="125" spans="1:7" s="285" customFormat="1" x14ac:dyDescent="0.25">
      <c r="A125" s="94" t="s">
        <v>311</v>
      </c>
      <c r="B125" s="435">
        <f>+COUNCIL!D125+MAYOR!D126+SPEAKER!D125+MM!D125+CORP!D125+PROP!D125+RATES!D125+THALL!D125+FIN!D125+SOCIAL!D126+CEMETERY!D125+LIBRARIES!D125+HOUSING!D125+TRAFFIC!D125+PARKS!D125+REFUSE!D125+SEWAGE!D125+PWORKS!D125+WATER!D125+ELECTRIC!D125</f>
        <v>7263</v>
      </c>
      <c r="C125" s="435">
        <f>+COUNCIL!E125+MAYOR!E126+SPEAKER!E125+MM!E125+CORP!E125+PROP!E125+RATES!E125+THALL!E125+FIN!E125+SOCIAL!E126+CEMETERY!E125+LIBRARIES!E125+HOUSING!E125+TRAFFIC!E125+PARKS!E125+REFUSE!E125+SEWAGE!E125+PWORKS!E125+WATER!E125+ELECTRIC!E125</f>
        <v>97646</v>
      </c>
      <c r="D125" s="435">
        <v>111646</v>
      </c>
      <c r="E125" s="435">
        <f>+COUNCIL!G125+MAYOR!G126+SPEAKER!G125+MM!G125+CORP!G125+PROP!G125+RATES!G125+THALL!G125+FIN!G125+SOCIAL!G126+CEMETERY!G125+LIBRARIES!G125+HOUSING!G125+TRAFFIC!G125+PARKS!G125+REFUSE!G125+SEWAGE!G125+PWORKS!G125+WATER!G125+ELECTRIC!G125</f>
        <v>100000</v>
      </c>
      <c r="F125" s="435">
        <f>+COUNCIL!H125+MAYOR!H126+SPEAKER!H125+MM!H125+CORP!H125+PROP!H125+RATES!H125+THALL!H125+FIN!H125+SOCIAL!H126+CEMETERY!H125+LIBRARIES!H125+HOUSING!H125+TRAFFIC!H125+PARKS!H125+REFUSE!H125+SEWAGE!H125+PWORKS!H125+WATER!H125+ELECTRIC!H125</f>
        <v>110000</v>
      </c>
      <c r="G125" s="435">
        <f>+COUNCIL!I125+MAYOR!I126+SPEAKER!I125+MM!I125+CORP!I125+PROP!I125+RATES!I125+THALL!I125+FIN!I125+SOCIAL!I126+CEMETERY!I125+LIBRARIES!I125+HOUSING!I125+TRAFFIC!I125+PARKS!I125+REFUSE!I125+SEWAGE!I125+PWORKS!I125+WATER!I125+ELECTRIC!I125</f>
        <v>121000</v>
      </c>
    </row>
    <row r="126" spans="1:7" s="285" customFormat="1" x14ac:dyDescent="0.25">
      <c r="A126" s="94" t="s">
        <v>312</v>
      </c>
      <c r="B126" s="435">
        <f>+COUNCIL!D126+MAYOR!D127+SPEAKER!D126+MM!D126+CORP!D126+PROP!D126+RATES!D126+THALL!D126+FIN!D126+SOCIAL!D127+CEMETERY!D126+LIBRARIES!D126+HOUSING!D126+TRAFFIC!D126+PARKS!D126+REFUSE!D126+SEWAGE!D126+PWORKS!D126+WATER!D126+ELECTRIC!D126</f>
        <v>0</v>
      </c>
      <c r="C126" s="435">
        <f>+COUNCIL!E126+MAYOR!E127+SPEAKER!E126+MM!E126+CORP!E126+PROP!E126+RATES!E126+THALL!E126+FIN!E126+SOCIAL!E127+CEMETERY!E126+LIBRARIES!E126+HOUSING!E126+TRAFFIC!E126+PARKS!E126+REFUSE!E126+SEWAGE!E126+PWORKS!E126+WATER!E126+ELECTRIC!E126</f>
        <v>338307</v>
      </c>
      <c r="D126" s="435">
        <v>338307</v>
      </c>
      <c r="E126" s="435">
        <f>+COUNCIL!G126+MAYOR!G127+SPEAKER!G126+MM!G126+CORP!G126+PROP!G126+RATES!G126+THALL!G126+FIN!G126+SOCIAL!G127+CEMETERY!G126+LIBRARIES!G126+HOUSING!G126+TRAFFIC!G126+PARKS!G126+REFUSE!G126+SEWAGE!G126+PWORKS!G126+WATER!G126+ELECTRIC!G126</f>
        <v>0</v>
      </c>
      <c r="F126" s="435">
        <f>+COUNCIL!H126+MAYOR!H127+SPEAKER!H126+MM!H126+CORP!H126+PROP!H126+RATES!H126+THALL!H126+FIN!H126+SOCIAL!H127+CEMETERY!H126+LIBRARIES!H126+HOUSING!H126+TRAFFIC!H126+PARKS!H126+REFUSE!H126+SEWAGE!H126+PWORKS!H126+WATER!H126+ELECTRIC!H126</f>
        <v>0</v>
      </c>
      <c r="G126" s="435">
        <f>+COUNCIL!I126+MAYOR!I127+SPEAKER!I126+MM!I126+CORP!I126+PROP!I126+RATES!I126+THALL!I126+FIN!I126+SOCIAL!I127+CEMETERY!I126+LIBRARIES!I126+HOUSING!I126+TRAFFIC!I126+PARKS!I126+REFUSE!I126+SEWAGE!I126+PWORKS!I126+WATER!I126+ELECTRIC!I126</f>
        <v>0</v>
      </c>
    </row>
    <row r="127" spans="1:7" s="285" customFormat="1" x14ac:dyDescent="0.25">
      <c r="A127" s="94" t="s">
        <v>313</v>
      </c>
      <c r="B127" s="435">
        <f>+COUNCIL!D127+MAYOR!D128+SPEAKER!D127+MM!D127+CORP!D127+PROP!D127+RATES!D127+THALL!D127+FIN!D127+SOCIAL!D128+CEMETERY!D127+LIBRARIES!D127+HOUSING!D127+TRAFFIC!D127+PARKS!D127+REFUSE!D127+SEWAGE!D127+PWORKS!D127+WATER!D127+ELECTRIC!D127</f>
        <v>0</v>
      </c>
      <c r="C127" s="435">
        <f>+COUNCIL!E127+MAYOR!E128+SPEAKER!E127+MM!E127+CORP!E127+PROP!E127+RATES!E127+THALL!E127+FIN!E127+SOCIAL!E128+CEMETERY!E127+LIBRARIES!E127+HOUSING!E127+TRAFFIC!E127+PARKS!E127+REFUSE!E127+SEWAGE!E127+PWORKS!E127+WATER!E127+ELECTRIC!E127</f>
        <v>0</v>
      </c>
      <c r="D127" s="435">
        <v>0</v>
      </c>
      <c r="E127" s="435">
        <f>+COUNCIL!G127+MAYOR!G128+SPEAKER!G127+MM!G127+CORP!G127+PROP!G127+RATES!G127+THALL!G127+FIN!G127+SOCIAL!G128+CEMETERY!G127+LIBRARIES!G127+HOUSING!G127+TRAFFIC!G127+PARKS!G127+REFUSE!G127+SEWAGE!G127+PWORKS!G127+WATER!G127+ELECTRIC!G127</f>
        <v>0</v>
      </c>
      <c r="F127" s="435">
        <f>+COUNCIL!H127+MAYOR!H128+SPEAKER!H127+MM!H127+CORP!H127+PROP!H127+RATES!H127+THALL!H127+FIN!H127+SOCIAL!H128+CEMETERY!H127+LIBRARIES!H127+HOUSING!H127+TRAFFIC!H127+PARKS!H127+REFUSE!H127+SEWAGE!H127+PWORKS!H127+WATER!H127+ELECTRIC!H127</f>
        <v>0</v>
      </c>
      <c r="G127" s="435">
        <f>+COUNCIL!I127+MAYOR!I128+SPEAKER!I127+MM!I127+CORP!I127+PROP!I127+RATES!I127+THALL!I127+FIN!I127+SOCIAL!I128+CEMETERY!I127+LIBRARIES!I127+HOUSING!I127+TRAFFIC!I127+PARKS!I127+REFUSE!I127+SEWAGE!I127+PWORKS!I127+WATER!I127+ELECTRIC!I127</f>
        <v>0</v>
      </c>
    </row>
    <row r="128" spans="1:7" s="285" customFormat="1" x14ac:dyDescent="0.25">
      <c r="A128" s="94" t="s">
        <v>314</v>
      </c>
      <c r="B128" s="435">
        <f>+COUNCIL!D128+MAYOR!D129+SPEAKER!D128+MM!D128+CORP!D128+PROP!D128+RATES!D128+THALL!D128+FIN!D128+SOCIAL!D129+CEMETERY!D128+LIBRARIES!D128+HOUSING!D128+TRAFFIC!D128+PARKS!D128+REFUSE!D128+SEWAGE!D128+PWORKS!D128+WATER!D128+ELECTRIC!D128</f>
        <v>0</v>
      </c>
      <c r="C128" s="435">
        <f>+COUNCIL!E128+MAYOR!E129+SPEAKER!E128+MM!E128+CORP!E128+PROP!E128+RATES!E128+THALL!E128+FIN!E128+SOCIAL!E129+CEMETERY!E128+LIBRARIES!E128+HOUSING!E128+TRAFFIC!E128+PARKS!E128+REFUSE!E128+SEWAGE!E128+PWORKS!E128+WATER!E128+ELECTRIC!E128</f>
        <v>0</v>
      </c>
      <c r="D128" s="435">
        <v>0</v>
      </c>
      <c r="E128" s="435">
        <f>+COUNCIL!G128+MAYOR!G129+SPEAKER!G128+MM!G128+CORP!G128+PROP!G128+RATES!G128+THALL!G128+FIN!G128+SOCIAL!G129+CEMETERY!G128+LIBRARIES!G128+HOUSING!G128+TRAFFIC!G128+PARKS!G128+REFUSE!G128+SEWAGE!G128+PWORKS!G128+WATER!G128+ELECTRIC!G128</f>
        <v>0</v>
      </c>
      <c r="F128" s="435">
        <f>+COUNCIL!H128+MAYOR!H129+SPEAKER!H128+MM!H128+CORP!H128+PROP!H128+RATES!H128+THALL!H128+FIN!H128+SOCIAL!H129+CEMETERY!H128+LIBRARIES!H128+HOUSING!H128+TRAFFIC!H128+PARKS!H128+REFUSE!H128+SEWAGE!H128+PWORKS!H128+WATER!H128+ELECTRIC!H128</f>
        <v>0</v>
      </c>
      <c r="G128" s="435">
        <f>+COUNCIL!I128+MAYOR!I129+SPEAKER!I128+MM!I128+CORP!I128+PROP!I128+RATES!I128+THALL!I128+FIN!I128+SOCIAL!I129+CEMETERY!I128+LIBRARIES!I128+HOUSING!I128+TRAFFIC!I128+PARKS!I128+REFUSE!I128+SEWAGE!I128+PWORKS!I128+WATER!I128+ELECTRIC!I128</f>
        <v>0</v>
      </c>
    </row>
    <row r="129" spans="1:7" s="285" customFormat="1" x14ac:dyDescent="0.25">
      <c r="A129" s="94" t="s">
        <v>315</v>
      </c>
      <c r="B129" s="435">
        <f>+COUNCIL!D129+MAYOR!D130+SPEAKER!D129+MM!D129+CORP!D129+PROP!D129+RATES!D129+THALL!D129+FIN!D129+SOCIAL!D130+CEMETERY!D129+LIBRARIES!D129+HOUSING!D129+TRAFFIC!D129+PARKS!D129+REFUSE!D129+SEWAGE!D129+PWORKS!D129+WATER!D129+ELECTRIC!D129</f>
        <v>0</v>
      </c>
      <c r="C129" s="435">
        <f>+COUNCIL!E129+MAYOR!E130+SPEAKER!E129+MM!E129+CORP!E129+PROP!E129+RATES!E129+THALL!E129+FIN!E129+SOCIAL!E130+CEMETERY!E129+LIBRARIES!E129+HOUSING!E129+TRAFFIC!E129+PARKS!E129+REFUSE!E129+SEWAGE!E129+PWORKS!E129+WATER!E129+ELECTRIC!E129</f>
        <v>0</v>
      </c>
      <c r="D129" s="435">
        <v>0</v>
      </c>
      <c r="E129" s="435">
        <f>+COUNCIL!G129+MAYOR!G130+SPEAKER!G129+MM!G129+CORP!G129+PROP!G129+RATES!G129+THALL!G129+FIN!G129+SOCIAL!G130+CEMETERY!G129+LIBRARIES!G129+HOUSING!G129+TRAFFIC!G129+PARKS!G129+REFUSE!G129+SEWAGE!G129+PWORKS!G129+WATER!G129+ELECTRIC!G129</f>
        <v>0</v>
      </c>
      <c r="F129" s="435">
        <f>+COUNCIL!H129+MAYOR!H130+SPEAKER!H129+MM!H129+CORP!H129+PROP!H129+RATES!H129+THALL!H129+FIN!H129+SOCIAL!H130+CEMETERY!H129+LIBRARIES!H129+HOUSING!H129+TRAFFIC!H129+PARKS!H129+REFUSE!H129+SEWAGE!H129+PWORKS!H129+WATER!H129+ELECTRIC!H129</f>
        <v>0</v>
      </c>
      <c r="G129" s="435">
        <f>+COUNCIL!I129+MAYOR!I130+SPEAKER!I129+MM!I129+CORP!I129+PROP!I129+RATES!I129+THALL!I129+FIN!I129+SOCIAL!I130+CEMETERY!I129+LIBRARIES!I129+HOUSING!I129+TRAFFIC!I129+PARKS!I129+REFUSE!I129+SEWAGE!I129+PWORKS!I129+WATER!I129+ELECTRIC!I129</f>
        <v>0</v>
      </c>
    </row>
    <row r="130" spans="1:7" s="285" customFormat="1" x14ac:dyDescent="0.25">
      <c r="A130" s="94" t="s">
        <v>316</v>
      </c>
      <c r="B130" s="435">
        <f>+COUNCIL!D130+MAYOR!D131+SPEAKER!D130+MM!D130+CORP!D130+PROP!D130+RATES!D130+THALL!D130+FIN!D130+SOCIAL!D131+CEMETERY!D130+LIBRARIES!D130+HOUSING!D130+TRAFFIC!D130+PARKS!D130+REFUSE!D130+SEWAGE!D130+PWORKS!D130+WATER!D130+ELECTRIC!D130</f>
        <v>0</v>
      </c>
      <c r="C130" s="435">
        <f>+COUNCIL!E130+MAYOR!E131+SPEAKER!E130+MM!E130+CORP!E130+PROP!E130+RATES!E130+THALL!E130+FIN!E130+SOCIAL!E131+CEMETERY!E130+LIBRARIES!E130+HOUSING!E130+TRAFFIC!E130+PARKS!E130+REFUSE!E130+SEWAGE!E130+PWORKS!E130+WATER!E130+ELECTRIC!E130</f>
        <v>0</v>
      </c>
      <c r="D130" s="435">
        <v>0</v>
      </c>
      <c r="E130" s="435">
        <f>+COUNCIL!G130+MAYOR!G131+SPEAKER!G130+MM!G130+CORP!G130+PROP!G130+RATES!G130+THALL!G130+FIN!G130+SOCIAL!G131+CEMETERY!G130+LIBRARIES!G130+HOUSING!G130+TRAFFIC!G130+PARKS!G130+REFUSE!G130+SEWAGE!G130+PWORKS!G130+WATER!G130+ELECTRIC!G130</f>
        <v>0</v>
      </c>
      <c r="F130" s="435">
        <f>+COUNCIL!H130+MAYOR!H131+SPEAKER!H130+MM!H130+CORP!H130+PROP!H130+RATES!H130+THALL!H130+FIN!H130+SOCIAL!H131+CEMETERY!H130+LIBRARIES!H130+HOUSING!H130+TRAFFIC!H130+PARKS!H130+REFUSE!H130+SEWAGE!H130+PWORKS!H130+WATER!H130+ELECTRIC!H130</f>
        <v>0</v>
      </c>
      <c r="G130" s="435">
        <f>+COUNCIL!I130+MAYOR!I131+SPEAKER!I130+MM!I130+CORP!I130+PROP!I130+RATES!I130+THALL!I130+FIN!I130+SOCIAL!I131+CEMETERY!I130+LIBRARIES!I130+HOUSING!I130+TRAFFIC!I130+PARKS!I130+REFUSE!I130+SEWAGE!I130+PWORKS!I130+WATER!I130+ELECTRIC!I130</f>
        <v>0</v>
      </c>
    </row>
    <row r="131" spans="1:7" s="285" customFormat="1" x14ac:dyDescent="0.25">
      <c r="A131" s="94" t="s">
        <v>99</v>
      </c>
      <c r="B131" s="435">
        <f>+COUNCIL!D131+MAYOR!D132+SPEAKER!D131+MM!D131+CORP!D131+PROP!D131+RATES!D131+THALL!D131+FIN!D131+SOCIAL!D132+CEMETERY!D131+LIBRARIES!D131+HOUSING!D131+TRAFFIC!D131+PARKS!D131+REFUSE!D131+SEWAGE!D131+PWORKS!D131+WATER!D131+ELECTRIC!D131</f>
        <v>0</v>
      </c>
      <c r="C131" s="435">
        <f>+COUNCIL!E131+MAYOR!E132+SPEAKER!E131+MM!E131+CORP!E131+PROP!E131+RATES!E131+THALL!E131+FIN!E131+SOCIAL!E132+CEMETERY!E131+LIBRARIES!E131+HOUSING!E131+TRAFFIC!E131+PARKS!E131+REFUSE!E131+SEWAGE!E131+PWORKS!E131+WATER!E131+ELECTRIC!E131</f>
        <v>0</v>
      </c>
      <c r="D131" s="435">
        <v>0</v>
      </c>
      <c r="E131" s="435">
        <f>+COUNCIL!G131+MAYOR!G132+SPEAKER!G131+MM!G131+CORP!G131+PROP!G131+RATES!G131+THALL!G131+FIN!G131+SOCIAL!G132+CEMETERY!G131+LIBRARIES!G131+HOUSING!G131+TRAFFIC!G131+PARKS!G131+REFUSE!G131+SEWAGE!G131+PWORKS!G131+WATER!G131+ELECTRIC!G131</f>
        <v>0</v>
      </c>
      <c r="F131" s="435">
        <f>+COUNCIL!H131+MAYOR!H132+SPEAKER!H131+MM!H131+CORP!H131+PROP!H131+RATES!H131+THALL!H131+FIN!H131+SOCIAL!H132+CEMETERY!H131+LIBRARIES!H131+HOUSING!H131+TRAFFIC!H131+PARKS!H131+REFUSE!H131+SEWAGE!H131+PWORKS!H131+WATER!H131+ELECTRIC!H131</f>
        <v>0</v>
      </c>
      <c r="G131" s="435">
        <f>+COUNCIL!I131+MAYOR!I132+SPEAKER!I131+MM!I131+CORP!I131+PROP!I131+RATES!I131+THALL!I131+FIN!I131+SOCIAL!I132+CEMETERY!I131+LIBRARIES!I131+HOUSING!I131+TRAFFIC!I131+PARKS!I131+REFUSE!I131+SEWAGE!I131+PWORKS!I131+WATER!I131+ELECTRIC!I131</f>
        <v>0</v>
      </c>
    </row>
    <row r="132" spans="1:7" s="285" customFormat="1" x14ac:dyDescent="0.25">
      <c r="A132" s="94" t="s">
        <v>114</v>
      </c>
      <c r="B132" s="435">
        <f>+COUNCIL!D132+MAYOR!D133+SPEAKER!D132+MM!D132+CORP!D132+PROP!D132+RATES!D132+THALL!D132+FIN!D132+SOCIAL!D133+CEMETERY!D132+LIBRARIES!D132+HOUSING!D132+TRAFFIC!D132+PARKS!D132+REFUSE!D132+SEWAGE!D132+PWORKS!D132+WATER!D132+ELECTRIC!D132</f>
        <v>0</v>
      </c>
      <c r="C132" s="435">
        <f>+COUNCIL!E132+MAYOR!E133+SPEAKER!E132+MM!E132+CORP!E132+PROP!E132+RATES!E132+THALL!E132+FIN!E132+SOCIAL!E133+CEMETERY!E132+LIBRARIES!E132+HOUSING!E132+TRAFFIC!E132+PARKS!E132+REFUSE!E132+SEWAGE!E132+PWORKS!E132+WATER!E132+ELECTRIC!E132</f>
        <v>0</v>
      </c>
      <c r="D132" s="435">
        <v>0</v>
      </c>
      <c r="E132" s="435">
        <f>+COUNCIL!G132+MAYOR!G133+SPEAKER!G132+MM!G132+CORP!G132+PROP!G132+RATES!G132+THALL!G132+FIN!G132+SOCIAL!G133+CEMETERY!G132+LIBRARIES!G132+HOUSING!G132+TRAFFIC!G132+PARKS!G132+REFUSE!G132+SEWAGE!G132+PWORKS!G132+WATER!G132+ELECTRIC!G132</f>
        <v>0</v>
      </c>
      <c r="F132" s="435">
        <f>+COUNCIL!H132+MAYOR!H133+SPEAKER!H132+MM!H132+CORP!H132+PROP!H132+RATES!H132+THALL!H132+FIN!H132+SOCIAL!H133+CEMETERY!H132+LIBRARIES!H132+HOUSING!H132+TRAFFIC!H132+PARKS!H132+REFUSE!H132+SEWAGE!H132+PWORKS!H132+WATER!H132+ELECTRIC!H132</f>
        <v>0</v>
      </c>
      <c r="G132" s="435">
        <f>+COUNCIL!I132+MAYOR!I133+SPEAKER!I132+MM!I132+CORP!I132+PROP!I132+RATES!I132+THALL!I132+FIN!I132+SOCIAL!I133+CEMETERY!I132+LIBRARIES!I132+HOUSING!I132+TRAFFIC!I132+PARKS!I132+REFUSE!I132+SEWAGE!I132+PWORKS!I132+WATER!I132+ELECTRIC!I132</f>
        <v>0</v>
      </c>
    </row>
    <row r="133" spans="1:7" s="285" customFormat="1" x14ac:dyDescent="0.25">
      <c r="A133" s="94" t="s">
        <v>317</v>
      </c>
      <c r="B133" s="435">
        <f>+COUNCIL!D133+MAYOR!D134+SPEAKER!D133+MM!D133+CORP!D133+PROP!D133+RATES!D133+THALL!D133+FIN!D133+SOCIAL!D134+CEMETERY!D133+LIBRARIES!D133+HOUSING!D133+TRAFFIC!D133+PARKS!D133+REFUSE!D133+SEWAGE!D133+PWORKS!D133+WATER!D133+ELECTRIC!D133</f>
        <v>204744</v>
      </c>
      <c r="C133" s="435">
        <f>+COUNCIL!E133+MAYOR!E134+SPEAKER!E133+MM!E133+CORP!E133+PROP!E133+RATES!E133+THALL!E133+FIN!E133+SOCIAL!E134+CEMETERY!E133+LIBRARIES!E133+HOUSING!E133+TRAFFIC!E133+PARKS!E133+REFUSE!E133+SEWAGE!E133+PWORKS!E133+WATER!E133+ELECTRIC!E133</f>
        <v>610669.28321999998</v>
      </c>
      <c r="D133" s="435">
        <v>599891.28321999998</v>
      </c>
      <c r="E133" s="435">
        <f>+COUNCIL!G133+MAYOR!G134+SPEAKER!G133+MM!G133+CORP!G133+PROP!G133+RATES!G133+THALL!G133+FIN!G133+SOCIAL!G134+CEMETERY!G133+LIBRARIES!G133+HOUSING!G133+TRAFFIC!G133+PARKS!G133+REFUSE!G133+SEWAGE!G133+PWORKS!G133+WATER!G133+ELECTRIC!G133</f>
        <v>1348874.407042</v>
      </c>
      <c r="F133" s="435">
        <f>+COUNCIL!H133+MAYOR!H134+SPEAKER!H133+MM!H133+CORP!H133+PROP!H133+RATES!H133+THALL!H133+FIN!H133+SOCIAL!H134+CEMETERY!H133+LIBRARIES!H133+HOUSING!H133+TRAFFIC!H133+PARKS!H133+REFUSE!H133+SEWAGE!H133+PWORKS!H133+WATER!H133+ELECTRIC!H133</f>
        <v>1496121.8477461999</v>
      </c>
      <c r="G133" s="435">
        <f>+COUNCIL!I133+MAYOR!I134+SPEAKER!I133+MM!I133+CORP!I133+PROP!I133+RATES!I133+THALL!I133+FIN!I133+SOCIAL!I134+CEMETERY!I133+LIBRARIES!I133+HOUSING!I133+TRAFFIC!I133+PARKS!I133+REFUSE!I133+SEWAGE!I133+PWORKS!I133+WATER!I133+ELECTRIC!I133</f>
        <v>1635094.0325208197</v>
      </c>
    </row>
    <row r="134" spans="1:7" s="285" customFormat="1" x14ac:dyDescent="0.25">
      <c r="A134" s="94" t="s">
        <v>318</v>
      </c>
      <c r="B134" s="435">
        <f>+COUNCIL!D134+MAYOR!D135+SPEAKER!D134+MM!D134+CORP!D134+PROP!D134+RATES!D134+THALL!D134+FIN!D134+SOCIAL!D135+CEMETERY!D134+LIBRARIES!D134+HOUSING!D134+TRAFFIC!D134+PARKS!D134+REFUSE!D134+SEWAGE!D134+PWORKS!D134+WATER!D134+ELECTRIC!D134</f>
        <v>458751</v>
      </c>
      <c r="C134" s="435">
        <f>+COUNCIL!E134+MAYOR!E135+SPEAKER!E134+MM!E134+CORP!E134+PROP!E134+RATES!E134+THALL!E134+FIN!E134+SOCIAL!E135+CEMETERY!E134+LIBRARIES!E134+HOUSING!E134+TRAFFIC!E134+PARKS!E134+REFUSE!E134+SEWAGE!E134+PWORKS!E134+WATER!E134+ELECTRIC!E134</f>
        <v>195682</v>
      </c>
      <c r="D134" s="435">
        <v>1170182</v>
      </c>
      <c r="E134" s="435">
        <f>+COUNCIL!G134+MAYOR!G135+SPEAKER!G134+MM!G134+CORP!G134+PROP!G134+RATES!G134+THALL!G134+FIN!G134+SOCIAL!G135+CEMETERY!G134+LIBRARIES!G134+HOUSING!G134+TRAFFIC!G134+PARKS!G134+REFUSE!G134+SEWAGE!G134+PWORKS!G134+WATER!G134+ELECTRIC!G134</f>
        <v>255622.1</v>
      </c>
      <c r="F134" s="435">
        <f>+COUNCIL!H134+MAYOR!H135+SPEAKER!H134+MM!H134+CORP!H134+PROP!H134+RATES!H134+THALL!H134+FIN!H134+SOCIAL!H135+CEMETERY!H134+LIBRARIES!H134+HOUSING!H134+TRAFFIC!H134+PARKS!H134+REFUSE!H134+SEWAGE!H134+PWORKS!H134+WATER!H134+ELECTRIC!H134</f>
        <v>281184.31</v>
      </c>
      <c r="G134" s="435">
        <f>+COUNCIL!I134+MAYOR!I135+SPEAKER!I134+MM!I134+CORP!I134+PROP!I134+RATES!I134+THALL!I134+FIN!I134+SOCIAL!I135+CEMETERY!I134+LIBRARIES!I134+HOUSING!I134+TRAFFIC!I134+PARKS!I134+REFUSE!I134+SEWAGE!I134+PWORKS!I134+WATER!I134+ELECTRIC!I134</f>
        <v>309302.74099999998</v>
      </c>
    </row>
    <row r="135" spans="1:7" s="285" customFormat="1" x14ac:dyDescent="0.25">
      <c r="A135" s="94" t="s">
        <v>319</v>
      </c>
      <c r="B135" s="435">
        <f>+COUNCIL!D135+MAYOR!D136+SPEAKER!D135+MM!D135+CORP!D135+PROP!D135+RATES!D135+THALL!D135+FIN!D135+SOCIAL!D136+CEMETERY!D135+LIBRARIES!D135+HOUSING!D135+TRAFFIC!D135+PARKS!D135+REFUSE!D135+SEWAGE!D135+PWORKS!D135+WATER!D135+ELECTRIC!D135</f>
        <v>324747</v>
      </c>
      <c r="C135" s="435">
        <f>+COUNCIL!E135+MAYOR!E136+SPEAKER!E135+MM!E135+CORP!E135+PROP!E135+RATES!E135+THALL!E135+FIN!E135+SOCIAL!E136+CEMETERY!E135+LIBRARIES!E135+HOUSING!E135+TRAFFIC!E135+PARKS!E135+REFUSE!E135+SEWAGE!E135+PWORKS!E135+WATER!E135+ELECTRIC!E135</f>
        <v>437797.35</v>
      </c>
      <c r="D135" s="435">
        <v>362797.35</v>
      </c>
      <c r="E135" s="435">
        <f>+COUNCIL!G135+MAYOR!G136+SPEAKER!G135+MM!G135+CORP!G135+PROP!G135+RATES!G135+THALL!G135+FIN!G135+SOCIAL!G136+CEMETERY!G135+LIBRARIES!G135+HOUSING!G135+TRAFFIC!G135+PARKS!G135+REFUSE!G135+SEWAGE!G135+PWORKS!G135+WATER!G135+ELECTRIC!G135</f>
        <v>462734.08499999996</v>
      </c>
      <c r="F135" s="435">
        <f>+COUNCIL!H135+MAYOR!H136+SPEAKER!H135+MM!H135+CORP!H135+PROP!H135+RATES!H135+THALL!H135+FIN!H135+SOCIAL!H136+CEMETERY!H135+LIBRARIES!H135+HOUSING!H135+TRAFFIC!H135+PARKS!H135+REFUSE!H135+SEWAGE!H135+PWORKS!H135+WATER!H135+ELECTRIC!H135</f>
        <v>399007.49349999998</v>
      </c>
      <c r="G135" s="435">
        <f>+COUNCIL!I135+MAYOR!I136+SPEAKER!I135+MM!I135+CORP!I135+PROP!I135+RATES!I135+THALL!I135+FIN!I135+SOCIAL!I136+CEMETERY!I135+LIBRARIES!I135+HOUSING!I135+TRAFFIC!I135+PARKS!I135+REFUSE!I135+SEWAGE!I135+PWORKS!I135+WATER!I135+ELECTRIC!I135</f>
        <v>438908.24284999992</v>
      </c>
    </row>
    <row r="136" spans="1:7" s="285" customFormat="1" x14ac:dyDescent="0.25">
      <c r="A136" s="118" t="s">
        <v>332</v>
      </c>
      <c r="B136" s="435">
        <f>+COUNCIL!D136+MAYOR!D137+SPEAKER!D136+MM!D136+CORP!D136+PROP!D136+RATES!D136+THALL!D136+FIN!D136+SOCIAL!D137+CEMETERY!D136+LIBRARIES!D136+HOUSING!D136+TRAFFIC!D136+PARKS!D136+REFUSE!D136+SEWAGE!D136+PWORKS!D136+WATER!D136+ELECTRIC!D136</f>
        <v>0</v>
      </c>
      <c r="C136" s="435">
        <f>+COUNCIL!E136+MAYOR!E137+SPEAKER!E136+MM!E136+CORP!E136+PROP!E136+RATES!E136+THALL!E136+FIN!E136+SOCIAL!E137+CEMETERY!E136+LIBRARIES!E136+HOUSING!E136+TRAFFIC!E136+PARKS!E136+REFUSE!E136+SEWAGE!E136+PWORKS!E136+WATER!E136+ELECTRIC!E136</f>
        <v>0</v>
      </c>
      <c r="D136" s="435">
        <v>0</v>
      </c>
      <c r="E136" s="435">
        <f>+COUNCIL!G136+MAYOR!G137+SPEAKER!G136+MM!G136+CORP!G136+PROP!G136+RATES!G136+THALL!G136+FIN!G136+SOCIAL!G137+CEMETERY!G136+LIBRARIES!G136+HOUSING!G136+TRAFFIC!G136+PARKS!G136+REFUSE!G136+SEWAGE!G136+PWORKS!G136+WATER!G136+ELECTRIC!G136</f>
        <v>0</v>
      </c>
      <c r="F136" s="435">
        <f>+COUNCIL!H136+MAYOR!H137+SPEAKER!H136+MM!H136+CORP!H136+PROP!H136+RATES!H136+THALL!H136+FIN!H136+SOCIAL!H137+CEMETERY!H136+LIBRARIES!H136+HOUSING!H136+TRAFFIC!H136+PARKS!H136+REFUSE!H136+SEWAGE!H136+PWORKS!H136+WATER!H136+ELECTRIC!H136</f>
        <v>0</v>
      </c>
      <c r="G136" s="435">
        <f>+COUNCIL!I136+MAYOR!I137+SPEAKER!I136+MM!I136+CORP!I136+PROP!I136+RATES!I136+THALL!I136+FIN!I136+SOCIAL!I137+CEMETERY!I136+LIBRARIES!I136+HOUSING!I136+TRAFFIC!I136+PARKS!I136+REFUSE!I136+SEWAGE!I136+PWORKS!I136+WATER!I136+ELECTRIC!I136</f>
        <v>0</v>
      </c>
    </row>
    <row r="137" spans="1:7" s="285" customFormat="1" x14ac:dyDescent="0.25">
      <c r="A137" s="94" t="s">
        <v>320</v>
      </c>
      <c r="B137" s="435">
        <f>+COUNCIL!D137+MAYOR!D138+SPEAKER!D137+MM!D137+CORP!D137+PROP!D137+RATES!D137+THALL!D137+FIN!D137+SOCIAL!D138+CEMETERY!D137+LIBRARIES!D137+HOUSING!D137+TRAFFIC!D137+PARKS!D137+REFUSE!D137+SEWAGE!D137+PWORKS!D137+WATER!D137+ELECTRIC!D137</f>
        <v>94153</v>
      </c>
      <c r="C137" s="435">
        <f>+COUNCIL!E137+MAYOR!E138+SPEAKER!E137+MM!E137+CORP!E137+PROP!E137+RATES!E137+THALL!E137+FIN!E137+SOCIAL!E138+CEMETERY!E137+LIBRARIES!E137+HOUSING!E137+TRAFFIC!E137+PARKS!E137+REFUSE!E137+SEWAGE!E137+PWORKS!E137+WATER!E137+ELECTRIC!E137</f>
        <v>163979</v>
      </c>
      <c r="D137" s="435">
        <v>163979</v>
      </c>
      <c r="E137" s="435">
        <f>+COUNCIL!G137+MAYOR!G138+SPEAKER!G137+MM!G137+CORP!G137+PROP!G137+RATES!G137+THALL!G137+FIN!G137+SOCIAL!G138+CEMETERY!G137+LIBRARIES!G137+HOUSING!G137+TRAFFIC!G137+PARKS!G137+REFUSE!G137+SEWAGE!G137+PWORKS!G137+WATER!G137+ELECTRIC!G137</f>
        <v>200000</v>
      </c>
      <c r="F137" s="435">
        <f>+COUNCIL!H137+MAYOR!H138+SPEAKER!H137+MM!H137+CORP!H137+PROP!H137+RATES!H137+THALL!H137+FIN!H137+SOCIAL!H138+CEMETERY!H137+LIBRARIES!H137+HOUSING!H137+TRAFFIC!H137+PARKS!H137+REFUSE!H137+SEWAGE!H137+PWORKS!H137+WATER!H137+ELECTRIC!H137</f>
        <v>220000</v>
      </c>
      <c r="G137" s="435">
        <f>+COUNCIL!I137+MAYOR!I138+SPEAKER!I137+MM!I137+CORP!I137+PROP!I137+RATES!I137+THALL!I137+FIN!I137+SOCIAL!I138+CEMETERY!I137+LIBRARIES!I137+HOUSING!I137+TRAFFIC!I137+PARKS!I137+REFUSE!I137+SEWAGE!I137+PWORKS!I137+WATER!I137+ELECTRIC!I137</f>
        <v>242000</v>
      </c>
    </row>
    <row r="138" spans="1:7" s="285" customFormat="1" x14ac:dyDescent="0.25">
      <c r="A138" s="94" t="s">
        <v>321</v>
      </c>
      <c r="B138" s="435">
        <f>+COUNCIL!D138+MAYOR!D139+SPEAKER!D138+MM!D138+CORP!D138+PROP!D138+RATES!D138+THALL!D138+FIN!D138+SOCIAL!D139+CEMETERY!D138+LIBRARIES!D138+HOUSING!D138+TRAFFIC!D138+PARKS!D138+REFUSE!D138+SEWAGE!D138+PWORKS!D138+WATER!D138+ELECTRIC!D138</f>
        <v>0</v>
      </c>
      <c r="C138" s="435">
        <f>+COUNCIL!E138+MAYOR!E139+SPEAKER!E138+MM!E138+CORP!E138+PROP!E138+RATES!E138+THALL!E138+FIN!E138+SOCIAL!E139+CEMETERY!E138+LIBRARIES!E138+HOUSING!E138+TRAFFIC!E138+PARKS!E138+REFUSE!E138+SEWAGE!E138+PWORKS!E138+WATER!E138+ELECTRIC!E138</f>
        <v>0</v>
      </c>
      <c r="D138" s="435">
        <v>0</v>
      </c>
      <c r="E138" s="435">
        <f>+COUNCIL!G138+MAYOR!G139+SPEAKER!G138+MM!G138+CORP!G138+PROP!G138+RATES!G138+THALL!G138+FIN!G138+SOCIAL!G139+CEMETERY!G138+LIBRARIES!G138+HOUSING!G138+TRAFFIC!G138+PARKS!G138+REFUSE!G138+SEWAGE!G138+PWORKS!G138+WATER!G138+ELECTRIC!G138</f>
        <v>0</v>
      </c>
      <c r="F138" s="435">
        <f>+COUNCIL!H138+MAYOR!H139+SPEAKER!H138+MM!H138+CORP!H138+PROP!H138+RATES!H138+THALL!H138+FIN!H138+SOCIAL!H139+CEMETERY!H138+LIBRARIES!H138+HOUSING!H138+TRAFFIC!H138+PARKS!H138+REFUSE!H138+SEWAGE!H138+PWORKS!H138+WATER!H138+ELECTRIC!H138</f>
        <v>0</v>
      </c>
      <c r="G138" s="435">
        <f>+COUNCIL!I138+MAYOR!I139+SPEAKER!I138+MM!I138+CORP!I138+PROP!I138+RATES!I138+THALL!I138+FIN!I138+SOCIAL!I139+CEMETERY!I138+LIBRARIES!I138+HOUSING!I138+TRAFFIC!I138+PARKS!I138+REFUSE!I138+SEWAGE!I138+PWORKS!I138+WATER!I138+ELECTRIC!I138</f>
        <v>0</v>
      </c>
    </row>
    <row r="139" spans="1:7" s="285" customFormat="1" x14ac:dyDescent="0.25">
      <c r="A139" s="94" t="s">
        <v>322</v>
      </c>
      <c r="B139" s="435">
        <f>+COUNCIL!D139+MAYOR!D140+SPEAKER!D139+MM!D139+CORP!D139+PROP!D139+RATES!D139+THALL!D139+FIN!D139+SOCIAL!D140+CEMETERY!D139+LIBRARIES!D139+HOUSING!D139+TRAFFIC!D139+PARKS!D139+REFUSE!D139+SEWAGE!D139+PWORKS!D139+WATER!D139+ELECTRIC!D139</f>
        <v>0</v>
      </c>
      <c r="C139" s="435">
        <f>+COUNCIL!E139+MAYOR!E140+SPEAKER!E139+MM!E139+CORP!E139+PROP!E139+RATES!E139+THALL!E139+FIN!E139+SOCIAL!E140+CEMETERY!E139+LIBRARIES!E139+HOUSING!E139+TRAFFIC!E139+PARKS!E139+REFUSE!E139+SEWAGE!E139+PWORKS!E139+WATER!E139+ELECTRIC!E139</f>
        <v>0</v>
      </c>
      <c r="D139" s="435">
        <v>0</v>
      </c>
      <c r="E139" s="435">
        <f>+COUNCIL!G139+MAYOR!G140+SPEAKER!G139+MM!G139+CORP!G139+PROP!G139+RATES!G139+THALL!G139+FIN!G139+SOCIAL!G140+CEMETERY!G139+LIBRARIES!G139+HOUSING!G139+TRAFFIC!G139+PARKS!G139+REFUSE!G139+SEWAGE!G139+PWORKS!G139+WATER!G139+ELECTRIC!G139</f>
        <v>0</v>
      </c>
      <c r="F139" s="435">
        <f>+COUNCIL!H139+MAYOR!H140+SPEAKER!H139+MM!H139+CORP!H139+PROP!H139+RATES!H139+THALL!H139+FIN!H139+SOCIAL!H140+CEMETERY!H139+LIBRARIES!H139+HOUSING!H139+TRAFFIC!H139+PARKS!H139+REFUSE!H139+SEWAGE!H139+PWORKS!H139+WATER!H139+ELECTRIC!H139</f>
        <v>0</v>
      </c>
      <c r="G139" s="435">
        <f>+COUNCIL!I139+MAYOR!I140+SPEAKER!I139+MM!I139+CORP!I139+PROP!I139+RATES!I139+THALL!I139+FIN!I139+SOCIAL!I140+CEMETERY!I139+LIBRARIES!I139+HOUSING!I139+TRAFFIC!I139+PARKS!I139+REFUSE!I139+SEWAGE!I139+PWORKS!I139+WATER!I139+ELECTRIC!I139</f>
        <v>0</v>
      </c>
    </row>
    <row r="140" spans="1:7" s="285" customFormat="1" x14ac:dyDescent="0.25">
      <c r="A140" s="94" t="s">
        <v>323</v>
      </c>
      <c r="B140" s="435">
        <f>+COUNCIL!D140+MAYOR!D141+SPEAKER!D140+MM!D140+CORP!D140+PROP!D140+RATES!D140+THALL!D140+FIN!D140+SOCIAL!D141+CEMETERY!D140+LIBRARIES!D140+HOUSING!D140+TRAFFIC!D140+PARKS!D140+REFUSE!D140+SEWAGE!D140+PWORKS!D140+WATER!D140+ELECTRIC!D140</f>
        <v>0</v>
      </c>
      <c r="C140" s="435">
        <f>+COUNCIL!E140+MAYOR!E141+SPEAKER!E140+MM!E140+CORP!E140+PROP!E140+RATES!E140+THALL!E140+FIN!E140+SOCIAL!E141+CEMETERY!E140+LIBRARIES!E140+HOUSING!E140+TRAFFIC!E140+PARKS!E140+REFUSE!E140+SEWAGE!E140+PWORKS!E140+WATER!E140+ELECTRIC!E140</f>
        <v>0</v>
      </c>
      <c r="D140" s="435">
        <v>0</v>
      </c>
      <c r="E140" s="435">
        <f>+COUNCIL!G140+MAYOR!G141+SPEAKER!G140+MM!G140+CORP!G140+PROP!G140+RATES!G140+THALL!G140+FIN!G140+SOCIAL!G141+CEMETERY!G140+LIBRARIES!G140+HOUSING!G140+TRAFFIC!G140+PARKS!G140+REFUSE!G140+SEWAGE!G140+PWORKS!G140+WATER!G140+ELECTRIC!G140</f>
        <v>0</v>
      </c>
      <c r="F140" s="435">
        <f>+COUNCIL!H140+MAYOR!H141+SPEAKER!H140+MM!H140+CORP!H140+PROP!H140+RATES!H140+THALL!H140+FIN!H140+SOCIAL!H141+CEMETERY!H140+LIBRARIES!H140+HOUSING!H140+TRAFFIC!H140+PARKS!H140+REFUSE!H140+SEWAGE!H140+PWORKS!H140+WATER!H140+ELECTRIC!H140</f>
        <v>0</v>
      </c>
      <c r="G140" s="435">
        <f>+COUNCIL!I140+MAYOR!I141+SPEAKER!I140+MM!I140+CORP!I140+PROP!I140+RATES!I140+THALL!I140+FIN!I140+SOCIAL!I141+CEMETERY!I140+LIBRARIES!I140+HOUSING!I140+TRAFFIC!I140+PARKS!I140+REFUSE!I140+SEWAGE!I140+PWORKS!I140+WATER!I140+ELECTRIC!I140</f>
        <v>0</v>
      </c>
    </row>
    <row r="141" spans="1:7" s="285" customFormat="1" x14ac:dyDescent="0.25">
      <c r="A141" s="94" t="s">
        <v>324</v>
      </c>
      <c r="B141" s="435">
        <f>+COUNCIL!D141+MAYOR!D142+SPEAKER!D141+MM!D141+CORP!D141+PROP!D141+RATES!D141+THALL!D141+FIN!D141+SOCIAL!D142+CEMETERY!D141+LIBRARIES!D141+HOUSING!D141+TRAFFIC!D141+PARKS!D141+REFUSE!D141+SEWAGE!D141+PWORKS!D141+WATER!D141+ELECTRIC!D141</f>
        <v>0</v>
      </c>
      <c r="C141" s="435">
        <f>+COUNCIL!E141+MAYOR!E142+SPEAKER!E141+MM!E141+CORP!E141+PROP!E141+RATES!E141+THALL!E141+FIN!E141+SOCIAL!E142+CEMETERY!E141+LIBRARIES!E141+HOUSING!E141+TRAFFIC!E141+PARKS!E141+REFUSE!E141+SEWAGE!E141+PWORKS!E141+WATER!E141+ELECTRIC!E141</f>
        <v>0</v>
      </c>
      <c r="D141" s="435">
        <v>0</v>
      </c>
      <c r="E141" s="435">
        <f>+COUNCIL!G141+MAYOR!G142+SPEAKER!G141+MM!G141+CORP!G141+PROP!G141+RATES!G141+THALL!G141+FIN!G141+SOCIAL!G142+CEMETERY!G141+LIBRARIES!G141+HOUSING!G141+TRAFFIC!G141+PARKS!G141+REFUSE!G141+SEWAGE!G141+PWORKS!G141+WATER!G141+ELECTRIC!G141</f>
        <v>0</v>
      </c>
      <c r="F141" s="435">
        <f>+COUNCIL!H141+MAYOR!H142+SPEAKER!H141+MM!H141+CORP!H141+PROP!H141+RATES!H141+THALL!H141+FIN!H141+SOCIAL!H142+CEMETERY!H141+LIBRARIES!H141+HOUSING!H141+TRAFFIC!H141+PARKS!H141+REFUSE!H141+SEWAGE!H141+PWORKS!H141+WATER!H141+ELECTRIC!H141</f>
        <v>0</v>
      </c>
      <c r="G141" s="435">
        <f>+COUNCIL!I141+MAYOR!I142+SPEAKER!I141+MM!I141+CORP!I141+PROP!I141+RATES!I141+THALL!I141+FIN!I141+SOCIAL!I142+CEMETERY!I141+LIBRARIES!I141+HOUSING!I141+TRAFFIC!I141+PARKS!I141+REFUSE!I141+SEWAGE!I141+PWORKS!I141+WATER!I141+ELECTRIC!I141</f>
        <v>0</v>
      </c>
    </row>
    <row r="142" spans="1:7" s="285" customFormat="1" x14ac:dyDescent="0.25">
      <c r="A142" s="94" t="s">
        <v>325</v>
      </c>
      <c r="B142" s="435">
        <f>+COUNCIL!D142+MAYOR!D143+SPEAKER!D142+MM!D142+CORP!D142+PROP!D142+RATES!D142+THALL!D142+FIN!D142+SOCIAL!D143+CEMETERY!D142+LIBRARIES!D142+HOUSING!D142+TRAFFIC!D142+PARKS!D142+REFUSE!D142+SEWAGE!D142+PWORKS!D142+WATER!D142+ELECTRIC!D142</f>
        <v>0</v>
      </c>
      <c r="C142" s="435">
        <f>+COUNCIL!E142+MAYOR!E143+SPEAKER!E142+MM!E142+CORP!E142+PROP!E142+RATES!E142+THALL!E142+FIN!E142+SOCIAL!E143+CEMETERY!E142+LIBRARIES!E142+HOUSING!E142+TRAFFIC!E142+PARKS!E142+REFUSE!E142+SEWAGE!E142+PWORKS!E142+WATER!E142+ELECTRIC!E142</f>
        <v>0</v>
      </c>
      <c r="D142" s="435">
        <v>0</v>
      </c>
      <c r="E142" s="435">
        <f>+COUNCIL!G142+MAYOR!G143+SPEAKER!G142+MM!G142+CORP!G142+PROP!G142+RATES!G142+THALL!G142+FIN!G142+SOCIAL!G143+CEMETERY!G142+LIBRARIES!G142+HOUSING!G142+TRAFFIC!G142+PARKS!G142+REFUSE!G142+SEWAGE!G142+PWORKS!G142+WATER!G142+ELECTRIC!G142</f>
        <v>0</v>
      </c>
      <c r="F142" s="435">
        <f>+COUNCIL!H142+MAYOR!H143+SPEAKER!H142+MM!H142+CORP!H142+PROP!H142+RATES!H142+THALL!H142+FIN!H142+SOCIAL!H143+CEMETERY!H142+LIBRARIES!H142+HOUSING!H142+TRAFFIC!H142+PARKS!H142+REFUSE!H142+SEWAGE!H142+PWORKS!H142+WATER!H142+ELECTRIC!H142</f>
        <v>0</v>
      </c>
      <c r="G142" s="435">
        <f>+COUNCIL!I142+MAYOR!I143+SPEAKER!I142+MM!I142+CORP!I142+PROP!I142+RATES!I142+THALL!I142+FIN!I142+SOCIAL!I143+CEMETERY!I142+LIBRARIES!I142+HOUSING!I142+TRAFFIC!I142+PARKS!I142+REFUSE!I142+SEWAGE!I142+PWORKS!I142+WATER!I142+ELECTRIC!I142</f>
        <v>0</v>
      </c>
    </row>
    <row r="143" spans="1:7" s="285" customFormat="1" x14ac:dyDescent="0.25">
      <c r="A143" s="94" t="s">
        <v>528</v>
      </c>
      <c r="B143" s="435">
        <f>+COUNCIL!D143+MAYOR!D144+SPEAKER!D143+MM!D143+CORP!D143+PROP!D143+RATES!D143+THALL!D143+FIN!D143+SOCIAL!D144+CEMETERY!D143+LIBRARIES!D143+HOUSING!D143+TRAFFIC!D143+PARKS!D143+REFUSE!D143+SEWAGE!D143+PWORKS!D143+WATER!D143+ELECTRIC!D143</f>
        <v>868525</v>
      </c>
      <c r="C143" s="435">
        <f>+COUNCIL!E143+MAYOR!E144+SPEAKER!E143+MM!E143+CORP!E143+PROP!E143+RATES!E143+THALL!E143+FIN!E143+SOCIAL!E144+CEMETERY!E143+LIBRARIES!E143+HOUSING!E143+TRAFFIC!E143+PARKS!E143+REFUSE!E143+SEWAGE!E143+PWORKS!E143+WATER!E143+ELECTRIC!E143</f>
        <v>400000</v>
      </c>
      <c r="D143" s="435">
        <v>1250000</v>
      </c>
      <c r="E143" s="435">
        <f>+COUNCIL!G143+MAYOR!G144+SPEAKER!G143+MM!G143+CORP!G143+PROP!G143+RATES!G143+THALL!G143+FIN!G143+SOCIAL!G144+CEMETERY!G143+LIBRARIES!G143+HOUSING!G143+TRAFFIC!G143+PARKS!G143+REFUSE!G143+SEWAGE!G143+PWORKS!G143+WATER!G143+ELECTRIC!G143</f>
        <v>1820800</v>
      </c>
      <c r="F143" s="435">
        <f>+COUNCIL!H143+MAYOR!H144+SPEAKER!H143+MM!H143+CORP!H143+PROP!H143+RATES!H143+THALL!H143+FIN!H143+SOCIAL!H144+CEMETERY!H143+LIBRARIES!H143+HOUSING!H143+TRAFFIC!H143+PARKS!H143+REFUSE!H143+SEWAGE!H143+PWORKS!H143+WATER!H143+ELECTRIC!H143</f>
        <v>2001680</v>
      </c>
      <c r="G143" s="435">
        <f>+COUNCIL!I143+MAYOR!I144+SPEAKER!I143+MM!I143+CORP!I143+PROP!I143+RATES!I143+THALL!I143+FIN!I143+SOCIAL!I144+CEMETERY!I143+LIBRARIES!I143+HOUSING!I143+TRAFFIC!I143+PARKS!I143+REFUSE!I143+SEWAGE!I143+PWORKS!I143+WATER!I143+ELECTRIC!I143</f>
        <v>2203648</v>
      </c>
    </row>
    <row r="144" spans="1:7" s="285" customFormat="1" x14ac:dyDescent="0.25">
      <c r="A144" s="94" t="s">
        <v>331</v>
      </c>
      <c r="B144" s="435">
        <f>+COUNCIL!D144+MAYOR!D145+SPEAKER!D144+MM!D144+CORP!D144+PROP!D144+RATES!D144+THALL!D144+FIN!D144+SOCIAL!D145+CEMETERY!D144+LIBRARIES!D144+HOUSING!D144+TRAFFIC!D144+PARKS!D144+REFUSE!D144+SEWAGE!D144+PWORKS!D144+WATER!D144+ELECTRIC!D144</f>
        <v>309842</v>
      </c>
      <c r="C144" s="435">
        <f>+COUNCIL!E144+MAYOR!E145+SPEAKER!E144+MM!E144+CORP!E144+PROP!E144+RATES!E144+THALL!E144+FIN!E144+SOCIAL!E145+CEMETERY!E144+LIBRARIES!E144+HOUSING!E144+TRAFFIC!E144+PARKS!E144+REFUSE!E144+SEWAGE!E144+PWORKS!E144+WATER!E144+ELECTRIC!E144</f>
        <v>400000</v>
      </c>
      <c r="D144" s="435">
        <v>753000</v>
      </c>
      <c r="E144" s="435">
        <f>+COUNCIL!G144+MAYOR!G145+SPEAKER!G144+MM!G144+CORP!G144+PROP!G144+RATES!G144+THALL!G144+FIN!G144+SOCIAL!G145+CEMETERY!G144+LIBRARIES!G144+HOUSING!G144+TRAFFIC!G144+PARKS!G144+REFUSE!G144+SEWAGE!G144+PWORKS!G144+WATER!G144+ELECTRIC!G144</f>
        <v>1115000</v>
      </c>
      <c r="F144" s="435">
        <f>+COUNCIL!H144+MAYOR!H145+SPEAKER!H144+MM!H144+CORP!H144+PROP!H144+RATES!H144+THALL!H144+FIN!H144+SOCIAL!H145+CEMETERY!H144+LIBRARIES!H144+HOUSING!H144+TRAFFIC!H144+PARKS!H144+REFUSE!H144+SEWAGE!H144+PWORKS!H144+WATER!H144+ELECTRIC!H144</f>
        <v>677000</v>
      </c>
      <c r="G144" s="435">
        <f>+COUNCIL!I144+MAYOR!I145+SPEAKER!I144+MM!I144+CORP!I144+PROP!I144+RATES!I144+THALL!I144+FIN!I144+SOCIAL!I145+CEMETERY!I144+LIBRARIES!I144+HOUSING!I144+TRAFFIC!I144+PARKS!I144+REFUSE!I144+SEWAGE!I144+PWORKS!I144+WATER!I144+ELECTRIC!I144</f>
        <v>744000</v>
      </c>
    </row>
    <row r="145" spans="1:7" s="285" customFormat="1" x14ac:dyDescent="0.25">
      <c r="A145" s="94" t="s">
        <v>327</v>
      </c>
      <c r="B145" s="435">
        <f>+COUNCIL!D145+MAYOR!D146+SPEAKER!D145+MM!D145+CORP!D145+PROP!D145+RATES!D145+THALL!D145+FIN!D145+SOCIAL!D146+CEMETERY!D145+LIBRARIES!D145+HOUSING!D145+TRAFFIC!D145+PARKS!D145+REFUSE!D145+SEWAGE!D145+PWORKS!D145+WATER!D145+ELECTRIC!D145</f>
        <v>0</v>
      </c>
      <c r="C145" s="435">
        <f>+COUNCIL!E145+MAYOR!E146+SPEAKER!E145+MM!E145+CORP!E145+PROP!E145+RATES!E145+THALL!E145+FIN!E145+SOCIAL!E146+CEMETERY!E145+LIBRARIES!E145+HOUSING!E145+TRAFFIC!E145+PARKS!E145+REFUSE!E145+SEWAGE!E145+PWORKS!E145+WATER!E145+ELECTRIC!E145</f>
        <v>0</v>
      </c>
      <c r="D145" s="435">
        <v>0</v>
      </c>
      <c r="E145" s="435">
        <f>+COUNCIL!G145+MAYOR!G146+SPEAKER!G145+MM!G145+CORP!G145+PROP!G145+RATES!G145+THALL!G145+FIN!G145+SOCIAL!G146+CEMETERY!G145+LIBRARIES!G145+HOUSING!G145+TRAFFIC!G145+PARKS!G145+REFUSE!G145+SEWAGE!G145+PWORKS!G145+WATER!G145+ELECTRIC!G145</f>
        <v>0</v>
      </c>
      <c r="F145" s="435">
        <f>+COUNCIL!H145+MAYOR!H146+SPEAKER!H145+MM!H145+CORP!H145+PROP!H145+RATES!H145+THALL!H145+FIN!H145+SOCIAL!H146+CEMETERY!H145+LIBRARIES!H145+HOUSING!H145+TRAFFIC!H145+PARKS!H145+REFUSE!H145+SEWAGE!H145+PWORKS!H145+WATER!H145+ELECTRIC!H145</f>
        <v>0</v>
      </c>
      <c r="G145" s="435">
        <f>+COUNCIL!I145+MAYOR!I146+SPEAKER!I145+MM!I145+CORP!I145+PROP!I145+RATES!I145+THALL!I145+FIN!I145+SOCIAL!I146+CEMETERY!I145+LIBRARIES!I145+HOUSING!I145+TRAFFIC!I145+PARKS!I145+REFUSE!I145+SEWAGE!I145+PWORKS!I145+WATER!I145+ELECTRIC!I145</f>
        <v>0</v>
      </c>
    </row>
    <row r="146" spans="1:7" s="285" customFormat="1" x14ac:dyDescent="0.25">
      <c r="A146" s="94" t="s">
        <v>328</v>
      </c>
      <c r="B146" s="435">
        <f>+COUNCIL!D146+MAYOR!D147+SPEAKER!D146+MM!D146+CORP!D146+PROP!D146+RATES!D146+THALL!D146+FIN!D146+SOCIAL!D147+CEMETERY!D146+LIBRARIES!D146+HOUSING!D146+TRAFFIC!D146+PARKS!D146+REFUSE!D146+SEWAGE!D146+PWORKS!D146+WATER!D146+ELECTRIC!D146</f>
        <v>315789</v>
      </c>
      <c r="C146" s="435">
        <f>+COUNCIL!E146+MAYOR!E147+SPEAKER!E146+MM!E146+CORP!E146+PROP!E146+RATES!E146+THALL!E146+FIN!E146+SOCIAL!E147+CEMETERY!E146+LIBRARIES!E146+HOUSING!E146+TRAFFIC!E146+PARKS!E146+REFUSE!E146+SEWAGE!E146+PWORKS!E146+WATER!E146+ELECTRIC!E146</f>
        <v>2100000</v>
      </c>
      <c r="D146" s="435">
        <v>2100000</v>
      </c>
      <c r="E146" s="435">
        <f>+COUNCIL!G146+MAYOR!G147+SPEAKER!G146+MM!G146+CORP!G146+PROP!G146+RATES!G146+THALL!G146+FIN!G146+SOCIAL!G147+CEMETERY!G146+LIBRARIES!G146+HOUSING!G146+TRAFFIC!G146+PARKS!G146+REFUSE!G146+SEWAGE!G146+PWORKS!G146+WATER!G146+ELECTRIC!G146</f>
        <v>300000</v>
      </c>
      <c r="F146" s="435">
        <f>+COUNCIL!H146+MAYOR!H147+SPEAKER!H146+MM!H146+CORP!H146+PROP!H146+RATES!H146+THALL!H146+FIN!H146+SOCIAL!H147+CEMETERY!H146+LIBRARIES!H146+HOUSING!H146+TRAFFIC!H146+PARKS!H146+REFUSE!H146+SEWAGE!H146+PWORKS!H146+WATER!H146+ELECTRIC!H146</f>
        <v>330000</v>
      </c>
      <c r="G146" s="435">
        <f>+COUNCIL!I146+MAYOR!I147+SPEAKER!I146+MM!I146+CORP!I146+PROP!I146+RATES!I146+THALL!I146+FIN!I146+SOCIAL!I147+CEMETERY!I146+LIBRARIES!I146+HOUSING!I146+TRAFFIC!I146+PARKS!I146+REFUSE!I146+SEWAGE!I146+PWORKS!I146+WATER!I146+ELECTRIC!I146</f>
        <v>363000</v>
      </c>
    </row>
    <row r="147" spans="1:7" s="285" customFormat="1" x14ac:dyDescent="0.25">
      <c r="A147" s="94" t="s">
        <v>330</v>
      </c>
      <c r="B147" s="435"/>
      <c r="C147" s="435"/>
      <c r="D147" s="435">
        <v>0</v>
      </c>
      <c r="E147" s="435"/>
      <c r="F147" s="435"/>
      <c r="G147" s="435"/>
    </row>
    <row r="148" spans="1:7" s="285" customFormat="1" x14ac:dyDescent="0.25">
      <c r="A148" s="94"/>
      <c r="B148" s="226">
        <f>SUM(B72:B147)</f>
        <v>21146089.329999998</v>
      </c>
      <c r="C148" s="226">
        <f>SUM(C72:C147)</f>
        <v>31008831.033220004</v>
      </c>
      <c r="D148" s="436">
        <f t="shared" ref="D148:E148" si="11">SUM(D72:D147)</f>
        <v>40630255.103220001</v>
      </c>
      <c r="E148" s="436">
        <f t="shared" si="11"/>
        <v>39019448.108542003</v>
      </c>
      <c r="F148" s="436">
        <f t="shared" ref="F148:G148" si="12">SUM(F72:F147)</f>
        <v>37283165.319396198</v>
      </c>
      <c r="G148" s="436">
        <f t="shared" si="12"/>
        <v>40863346.651335813</v>
      </c>
    </row>
    <row r="149" spans="1:7" s="285" customFormat="1" x14ac:dyDescent="0.25">
      <c r="A149" s="93" t="s">
        <v>187</v>
      </c>
      <c r="B149" s="225"/>
      <c r="C149" s="431"/>
      <c r="D149" s="431"/>
      <c r="E149" s="431"/>
      <c r="F149" s="431"/>
      <c r="G149" s="431"/>
    </row>
    <row r="150" spans="1:7" s="285" customFormat="1" x14ac:dyDescent="0.25">
      <c r="A150" s="94" t="s">
        <v>188</v>
      </c>
      <c r="B150" s="435">
        <f>+COUNCIL!D150+MAYOR!D151+SPEAKER!D150+MM!D150+CORP!D150+PROP!D150+RATES!D150+THALL!D150+FIN!D150+SOCIAL!D151+CEMETERY!D150+LIBRARIES!D150+HOUSING!D150+TRAFFIC!D150+PARKS!D150+REFUSE!D150+SEWAGE!D150+PWORKS!D150+WATER!D150+ELECTRIC!D150</f>
        <v>0</v>
      </c>
      <c r="C150" s="435">
        <f>+COUNCIL!E150+MAYOR!E151+SPEAKER!E150+MM!E150+CORP!E150+PROP!E150+RATES!E150+THALL!E150+FIN!E150+SOCIAL!E151+CEMETERY!E150+LIBRARIES!E150+HOUSING!E150+TRAFFIC!E150+PARKS!E150+REFUSE!E150+SEWAGE!E150+PWORKS!E150+WATER!E150+ELECTRIC!E150</f>
        <v>0</v>
      </c>
      <c r="D150" s="435">
        <f>+COUNCIL!F150+MAYOR!F151+SPEAKER!F150+MM!F150+CORP!F150+PROP!F150+RATES!F150+THALL!F150+FIN!F150+SOCIAL!F151+CEMETERY!F150+LIBRARIES!F150+HOUSING!F150+TRAFFIC!F150+PARKS!F150+REFUSE!F150+SEWAGE!F150+PWORKS!F150+WATER!F150+ELECTRIC!F150</f>
        <v>0</v>
      </c>
      <c r="E150" s="435">
        <f>+COUNCIL!G150+MAYOR!G151+SPEAKER!G150+MM!G150+CORP!G150+PROP!G150+RATES!G150+THALL!G150+FIN!G150+SOCIAL!G151+CEMETERY!G150+LIBRARIES!G150+HOUSING!G150+TRAFFIC!G150+PARKS!G150+REFUSE!G150+SEWAGE!G150+PWORKS!G150+WATER!G150+ELECTRIC!G150</f>
        <v>0</v>
      </c>
      <c r="F150" s="435">
        <f>+COUNCIL!H150+MAYOR!H151+SPEAKER!H150+MM!H150+CORP!H150+PROP!H150+RATES!H150+THALL!H150+FIN!H150+SOCIAL!H151+CEMETERY!H150+LIBRARIES!H150+HOUSING!H150+TRAFFIC!H150+PARKS!H150+REFUSE!H150+SEWAGE!H150+PWORKS!H150+WATER!H150+ELECTRIC!H150</f>
        <v>0</v>
      </c>
      <c r="G150" s="435">
        <f>+COUNCIL!I150+MAYOR!I151+SPEAKER!I150+MM!I150+CORP!I150+PROP!I150+RATES!I150+THALL!I150+FIN!I150+SOCIAL!I151+CEMETERY!I150+LIBRARIES!I150+HOUSING!I150+TRAFFIC!I150+PARKS!I150+REFUSE!I150+SEWAGE!I150+PWORKS!I150+WATER!I150+ELECTRIC!I150</f>
        <v>0</v>
      </c>
    </row>
    <row r="151" spans="1:7" s="285" customFormat="1" x14ac:dyDescent="0.25">
      <c r="A151" s="94"/>
      <c r="B151" s="226">
        <f t="shared" ref="B151:G151" si="13">SUM(B150)</f>
        <v>0</v>
      </c>
      <c r="C151" s="226">
        <f t="shared" si="13"/>
        <v>0</v>
      </c>
      <c r="D151" s="226">
        <f t="shared" si="13"/>
        <v>0</v>
      </c>
      <c r="E151" s="226">
        <f t="shared" si="13"/>
        <v>0</v>
      </c>
      <c r="F151" s="226">
        <f t="shared" si="13"/>
        <v>0</v>
      </c>
      <c r="G151" s="226">
        <f t="shared" si="13"/>
        <v>0</v>
      </c>
    </row>
    <row r="152" spans="1:7" s="285" customFormat="1" x14ac:dyDescent="0.25">
      <c r="A152" s="93" t="s">
        <v>64</v>
      </c>
      <c r="B152" s="228"/>
      <c r="C152" s="113"/>
      <c r="D152" s="113"/>
      <c r="E152" s="113"/>
      <c r="F152" s="113"/>
      <c r="G152" s="88"/>
    </row>
    <row r="153" spans="1:7" s="285" customFormat="1" x14ac:dyDescent="0.25">
      <c r="A153" s="94" t="s">
        <v>336</v>
      </c>
      <c r="B153" s="435">
        <f>+COUNCIL!D153+MAYOR!D154+SPEAKER!D153+MM!D153+CORP!D153+PROP!D153+RATES!D153+THALL!D153+FIN!D153+SOCIAL!D154+CEMETERY!D153+LIBRARIES!D153+HOUSING!D153+TRAFFIC!D153+PARKS!D153+REFUSE!D153+SEWAGE!D153+PWORKS!D153+WATER!D153+ELECTRIC!D153</f>
        <v>0</v>
      </c>
      <c r="C153" s="435">
        <f>+COUNCIL!E153+MAYOR!E154+SPEAKER!E153+MM!E153+CORP!E153+PROP!E153+RATES!E153+THALL!E153+FIN!E153+SOCIAL!E154+CEMETERY!E153+LIBRARIES!E153+HOUSING!E153+TRAFFIC!E153+PARKS!E153+REFUSE!E153+SEWAGE!E153+PWORKS!E153+WATER!E153+ELECTRIC!E153</f>
        <v>200000</v>
      </c>
      <c r="D153" s="435">
        <v>100000</v>
      </c>
      <c r="E153" s="435">
        <v>2829000</v>
      </c>
      <c r="F153" s="435"/>
      <c r="G153" s="435">
        <f>+COUNCIL!I153+MAYOR!I154+SPEAKER!I153+MM!I153+CORP!I153+PROP!I153+RATES!I153+THALL!I153+FIN!I153+SOCIAL!I154+CEMETERY!I153+LIBRARIES!I153+HOUSING!I153+TRAFFIC!I153+PARKS!I153+REFUSE!I153+SEWAGE!I153+PWORKS!I153+WATER!I153+ELECTRIC!I153</f>
        <v>0</v>
      </c>
    </row>
    <row r="154" spans="1:7" s="285" customFormat="1" x14ac:dyDescent="0.25">
      <c r="A154" s="94" t="s">
        <v>337</v>
      </c>
      <c r="B154" s="435">
        <f>+COUNCIL!D154+MAYOR!D155+SPEAKER!D154+MM!D154+CORP!D154+PROP!D154+RATES!D154+THALL!D154+FIN!D154+SOCIAL!D155+CEMETERY!D154+LIBRARIES!D154+HOUSING!D154+TRAFFIC!D154+PARKS!D154+REFUSE!D154+SEWAGE!D154+PWORKS!D154+WATER!D154+ELECTRIC!D154</f>
        <v>397276</v>
      </c>
      <c r="C154" s="435">
        <v>5040000</v>
      </c>
      <c r="D154" s="435">
        <v>5139735</v>
      </c>
      <c r="E154" s="435"/>
      <c r="F154" s="435">
        <v>8366000</v>
      </c>
      <c r="G154" s="435"/>
    </row>
    <row r="155" spans="1:7" s="285" customFormat="1" x14ac:dyDescent="0.25">
      <c r="A155" s="94" t="s">
        <v>60</v>
      </c>
      <c r="B155" s="435">
        <f>+COUNCIL!D155+MAYOR!D156+SPEAKER!D155+MM!D155+CORP!D155+PROP!D155+RATES!D155+THALL!D155+FIN!D155+SOCIAL!D156+CEMETERY!D155+LIBRARIES!D155+HOUSING!D155+TRAFFIC!D155+PARKS!D155+REFUSE!D155+SEWAGE!D155+PWORKS!D155+WATER!D155+ELECTRIC!D155</f>
        <v>0</v>
      </c>
      <c r="C155" s="435">
        <f>+COUNCIL!E155+MAYOR!E156+SPEAKER!E155+MM!E155+CORP!E155+PROP!E155+RATES!E155+THALL!E155+FIN!E155+SOCIAL!E156+CEMETERY!E155+LIBRARIES!E155+HOUSING!E155+TRAFFIC!E155+PARKS!E155+REFUSE!E155+SEWAGE!E155+PWORKS!E155+WATER!E155+ELECTRIC!E155</f>
        <v>535000</v>
      </c>
      <c r="D155" s="435">
        <v>535000</v>
      </c>
      <c r="E155" s="435"/>
      <c r="F155" s="435"/>
      <c r="G155" s="435"/>
    </row>
    <row r="156" spans="1:7" s="285" customFormat="1" x14ac:dyDescent="0.25">
      <c r="A156" s="94"/>
      <c r="B156" s="226">
        <f>SUM(B153:B155)</f>
        <v>397276</v>
      </c>
      <c r="C156" s="226">
        <f t="shared" ref="C156:G156" si="14">SUM(C153:C155)</f>
        <v>5775000</v>
      </c>
      <c r="D156" s="226">
        <f t="shared" si="14"/>
        <v>5774735</v>
      </c>
      <c r="E156" s="226">
        <f t="shared" si="14"/>
        <v>2829000</v>
      </c>
      <c r="F156" s="226">
        <f t="shared" si="14"/>
        <v>8366000</v>
      </c>
      <c r="G156" s="226">
        <f t="shared" si="14"/>
        <v>0</v>
      </c>
    </row>
    <row r="157" spans="1:7" s="285" customFormat="1" x14ac:dyDescent="0.25">
      <c r="A157" s="479" t="s">
        <v>65</v>
      </c>
      <c r="B157" s="228"/>
      <c r="C157" s="113"/>
      <c r="D157" s="113"/>
      <c r="E157" s="113"/>
      <c r="F157" s="113"/>
      <c r="G157" s="88"/>
    </row>
    <row r="158" spans="1:7" s="285" customFormat="1" x14ac:dyDescent="0.25">
      <c r="A158" s="94" t="s">
        <v>377</v>
      </c>
      <c r="B158" s="435">
        <f>+COUNCIL!D158+MAYOR!D159+SPEAKER!D158+MM!D158+CORP!D158+PROP!D158+RATES!D158+THALL!D158+FIN!D158+SOCIAL!D159+CEMETERY!D158+LIBRARIES!D158+HOUSING!D158+TRAFFIC!D158+PARKS!D158+REFUSE!D158+SEWAGE!D158+PWORKS!D158+WATER!D158+ELECTRIC!D158</f>
        <v>0</v>
      </c>
      <c r="C158" s="435">
        <f>+COUNCIL!E158+MAYOR!E159+SPEAKER!E158+MM!E158+CORP!E158+PROP!E158+RATES!E158+THALL!E158+FIN!E158+SOCIAL!E159+CEMETERY!E158+LIBRARIES!E158+HOUSING!E158+TRAFFIC!E158+PARKS!E158+REFUSE!E158+SEWAGE!E158+PWORKS!E158+WATER!E158+ELECTRIC!E158</f>
        <v>38697</v>
      </c>
      <c r="D158" s="435">
        <f>+COUNCIL!F158+MAYOR!F159+SPEAKER!F158+MM!F158+CORP!F158+PROP!F158+RATES!F158+THALL!F158+FIN!F158+SOCIAL!F159+CEMETERY!F158+LIBRARIES!F158+HOUSING!F158+TRAFFIC!F158+PARKS!F158+REFUSE!F158+SEWAGE!F158+PWORKS!F158+WATER!F158+ELECTRIC!F158</f>
        <v>38697</v>
      </c>
      <c r="E158" s="435">
        <f>+COUNCIL!G158+MAYOR!G159+SPEAKER!G158+MM!G158+CORP!G158+PROP!G158+RATES!G158+THALL!G158+FIN!G158+SOCIAL!G159+CEMETERY!G158+LIBRARIES!G158+HOUSING!G158+TRAFFIC!G158+PARKS!G158+REFUSE!G158+SEWAGE!G158+PWORKS!G158+WATER!G158+ELECTRIC!G158</f>
        <v>0</v>
      </c>
      <c r="F158" s="435">
        <f>+COUNCIL!H158+MAYOR!H159+SPEAKER!H158+MM!H158+CORP!H158+PROP!H158+RATES!H158+THALL!H158+FIN!H158+SOCIAL!H159+CEMETERY!H158+LIBRARIES!H158+HOUSING!H158+TRAFFIC!H158+PARKS!H158+REFUSE!H158+SEWAGE!H158+PWORKS!H158+WATER!H158+ELECTRIC!H158</f>
        <v>0</v>
      </c>
      <c r="G158" s="435">
        <f>+COUNCIL!I158+MAYOR!I159+SPEAKER!I158+MM!I158+CORP!I158+PROP!I158+RATES!I158+THALL!I158+FIN!I158+SOCIAL!I159+CEMETERY!I158+LIBRARIES!I158+HOUSING!I158+TRAFFIC!I158+PARKS!I158+REFUSE!I158+SEWAGE!I158+PWORKS!I158+WATER!I158+ELECTRIC!I158</f>
        <v>0</v>
      </c>
    </row>
    <row r="159" spans="1:7" s="285" customFormat="1" x14ac:dyDescent="0.25">
      <c r="A159" s="94" t="s">
        <v>339</v>
      </c>
      <c r="B159" s="435">
        <f>+COUNCIL!D159+MAYOR!D160+SPEAKER!D159+MM!D159+CORP!D159+PROP!D159+RATES!D159+THALL!D159+FIN!D159+SOCIAL!D160+CEMETERY!D159+LIBRARIES!D159+HOUSING!D159+TRAFFIC!D159+PARKS!D159+REFUSE!D159+SEWAGE!D159+PWORKS!D159+WATER!D159+ELECTRIC!D159</f>
        <v>0</v>
      </c>
      <c r="C159" s="435">
        <f>+COUNCIL!E159+MAYOR!E160+SPEAKER!E159+MM!E159+CORP!E159+PROP!E159+RATES!E159+THALL!E159+FIN!E159+SOCIAL!E160+CEMETERY!E159+LIBRARIES!E159+HOUSING!E159+TRAFFIC!E159+PARKS!E159+REFUSE!E159+SEWAGE!E159+PWORKS!E159+WATER!E159+ELECTRIC!E159</f>
        <v>0</v>
      </c>
      <c r="D159" s="435">
        <f>+COUNCIL!F159+MAYOR!F160+SPEAKER!F159+MM!F159+CORP!F159+PROP!F159+RATES!F159+THALL!F157+FIN!F159+SOCIAL!F160+CEMETERY!F159+LIBRARIES!F159+HOUSING!F159+TRAFFIC!F159+PARKS!F159+REFUSE!F159+SEWAGE!F159+PWORKS!F159+WATER!F159+ELECTRIC!F159</f>
        <v>0</v>
      </c>
      <c r="E159" s="435">
        <f>+COUNCIL!G159+MAYOR!G160+SPEAKER!G159+MM!G159+CORP!G159+PROP!G159+RATES!G159+THALL!G157+FIN!G159+SOCIAL!G160+CEMETERY!G159+LIBRARIES!G159+HOUSING!G159+TRAFFIC!G159+PARKS!G159+REFUSE!G159+SEWAGE!G159+PWORKS!G159+WATER!G159+ELECTRIC!G159</f>
        <v>0</v>
      </c>
      <c r="F159" s="435">
        <f>+COUNCIL!H159+MAYOR!H160+SPEAKER!H159+MM!H159+CORP!H159+PROP!H159+RATES!H159+THALL!H159+FIN!H159+SOCIAL!H160+CEMETERY!H159+LIBRARIES!H159+HOUSING!H159+TRAFFIC!H159+PARKS!H159+REFUSE!H159+SEWAGE!H159+PWORKS!H159+WATER!H159+ELECTRIC!H159</f>
        <v>0</v>
      </c>
      <c r="G159" s="435">
        <f>+COUNCIL!I159+MAYOR!I160+SPEAKER!I159+MM!I159+CORP!I159+PROP!I159+RATES!I159+THALL!I159+FIN!I159+SOCIAL!I160+CEMETERY!I159+LIBRARIES!I159+HOUSING!I159+TRAFFIC!I159+PARKS!I159+REFUSE!I159+SEWAGE!I159+PWORKS!I159+WATER!I159+ELECTRIC!I159</f>
        <v>0</v>
      </c>
    </row>
    <row r="160" spans="1:7" s="285" customFormat="1" x14ac:dyDescent="0.25">
      <c r="A160" s="668"/>
      <c r="B160" s="448">
        <f t="shared" ref="B160" si="15">SUM(B158:B159)</f>
        <v>0</v>
      </c>
      <c r="C160" s="448"/>
      <c r="D160" s="448"/>
      <c r="E160" s="448"/>
      <c r="F160" s="448"/>
      <c r="G160" s="448"/>
    </row>
    <row r="161" spans="1:7" s="285" customFormat="1" x14ac:dyDescent="0.25">
      <c r="A161" s="93" t="s">
        <v>189</v>
      </c>
      <c r="B161" s="448">
        <f>B160+B156+B151+B148+B70+B66+B63+B59+B38+B35+B32+B29+B25+B18</f>
        <v>81462770.609999999</v>
      </c>
      <c r="C161" s="448">
        <f>C160+C156+C151+C148+C70+C66+C63+C59+C38+C35+C32+C29+C25+C18</f>
        <v>183083174.858812</v>
      </c>
      <c r="D161" s="448">
        <f>D160+D156+D151+D148+D70+D66+D63+D59+D38+D35+D32+D29+D25+D18</f>
        <v>177296902.438492</v>
      </c>
      <c r="E161" s="448">
        <f t="shared" ref="E161:G161" si="16">E160+E156+E151+E148+E70+E66+E63+E59+E38+E35+E32+E29+E25+E18</f>
        <v>183935696.89224678</v>
      </c>
      <c r="F161" s="448">
        <f t="shared" si="16"/>
        <v>195716807.74611148</v>
      </c>
      <c r="G161" s="448">
        <f t="shared" si="16"/>
        <v>202837465.03935814</v>
      </c>
    </row>
    <row r="162" spans="1:7" s="285" customFormat="1" x14ac:dyDescent="0.25">
      <c r="A162" s="93" t="s">
        <v>258</v>
      </c>
      <c r="B162" s="449"/>
      <c r="C162" s="449"/>
      <c r="D162" s="449"/>
      <c r="E162" s="449"/>
      <c r="F162" s="449"/>
      <c r="G162" s="449"/>
    </row>
    <row r="163" spans="1:7" s="285" customFormat="1" x14ac:dyDescent="0.25">
      <c r="A163" s="94" t="s">
        <v>190</v>
      </c>
      <c r="B163" s="435"/>
      <c r="C163" s="435"/>
      <c r="D163" s="435"/>
      <c r="E163" s="435"/>
      <c r="F163" s="435"/>
      <c r="G163" s="435"/>
    </row>
    <row r="164" spans="1:7" s="285" customFormat="1" x14ac:dyDescent="0.25">
      <c r="A164" s="94"/>
      <c r="B164" s="448">
        <f t="shared" ref="B164:G164" si="17">B163</f>
        <v>0</v>
      </c>
      <c r="C164" s="448">
        <f t="shared" si="17"/>
        <v>0</v>
      </c>
      <c r="D164" s="448">
        <f t="shared" si="17"/>
        <v>0</v>
      </c>
      <c r="E164" s="448">
        <f t="shared" si="17"/>
        <v>0</v>
      </c>
      <c r="F164" s="448">
        <f t="shared" si="17"/>
        <v>0</v>
      </c>
      <c r="G164" s="448">
        <f t="shared" si="17"/>
        <v>0</v>
      </c>
    </row>
    <row r="165" spans="1:7" s="285" customFormat="1" x14ac:dyDescent="0.25">
      <c r="A165" s="119" t="s">
        <v>191</v>
      </c>
      <c r="B165" s="463">
        <f>B161+B164</f>
        <v>81462770.609999999</v>
      </c>
      <c r="C165" s="463">
        <f>SUM(C18+C25+C29+C32+C38+C35+C59+C63+C66+C70+C148+C151+C156+C159+C163)</f>
        <v>183083174.858812</v>
      </c>
      <c r="D165" s="463">
        <f>+D164+D161</f>
        <v>177296902.438492</v>
      </c>
      <c r="E165" s="463">
        <f t="shared" ref="E165:G165" si="18">SUM(E18+E25+E29+E32+E38+E35+E59+E63+E66+E70+E148+E151+E156+E159+E163)</f>
        <v>183935696.89224681</v>
      </c>
      <c r="F165" s="463">
        <f t="shared" si="18"/>
        <v>195716807.74611148</v>
      </c>
      <c r="G165" s="463">
        <f t="shared" si="18"/>
        <v>202837465.03935814</v>
      </c>
    </row>
    <row r="166" spans="1:7" s="285" customFormat="1" x14ac:dyDescent="0.25">
      <c r="A166" s="447"/>
      <c r="B166" s="111"/>
      <c r="C166" s="120"/>
      <c r="D166" s="271"/>
      <c r="E166" s="271"/>
      <c r="F166" s="271"/>
      <c r="G166" s="384"/>
    </row>
    <row r="167" spans="1:7" s="285" customFormat="1" x14ac:dyDescent="0.25">
      <c r="A167" s="447"/>
      <c r="B167" s="111"/>
      <c r="C167" s="111"/>
      <c r="D167" s="111"/>
      <c r="E167" s="111"/>
      <c r="F167" s="111"/>
      <c r="G167" s="385"/>
    </row>
    <row r="168" spans="1:7" s="285" customFormat="1" x14ac:dyDescent="0.25">
      <c r="A168" s="669"/>
      <c r="B168" s="670"/>
      <c r="C168" s="664"/>
      <c r="D168" s="664"/>
      <c r="E168" s="664"/>
      <c r="F168" s="664"/>
      <c r="G168" s="665"/>
    </row>
    <row r="169" spans="1:7" s="285" customFormat="1" x14ac:dyDescent="0.25">
      <c r="A169" s="150" t="s">
        <v>22</v>
      </c>
      <c r="B169" s="103" t="s">
        <v>23</v>
      </c>
      <c r="C169" s="104" t="s">
        <v>24</v>
      </c>
      <c r="D169" s="103" t="s">
        <v>537</v>
      </c>
      <c r="E169" s="104" t="s">
        <v>24</v>
      </c>
      <c r="F169" s="104" t="s">
        <v>24</v>
      </c>
      <c r="G169" s="104" t="s">
        <v>24</v>
      </c>
    </row>
    <row r="170" spans="1:7" s="285" customFormat="1" x14ac:dyDescent="0.25">
      <c r="A170" s="106"/>
      <c r="B170" s="333">
        <v>41639</v>
      </c>
      <c r="C170" s="107" t="s">
        <v>384</v>
      </c>
      <c r="D170" s="107" t="s">
        <v>384</v>
      </c>
      <c r="E170" s="107" t="s">
        <v>409</v>
      </c>
      <c r="F170" s="107" t="s">
        <v>416</v>
      </c>
      <c r="G170" s="107" t="s">
        <v>532</v>
      </c>
    </row>
    <row r="171" spans="1:7" s="285" customFormat="1" x14ac:dyDescent="0.25">
      <c r="A171" s="93" t="s">
        <v>98</v>
      </c>
      <c r="B171" s="451"/>
      <c r="C171" s="442"/>
      <c r="D171" s="442"/>
      <c r="E171" s="442"/>
      <c r="F171" s="442"/>
      <c r="G171" s="334"/>
    </row>
    <row r="172" spans="1:7" s="285" customFormat="1" x14ac:dyDescent="0.25">
      <c r="A172" s="94" t="s">
        <v>99</v>
      </c>
      <c r="B172" s="451">
        <f>+COUNCIL!D172+MAYOR!D172+SPEAKER!D172+MM!D172+CORP!D176+PROP!D172+RATES!D172+THALL!D172+FIN!D171+SOCIAL!D171+CEMETERY!D172+LIBRARIES!D172+HOUSING!D172+TRAFFIC!D172+PARKS!D172+REFUSE!D172+SEWAGE!D172+PWORKS!D172+WATER!D172+ELECTRIC!D172</f>
        <v>9799353</v>
      </c>
      <c r="C172" s="431">
        <f>+COUNCIL!E172+MAYOR!E172+SPEAKER!E172+MM!E172+CORP!E176+PROP!E172+RATES!E172+THALL!E172+FIN!E171+SOCIAL!E171+CEMETERY!E172+LIBRARIES!E172+HOUSING!E172+TRAFFIC!E172+PARKS!E172+REFUSE!E172+SEWAGE!E172+PWORKS!E172+WATER!E172+ELECTRIC!E172</f>
        <v>15629144.962800002</v>
      </c>
      <c r="D172" s="435">
        <f>+COUNCIL!F172+MAYOR!F172+SPEAKER!F172+MM!F172+CORP!F176+PROP!F172+RATES!F172+THALL!F172+FIN!F171+SOCIAL!F171+CEMETERY!F172+LIBRARIES!F172+HOUSING!F172+TRAFFIC!F172+PARKS!F172+REFUSE!F172+SEWAGE!F172+PWORKS!F172+WATER!F172+ELECTRIC!F172</f>
        <v>19629144.962800004</v>
      </c>
      <c r="E172" s="435">
        <f>+COUNCIL!G172+MAYOR!G172+SPEAKER!G172+MM!G172+CORP!G176+PROP!G172+RATES!G172+THALL!G172+FIN!G171+SOCIAL!G171+CEMETERY!G172+LIBRARIES!G172+HOUSING!G172+TRAFFIC!G172+PARKS!G172+REFUSE!G172+SEWAGE!G172+PWORKS!G172+WATER!G172+ELECTRIC!G172</f>
        <v>21592059.459080003</v>
      </c>
      <c r="F172" s="435">
        <f>+COUNCIL!H172+MAYOR!H172+SPEAKER!H172+MM!H172+CORP!H176+PROP!H172+RATES!H172+THALL!H172+FIN!H171+SOCIAL!H171+CEMETERY!H172+LIBRARIES!H172+HOUSING!H172+TRAFFIC!H172+PARKS!H172+REFUSE!H172+SEWAGE!H172+PWORKS!H172+WATER!H172+ELECTRIC!H172</f>
        <v>23751265.404988002</v>
      </c>
      <c r="G172" s="435">
        <f>+COUNCIL!I172+MAYOR!I172+SPEAKER!I172+MM!I172+CORP!I176+PROP!I172+RATES!I172+THALL!I172+FIN!I171+SOCIAL!I171+CEMETERY!I172+LIBRARIES!I172+HOUSING!I172+TRAFFIC!I172+PARKS!I172+REFUSE!I172+SEWAGE!I172+PWORKS!I172+WATER!I172+ELECTRIC!I172</f>
        <v>26126391.945486803</v>
      </c>
    </row>
    <row r="173" spans="1:7" s="285" customFormat="1" x14ac:dyDescent="0.25">
      <c r="A173" s="94" t="s">
        <v>402</v>
      </c>
      <c r="B173" s="225">
        <f>+COUNCIL!D173+MAYOR!D173+SPEAKER!D173+MM!D173+CORP!D177+PROP!D173+RATES!D173+THALL!D173+FIN!D172+SOCIAL!D172+CEMETERY!D173+LIBRARIES!D173+HOUSING!D173+TRAFFIC!D173+PARKS!D173+REFUSE!D173+SEWAGE!D173+PWORKS!D173+WATER!D173+ELECTRIC!D173</f>
        <v>-1557928</v>
      </c>
      <c r="C173" s="435">
        <f>+COUNCIL!E173+MAYOR!E173+SPEAKER!E173+MM!E173+CORP!E177+PROP!E173+RATES!E173+THALL!E173+FIN!E172+SOCIAL!E172+CEMETERY!E173+LIBRARIES!E173+HOUSING!E173+TRAFFIC!E173+PARKS!E173+REFUSE!E173+SEWAGE!E173+PWORKS!E173+WATER!E173+ELECTRIC!E173</f>
        <v>-4648694.5370400008</v>
      </c>
      <c r="D173" s="435">
        <f>+COUNCIL!F173+MAYOR!F173+SPEAKER!F173+MM!F173+CORP!F177+PROP!F173+RATES!F173+THALL!F173+FIN!F172+SOCIAL!F172+CEMETERY!F173+LIBRARIES!F173+HOUSING!F173+TRAFFIC!F173+PARKS!F173+REFUSE!F173+SEWAGE!F173+PWORKS!F173+WATER!F173+ELECTRIC!F173</f>
        <v>-3348694.5370400008</v>
      </c>
      <c r="E173" s="435">
        <f>+COUNCIL!G173+MAYOR!G173+SPEAKER!G173+MM!G173+CORP!G177+PROP!G173+RATES!G173+THALL!G173+FIN!G172+SOCIAL!G172+CEMETERY!G173+LIBRARIES!G173+HOUSING!G173+TRAFFIC!G173+PARKS!G173+REFUSE!G173+SEWAGE!G173+PWORKS!G173+WATER!G173+ELECTRIC!G173</f>
        <v>-3683563.9907440008</v>
      </c>
      <c r="F173" s="435">
        <f>+COUNCIL!H173+MAYOR!H173+SPEAKER!H173+MM!H173+CORP!H177+PROP!H173+RATES!H173+THALL!H173+FIN!H172+SOCIAL!H172+CEMETERY!H173+LIBRARIES!H173+HOUSING!H173+TRAFFIC!H173+PARKS!H173+REFUSE!H173+SEWAGE!H173+PWORKS!H173+WATER!H173+ELECTRIC!H173</f>
        <v>-4051920.3898184011</v>
      </c>
      <c r="G173" s="435">
        <f>+COUNCIL!I173+MAYOR!I173+SPEAKER!I173+MM!I173+CORP!I177+PROP!I173+RATES!I173+THALL!I173+FIN!I172+SOCIAL!I172+CEMETERY!I173+LIBRARIES!I173+HOUSING!I173+TRAFFIC!I173+PARKS!I173+REFUSE!I173+SEWAGE!I173+PWORKS!I173+WATER!I173+ELECTRIC!I173</f>
        <v>-4457112.4288002411</v>
      </c>
    </row>
    <row r="174" spans="1:7" s="285" customFormat="1" x14ac:dyDescent="0.25">
      <c r="A174" s="94"/>
      <c r="B174" s="443">
        <f>SUM(B172:B173)</f>
        <v>8241425</v>
      </c>
      <c r="C174" s="443">
        <f t="shared" ref="C174:G174" si="19">SUM(C172:C173)</f>
        <v>10980450.425760001</v>
      </c>
      <c r="D174" s="443">
        <f t="shared" si="19"/>
        <v>16280450.425760003</v>
      </c>
      <c r="E174" s="443">
        <f t="shared" si="19"/>
        <v>17908495.468336001</v>
      </c>
      <c r="F174" s="443">
        <f t="shared" si="19"/>
        <v>19699345.015169602</v>
      </c>
      <c r="G174" s="443">
        <f t="shared" si="19"/>
        <v>21669279.516686562</v>
      </c>
    </row>
    <row r="175" spans="1:7" s="285" customFormat="1" x14ac:dyDescent="0.25">
      <c r="A175" s="93" t="s">
        <v>100</v>
      </c>
      <c r="B175" s="451"/>
      <c r="C175" s="442"/>
      <c r="D175" s="442"/>
      <c r="E175" s="442"/>
      <c r="F175" s="442"/>
      <c r="G175" s="334"/>
    </row>
    <row r="176" spans="1:7" s="285" customFormat="1" x14ac:dyDescent="0.25">
      <c r="A176" s="94" t="s">
        <v>102</v>
      </c>
      <c r="B176" s="451">
        <f>+COUNCIL!D176+MAYOR!D176+SPEAKER!D176+MM!D176+CORP!D180+PROP!D176+RATES!D176+THALL!D176+FIN!D175+SOCIAL!D175+CEMETERY!D176+LIBRARIES!D176+HOUSING!D176+TRAFFIC!D176+PARKS!D176+REFUSE!D176+SEWAGE!D176+PWORKS!D176+WATER!D176+ELECTRIC!D176</f>
        <v>1078</v>
      </c>
      <c r="C176" s="442">
        <f>+COUNCIL!E176+MAYOR!E176+SPEAKER!E176+MM!E176+CORP!E175+PROP!E176+RATES!E176+THALL!E176+FIN!E176+SOCIAL!E175+CEMETERY!E176+LIBRARIES!E176+HOUSING!E176+TRAFFIC!E176+PARKS!E176+REFUSE!E176+SEWAGE!E176+PWORKS!E176+WATER!E176+ELECTRIC!E176</f>
        <v>7017.1320000000005</v>
      </c>
      <c r="D176" s="442">
        <v>7017.1320000000005</v>
      </c>
      <c r="E176" s="442">
        <f>+COUNCIL!G176+MAYOR!G176+SPEAKER!G176+MM!G176+CORP!G175+PROP!G176+RATES!G176+THALL!G176+FIN!G176+SOCIAL!G175+CEMETERY!G176+LIBRARIES!G176+HOUSING!G176+TRAFFIC!G176+PARKS!G176+REFUSE!G176+SEWAGE!G176+PWORKS!G176+WATER!G176+ELECTRIC!G176</f>
        <v>4593.05</v>
      </c>
      <c r="F176" s="442">
        <f>+COUNCIL!H176+MAYOR!H176+SPEAKER!H176+MM!H176+CORP!H175+PROP!H176+RATES!H176+THALL!H176+FIN!H176+SOCIAL!H175+CEMETERY!H176+LIBRARIES!H176+HOUSING!H176+TRAFFIC!H176+PARKS!H176+REFUSE!H176+SEWAGE!H176+PWORKS!H176+WATER!H176+ELECTRIC!H176</f>
        <v>5052.3549999999996</v>
      </c>
      <c r="G176" s="442">
        <f>+COUNCIL!I176+MAYOR!I176+SPEAKER!I176+MM!I176+CORP!I175+PROP!I176+RATES!I176+THALL!I176+FIN!I176+SOCIAL!I175+CEMETERY!I176+LIBRARIES!I176+HOUSING!I176+TRAFFIC!I176+PARKS!I176+REFUSE!I176+SEWAGE!I176+PWORKS!I176+WATER!I176+ELECTRIC!I176</f>
        <v>5557.5905000000002</v>
      </c>
    </row>
    <row r="177" spans="1:7" s="285" customFormat="1" x14ac:dyDescent="0.25">
      <c r="A177" s="106" t="s">
        <v>343</v>
      </c>
      <c r="B177" s="379">
        <f>+COUNCIL!D177+MAYOR!D177+SPEAKER!D177+MM!D177+CORP!D181+PROP!D177+RATES!D177+THALL!D177+FIN!D176+SOCIAL!D176+CEMETERY!D177+LIBRARIES!D177+HOUSING!D177+TRAFFIC!D177+PARKS!D177+REFUSE!D177+SEWAGE!D177+PWORKS!D177+WATER!D177+ELECTRIC!D177</f>
        <v>43508</v>
      </c>
      <c r="C177" s="380">
        <f>+COUNCIL!E177+MAYOR!E177+SPEAKER!E177+MM!E177+CORP!E181+PROP!E177+RATES!E177+THALL!E177+FIN!E176+SOCIAL!E176+CEMETERY!E177+LIBRARIES!E177+HOUSING!E177+TRAFFIC!E177+PARKS!E177+REFUSE!E177+SEWAGE!E177+PWORKS!E177+WATER!E177+ELECTRIC!E177</f>
        <v>77630.16</v>
      </c>
      <c r="D177" s="380">
        <v>77630.16</v>
      </c>
      <c r="E177" s="380">
        <f>+COUNCIL!G177+MAYOR!G177+SPEAKER!G177+MM!G177+CORP!G181+PROP!G177+RATES!G177+THALL!G177+FIN!G176+SOCIAL!G176+CEMETERY!G177+LIBRARIES!G177+HOUSING!G177+TRAFFIC!G177+PARKS!G177+REFUSE!G177+SEWAGE!G177+PWORKS!G177+WATER!G177+ELECTRIC!G177</f>
        <v>85393.176000000007</v>
      </c>
      <c r="F177" s="380">
        <f>+COUNCIL!H177+MAYOR!H177+SPEAKER!H177+MM!H177+CORP!H181+PROP!H177+RATES!H177+THALL!H177+FIN!H176+SOCIAL!H176+CEMETERY!H177+LIBRARIES!H177+HOUSING!H177+TRAFFIC!H177+PARKS!H177+REFUSE!H177+SEWAGE!H177+PWORKS!H177+WATER!H177+ELECTRIC!H177</f>
        <v>93932.493600000002</v>
      </c>
      <c r="G177" s="380">
        <f>+COUNCIL!I177+MAYOR!I177+SPEAKER!I177+MM!I177+CORP!I181+PROP!I177+RATES!I177+THALL!I177+FIN!I176+SOCIAL!I176+CEMETERY!I177+LIBRARIES!I177+HOUSING!I177+TRAFFIC!I177+PARKS!I177+REFUSE!I177+SEWAGE!I177+PWORKS!I177+WATER!I177+ELECTRIC!I177</f>
        <v>103325.74296</v>
      </c>
    </row>
    <row r="178" spans="1:7" s="285" customFormat="1" x14ac:dyDescent="0.25">
      <c r="A178" s="97" t="s">
        <v>104</v>
      </c>
      <c r="B178" s="334">
        <f>+COUNCIL!D178+MAYOR!D178+SPEAKER!D178+MM!D178+CORP!D182+PROP!D178+RATES!D178+THALL!D178+FIN!D177+SOCIAL!D177+CEMETERY!D178+LIBRARIES!D178+HOUSING!D178+TRAFFIC!D178+PARKS!D178+REFUSE!D178+SEWAGE!D178+PWORKS!D178+WATER!D178+ELECTRIC!D178</f>
        <v>0</v>
      </c>
      <c r="C178" s="381">
        <f>+COUNCIL!E178+MAYOR!E178+SPEAKER!E178+MM!E178+CORP!E182+PROP!E178+RATES!E178+THALL!E178+FIN!E178+SOCIAL!E177+CEMETERY!E178+LIBRARIES!E178+HOUSING!E178+TRAFFIC!E178+PARKS!E178+REFUSE!E178+SEWAGE!E178+PWORKS!E178+WATER!E178+ELECTRIC!E178</f>
        <v>6285.3119999999999</v>
      </c>
      <c r="D178" s="381">
        <v>0</v>
      </c>
      <c r="E178" s="381">
        <f>+COUNCIL!G178+MAYOR!G178+SPEAKER!G178+MM!G178+CORP!G182+PROP!G178+RATES!G178+THALL!G178+FIN!G177+SOCIAL!G177+CEMETERY!G178+LIBRARIES!G178+HOUSING!G178+TRAFFIC!G178+PARKS!G178+REFUSE!G178+SEWAGE!G178+PWORKS!G178+WATER!G178+ELECTRIC!G178</f>
        <v>0</v>
      </c>
      <c r="F178" s="381">
        <f>+COUNCIL!H178+MAYOR!H178+SPEAKER!H178+MM!H178+CORP!H182+PROP!H178+RATES!H178+THALL!H178+FIN!H177+SOCIAL!H177+CEMETERY!H178+LIBRARIES!H178+HOUSING!H178+TRAFFIC!H178+PARKS!H178+REFUSE!H178+SEWAGE!H178+PWORKS!H178+WATER!H178+ELECTRIC!H178</f>
        <v>0</v>
      </c>
      <c r="G178" s="381">
        <f>+COUNCIL!I178+MAYOR!I178+SPEAKER!I178+MM!I178+CORP!I182+PROP!I178+RATES!I178+THALL!I178+FIN!I177+SOCIAL!I177+CEMETERY!I178+LIBRARIES!I178+HOUSING!I178+TRAFFIC!I178+PARKS!I178+REFUSE!I178+SEWAGE!I178+PWORKS!I178+WATER!I178+ELECTRIC!I178</f>
        <v>0</v>
      </c>
    </row>
    <row r="179" spans="1:7" s="285" customFormat="1" x14ac:dyDescent="0.25">
      <c r="A179" s="94" t="s">
        <v>115</v>
      </c>
      <c r="B179" s="451">
        <f>+COUNCIL!D179+MAYOR!D179+SPEAKER!D179+MM!D179+CORP!D183+PROP!D179+RATES!D179+THALL!D179+FIN!D178+SOCIAL!D178+CEMETERY!D179+LIBRARIES!D179+HOUSING!D179+TRAFFIC!D179+PARKS!D179+REFUSE!D179+SEWAGE!D179+PWORKS!D179+WATER!D179+ELECTRIC!D179</f>
        <v>35925</v>
      </c>
      <c r="C179" s="442">
        <f>+COUNCIL!E179+MAYOR!E179+SPEAKER!E179+MM!E179+CORP!E183+PROP!E179+RATES!E179+THALL!E179+FIN!E179+SOCIAL!E178+CEMETERY!E179+LIBRARIES!E179+HOUSING!E179+TRAFFIC!E179+PARKS!E179+REFUSE!E179+SEWAGE!E179+PWORKS!E179+WATER!E179+ELECTRIC!E179</f>
        <v>61860.979999999996</v>
      </c>
      <c r="D179" s="442">
        <v>68146.292000000001</v>
      </c>
      <c r="E179" s="442">
        <f>+COUNCIL!G179+MAYOR!G179+SPEAKER!G179+MM!G179+CORP!G183+PROP!G179+RATES!G179+THALL!G179+FIN!G178+SOCIAL!G178+CEMETERY!G179+LIBRARIES!G179+HOUSING!G179+TRAFFIC!G179+PARKS!G179+REFUSE!G179+SEWAGE!G179+PWORKS!G179+WATER!G179+ELECTRIC!G179</f>
        <v>74960.921199999997</v>
      </c>
      <c r="F179" s="442">
        <f>+COUNCIL!H179+MAYOR!H179+SPEAKER!H179+MM!H179+CORP!H183+PROP!H179+RATES!H179+THALL!H179+FIN!H178+SOCIAL!H178+CEMETERY!H179+LIBRARIES!H179+HOUSING!H179+TRAFFIC!H179+PARKS!H179+REFUSE!H179+SEWAGE!H179+PWORKS!H179+WATER!H179+ELECTRIC!H179</f>
        <v>82457.013319999998</v>
      </c>
      <c r="G179" s="442">
        <f>+COUNCIL!I179+MAYOR!I179+SPEAKER!I179+MM!I179+CORP!I183+PROP!I179+RATES!I179+THALL!I179+FIN!I178+SOCIAL!I178+CEMETERY!I179+LIBRARIES!I179+HOUSING!I179+TRAFFIC!I179+PARKS!I179+REFUSE!I179+SEWAGE!I179+PWORKS!I179+WATER!I179+ELECTRIC!I179</f>
        <v>90702.714651999995</v>
      </c>
    </row>
    <row r="180" spans="1:7" s="285" customFormat="1" x14ac:dyDescent="0.25">
      <c r="A180" s="94" t="s">
        <v>109</v>
      </c>
      <c r="B180" s="451">
        <f>+COUNCIL!D180+MAYOR!D180+SPEAKER!D180+MM!D180+CORP!D184+PROP!D180+RATES!D180+THALL!D180+FIN!D179+SOCIAL!D179+CEMETERY!D180+LIBRARIES!D180+HOUSING!D180+TRAFFIC!D180+PARKS!D180+REFUSE!D180+SEWAGE!D180+PWORKS!D180+WATER!D180+ELECTRIC!D180</f>
        <v>11409677</v>
      </c>
      <c r="C180" s="442">
        <f>+COUNCIL!E180+MAYOR!E180+SPEAKER!E180+MM!E180+CORP!E184+PROP!E180+RATES!E180+THALL!E180+FIN!E179+SOCIAL!E179+CEMETERY!E180+LIBRARIES!E180+HOUSING!E180+TRAFFIC!E180+PARKS!E180+REFUSE!E180+SEWAGE!E180+PWORKS!E180+WATER!E180+ELECTRIC!E180</f>
        <v>30157684.407612007</v>
      </c>
      <c r="D180" s="442">
        <v>23157684.407612007</v>
      </c>
      <c r="E180" s="442">
        <f>+COUNCIL!G180+MAYOR!G180+SPEAKER!G180+MM!G180+CORP!G184+PROP!G180+RATES!G180+THALL!G180+FIN!G179+SOCIAL!G179+CEMETERY!G180+LIBRARIES!G180+HOUSING!G180+TRAFFIC!G180+PARKS!G180+REFUSE!G180+SEWAGE!G180+PWORKS!G180+WATER!G180+ELECTRIC!G180</f>
        <v>25473452.848373208</v>
      </c>
      <c r="F180" s="442">
        <f>+COUNCIL!H180+MAYOR!H180+SPEAKER!H180+MM!H180+CORP!H184+PROP!H180+RATES!H180+THALL!H180+FIN!H179+SOCIAL!H179+CEMETERY!H180+LIBRARIES!H180+HOUSING!H180+TRAFFIC!H180+PARKS!H180+REFUSE!H180+SEWAGE!H180+PWORKS!H180+WATER!H180+ELECTRIC!H180</f>
        <v>28020798.133210529</v>
      </c>
      <c r="G180" s="442">
        <f>+COUNCIL!I180+MAYOR!I180+SPEAKER!I180+MM!I180+CORP!I184+PROP!I180+RATES!I180+THALL!I180+FIN!I179+SOCIAL!I179+CEMETERY!I180+LIBRARIES!I180+HOUSING!I180+TRAFFIC!I180+PARKS!I180+REFUSE!I180+SEWAGE!I180+PWORKS!I180+WATER!I180+ELECTRIC!I180</f>
        <v>30822877.946531583</v>
      </c>
    </row>
    <row r="181" spans="1:7" s="285" customFormat="1" x14ac:dyDescent="0.25">
      <c r="A181" s="94" t="s">
        <v>266</v>
      </c>
      <c r="B181" s="435">
        <f>+COUNCIL!D181+MAYOR!D181+SPEAKER!D181+MM!D181+CORP!D185+PROP!D181+RATES!D181+THALL!D181+FIN!D180+SOCIAL!D180+CEMETERY!D181+LIBRARIES!D181+HOUSING!D181+TRAFFIC!D181+PARKS!D181+REFUSE!D181+SEWAGE!D181+PWORKS!D181+WATER!D181+ELECTRIC!D181</f>
        <v>0</v>
      </c>
      <c r="C181" s="435">
        <f>+COUNCIL!E181+MAYOR!E181+SPEAKER!E181+MM!E181+CORP!E180+PROP!E181+RATES!E181+THALL!E181+FIN!E181+SOCIAL!E180+CEMETERY!E181+LIBRARIES!E181+HOUSING!E181+TRAFFIC!E181+PARKS!E181+REFUSE!E181+SEWAGE!E181+PWORKS!E181+WATER!E181+ELECTRIC!E181+14051</f>
        <v>-1131628.5759999999</v>
      </c>
      <c r="D181" s="435">
        <v>-1010379.336</v>
      </c>
      <c r="E181" s="435">
        <f>+COUNCIL!G181+MAYOR!G181+SPEAKER!G181+MM!G181+CORP!G185+PROP!G181+RATES!G181+THALL!G181+FIN!G180+SOCIAL!G180+CEMETERY!G181+LIBRARIES!G181+HOUSING!G181+TRAFFIC!G181+PARKS!G181+REFUSE!G181+SEWAGE!G181+PWORKS!G181+WATER!G181+ELECTRIC!G181</f>
        <v>-1111417.2695999998</v>
      </c>
      <c r="F181" s="435">
        <f>+COUNCIL!H181+MAYOR!H181+SPEAKER!H181+MM!H181+CORP!H185+PROP!H181+RATES!H181+THALL!H181+FIN!H180+SOCIAL!H180+CEMETERY!H181+LIBRARIES!H181+HOUSING!H181+TRAFFIC!H181+PARKS!H181+REFUSE!H181+SEWAGE!H181+PWORKS!H181+WATER!H181+ELECTRIC!H181</f>
        <v>-1222558.9965600001</v>
      </c>
      <c r="G181" s="435">
        <f>+COUNCIL!I181+MAYOR!I181+SPEAKER!I181+MM!I181+CORP!I185+PROP!I181+RATES!I181+THALL!I181+FIN!I180+SOCIAL!I180+CEMETERY!I181+LIBRARIES!I181+HOUSING!I181+TRAFFIC!I181+PARKS!I181+REFUSE!I181+SEWAGE!I181+PWORKS!I181+WATER!I181+ELECTRIC!I181</f>
        <v>-1344814.896216</v>
      </c>
    </row>
    <row r="182" spans="1:7" s="285" customFormat="1" x14ac:dyDescent="0.25">
      <c r="A182" s="94" t="s">
        <v>296</v>
      </c>
      <c r="B182" s="435">
        <f>+COUNCIL!D182+MAYOR!D182+SPEAKER!D182+MM!D182+CORP!D186+PROP!D182+RATES!D182+THALL!D182+FIN!D181+SOCIAL!D181+CEMETERY!D182+LIBRARIES!D182+HOUSING!D182+TRAFFIC!D182+PARKS!D182+REFUSE!D182+SEWAGE!D182+PWORKS!D182+WATER!D182+ELECTRIC!D182</f>
        <v>-63277</v>
      </c>
      <c r="C182" s="435">
        <f>+COUNCIL!E182+MAYOR!E182+SPEAKER!E182+MM!E182+CORP!E181+PROP!E182+RATES!E182+THALL!E182+FIN!E182+SOCIAL!E181+CEMETERY!E182+LIBRARIES!E182+HOUSING!E182+TRAFFIC!E182+PARKS!E182+REFUSE!E182+SEWAGE!E182+PWORKS!E182+WATER!E182+ELECTRIC!E182</f>
        <v>-3499200</v>
      </c>
      <c r="D182" s="435">
        <v>-566562.24</v>
      </c>
      <c r="E182" s="435">
        <f>+COUNCIL!G182+MAYOR!G182+SPEAKER!G182+MM!G182+CORP!G186+PROP!G182+RATES!G182+THALL!G182+FIN!G181+SOCIAL!G181+CEMETERY!G182+LIBRARIES!G182+HOUSING!G182+TRAFFIC!G182+PARKS!G182+REFUSE!G182+SEWAGE!G182+PWORKS!G182+WATER!G182+ELECTRIC!G182</f>
        <v>-623218.46400000004</v>
      </c>
      <c r="F182" s="435">
        <f>+COUNCIL!H182+MAYOR!H182+SPEAKER!H182+MM!H182+CORP!H186+PROP!H182+RATES!H182+THALL!H182+FIN!H181+SOCIAL!H181+CEMETERY!H182+LIBRARIES!H182+HOUSING!H182+TRAFFIC!H182+PARKS!H182+REFUSE!H182+SEWAGE!H182+PWORKS!H182+WATER!H182+ELECTRIC!H182</f>
        <v>-685540.31039999996</v>
      </c>
      <c r="G182" s="435">
        <f>+COUNCIL!I182+MAYOR!I182+SPEAKER!I182+MM!I182+CORP!I186+PROP!I182+RATES!I182+THALL!I182+FIN!I181+SOCIAL!I181+CEMETERY!I182+LIBRARIES!I182+HOUSING!I182+TRAFFIC!I182+PARKS!I182+REFUSE!I182+SEWAGE!I182+PWORKS!I182+WATER!I182+ELECTRIC!I182</f>
        <v>-754094.34143999999</v>
      </c>
    </row>
    <row r="183" spans="1:7" s="285" customFormat="1" x14ac:dyDescent="0.25">
      <c r="A183" s="94" t="s">
        <v>113</v>
      </c>
      <c r="B183" s="442">
        <f>+COUNCIL!D183+MAYOR!D183+SPEAKER!D183+MM!D183+CORP!D187+PROP!D183+RATES!D183+THALL!D183+FIN!D182+SOCIAL!D182+CEMETERY!D183+LIBRARIES!D183+HOUSING!D183+TRAFFIC!D183+PARKS!D183+REFUSE!D183+SEWAGE!D183+PWORKS!D183+WATER!D183+ELECTRIC!D183</f>
        <v>2762</v>
      </c>
      <c r="C183" s="442">
        <f>+COUNCIL!E183+MAYOR!E183+SPEAKER!E183+MM!E183+CORP!E187+PROP!E183+RATES!E183+THALL!E183+FIN!E182+SOCIAL!E182+CEMETERY!E183+LIBRARIES!E183+HOUSING!E183+TRAFFIC!E183+PARKS!E183+REFUSE!E183+SEWAGE!E183+PWORKS!E183+WATER!E183+ELECTRIC!E183</f>
        <v>205768.08000000002</v>
      </c>
      <c r="D183" s="435">
        <v>205768.08000000002</v>
      </c>
      <c r="E183" s="435">
        <f>+COUNCIL!G183+MAYOR!G183+SPEAKER!G183+MM!G183+CORP!G187+PROP!G183+RATES!G183+THALL!G183+FIN!G182+SOCIAL!G182+CEMETERY!G183+LIBRARIES!G183+HOUSING!G183+TRAFFIC!G183+PARKS!G183+REFUSE!G183+SEWAGE!G183+PWORKS!G183+WATER!G183+ELECTRIC!G183</f>
        <v>226344.88800000004</v>
      </c>
      <c r="F183" s="435">
        <f>+COUNCIL!H183+MAYOR!H183+SPEAKER!H183+MM!H183+CORP!H187+PROP!H183+RATES!H183+THALL!H183+FIN!H182+SOCIAL!H182+CEMETERY!H183+LIBRARIES!H183+HOUSING!H183+TRAFFIC!H183+PARKS!H183+REFUSE!H183+SEWAGE!H183+PWORKS!H183+WATER!H183+ELECTRIC!H183</f>
        <v>248979.37680000003</v>
      </c>
      <c r="G183" s="435">
        <f>+COUNCIL!I183+MAYOR!I183+SPEAKER!I183+MM!I183+CORP!I187+PROP!I183+RATES!I183+THALL!I183+FIN!I182+SOCIAL!I182+CEMETERY!I183+LIBRARIES!I183+HOUSING!I183+TRAFFIC!I183+PARKS!I183+REFUSE!I183+SEWAGE!I183+PWORKS!I183+WATER!I183+ELECTRIC!I183</f>
        <v>273877.31448000006</v>
      </c>
    </row>
    <row r="184" spans="1:7" s="285" customFormat="1" x14ac:dyDescent="0.25">
      <c r="A184" s="94" t="s">
        <v>132</v>
      </c>
      <c r="B184" s="442">
        <f>+COUNCIL!D184+MAYOR!D184+SPEAKER!D184+MM!D184+CORP!D188+PROP!D184+RATES!D184+THALL!D184+FIN!D183+SOCIAL!D183+CEMETERY!D184+LIBRARIES!D184+HOUSING!D184+TRAFFIC!D184+PARKS!D184+REFUSE!D184+SEWAGE!D184+PWORKS!D184+WATER!D184+ELECTRIC!D184</f>
        <v>0</v>
      </c>
      <c r="C184" s="442">
        <f>+COUNCIL!E184+MAYOR!E184+SPEAKER!E184+MM!E184+CORP!E188+PROP!E184+RATES!E184+THALL!E184+FIN!E183+SOCIAL!E183+CEMETERY!E184+LIBRARIES!E184+HOUSING!E184+TRAFFIC!E184+PARKS!E184+REFUSE!E184+SEWAGE!E184+PWORKS!E184+WATER!E184+ELECTRIC!E184</f>
        <v>0</v>
      </c>
      <c r="D184" s="435">
        <v>0</v>
      </c>
      <c r="E184" s="435">
        <f>+COUNCIL!G184+MAYOR!G184+SPEAKER!G184+MM!G184+CORP!G188+PROP!G184+RATES!G184+THALL!G184+FIN!G183+SOCIAL!G183+CEMETERY!G184+LIBRARIES!G184+HOUSING!G184+TRAFFIC!G184+PARKS!G184+REFUSE!G184+SEWAGE!G184+PWORKS!G184+WATER!G184+ELECTRIC!G184</f>
        <v>0</v>
      </c>
      <c r="F184" s="435">
        <f>+COUNCIL!H184+MAYOR!H184+SPEAKER!H184+MM!H184+CORP!H188+PROP!H184+RATES!H184+THALL!H184+FIN!H183+SOCIAL!H183+CEMETERY!H184+LIBRARIES!H184+HOUSING!H184+TRAFFIC!H184+PARKS!H184+REFUSE!H184+SEWAGE!H184+PWORKS!H184+WATER!H184+ELECTRIC!H184</f>
        <v>0</v>
      </c>
      <c r="G184" s="435">
        <f>+COUNCIL!I184+MAYOR!I184+SPEAKER!I184+MM!I184+CORP!I188+PROP!I184+RATES!I184+THALL!I184+FIN!I183+SOCIAL!I183+CEMETERY!I184+LIBRARIES!I184+HOUSING!I184+TRAFFIC!I184+PARKS!I184+REFUSE!I184+SEWAGE!I184+PWORKS!I184+WATER!I184+ELECTRIC!I184</f>
        <v>0</v>
      </c>
    </row>
    <row r="185" spans="1:7" s="285" customFormat="1" x14ac:dyDescent="0.25">
      <c r="A185" s="94" t="s">
        <v>120</v>
      </c>
      <c r="B185" s="442">
        <f>+COUNCIL!D185+MAYOR!D185+SPEAKER!D185+MM!D185+CORP!D189+PROP!D185+RATES!D185+THALL!D185+FIN!D184+SOCIAL!D184+CEMETERY!D185+LIBRARIES!D185+HOUSING!D185+TRAFFIC!D185+PARKS!D185+REFUSE!D185+SEWAGE!D185+PWORKS!D185+WATER!D185+ELECTRIC!D185</f>
        <v>0</v>
      </c>
      <c r="C185" s="442">
        <f>+COUNCIL!E185+MAYOR!E185+SPEAKER!E185+MM!E185+CORP!E189+PROP!E185+RATES!E185+THALL!E185+FIN!E184+SOCIAL!E184+CEMETERY!E185+LIBRARIES!E185+HOUSING!E185+TRAFFIC!E185+PARKS!E185+REFUSE!E185+SEWAGE!E185+PWORKS!E185+WATER!E185+ELECTRIC!E185</f>
        <v>0</v>
      </c>
      <c r="D185" s="435">
        <v>0</v>
      </c>
      <c r="E185" s="435">
        <f>+COUNCIL!G185+MAYOR!G185+SPEAKER!G185+MM!G185+CORP!G189+PROP!G185+RATES!G185+THALL!G185+FIN!G184+SOCIAL!G184+CEMETERY!G185+LIBRARIES!G185+HOUSING!G185+TRAFFIC!G185+PARKS!G185+REFUSE!G185+SEWAGE!G185+PWORKS!G185+WATER!G185+ELECTRIC!G185</f>
        <v>0</v>
      </c>
      <c r="F185" s="435">
        <f>+COUNCIL!H185+MAYOR!H185+SPEAKER!H185+MM!H185+CORP!H189+PROP!H185+RATES!H185+THALL!H185+FIN!H184+SOCIAL!H184+CEMETERY!H185+LIBRARIES!H185+HOUSING!H185+TRAFFIC!H185+PARKS!H185+REFUSE!H185+SEWAGE!H185+PWORKS!H185+WATER!H185+ELECTRIC!H185</f>
        <v>0</v>
      </c>
      <c r="G185" s="435">
        <f>+COUNCIL!I185+MAYOR!I185+SPEAKER!I185+MM!I185+CORP!I189+PROP!I185+RATES!I185+THALL!I185+FIN!I184+SOCIAL!I184+CEMETERY!I185+LIBRARIES!I185+HOUSING!I185+TRAFFIC!I185+PARKS!I185+REFUSE!I185+SEWAGE!I185+PWORKS!I185+WATER!I185+ELECTRIC!I185</f>
        <v>0</v>
      </c>
    </row>
    <row r="186" spans="1:7" s="285" customFormat="1" x14ac:dyDescent="0.25">
      <c r="A186" s="94" t="s">
        <v>116</v>
      </c>
      <c r="B186" s="442">
        <f>+COUNCIL!D186+MAYOR!D186+SPEAKER!D186+MM!D186+CORP!D190+PROP!D186+RATES!D186+THALL!D186+FIN!D185+SOCIAL!D185+CEMETERY!D186+LIBRARIES!D186+HOUSING!D186+TRAFFIC!D186+PARKS!D186+REFUSE!D186+SEWAGE!D186+PWORKS!D186+WATER!D186+ELECTRIC!D186</f>
        <v>0</v>
      </c>
      <c r="C186" s="442">
        <f>+COUNCIL!E186+MAYOR!E186+SPEAKER!E186+MM!E186+CORP!E190+PROP!E186+RATES!E186+THALL!E186+FIN!E185+SOCIAL!E185+CEMETERY!E186+LIBRARIES!E186+HOUSING!E186+TRAFFIC!E186+PARKS!E186+REFUSE!E186+SEWAGE!E186+PWORKS!E186+WATER!E186+ELECTRIC!E186</f>
        <v>0</v>
      </c>
      <c r="D186" s="435">
        <v>0</v>
      </c>
      <c r="E186" s="435">
        <f>+COUNCIL!G186+MAYOR!G186+SPEAKER!G186+MM!G186+CORP!G190+PROP!G186+RATES!G186+THALL!G186+FIN!G185+SOCIAL!G185+CEMETERY!G186+LIBRARIES!G186+HOUSING!G186+TRAFFIC!G186+PARKS!G186+REFUSE!G186+SEWAGE!G186+PWORKS!G186+WATER!G186+ELECTRIC!G186</f>
        <v>0</v>
      </c>
      <c r="F186" s="435">
        <f>+COUNCIL!H186+MAYOR!H186+SPEAKER!H186+MM!H186+CORP!H190+PROP!H186+RATES!H186+THALL!H186+FIN!H185+SOCIAL!H185+CEMETERY!H186+LIBRARIES!H186+HOUSING!H186+TRAFFIC!H186+PARKS!H186+REFUSE!H186+SEWAGE!H186+PWORKS!H186+WATER!H186+ELECTRIC!H186</f>
        <v>0</v>
      </c>
      <c r="G186" s="435">
        <f>+COUNCIL!I186+MAYOR!I186+SPEAKER!I186+MM!I186+CORP!I190+PROP!I186+RATES!I186+THALL!I186+FIN!I185+SOCIAL!I185+CEMETERY!I186+LIBRARIES!I186+HOUSING!I186+TRAFFIC!I186+PARKS!I186+REFUSE!I186+SEWAGE!I186+PWORKS!I186+WATER!I186+ELECTRIC!I186</f>
        <v>0</v>
      </c>
    </row>
    <row r="187" spans="1:7" s="285" customFormat="1" x14ac:dyDescent="0.25">
      <c r="A187" s="94" t="s">
        <v>101</v>
      </c>
      <c r="B187" s="442">
        <f>+COUNCIL!D187+MAYOR!D187+SPEAKER!D187+MM!D187+CORP!D191+PROP!D187+RATES!D187+THALL!D187+FIN!D186+SOCIAL!D186+CEMETERY!D187+LIBRARIES!D187+HOUSING!D187+TRAFFIC!D187+PARKS!D187+REFUSE!D187+SEWAGE!D187+PWORKS!D187+WATER!D187+ELECTRIC!D187</f>
        <v>0</v>
      </c>
      <c r="C187" s="442">
        <f>+COUNCIL!E187+MAYOR!E187+SPEAKER!E187+MM!E187+CORP!E191+PROP!E187+RATES!E187+THALL!E187+FIN!E186+SOCIAL!E186+CEMETERY!E187+LIBRARIES!E187+HOUSING!E187+TRAFFIC!E187+PARKS!E187+REFUSE!E187+SEWAGE!E187+PWORKS!E187+WATER!E187+ELECTRIC!E187</f>
        <v>0</v>
      </c>
      <c r="D187" s="435">
        <v>0</v>
      </c>
      <c r="E187" s="435">
        <f>+COUNCIL!G187+MAYOR!G187+SPEAKER!G187+MM!G187+CORP!G191+PROP!G187+RATES!G187+THALL!G187+FIN!G186+SOCIAL!G186+CEMETERY!G187+LIBRARIES!G187+HOUSING!G187+TRAFFIC!G187+PARKS!G187+REFUSE!G187+SEWAGE!G187+PWORKS!G187+WATER!G187+ELECTRIC!G187</f>
        <v>0</v>
      </c>
      <c r="F187" s="435">
        <f>+COUNCIL!H187+MAYOR!H187+SPEAKER!H187+MM!H187+CORP!H191+PROP!H187+RATES!H187+THALL!H187+FIN!H186+SOCIAL!H186+CEMETERY!H187+LIBRARIES!H187+HOUSING!H187+TRAFFIC!H187+PARKS!H187+REFUSE!H187+SEWAGE!H187+PWORKS!H187+WATER!H187+ELECTRIC!H187</f>
        <v>0</v>
      </c>
      <c r="G187" s="435">
        <f>+COUNCIL!I187+MAYOR!I187+SPEAKER!I187+MM!I187+CORP!I191+PROP!I187+RATES!I187+THALL!I187+FIN!I186+SOCIAL!I186+CEMETERY!I187+LIBRARIES!I187+HOUSING!I187+TRAFFIC!I187+PARKS!I187+REFUSE!I187+SEWAGE!I187+PWORKS!I187+WATER!I187+ELECTRIC!I187</f>
        <v>0</v>
      </c>
    </row>
    <row r="188" spans="1:7" s="285" customFormat="1" x14ac:dyDescent="0.25">
      <c r="A188" s="94" t="s">
        <v>114</v>
      </c>
      <c r="B188" s="442">
        <f>+COUNCIL!D188+MAYOR!D188+SPEAKER!D188+MM!D188+CORP!D192+PROP!D188+RATES!D188+THALL!D188+FIN!D187+SOCIAL!D187+CEMETERY!D188+LIBRARIES!D188+HOUSING!D188+TRAFFIC!D188+PARKS!D188+REFUSE!D188+SEWAGE!D188+PWORKS!D188+WATER!D188+ELECTRIC!D188</f>
        <v>4899569</v>
      </c>
      <c r="C188" s="442">
        <f>+COUNCIL!E188+MAYOR!E188+SPEAKER!E188+MM!E188+CORP!E192+PROP!E188+RATES!E188+THALL!E188+FIN!E187+SOCIAL!E187+CEMETERY!E188+LIBRARIES!E188+HOUSING!E188+TRAFFIC!E188+PARKS!E188+REFUSE!E188+SEWAGE!E188+PWORKS!E188+WATER!E188+ELECTRIC!E188</f>
        <v>9195169.3648000006</v>
      </c>
      <c r="D188" s="435">
        <v>9495169.3648000006</v>
      </c>
      <c r="E188" s="435">
        <f>+COUNCIL!G188+MAYOR!G188+SPEAKER!G188+MM!G188+CORP!G192+PROP!G188+RATES!G188+THALL!G188+FIN!G187+SOCIAL!G187+CEMETERY!G188+LIBRARIES!G188+HOUSING!G188+TRAFFIC!G188+PARKS!G188+REFUSE!G188+SEWAGE!G188+PWORKS!G188+WATER!G188+ELECTRIC!G188</f>
        <v>10444686.301280001</v>
      </c>
      <c r="F188" s="435">
        <f>+COUNCIL!H188+MAYOR!H188+SPEAKER!H188+MM!H188+CORP!H192+PROP!H188+RATES!H188+THALL!H188+FIN!H187+SOCIAL!H187+CEMETERY!H188+LIBRARIES!H188+HOUSING!H188+TRAFFIC!H188+PARKS!H188+REFUSE!H188+SEWAGE!H188+PWORKS!H188+WATER!H188+ELECTRIC!H188</f>
        <v>11489154.931408001</v>
      </c>
      <c r="G188" s="435">
        <f>+COUNCIL!I188+MAYOR!I188+SPEAKER!I188+MM!I188+CORP!I192+PROP!I188+RATES!I188+THALL!I188+FIN!I187+SOCIAL!I187+CEMETERY!I188+LIBRARIES!I188+HOUSING!I188+TRAFFIC!I188+PARKS!I188+REFUSE!I188+SEWAGE!I188+PWORKS!I188+WATER!I188+ELECTRIC!I188</f>
        <v>12638070.424548801</v>
      </c>
    </row>
    <row r="189" spans="1:7" s="285" customFormat="1" x14ac:dyDescent="0.25">
      <c r="A189" s="94" t="s">
        <v>403</v>
      </c>
      <c r="B189" s="442">
        <f>+COUNCIL!D189+MAYOR!D189+SPEAKER!D189+MM!D189+CORP!D193+PROP!D189+RATES!D189+THALL!D189+FIN!D188+SOCIAL!D188+CEMETERY!D189+LIBRARIES!D189+HOUSING!D189+TRAFFIC!D189+PARKS!D189+REFUSE!D189+SEWAGE!D189+PWORKS!D189+WATER!D189+ELECTRIC!D189</f>
        <v>-649824</v>
      </c>
      <c r="C189" s="442">
        <f>+COUNCIL!E189+MAYOR!E189+SPEAKER!E189+MM!E189+CORP!E193+PROP!E189+RATES!E189+THALL!E189+FIN!E188+SOCIAL!E188+CEMETERY!E189+LIBRARIES!E189+HOUSING!E189+TRAFFIC!E189+PARKS!E189+REFUSE!E189+SEWAGE!E189+PWORKS!E189+WATER!E189+ELECTRIC!E189</f>
        <v>-2862000</v>
      </c>
      <c r="D189" s="435">
        <v>-1462000</v>
      </c>
      <c r="E189" s="435">
        <f>+COUNCIL!G189+MAYOR!G189+SPEAKER!G189+MM!G189+CORP!G193+PROP!G189+RATES!G189+THALL!G189+FIN!G188+SOCIAL!G188+CEMETERY!G189+LIBRARIES!G189+HOUSING!G189+TRAFFIC!G189+PARKS!G189+REFUSE!G189+SEWAGE!G189+PWORKS!G189+WATER!G189+ELECTRIC!G189</f>
        <v>-1608200</v>
      </c>
      <c r="F189" s="435">
        <f>+COUNCIL!H189+MAYOR!H189+SPEAKER!H189+MM!H189+CORP!H193+PROP!H189+RATES!H189+THALL!H189+FIN!H188+SOCIAL!H188+CEMETERY!H189+LIBRARIES!H189+HOUSING!H189+TRAFFIC!H189+PARKS!H189+REFUSE!H189+SEWAGE!H189+PWORKS!H189+WATER!H189+ELECTRIC!H189</f>
        <v>-1769020</v>
      </c>
      <c r="G189" s="435">
        <f>+COUNCIL!I189+MAYOR!I189+SPEAKER!I189+MM!I189+CORP!I193+PROP!I189+RATES!I189+THALL!I189+FIN!I188+SOCIAL!I188+CEMETERY!I189+LIBRARIES!I189+HOUSING!I189+TRAFFIC!I189+PARKS!I189+REFUSE!I189+SEWAGE!I189+PWORKS!I189+WATER!I189+ELECTRIC!I189</f>
        <v>-1945922</v>
      </c>
    </row>
    <row r="190" spans="1:7" s="285" customFormat="1" x14ac:dyDescent="0.25">
      <c r="A190" s="94" t="s">
        <v>404</v>
      </c>
      <c r="B190" s="442">
        <f>+COUNCIL!D190+MAYOR!D190+SPEAKER!D190+MM!D190+CORP!D194+PROP!D190+RATES!D190+THALL!D190+FIN!D189+SOCIAL!D189+CEMETERY!D190+LIBRARIES!D190+HOUSING!D190+TRAFFIC!D190+PARKS!D190+REFUSE!D190+SEWAGE!D190+PWORKS!D190+WATER!D190+ELECTRIC!D190</f>
        <v>0</v>
      </c>
      <c r="C190" s="442">
        <f>+COUNCIL!E190+MAYOR!E190+SPEAKER!E190+MM!E190+CORP!E194+PROP!E190+RATES!E190+THALL!E190+FIN!E189+SOCIAL!E189+CEMETERY!E190+LIBRARIES!E190+HOUSING!E190+TRAFFIC!E190+PARKS!E190+REFUSE!E190+SEWAGE!E190+PWORKS!E190+WATER!E190+ELECTRIC!E190</f>
        <v>2120</v>
      </c>
      <c r="D190" s="435">
        <v>2120</v>
      </c>
      <c r="E190" s="435">
        <f>+COUNCIL!G190+MAYOR!G190+SPEAKER!G190+MM!G190+CORP!G194+PROP!G190+RATES!G190+THALL!G190+FIN!G189+SOCIAL!G189+CEMETERY!G190+LIBRARIES!G190+HOUSING!G190+TRAFFIC!G190+PARKS!G190+REFUSE!G190+SEWAGE!G190+PWORKS!G190+WATER!G190+ELECTRIC!G190</f>
        <v>2332</v>
      </c>
      <c r="F190" s="435">
        <f>+COUNCIL!H190+MAYOR!H190+SPEAKER!H190+MM!H190+CORP!H194+PROP!H190+RATES!H190+THALL!H190+FIN!H189+SOCIAL!H189+CEMETERY!H190+LIBRARIES!H190+HOUSING!H190+TRAFFIC!H190+PARKS!H190+REFUSE!H190+SEWAGE!H190+PWORKS!H190+WATER!H190+ELECTRIC!H190</f>
        <v>2565.1999999999998</v>
      </c>
      <c r="G190" s="435">
        <f>+COUNCIL!I190+MAYOR!I190+SPEAKER!I190+MM!I190+CORP!I194+PROP!I190+RATES!I190+THALL!I190+FIN!I189+SOCIAL!I189+CEMETERY!I190+LIBRARIES!I190+HOUSING!I190+TRAFFIC!I190+PARKS!I190+REFUSE!I190+SEWAGE!I190+PWORKS!I190+WATER!I190+ELECTRIC!I190</f>
        <v>2821.72</v>
      </c>
    </row>
    <row r="191" spans="1:7" s="285" customFormat="1" x14ac:dyDescent="0.25">
      <c r="A191" s="94" t="s">
        <v>405</v>
      </c>
      <c r="B191" s="442">
        <f>+COUNCIL!D191+MAYOR!D191+SPEAKER!D191+MM!D191+CORP!D195+PROP!D191+RATES!D191+THALL!D191+FIN!D190+SOCIAL!D190+CEMETERY!D191+LIBRARIES!D191+HOUSING!D191+TRAFFIC!D191+PARKS!D191+REFUSE!D191+SEWAGE!D191+PWORKS!D191+WATER!D191+ELECTRIC!D191</f>
        <v>0</v>
      </c>
      <c r="C191" s="442">
        <f>+COUNCIL!E191+MAYOR!E191+SPEAKER!E191+MM!E191+CORP!E195+PROP!E191+RATES!E191+THALL!E191+FIN!E190+SOCIAL!E190+CEMETERY!E191+LIBRARIES!E191+HOUSING!E191+TRAFFIC!E191+PARKS!E191+REFUSE!E191+SEWAGE!E191+PWORKS!E191+WATER!E191+ELECTRIC!E191</f>
        <v>1605</v>
      </c>
      <c r="D191" s="435">
        <v>1605</v>
      </c>
      <c r="E191" s="435">
        <f>+COUNCIL!G191+MAYOR!G191+SPEAKER!G191+MM!G191+CORP!G195+PROP!G191+RATES!G191+THALL!G191+FIN!G190+SOCIAL!G190+CEMETERY!G191+LIBRARIES!G191+HOUSING!G191+TRAFFIC!G191+PARKS!G191+REFUSE!G191+SEWAGE!G191+PWORKS!G191+WATER!G191+ELECTRIC!G191</f>
        <v>1765.5</v>
      </c>
      <c r="F191" s="435">
        <f>+COUNCIL!H191+MAYOR!H191+SPEAKER!H191+MM!H191+CORP!H195+PROP!H191+RATES!H191+THALL!H191+FIN!H190+SOCIAL!H190+CEMETERY!H191+LIBRARIES!H191+HOUSING!H191+TRAFFIC!H191+PARKS!H191+REFUSE!H191+SEWAGE!H191+PWORKS!H191+WATER!H191+ELECTRIC!H191</f>
        <v>1942.05</v>
      </c>
      <c r="G191" s="435">
        <f>+COUNCIL!I191+MAYOR!I191+SPEAKER!I191+MM!I191+CORP!I195+PROP!I191+RATES!I191+THALL!I191+FIN!I190+SOCIAL!I190+CEMETERY!I191+LIBRARIES!I191+HOUSING!I191+TRAFFIC!I191+PARKS!I191+REFUSE!I191+SEWAGE!I191+PWORKS!I191+WATER!I191+ELECTRIC!I191</f>
        <v>2136.2550000000001</v>
      </c>
    </row>
    <row r="192" spans="1:7" s="285" customFormat="1" x14ac:dyDescent="0.25">
      <c r="A192" s="94" t="s">
        <v>406</v>
      </c>
      <c r="B192" s="442">
        <f>+COUNCIL!D192+MAYOR!D192+SPEAKER!D192+MM!D192+CORP!D196+PROP!D192+RATES!D192+THALL!D192+FIN!D191+SOCIAL!D191+CEMETERY!D192+LIBRARIES!D192+HOUSING!D192+TRAFFIC!D192+PARKS!D192+REFUSE!D192+SEWAGE!D192+PWORKS!D192+WATER!D192+ELECTRIC!D192</f>
        <v>10019892</v>
      </c>
      <c r="C192" s="442">
        <f>+COUNCIL!E192+MAYOR!E192+SPEAKER!E192+MM!E192+CORP!E196+PROP!E192+RATES!E192+THALL!E192+FIN!E191+SOCIAL!E191+CEMETERY!E192+LIBRARIES!E192+HOUSING!E192+TRAFFIC!E192+PARKS!E192+REFUSE!E192+SEWAGE!E192+PWORKS!E192+WATER!E192+ELECTRIC!E192</f>
        <v>17733799.024800003</v>
      </c>
      <c r="D192" s="435">
        <v>19033799.024800003</v>
      </c>
      <c r="E192" s="435">
        <f>+COUNCIL!G192+MAYOR!G192+SPEAKER!G192+MM!G192+CORP!G196+PROP!G192+RATES!G192+THALL!G192+FIN!G191+SOCIAL!G191+CEMETERY!G192+LIBRARIES!G192+HOUSING!G192+TRAFFIC!G192+PARKS!G192+REFUSE!G192+SEWAGE!G192+PWORKS!G192+WATER!G192+ELECTRIC!G192</f>
        <v>20937178.927280001</v>
      </c>
      <c r="F192" s="435">
        <f>+COUNCIL!H192+MAYOR!H192+SPEAKER!H192+MM!H192+CORP!H196+PROP!H192+RATES!H192+THALL!H192+FIN!H191+SOCIAL!H191+CEMETERY!H192+LIBRARIES!H192+HOUSING!H192+TRAFFIC!H192+PARKS!H192+REFUSE!H192+SEWAGE!H192+PWORKS!H192+WATER!H192+ELECTRIC!H192</f>
        <v>23030896.820008002</v>
      </c>
      <c r="G192" s="435">
        <f>+COUNCIL!I192+MAYOR!I192+SPEAKER!I192+MM!I192+CORP!I196+PROP!I192+RATES!I192+THALL!I192+FIN!I191+SOCIAL!I191+CEMETERY!I192+LIBRARIES!I192+HOUSING!I192+TRAFFIC!I192+PARKS!I192+REFUSE!I192+SEWAGE!I192+PWORKS!I192+WATER!I192+ELECTRIC!I192</f>
        <v>25333986.502008803</v>
      </c>
    </row>
    <row r="193" spans="1:9" s="285" customFormat="1" x14ac:dyDescent="0.25">
      <c r="A193" s="94" t="s">
        <v>407</v>
      </c>
      <c r="B193" s="442">
        <f>+COUNCIL!D193+MAYOR!D193+SPEAKER!D193+MM!D193+CORP!D197+PROP!D193+RATES!D193+THALL!D193+FIN!D192+SOCIAL!D192+CEMETERY!D193+LIBRARIES!D193+HOUSING!D193+TRAFFIC!D193+PARKS!D193+REFUSE!D193+SEWAGE!D193+PWORKS!D193+WATER!D193+ELECTRIC!D193</f>
        <v>-1104250</v>
      </c>
      <c r="C193" s="442">
        <f>+COUNCIL!E193+MAYOR!E193+SPEAKER!E193+MM!E193+CORP!E197+PROP!E193+RATES!E193+THALL!E193+FIN!E192+SOCIAL!E192+CEMETERY!E193+LIBRARIES!E193+HOUSING!E193+TRAFFIC!E193+PARKS!E193+REFUSE!E193+SEWAGE!E193+PWORKS!E193+WATER!E193+ELECTRIC!E193</f>
        <v>-3794800</v>
      </c>
      <c r="D193" s="435">
        <v>-2294800</v>
      </c>
      <c r="E193" s="435">
        <f>+COUNCIL!G193+MAYOR!G193+SPEAKER!G193+MM!G193+CORP!G197+PROP!G193+RATES!G193+THALL!G193+FIN!G192+SOCIAL!G192+CEMETERY!G193+LIBRARIES!G193+HOUSING!G193+TRAFFIC!G193+PARKS!G193+REFUSE!G193+SEWAGE!G193+PWORKS!G193+WATER!G193+ELECTRIC!G193</f>
        <v>-2524280</v>
      </c>
      <c r="F193" s="435">
        <f>+COUNCIL!H193+MAYOR!H193+SPEAKER!H193+MM!H193+CORP!H197+PROP!H193+RATES!H193+THALL!H193+FIN!H192+SOCIAL!H192+CEMETERY!H193+LIBRARIES!H193+HOUSING!H193+TRAFFIC!H193+PARKS!H193+REFUSE!H193+SEWAGE!H193+PWORKS!H193+WATER!H193+ELECTRIC!H193</f>
        <v>-2776708</v>
      </c>
      <c r="G193" s="435">
        <f>+COUNCIL!I193+MAYOR!I193+SPEAKER!I193+MM!I193+CORP!I197+PROP!I193+RATES!I193+THALL!I193+FIN!I192+SOCIAL!I192+CEMETERY!I193+LIBRARIES!I193+HOUSING!I193+TRAFFIC!I193+PARKS!I193+REFUSE!I193+SEWAGE!I193+PWORKS!I193+WATER!I193+ELECTRIC!I193</f>
        <v>-3054378.8</v>
      </c>
    </row>
    <row r="194" spans="1:9" s="285" customFormat="1" x14ac:dyDescent="0.25">
      <c r="A194" s="94" t="s">
        <v>199</v>
      </c>
      <c r="B194" s="442">
        <f>+COUNCIL!D194+MAYOR!D194+SPEAKER!D194+MM!D194+CORP!D198+PROP!D194+RATES!D194+THALL!D194+FIN!D193+SOCIAL!D193+CEMETERY!D194+LIBRARIES!D194+HOUSING!D194+TRAFFIC!D194+PARKS!D194+REFUSE!D194+SEWAGE!D194+PWORKS!D194+WATER!D194+ELECTRIC!D194</f>
        <v>64819</v>
      </c>
      <c r="C194" s="442">
        <f>+COUNCIL!E194+MAYOR!E194+SPEAKER!E194+MM!E194+CORP!E198+PROP!E194+RATES!E194+THALL!E194+FIN!E193+SOCIAL!E193+CEMETERY!E194+LIBRARIES!E194+HOUSING!E194+TRAFFIC!E194+PARKS!E194+REFUSE!E194+SEWAGE!E194+PWORKS!E194+WATER!E194+ELECTRIC!E194</f>
        <v>21120</v>
      </c>
      <c r="D194" s="435">
        <v>81120</v>
      </c>
      <c r="E194" s="435">
        <f>+COUNCIL!G194+MAYOR!G194+SPEAKER!G194+MM!G194+CORP!G198+PROP!G194+RATES!G194+THALL!G194+FIN!G193+SOCIAL!G193+CEMETERY!G194+LIBRARIES!G194+HOUSING!G194+TRAFFIC!G194+PARKS!G194+REFUSE!G194+SEWAGE!G194+PWORKS!G194+WATER!G194+ELECTRIC!G194</f>
        <v>89232</v>
      </c>
      <c r="F194" s="435">
        <f>+COUNCIL!H194+MAYOR!H194+SPEAKER!H194+MM!H194+CORP!H198+PROP!H194+RATES!H194+THALL!H194+FIN!H193+SOCIAL!H193+CEMETERY!H194+LIBRARIES!H194+HOUSING!H194+TRAFFIC!H194+PARKS!H194+REFUSE!H194+SEWAGE!H194+PWORKS!H194+WATER!H194+ELECTRIC!H194</f>
        <v>98155.199999999997</v>
      </c>
      <c r="G194" s="435">
        <f>+COUNCIL!I194+MAYOR!I194+SPEAKER!I194+MM!I194+CORP!I198+PROP!I194+RATES!I194+THALL!I194+FIN!I193+SOCIAL!I193+CEMETERY!I194+LIBRARIES!I194+HOUSING!I194+TRAFFIC!I194+PARKS!I194+REFUSE!I194+SEWAGE!I194+PWORKS!I194+WATER!I194+ELECTRIC!I194</f>
        <v>107970.72</v>
      </c>
    </row>
    <row r="195" spans="1:9" s="285" customFormat="1" x14ac:dyDescent="0.25">
      <c r="A195" s="94" t="s">
        <v>117</v>
      </c>
      <c r="B195" s="442">
        <f>+COUNCIL!D195+MAYOR!D195+SPEAKER!D195+MM!D195+CORP!D199+PROP!D195+RATES!D195+THALL!D195+FIN!D194+SOCIAL!D194+CEMETERY!D195+LIBRARIES!D195+HOUSING!D195+TRAFFIC!D195+PARKS!D195+REFUSE!D195+SEWAGE!D195+PWORKS!D195+WATER!D195+ELECTRIC!D195</f>
        <v>0</v>
      </c>
      <c r="C195" s="442">
        <f>+COUNCIL!E195+MAYOR!E195+SPEAKER!E195+MM!E195+CORP!E194+PROP!E195+RATES!E195+THALL!E195+FIN!E195+SOCIAL!E194+CEMETERY!E195+LIBRARIES!E195+HOUSING!E195+TRAFFIC!E195+PARKS!E195+REFUSE!E195+SEWAGE!E195+PWORKS!E195+WATER!E195+ELECTRIC!E195</f>
        <v>0</v>
      </c>
      <c r="D195" s="442">
        <v>0</v>
      </c>
      <c r="E195" s="435">
        <f>+COUNCIL!G195+MAYOR!G195+SPEAKER!G195+MM!G195+CORP!G199+PROP!G195+RATES!G195+THALL!G195+FIN!G194+SOCIAL!G194+CEMETERY!G195+LIBRARIES!G195+HOUSING!G195+TRAFFIC!G195+PARKS!G195+REFUSE!G195+SEWAGE!G195+PWORKS!G195+WATER!G195+ELECTRIC!G195</f>
        <v>0</v>
      </c>
      <c r="F195" s="435">
        <f>+COUNCIL!H195+MAYOR!H195+SPEAKER!H195+MM!H195+CORP!H199+PROP!H195+RATES!H195+THALL!H195+FIN!H194+SOCIAL!H194+CEMETERY!H195+LIBRARIES!H195+HOUSING!H195+TRAFFIC!H195+PARKS!H195+REFUSE!H195+SEWAGE!H195+PWORKS!H195+WATER!H195+ELECTRIC!H195</f>
        <v>0</v>
      </c>
      <c r="G195" s="435">
        <f>+COUNCIL!I195+MAYOR!I195+SPEAKER!I195+MM!I195+CORP!I199+PROP!I195+RATES!I195+THALL!I195+FIN!I194+SOCIAL!I194+CEMETERY!I195+LIBRARIES!I195+HOUSING!I195+TRAFFIC!I195+PARKS!I195+REFUSE!I195+SEWAGE!I195+PWORKS!I195+WATER!I195+ELECTRIC!I195</f>
        <v>0</v>
      </c>
    </row>
    <row r="196" spans="1:9" s="285" customFormat="1" x14ac:dyDescent="0.25">
      <c r="A196" s="447" t="s">
        <v>105</v>
      </c>
      <c r="B196" s="442">
        <f>+COUNCIL!D196+MAYOR!D196+SPEAKER!D196+MM!D196+CORP!D195+PROP!D196+RATES!D196+THALL!D196+FIN!D196+SOCIAL!D195+CEMETERY!D196+LIBRARIES!D196+HOUSING!D196+TRAFFIC!D196+PARKS!D196+REFUSE!D196+SEWAGE!D196+PWORKS!D196+WATER!D196+ELECTRIC!D196</f>
        <v>4408</v>
      </c>
      <c r="C196" s="442">
        <f>+COUNCIL!E196+MAYOR!E196+SPEAKER!E196+MM!E196+CORP!E195+PROP!E196+RATES!E196+THALL!E196+FIN!E196+SOCIAL!E195+CEMETERY!E196+LIBRARIES!E196+HOUSING!E196+TRAFFIC!E196+PARKS!E196+REFUSE!E196+SEWAGE!E196+PWORKS!E196+WATER!E196+ELECTRIC!E196</f>
        <v>4131.0720000000001</v>
      </c>
      <c r="D196" s="442">
        <v>4131.0720000000001</v>
      </c>
      <c r="E196" s="435">
        <f>+COUNCIL!G196+MAYOR!G196+SPEAKER!G196+MM!G196+CORP!G200+PROP!G196+RATES!G196+THALL!G196+FIN!G195+SOCIAL!G195+CEMETERY!G196+LIBRARIES!G196+HOUSING!G196+TRAFFIC!G196+PARKS!G196+REFUSE!G196+SEWAGE!G196+PWORKS!G196+WATER!G196+ELECTRIC!G196</f>
        <v>0</v>
      </c>
      <c r="F196" s="435">
        <f>+COUNCIL!H196+MAYOR!H196+SPEAKER!H196+MM!H196+CORP!H200+PROP!H196+RATES!H196+THALL!H196+FIN!H195+SOCIAL!H195+CEMETERY!H196+LIBRARIES!H196+HOUSING!H196+TRAFFIC!H196+PARKS!H196+REFUSE!H196+SEWAGE!H196+PWORKS!H196+WATER!H196+ELECTRIC!H196</f>
        <v>0</v>
      </c>
      <c r="G196" s="435">
        <f>+COUNCIL!I196+MAYOR!I196+SPEAKER!I196+MM!I196+CORP!I200+PROP!I196+RATES!I196+THALL!I196+FIN!I195+SOCIAL!I195+CEMETERY!I196+LIBRARIES!I196+HOUSING!I196+TRAFFIC!I196+PARKS!I196+REFUSE!I196+SEWAGE!I196+PWORKS!I196+WATER!I196+ELECTRIC!I196</f>
        <v>0</v>
      </c>
    </row>
    <row r="197" spans="1:9" s="285" customFormat="1" x14ac:dyDescent="0.25">
      <c r="A197" s="94" t="s">
        <v>118</v>
      </c>
      <c r="B197" s="442">
        <f>+COUNCIL!D197+MAYOR!D197+SPEAKER!D197+MM!D197+CORP!D201+PROP!D197+RATES!D197+THALL!D197+FIN!D196+SOCIAL!D196+CEMETERY!D197+LIBRARIES!D197+HOUSING!D197+TRAFFIC!D197+PARKS!D197+REFUSE!D197+SEWAGE!D197+PWORKS!D197+WATER!D197+ELECTRIC!D197</f>
        <v>8393830</v>
      </c>
      <c r="C197" s="442">
        <f>+COUNCIL!E197+MAYOR!E197+SPEAKER!E197+MM!E197+CORP!E201+PROP!E197+RATES!E197+THALL!E197+FIN!E196+SOCIAL!E196+CEMETERY!E197+LIBRARIES!E197+HOUSING!E197+TRAFFIC!E197+PARKS!E197+REFUSE!E197+SEWAGE!E197+PWORKS!E197+WATER!E197+ELECTRIC!E197-4131</f>
        <v>16877393.424000002</v>
      </c>
      <c r="D197" s="442">
        <v>16877393.424000002</v>
      </c>
      <c r="E197" s="435">
        <f>+COUNCIL!G197+MAYOR!G197+SPEAKER!G197+MM!G197+CORP!G201+PROP!G197+RATES!G197+THALL!G197+FIN!G196+SOCIAL!G196+CEMETERY!G197+LIBRARIES!G197+HOUSING!G197+TRAFFIC!G197+PARKS!G197+REFUSE!G197+SEWAGE!G197+PWORKS!G197+WATER!G197+ELECTRIC!G197</f>
        <v>9341312.6664000005</v>
      </c>
      <c r="F197" s="435">
        <f>+COUNCIL!H197+MAYOR!H197+SPEAKER!H197+MM!H197+CORP!H201+PROP!H197+RATES!H197+THALL!H197+FIN!H196+SOCIAL!H196+CEMETERY!H197+LIBRARIES!H197+HOUSING!H197+TRAFFIC!H197+PARKS!H197+REFUSE!H197+SEWAGE!H197+PWORKS!H197+WATER!H197+ELECTRIC!H197</f>
        <v>10275443.933040002</v>
      </c>
      <c r="G197" s="435">
        <f>+COUNCIL!I197+MAYOR!I197+SPEAKER!I197+MM!I197+CORP!I201+PROP!I197+RATES!I197+THALL!I197+FIN!I196+SOCIAL!I196+CEMETERY!I197+LIBRARIES!I197+HOUSING!I197+TRAFFIC!I197+PARKS!I197+REFUSE!I197+SEWAGE!I197+PWORKS!I197+WATER!I197+ELECTRIC!I197</f>
        <v>11302988.326344002</v>
      </c>
    </row>
    <row r="198" spans="1:9" s="285" customFormat="1" x14ac:dyDescent="0.25">
      <c r="A198" s="94" t="s">
        <v>133</v>
      </c>
      <c r="B198" s="442">
        <f>+COUNCIL!D198+MAYOR!D198+SPEAKER!D198+MM!D198+CORP!D202+PROP!D198+RATES!D198+THALL!D198+FIN!D197+SOCIAL!D197+CEMETERY!D198+LIBRARIES!D198+HOUSING!D198+TRAFFIC!D198+PARKS!D198+REFUSE!D198+SEWAGE!D198+PWORKS!D198+WATER!D198+ELECTRIC!D198</f>
        <v>0</v>
      </c>
      <c r="C198" s="442">
        <f>+COUNCIL!E198+MAYOR!E198+SPEAKER!E198+MM!E198+CORP!E202+PROP!E198+RATES!E198+THALL!E198+FIN!E197+SOCIAL!E197+CEMETERY!E198+LIBRARIES!E198+HOUSING!E198+TRAFFIC!E198+PARKS!E198+REFUSE!E198+SEWAGE!E198+PWORKS!E198+WATER!E198+ELECTRIC!E198</f>
        <v>0</v>
      </c>
      <c r="D198" s="435">
        <v>0</v>
      </c>
      <c r="E198" s="435">
        <f>+COUNCIL!G198+MAYOR!G198+SPEAKER!G198+MM!G198+CORP!G202+PROP!G198+RATES!G198+THALL!G198+FIN!G197+SOCIAL!G197+CEMETERY!G198+LIBRARIES!G198+HOUSING!G198+TRAFFIC!G198+PARKS!G198+REFUSE!G198+SEWAGE!G198+PWORKS!G198+WATER!G198+ELECTRIC!G198</f>
        <v>0</v>
      </c>
      <c r="F198" s="435">
        <f>+COUNCIL!H198+MAYOR!H198+SPEAKER!H198+MM!H198+CORP!H202+PROP!H198+RATES!H198+THALL!H198+FIN!H197+SOCIAL!H197+CEMETERY!H198+LIBRARIES!H198+HOUSING!H198+TRAFFIC!H198+PARKS!H198+REFUSE!H198+SEWAGE!H198+PWORKS!H198+WATER!H198+ELECTRIC!H198</f>
        <v>0</v>
      </c>
      <c r="G198" s="435">
        <f>+COUNCIL!I198+MAYOR!I198+SPEAKER!I198+MM!I198+CORP!I202+PROP!I198+RATES!I198+THALL!I198+FIN!I197+SOCIAL!I197+CEMETERY!I198+LIBRARIES!I198+HOUSING!I198+TRAFFIC!I198+PARKS!I198+REFUSE!I198+SEWAGE!I198+PWORKS!I198+WATER!I198+ELECTRIC!I198</f>
        <v>0</v>
      </c>
    </row>
    <row r="199" spans="1:9" s="285" customFormat="1" x14ac:dyDescent="0.25">
      <c r="A199" s="94" t="s">
        <v>329</v>
      </c>
      <c r="B199" s="435">
        <f>+COUNCIL!D199+MAYOR!D199+SPEAKER!D199+MM!D199+CORP!D198+PROP!D199+RATES!D199+THALL!D199+FIN!D199+SOCIAL!D198+CEMETERY!D199+LIBRARIES!D199+HOUSING!D199+TRAFFIC!D199+PARKS!D199+REFUSE!D199+SEWAGE!D199+PWORKS!D199+WATER!D199+ELECTRIC!D199</f>
        <v>-2012140</v>
      </c>
      <c r="C199" s="435">
        <f>+COUNCIL!E199+MAYOR!E199+SPEAKER!E199+MM!E199+CORP!E198+PROP!E199+RATES!E199+THALL!E199+FIN!E199+SOCIAL!E198+CEMETERY!E199+LIBRARIES!E199+HOUSING!E199+TRAFFIC!E199+PARKS!E199+REFUSE!E199+SEWAGE!E199+PWORKS!E199+WATER!E199+ELECTRIC!E199</f>
        <v>-3434400</v>
      </c>
      <c r="D199" s="435">
        <v>-3934400</v>
      </c>
      <c r="E199" s="435">
        <f>+COUNCIL!G199+MAYOR!G199+SPEAKER!G199+MM!G199+CORP!G203+PROP!G199+RATES!G199+THALL!G199+FIN!G198+SOCIAL!G198+CEMETERY!G199+LIBRARIES!G199+HOUSING!G199+TRAFFIC!G199+PARKS!G199+REFUSE!G199+SEWAGE!G199+PWORKS!G199+WATER!G199+ELECTRIC!G199</f>
        <v>-1564486</v>
      </c>
      <c r="F199" s="435">
        <f>+COUNCIL!H199+MAYOR!H199+SPEAKER!H199+MM!H199+CORP!H203+PROP!H199+RATES!H199+THALL!H199+FIN!H198+SOCIAL!H198+CEMETERY!H199+LIBRARIES!H199+HOUSING!H199+TRAFFIC!H199+PARKS!H199+REFUSE!H199+SEWAGE!H199+PWORKS!H199+WATER!H199+ELECTRIC!H199</f>
        <v>-1720934.6</v>
      </c>
      <c r="G199" s="435">
        <f>+COUNCIL!I199+MAYOR!I199+SPEAKER!I199+MM!I199+CORP!I203+PROP!I199+RATES!I199+THALL!I199+FIN!I198+SOCIAL!I198+CEMETERY!I199+LIBRARIES!I199+HOUSING!I199+TRAFFIC!I199+PARKS!I199+REFUSE!I199+SEWAGE!I199+PWORKS!I199+WATER!I199+ELECTRIC!I199</f>
        <v>-1893028.06</v>
      </c>
      <c r="I199" s="357">
        <f>+C197-B197</f>
        <v>8483563.4240000024</v>
      </c>
    </row>
    <row r="200" spans="1:9" s="285" customFormat="1" x14ac:dyDescent="0.25">
      <c r="A200" s="94" t="s">
        <v>333</v>
      </c>
      <c r="B200" s="435">
        <f>+COUNCIL!D200+MAYOR!D200+SPEAKER!D200+MM!D200+CORP!D199+PROP!D200+RATES!D200+THALL!D200+FIN!D200+SOCIAL!D199+CEMETERY!D200+LIBRARIES!D200+HOUSING!D200+TRAFFIC!D200+PARKS!D200+REFUSE!D200+SEWAGE!D200+PWORKS!D200+WATER!D200+ELECTRIC!D200</f>
        <v>105</v>
      </c>
      <c r="C200" s="435">
        <f>+COUNCIL!E200+MAYOR!E200+SPEAKER!E200+MM!E200+CORP!E199+PROP!E200+RATES!E200+THALL!E200+FIN!E200+SOCIAL!E199+CEMETERY!E200+LIBRARIES!E200+HOUSING!E200+TRAFFIC!E200+PARKS!E200+REFUSE!E200+SEWAGE!E200+PWORKS!E200+WATER!E200+ELECTRIC!E200-899</f>
        <v>-567487</v>
      </c>
      <c r="D200" s="435">
        <v>-567487</v>
      </c>
      <c r="E200" s="435">
        <f>+COUNCIL!G200+MAYOR!G200+SPEAKER!G200+MM!G200+CORP!G204+PROP!G200+RATES!G200+THALL!G200+FIN!G199+SOCIAL!G199+CEMETERY!G200+LIBRARIES!G200+HOUSING!G200+TRAFFIC!G200+PARKS!G200+REFUSE!G200+SEWAGE!G200+PWORKS!G200+WATER!G200+ELECTRIC!G200</f>
        <v>-523361.3000000001</v>
      </c>
      <c r="F200" s="435">
        <f>+COUNCIL!H200+MAYOR!H200+SPEAKER!H200+MM!H200+CORP!H204+PROP!H200+RATES!H200+THALL!H200+FIN!H199+SOCIAL!H199+CEMETERY!H200+LIBRARIES!H200+HOUSING!H200+TRAFFIC!H200+PARKS!H200+REFUSE!H200+SEWAGE!H200+PWORKS!H200+WATER!H200+ELECTRIC!H200</f>
        <v>-575697.43000000005</v>
      </c>
      <c r="G200" s="435">
        <f>+COUNCIL!I200+MAYOR!I200+SPEAKER!I200+MM!I200+CORP!I204+PROP!I200+RATES!I200+THALL!I200+FIN!I199+SOCIAL!I199+CEMETERY!I200+LIBRARIES!I200+HOUSING!I200+TRAFFIC!I200+PARKS!I200+REFUSE!I200+SEWAGE!I200+PWORKS!I200+WATER!I200+ELECTRIC!I200</f>
        <v>-633267.17300000018</v>
      </c>
    </row>
    <row r="201" spans="1:9" s="285" customFormat="1" x14ac:dyDescent="0.25">
      <c r="A201" s="94" t="s">
        <v>340</v>
      </c>
      <c r="B201" s="451">
        <f>+COUNCIL!D201+MAYOR!D201+SPEAKER!D201+MM!D201+CORP!D200+PROP!D201+RATES!D201+THALL!D201+FIN!D201+SOCIAL!D200+CEMETERY!D201+LIBRARIES!D201+HOUSING!D201+TRAFFIC!D201+PARKS!D201+REFUSE!D201+SEWAGE!D201+PWORKS!D201+WATER!D201+ELECTRIC!D201</f>
        <v>0</v>
      </c>
      <c r="C201" s="442">
        <f>+COUNCIL!E201+MAYOR!E201+SPEAKER!E201+MM!E201+CORP!E200+PROP!E201+RATES!E201+THALL!E201+FIN!E201+SOCIAL!E200+CEMETERY!E201+LIBRARIES!E201+HOUSING!E201+TRAFFIC!E201+PARKS!E201+REFUSE!E201+SEWAGE!E201+PWORKS!E201+WATER!E201+ELECTRIC!E201</f>
        <v>0</v>
      </c>
      <c r="D201" s="442">
        <v>-158743</v>
      </c>
      <c r="E201" s="435">
        <f>+COUNCIL!G201+MAYOR!G201+SPEAKER!G201+MM!G201+CORP!G205+PROP!G201+RATES!G201+THALL!G201+FIN!G200+SOCIAL!G200+CEMETERY!G201+LIBRARIES!G201+HOUSING!G201+TRAFFIC!G201+PARKS!G201+REFUSE!G201+SEWAGE!G201+PWORKS!G201+WATER!G201+ELECTRIC!G201</f>
        <v>-49948.800000000003</v>
      </c>
      <c r="F201" s="435">
        <f>+COUNCIL!H201+MAYOR!H201+SPEAKER!H201+MM!H201+CORP!H205+PROP!H201+RATES!H201+THALL!H201+FIN!H200+SOCIAL!H200+CEMETERY!H201+LIBRARIES!H201+HOUSING!H201+TRAFFIC!H201+PARKS!H201+REFUSE!H201+SEWAGE!H201+PWORKS!H201+WATER!H201+ELECTRIC!H201</f>
        <v>-54943.680000000008</v>
      </c>
      <c r="G201" s="435">
        <f>+COUNCIL!I201+MAYOR!I201+SPEAKER!I201+MM!I201+CORP!I205+PROP!I201+RATES!I201+THALL!I201+FIN!I200+SOCIAL!I200+CEMETERY!I201+LIBRARIES!I201+HOUSING!I201+TRAFFIC!I201+PARKS!I201+REFUSE!I201+SEWAGE!I201+PWORKS!I201+WATER!I201+ELECTRIC!I201</f>
        <v>-60438.04800000001</v>
      </c>
    </row>
    <row r="202" spans="1:9" s="285" customFormat="1" x14ac:dyDescent="0.25">
      <c r="A202" s="94" t="s">
        <v>372</v>
      </c>
      <c r="B202" s="451">
        <f>+COUNCIL!D202+MAYOR!D202+SPEAKER!D202+MM!D202+CORP!D206+PROP!D202+RATES!D202+THALL!D202+FIN!D201+SOCIAL!D201+CEMETERY!D202+LIBRARIES!D202+HOUSING!D202+TRAFFIC!D202+PARKS!D202+REFUSE!D202+SEWAGE!D202+PWORKS!D202+WATER!D202+ELECTRIC!D202</f>
        <v>0</v>
      </c>
      <c r="C202" s="442">
        <f>+COUNCIL!E202+MAYOR!E202+SPEAKER!E202+MM!E202+CORP!E201+PROP!E202+RATES!E202+THALL!E202+FIN!E201+SOCIAL!E201+CEMETERY!E202+LIBRARIES!E202+HOUSING!E202+TRAFFIC!E202+PARKS!E202+REFUSE!E202+SEWAGE!E202+PWORKS!E202+WATER!E202+ELECTRIC!E202</f>
        <v>23895.75</v>
      </c>
      <c r="D202" s="442">
        <v>23895.75</v>
      </c>
      <c r="E202" s="435">
        <f>+COUNCIL!G202+MAYOR!G202+SPEAKER!G202+MM!G202+CORP!G206+PROP!G202+RATES!G202+THALL!G202+FIN!G201+SOCIAL!G201+CEMETERY!G202+LIBRARIES!G202+HOUSING!G202+TRAFFIC!G202+PARKS!G202+REFUSE!G202+SEWAGE!G202+PWORKS!G202+WATER!G202+ELECTRIC!G202</f>
        <v>26285.325000000001</v>
      </c>
      <c r="F202" s="435">
        <f>+COUNCIL!H202+MAYOR!H202+SPEAKER!H202+MM!H202+CORP!H206+PROP!H202+RATES!H202+THALL!H202+FIN!H201+SOCIAL!H201+CEMETERY!H202+LIBRARIES!H202+HOUSING!H202+TRAFFIC!H202+PARKS!H202+REFUSE!H202+SEWAGE!H202+PWORKS!H202+WATER!H202+ELECTRIC!H202</f>
        <v>28913.857500000002</v>
      </c>
      <c r="G202" s="435">
        <f>+COUNCIL!I202+MAYOR!I202+SPEAKER!I202+MM!I202+CORP!I206+PROP!I202+RATES!I202+THALL!I202+FIN!I201+SOCIAL!I201+CEMETERY!I202+LIBRARIES!I202+HOUSING!I202+TRAFFIC!I202+PARKS!I202+REFUSE!I202+SEWAGE!I202+PWORKS!I202+WATER!I202+ELECTRIC!I202</f>
        <v>31805.243250000003</v>
      </c>
    </row>
    <row r="203" spans="1:9" s="285" customFormat="1" x14ac:dyDescent="0.25">
      <c r="A203" s="94" t="s">
        <v>119</v>
      </c>
      <c r="B203" s="451">
        <f>+COUNCIL!D203+MAYOR!D203+SPEAKER!D203+MM!D203+CORP!D207+PROP!D203+RATES!D203+THALL!D203+FIN!D202+SOCIAL!D202+CEMETERY!D203+LIBRARIES!D203+HOUSING!D203+TRAFFIC!D203+PARKS!D203+REFUSE!D203+SEWAGE!D203+PWORKS!D203+WATER!D203+ELECTRIC!D203</f>
        <v>1241</v>
      </c>
      <c r="C203" s="442">
        <f>+COUNCIL!E203+MAYOR!E203+SPEAKER!E203+MM!E203+CORP!E207+PROP!E203+RATES!E203+THALL!E203+FIN!E202+SOCIAL!E202+CEMETERY!E203+LIBRARIES!E203+HOUSING!E203+TRAFFIC!E203+PARKS!E203+REFUSE!E203+SEWAGE!E203+PWORKS!E203+WATER!E203+ELECTRIC!E203</f>
        <v>1249.1199999999999</v>
      </c>
      <c r="D203" s="442">
        <v>1249.1199999999999</v>
      </c>
      <c r="E203" s="435">
        <f>+COUNCIL!G203+MAYOR!G203+SPEAKER!G203+MM!G203+CORP!G207+PROP!G203+RATES!G203+THALL!G203+FIN!G202+SOCIAL!G202+CEMETERY!G203+LIBRARIES!G203+HOUSING!G203+TRAFFIC!G203+PARKS!G203+REFUSE!G203+SEWAGE!G203+PWORKS!G203+WATER!G203+ELECTRIC!G203</f>
        <v>2482</v>
      </c>
      <c r="F203" s="435">
        <f>+COUNCIL!H203+MAYOR!H203+SPEAKER!H203+MM!H203+CORP!H207+PROP!H203+RATES!H203+THALL!H203+FIN!H202+SOCIAL!H202+CEMETERY!H203+LIBRARIES!H203+HOUSING!H203+TRAFFIC!H203+PARKS!H203+REFUSE!H203+SEWAGE!H203+PWORKS!H203+WATER!H203+ELECTRIC!H203</f>
        <v>2730.2</v>
      </c>
      <c r="G203" s="435">
        <f>+COUNCIL!I203+MAYOR!I203+SPEAKER!I203+MM!I203+CORP!I207+PROP!I203+RATES!I203+THALL!I203+FIN!I202+SOCIAL!I202+CEMETERY!I203+LIBRARIES!I203+HOUSING!I203+TRAFFIC!I203+PARKS!I203+REFUSE!I203+SEWAGE!I203+PWORKS!I203+WATER!I203+ELECTRIC!I203</f>
        <v>3003.22</v>
      </c>
    </row>
    <row r="204" spans="1:9" s="285" customFormat="1" x14ac:dyDescent="0.25">
      <c r="A204" s="94" t="s">
        <v>347</v>
      </c>
      <c r="B204" s="451">
        <f>+COUNCIL!D204+MAYOR!D204+SPEAKER!D204+MM!D204+CORP!D208+PROP!D204+RATES!D204+THALL!D204+FIN!D203+SOCIAL!D203+CEMETERY!D204+LIBRARIES!D204+HOUSING!D204+TRAFFIC!D204+PARKS!D204+REFUSE!D204+SEWAGE!D204+PWORKS!D204+WATER!D204+ELECTRIC!D204</f>
        <v>0</v>
      </c>
      <c r="C204" s="442">
        <f>+COUNCIL!E204+MAYOR!E204+SPEAKER!E204+MM!E204+CORP!E208+PROP!E204+RATES!E204+THALL!E204+FIN!E203+SOCIAL!E203+CEMETERY!E204+LIBRARIES!E204+HOUSING!E204+TRAFFIC!E204+PARKS!E204+REFUSE!E204+SEWAGE!E204+PWORKS!E204+WATER!E204+ELECTRIC!E204</f>
        <v>0</v>
      </c>
      <c r="D204" s="442">
        <v>0</v>
      </c>
      <c r="E204" s="435">
        <f>+COUNCIL!G204+MAYOR!G204+SPEAKER!G204+MM!G204+CORP!G208+PROP!G204+RATES!G204+THALL!G204+FIN!G203+SOCIAL!G203+CEMETERY!G204+LIBRARIES!G204+HOUSING!G204+TRAFFIC!G204+PARKS!G204+REFUSE!G204+SEWAGE!G204+PWORKS!G204+WATER!G204+ELECTRIC!G204</f>
        <v>0</v>
      </c>
      <c r="F204" s="435">
        <f>+COUNCIL!H204+MAYOR!H204+SPEAKER!H204+MM!H204+CORP!H208+PROP!H204+RATES!H204+THALL!H204+FIN!H203+SOCIAL!H203+CEMETERY!H204+LIBRARIES!H204+HOUSING!H204+TRAFFIC!H204+PARKS!H204+REFUSE!H204+SEWAGE!H204+PWORKS!H204+WATER!H204+ELECTRIC!H204</f>
        <v>0</v>
      </c>
      <c r="G204" s="435">
        <f>+COUNCIL!I204+MAYOR!I204+SPEAKER!I204+MM!I204+CORP!I208+PROP!I204+RATES!I204+THALL!I204+FIN!I203+SOCIAL!I203+CEMETERY!I204+LIBRARIES!I204+HOUSING!I204+TRAFFIC!I204+PARKS!I204+REFUSE!I204+SEWAGE!I204+PWORKS!I204+WATER!I204+ELECTRIC!I204</f>
        <v>0</v>
      </c>
    </row>
    <row r="205" spans="1:9" s="285" customFormat="1" x14ac:dyDescent="0.25">
      <c r="A205" s="94" t="s">
        <v>512</v>
      </c>
      <c r="B205" s="225">
        <f>+COUNCIL!D205+MAYOR!D205+SPEAKER!D205+MM!D205+CORP!D209+PROP!D205+RATES!D205+THALL!D205+FIN!D204+SOCIAL!D204+CEMETERY!D205+LIBRARIES!D205+HOUSING!D205+TRAFFIC!D205+PARKS!D205+REFUSE!D205+SEWAGE!D205+PWORKS!D205+WATER!D205+ELECTRIC!D205</f>
        <v>4075627</v>
      </c>
      <c r="C205" s="435">
        <f>+COUNCIL!E205+MAYOR!E205+SPEAKER!E205+MM!E205+CORP!E209+PROP!E205+RATES!E205+THALL!E205+FIN!E204+SOCIAL!E204+CEMETERY!E205+LIBRARIES!E205+HOUSING!E205+TRAFFIC!E205+PARKS!E205+REFUSE!E205+SEWAGE!E205+PWORKS!E205+WATER!E205+ELECTRIC!E205</f>
        <v>11600000</v>
      </c>
      <c r="D205" s="435">
        <v>8000000</v>
      </c>
      <c r="E205" s="435">
        <f>+COUNCIL!G205+MAYOR!G205+SPEAKER!G205+MM!G205+CORP!G209+PROP!G205+RATES!G205+THALL!G205+FIN!G204+SOCIAL!G204+CEMETERY!G205+LIBRARIES!G205+HOUSING!G205+TRAFFIC!G205+PARKS!G205+REFUSE!G205+SEWAGE!G205+PWORKS!G205+WATER!G205+ELECTRIC!G205</f>
        <v>8276810.2999999998</v>
      </c>
      <c r="F205" s="435">
        <f>+COUNCIL!H205+MAYOR!H205+SPEAKER!H205+MM!H205+CORP!H209+PROP!H205+RATES!H205+THALL!H205+FIN!H204+SOCIAL!H204+CEMETERY!H205+LIBRARIES!H205+HOUSING!H205+TRAFFIC!H205+PARKS!H205+REFUSE!H205+SEWAGE!H205+PWORKS!H205+WATER!H205+ELECTRIC!H205</f>
        <v>9104491.3300000001</v>
      </c>
      <c r="G205" s="435">
        <f>+COUNCIL!I205+MAYOR!I205+SPEAKER!I205+MM!I205+CORP!I209+PROP!I205+RATES!I205+THALL!I205+FIN!I204+SOCIAL!I204+CEMETERY!I205+LIBRARIES!I205+HOUSING!I205+TRAFFIC!I205+PARKS!I205+REFUSE!I205+SEWAGE!I205+PWORKS!I205+WATER!I205+ELECTRIC!I205</f>
        <v>10014940.463</v>
      </c>
    </row>
    <row r="206" spans="1:9" s="285" customFormat="1" x14ac:dyDescent="0.25">
      <c r="A206" s="94"/>
      <c r="B206" s="444">
        <f>SUM(B176:B205)</f>
        <v>35122950</v>
      </c>
      <c r="C206" s="444">
        <f t="shared" ref="C206:G206" si="20">SUM(C176:C205)</f>
        <v>70687213.251212001</v>
      </c>
      <c r="D206" s="444">
        <f t="shared" si="20"/>
        <v>67042357.251212008</v>
      </c>
      <c r="E206" s="444">
        <f t="shared" si="20"/>
        <v>66981918.069933213</v>
      </c>
      <c r="F206" s="444">
        <f t="shared" si="20"/>
        <v>73680109.876926541</v>
      </c>
      <c r="G206" s="444">
        <f t="shared" si="20"/>
        <v>81048120.864619195</v>
      </c>
    </row>
    <row r="207" spans="1:9" s="285" customFormat="1" x14ac:dyDescent="0.25">
      <c r="A207" s="93" t="s">
        <v>66</v>
      </c>
      <c r="B207" s="451"/>
      <c r="C207" s="442"/>
      <c r="D207" s="442"/>
      <c r="E207" s="442"/>
      <c r="F207" s="442"/>
      <c r="G207" s="451"/>
    </row>
    <row r="208" spans="1:9" s="285" customFormat="1" x14ac:dyDescent="0.25">
      <c r="A208" s="94" t="s">
        <v>342</v>
      </c>
      <c r="B208" s="451">
        <f>+COUNCIL!D208+MAYOR!D208+SPEAKER!D208+MM!D208+CORP!D212+PROP!D208+RATES!D208+THALL!D208+FIN!D207+SOCIAL!D207+CEMETERY!D208+LIBRARIES!D208+HOUSING!D208+TRAFFIC!D208+PARKS!D208+REFUSE!D208+SEWAGE!D208+PWORKS!D208+WATER!D208+ELECTRIC!D208</f>
        <v>31585</v>
      </c>
      <c r="C208" s="442">
        <v>1477</v>
      </c>
      <c r="D208" s="442">
        <v>2733.5520000000001</v>
      </c>
      <c r="E208" s="435">
        <f>+COUNCIL!G208+MAYOR!G208+SPEAKER!G208+MM!G208+CORP!G212+PROP!G208+RATES!G208+THALL!G208+FIN!G207+SOCIAL!G207+CEMETERY!G208+LIBRARIES!G208+HOUSING!G208+TRAFFIC!G208+PARKS!G208+REFUSE!G208+SEWAGE!G208+PWORKS!G208+WATER!G208+ELECTRIC!G208</f>
        <v>221.44800000000009</v>
      </c>
      <c r="F208" s="435">
        <f>+COUNCIL!H208+MAYOR!H208+SPEAKER!H208+MM!H208+CORP!H212+PROP!H208+RATES!H208+THALL!H208+FIN!H207+SOCIAL!H207+CEMETERY!H208+LIBRARIES!H208+HOUSING!H208+TRAFFIC!H208+PARKS!H208+REFUSE!H208+SEWAGE!H208+PWORKS!H208+WATER!H208+ELECTRIC!H208</f>
        <v>221.44800000000009</v>
      </c>
      <c r="G208" s="435">
        <f>+COUNCIL!I208+MAYOR!I208+SPEAKER!I208+MM!I208+CORP!I212+PROP!I208+RATES!I208+THALL!I208+FIN!I207+SOCIAL!I207+CEMETERY!I208+LIBRARIES!I208+HOUSING!I208+TRAFFIC!I208+PARKS!I208+REFUSE!I208+SEWAGE!I208+PWORKS!I208+WATER!I208+ELECTRIC!I208</f>
        <v>221.44800000000009</v>
      </c>
    </row>
    <row r="209" spans="1:7" s="285" customFormat="1" x14ac:dyDescent="0.25">
      <c r="A209" s="94" t="s">
        <v>344</v>
      </c>
      <c r="B209" s="451">
        <f>+COUNCIL!D209+MAYOR!D209+SPEAKER!D209+MM!D209+CORP!D213+PROP!D209+RATES!D209+THALL!D209+FIN!D208+SOCIAL!D208+CEMETERY!D209+LIBRARIES!D209+HOUSING!D209+TRAFFIC!D209+PARKS!D209+REFUSE!D209+SEWAGE!D209+PWORKS!D209+WATER!D209+ELECTRIC!D209</f>
        <v>469</v>
      </c>
      <c r="C209" s="442">
        <f>+COUNCIL!E209+MAYOR!E209+SPEAKER!E209+MM!E209+CORP!E213+PROP!E209+RATES!E209+THALL!E209+FIN!E209+SOCIAL!E208+CEMETERY!E209+LIBRARIES!E209+HOUSING!E209+TRAFFIC!E209+PARKS!E209+REFUSE!E209+SEWAGE!E209+PWORKS!E209+WATER!E209+ELECTRIC!E209</f>
        <v>43595.904000000002</v>
      </c>
      <c r="D209" s="442">
        <v>43595.904000000002</v>
      </c>
      <c r="E209" s="435">
        <f>+COUNCIL!G209+MAYOR!G209+SPEAKER!G209+MM!G209+CORP!G213+PROP!G209+RATES!G209+THALL!G209+FIN!G208+SOCIAL!G208+CEMETERY!G209+LIBRARIES!G209+HOUSING!G209+TRAFFIC!G209+PARKS!G209+REFUSE!G209+SEWAGE!G209+PWORKS!G209+WATER!G209+ELECTRIC!G209</f>
        <v>43595.904000000002</v>
      </c>
      <c r="F209" s="435">
        <f>+COUNCIL!H209+MAYOR!H209+SPEAKER!H209+MM!H209+CORP!H213+PROP!H209+RATES!H209+THALL!H209+FIN!H208+SOCIAL!H208+CEMETERY!H209+LIBRARIES!H209+HOUSING!H209+TRAFFIC!H209+PARKS!H209+REFUSE!H209+SEWAGE!H209+PWORKS!H209+WATER!H209+ELECTRIC!H209</f>
        <v>43595.904000000002</v>
      </c>
      <c r="G209" s="435">
        <f>+COUNCIL!I209+MAYOR!I209+SPEAKER!I209+MM!I209+CORP!I213+PROP!I209+RATES!I209+THALL!I209+FIN!I208+SOCIAL!I208+CEMETERY!I209+LIBRARIES!I209+HOUSING!I209+TRAFFIC!I209+PARKS!I209+REFUSE!I209+SEWAGE!I209+PWORKS!I209+WATER!I209+ELECTRIC!I209</f>
        <v>43595.904000000002</v>
      </c>
    </row>
    <row r="210" spans="1:7" s="285" customFormat="1" x14ac:dyDescent="0.25">
      <c r="A210" s="94" t="s">
        <v>345</v>
      </c>
      <c r="B210" s="451">
        <f>+COUNCIL!D210+MAYOR!D210+SPEAKER!D210+MM!D210+CORP!D214+PROP!D210+RATES!D210+THALL!D210+FIN!D209+SOCIAL!D209+CEMETERY!D210+LIBRARIES!D210+HOUSING!D210+TRAFFIC!D210+PARKS!D210+REFUSE!D210+SEWAGE!D210+PWORKS!D210+WATER!D210+ELECTRIC!D210</f>
        <v>0</v>
      </c>
      <c r="C210" s="442">
        <f>+COUNCIL!E210+MAYOR!E210+SPEAKER!E210+MM!E210+CORP!E214+PROP!E210+RATES!E210+THALL!E210+FIN!E210+SOCIAL!E209+CEMETERY!E210+LIBRARIES!E210+HOUSING!E210+TRAFFIC!E210+PARKS!E210+REFUSE!E210+SEWAGE!E210+PWORKS!E210+WATER!E210+ELECTRIC!E210</f>
        <v>0</v>
      </c>
      <c r="D210" s="442">
        <v>0</v>
      </c>
      <c r="E210" s="435">
        <f>+COUNCIL!G210+MAYOR!G210+SPEAKER!G210+MM!G210+CORP!G214+PROP!G210+RATES!G210+THALL!G210+FIN!G209+SOCIAL!G209+CEMETERY!G210+LIBRARIES!G210+HOUSING!G210+TRAFFIC!G210+PARKS!G210+REFUSE!G210+SEWAGE!G210+PWORKS!G210+WATER!G210+ELECTRIC!G210</f>
        <v>0</v>
      </c>
      <c r="F210" s="435">
        <f>+COUNCIL!H210+MAYOR!H210+SPEAKER!H210+MM!H210+CORP!H214+PROP!H210+RATES!H210+THALL!H210+FIN!H209+SOCIAL!H209+CEMETERY!H210+LIBRARIES!H210+HOUSING!H210+TRAFFIC!H210+PARKS!H210+REFUSE!H210+SEWAGE!H210+PWORKS!H210+WATER!H210+ELECTRIC!H210</f>
        <v>0</v>
      </c>
      <c r="G210" s="435">
        <f>+COUNCIL!I210+MAYOR!I210+SPEAKER!I210+MM!I210+CORP!I214+PROP!I210+RATES!I210+THALL!I210+FIN!I209+SOCIAL!I209+CEMETERY!I210+LIBRARIES!I210+HOUSING!I210+TRAFFIC!I210+PARKS!I210+REFUSE!I210+SEWAGE!I210+PWORKS!I210+WATER!I210+ELECTRIC!I210</f>
        <v>0</v>
      </c>
    </row>
    <row r="211" spans="1:7" s="285" customFormat="1" x14ac:dyDescent="0.25">
      <c r="A211" s="94" t="s">
        <v>346</v>
      </c>
      <c r="B211" s="451">
        <f>+COUNCIL!D211+MAYOR!D211+SPEAKER!D211+MM!D211+CORP!D215+PROP!D211+RATES!D211+THALL!D211+FIN!D210+SOCIAL!D210+CEMETERY!D211+LIBRARIES!D211+HOUSING!D211+TRAFFIC!D211+PARKS!D211+REFUSE!D211+SEWAGE!D211+PWORKS!D211+WATER!D211+ELECTRIC!D211</f>
        <v>535</v>
      </c>
      <c r="C211" s="431">
        <f>+COUNCIL!E211+MAYOR!E211+SPEAKER!E211+MM!E211+CORP!E215+PROP!E211+RATES!E211+THALL!E211+FIN!E211+SOCIAL!E210+CEMETERY!E211+LIBRARIES!E211+HOUSING!E211+TRAFFIC!E211+PARKS!E211+REFUSE!E211+SEWAGE!E211+PWORKS!E211+WATER!E211+ELECTRIC!E211</f>
        <v>4905.75</v>
      </c>
      <c r="D211" s="442">
        <v>4905.75</v>
      </c>
      <c r="E211" s="435">
        <f>+COUNCIL!G211+MAYOR!G211+SPEAKER!G211+MM!G211+CORP!G215+PROP!G211+RATES!G211+THALL!G211+FIN!G210+SOCIAL!G210+CEMETERY!G211+LIBRARIES!G211+HOUSING!G211+TRAFFIC!G211+PARKS!G211+REFUSE!G211+SEWAGE!G211+PWORKS!G211+WATER!G211+ELECTRIC!G211</f>
        <v>4905.75</v>
      </c>
      <c r="F211" s="435">
        <f>+COUNCIL!H211+MAYOR!H211+SPEAKER!H211+MM!H211+CORP!H215+PROP!H211+RATES!H211+THALL!H211+FIN!H210+SOCIAL!H210+CEMETERY!H211+LIBRARIES!H211+HOUSING!H211+TRAFFIC!H211+PARKS!H211+REFUSE!H211+SEWAGE!H211+PWORKS!H211+WATER!H211+ELECTRIC!H211</f>
        <v>4905.75</v>
      </c>
      <c r="G211" s="435">
        <f>+COUNCIL!I211+MAYOR!I211+SPEAKER!I211+MM!I211+CORP!I215+PROP!I211+RATES!I211+THALL!I211+FIN!I210+SOCIAL!I210+CEMETERY!I211+LIBRARIES!I211+HOUSING!I211+TRAFFIC!I211+PARKS!I211+REFUSE!I211+SEWAGE!I211+PWORKS!I211+WATER!I211+ELECTRIC!I211</f>
        <v>4905.75</v>
      </c>
    </row>
    <row r="212" spans="1:7" s="285" customFormat="1" x14ac:dyDescent="0.25">
      <c r="A212" s="94"/>
      <c r="B212" s="443">
        <f>B208+B209+B210+B211</f>
        <v>32589</v>
      </c>
      <c r="C212" s="443">
        <f t="shared" ref="C212:G212" si="21">C208+C209+C210+C211</f>
        <v>49978.654000000002</v>
      </c>
      <c r="D212" s="443">
        <f t="shared" si="21"/>
        <v>51235.206000000006</v>
      </c>
      <c r="E212" s="443">
        <f t="shared" si="21"/>
        <v>48723.101999999999</v>
      </c>
      <c r="F212" s="443">
        <f t="shared" si="21"/>
        <v>48723.101999999999</v>
      </c>
      <c r="G212" s="443">
        <f t="shared" si="21"/>
        <v>48723.101999999999</v>
      </c>
    </row>
    <row r="213" spans="1:7" s="285" customFormat="1" x14ac:dyDescent="0.25">
      <c r="A213" s="93" t="s">
        <v>67</v>
      </c>
      <c r="B213" s="451"/>
      <c r="C213" s="442"/>
      <c r="D213" s="442"/>
      <c r="E213" s="442"/>
      <c r="F213" s="442"/>
      <c r="G213" s="334"/>
    </row>
    <row r="214" spans="1:7" s="285" customFormat="1" x14ac:dyDescent="0.25">
      <c r="A214" s="94" t="s">
        <v>68</v>
      </c>
      <c r="B214" s="451">
        <f>+COUNCIL!D214+MAYOR!D214+SPEAKER!D214+MM!D214+CORP!D218+PROP!D214+RATES!D214+THALL!D214+FIN!D213+SOCIAL!D213+CEMETERY!D214+LIBRARIES!D214+HOUSING!D214+TRAFFIC!D214+PARKS!D214+REFUSE!D214+SEWAGE!D214+PWORKS!D214+WATER!D214+ELECTRIC!D214</f>
        <v>0</v>
      </c>
      <c r="C214" s="431">
        <f>+COUNCIL!E214+MAYOR!E214+SPEAKER!E214+MM!E214+CORP!E218+PROP!E214+RATES!E214+THALL!E214+FIN!E214+SOCIAL!E213+CEMETERY!E214+LIBRARIES!E214+HOUSING!E214+TRAFFIC!E214+PARKS!E214+REFUSE!E214+SEWAGE!E214+PWORKS!E214+WATER!E214+ELECTRIC!E214</f>
        <v>1197.5040000000001</v>
      </c>
      <c r="D214" s="442">
        <f>+COUNCIL!F214+MAYOR!F214+SPEAKER!F214+MM!F214+CORP!F218+PROP!F214+RATES!F214+THALL!F214+FIN!F213+SOCIAL!F213+CEMETERY!F214+LIBRARIES!F214+HOUSING!F214+TRAFFIC!F214+PARKS!F214+REFUSE!F214+SEWAGE!F214+PWORKS!F214+WATER!F214+ELECTRIC!F214</f>
        <v>0</v>
      </c>
      <c r="E214" s="435">
        <f>+COUNCIL!G214+MAYOR!G214+SPEAKER!G214+MM!G214+CORP!G218+PROP!G214+RATES!G214+THALL!G214+FIN!G213+SOCIAL!G213+CEMETERY!G214+LIBRARIES!G214+HOUSING!G214+TRAFFIC!G214+PARKS!G214+REFUSE!G214+SEWAGE!G214+PWORKS!G214+WATER!G214+ELECTRIC!G214</f>
        <v>0</v>
      </c>
      <c r="F214" s="435">
        <f>+COUNCIL!H214+MAYOR!H214+SPEAKER!H214+MM!H214+CORP!H218+PROP!H214+RATES!H214+THALL!H214+FIN!H213+SOCIAL!H213+CEMETERY!H214+LIBRARIES!H214+HOUSING!H214+TRAFFIC!H214+PARKS!H214+REFUSE!H214+SEWAGE!H214+PWORKS!H214+WATER!H214+ELECTRIC!H214</f>
        <v>0</v>
      </c>
      <c r="G214" s="435">
        <f>+COUNCIL!I214+MAYOR!I214+SPEAKER!I214+MM!I214+CORP!I218+PROP!I214+RATES!I214+THALL!I214+FIN!I213+SOCIAL!I213+CEMETERY!I214+LIBRARIES!I214+HOUSING!I214+TRAFFIC!I214+PARKS!I214+REFUSE!I214+SEWAGE!I214+PWORKS!I214+WATER!I214+ELECTRIC!I214</f>
        <v>0</v>
      </c>
    </row>
    <row r="215" spans="1:7" s="285" customFormat="1" x14ac:dyDescent="0.25">
      <c r="A215" s="94" t="s">
        <v>69</v>
      </c>
      <c r="B215" s="451">
        <f>+COUNCIL!D215+MAYOR!D215+SPEAKER!D215+MM!D215+CORP!D219+PROP!D215+RATES!D215+THALL!D215+FIN!D214+SOCIAL!D214+CEMETERY!D215+LIBRARIES!D215+HOUSING!D215+TRAFFIC!D215+PARKS!D215+REFUSE!D215+SEWAGE!D215+PWORKS!D215+WATER!D215+ELECTRIC!D215</f>
        <v>0</v>
      </c>
      <c r="C215" s="431">
        <f>+COUNCIL!E215+MAYOR!E215+SPEAKER!E215+MM!E215+CORP!E219+PROP!E215+RATES!E215+THALL!E215+FIN!E215+SOCIAL!E214+CEMETERY!E215+LIBRARIES!E215+HOUSING!E215+TRAFFIC!E215+PARKS!E215+REFUSE!E215+SEWAGE!E215+PWORKS!E215+WATER!E215+ELECTRIC!E215</f>
        <v>338260.03200000001</v>
      </c>
      <c r="D215" s="442">
        <f>+COUNCIL!F215+MAYOR!F215+SPEAKER!F215+MM!F215+CORP!F219+PROP!F215+RATES!F215+THALL!F215+FIN!F214+SOCIAL!F214+CEMETERY!F215+LIBRARIES!F215+HOUSING!F215+TRAFFIC!F215+PARKS!F215+REFUSE!F215+SEWAGE!F215+PWORKS!F215+WATER!F215+ELECTRIC!F215</f>
        <v>1197.5040000000001</v>
      </c>
      <c r="E215" s="435">
        <f>+COUNCIL!G215+MAYOR!G215+SPEAKER!G215+MM!G215+CORP!G219+PROP!G215+RATES!G215+THALL!G215+FIN!G214+SOCIAL!G214+CEMETERY!G215+LIBRARIES!G215+HOUSING!G215+TRAFFIC!G215+PARKS!G215+REFUSE!G215+SEWAGE!G215+PWORKS!G215+WATER!G215+ELECTRIC!G215</f>
        <v>1317.2544000000003</v>
      </c>
      <c r="F215" s="435">
        <f>+COUNCIL!H215+MAYOR!H215+SPEAKER!H215+MM!H215+CORP!H219+PROP!H215+RATES!H215+THALL!H215+FIN!H214+SOCIAL!H214+CEMETERY!H215+LIBRARIES!H215+HOUSING!H215+TRAFFIC!H215+PARKS!H215+REFUSE!H215+SEWAGE!H215+PWORKS!H215+WATER!H215+ELECTRIC!H215</f>
        <v>1448.9798400000002</v>
      </c>
      <c r="G215" s="435">
        <f>+COUNCIL!I215+MAYOR!I215+SPEAKER!I215+MM!I215+CORP!I219+PROP!I215+RATES!I215+THALL!I215+FIN!I214+SOCIAL!I214+CEMETERY!I215+LIBRARIES!I215+HOUSING!I215+TRAFFIC!I215+PARKS!I215+REFUSE!I215+SEWAGE!I215+PWORKS!I215+WATER!I215+ELECTRIC!I215</f>
        <v>1593.8778240000001</v>
      </c>
    </row>
    <row r="216" spans="1:7" s="285" customFormat="1" x14ac:dyDescent="0.25">
      <c r="A216" s="94"/>
      <c r="B216" s="443">
        <f t="shared" ref="B216:G216" si="22">SUM(B214:B215)</f>
        <v>0</v>
      </c>
      <c r="C216" s="443">
        <f t="shared" si="22"/>
        <v>339457.53600000002</v>
      </c>
      <c r="D216" s="443">
        <f t="shared" si="22"/>
        <v>1197.5040000000001</v>
      </c>
      <c r="E216" s="443">
        <f t="shared" si="22"/>
        <v>1317.2544000000003</v>
      </c>
      <c r="F216" s="443">
        <f t="shared" si="22"/>
        <v>1448.9798400000002</v>
      </c>
      <c r="G216" s="443">
        <f t="shared" si="22"/>
        <v>1593.8778240000001</v>
      </c>
    </row>
    <row r="217" spans="1:7" s="285" customFormat="1" x14ac:dyDescent="0.25">
      <c r="A217" s="93" t="s">
        <v>70</v>
      </c>
      <c r="B217" s="451"/>
      <c r="C217" s="442"/>
      <c r="D217" s="442"/>
      <c r="E217" s="442"/>
      <c r="F217" s="442"/>
      <c r="G217" s="334"/>
    </row>
    <row r="218" spans="1:7" s="285" customFormat="1" x14ac:dyDescent="0.25">
      <c r="A218" s="94" t="s">
        <v>106</v>
      </c>
      <c r="B218" s="451">
        <f>+COUNCIL!D218+MAYOR!D218+SPEAKER!D218+MM!D218+CORP!D222+PROP!D218+RATES!D218+THALL!D218+FIN!D217+SOCIAL!D217+CEMETERY!D218+LIBRARIES!D218+HOUSING!D218+TRAFFIC!D218+PARKS!D218+REFUSE!D218+SEWAGE!D218+PWORKS!D218+WATER!D218+ELECTRIC!D218</f>
        <v>0</v>
      </c>
      <c r="C218" s="431">
        <f>+COUNCIL!E218+MAYOR!E218+SPEAKER!E218+MM!E218+CORP!E222+PROP!E218+RATES!E218+THALL!E218+FIN!E217+SOCIAL!E217+CEMETERY!E218+LIBRARIES!E218+HOUSING!E218+TRAFFIC!E218+PARKS!E218+REFUSE!E218+SEWAGE!E218+PWORKS!E218+WATER!E218+ELECTRIC!E218</f>
        <v>0</v>
      </c>
      <c r="D218" s="442">
        <f>+COUNCIL!F218+MAYOR!F218+SPEAKER!F218+MM!F218+CORP!F222+PROP!F218+RATES!F218+THALL!F218+FIN!F217+SOCIAL!F217+CEMETERY!F218+LIBRARIES!F218+HOUSING!F218+TRAFFIC!F218+PARKS!F218+REFUSE!F218+SEWAGE!F218+PWORKS!F218+WATER!F218+ELECTRIC!F218</f>
        <v>0</v>
      </c>
      <c r="E218" s="435">
        <f>+COUNCIL!G218+MAYOR!G218+SPEAKER!G218+MM!G218+CORP!G222+PROP!G218+RATES!G218+THALL!G218+FIN!G217+SOCIAL!G217+CEMETERY!G218+LIBRARIES!G218+HOUSING!G218+TRAFFIC!G218+PARKS!G218+REFUSE!G218+SEWAGE!G218+PWORKS!G218+WATER!G218+ELECTRIC!G218</f>
        <v>0</v>
      </c>
      <c r="F218" s="435">
        <f>+COUNCIL!H218+MAYOR!H218+SPEAKER!H218+MM!H218+CORP!H222+PROP!H218+RATES!H218+THALL!H218+FIN!H217+SOCIAL!H217+CEMETERY!H218+LIBRARIES!H218+HOUSING!H218+TRAFFIC!H218+PARKS!H218+REFUSE!H218+SEWAGE!H218+PWORKS!H218+WATER!H218+ELECTRIC!H218</f>
        <v>0</v>
      </c>
      <c r="G218" s="435">
        <f>+COUNCIL!I218+MAYOR!I218+SPEAKER!I218+MM!I218+CORP!I222+PROP!I218+RATES!I218+THALL!I218+FIN!I217+SOCIAL!I217+CEMETERY!I218+LIBRARIES!I218+HOUSING!I218+TRAFFIC!I218+PARKS!I218+REFUSE!I218+SEWAGE!I218+PWORKS!I218+WATER!I218+ELECTRIC!I218</f>
        <v>0</v>
      </c>
    </row>
    <row r="219" spans="1:7" s="285" customFormat="1" x14ac:dyDescent="0.25">
      <c r="A219" s="94" t="s">
        <v>71</v>
      </c>
      <c r="B219" s="451">
        <f>+COUNCIL!D219+MAYOR!D219+SPEAKER!D219+MM!D219+CORP!D223+PROP!D219+RATES!D219+THALL!D219+FIN!D218+SOCIAL!D218+CEMETERY!D219+LIBRARIES!D219+HOUSING!D219+TRAFFIC!D219+PARKS!D219+REFUSE!D219+SEWAGE!D219+PWORKS!D219+WATER!D219+ELECTRIC!D219</f>
        <v>3015235</v>
      </c>
      <c r="C219" s="431">
        <f>+COUNCIL!E219+MAYOR!E219+SPEAKER!E219+MM!E219+CORP!E223+PROP!E219+RATES!E219+THALL!E219+FIN!E218+SOCIAL!E218+CEMETERY!E219+LIBRARIES!E219+HOUSING!E219+TRAFFIC!E219+PARKS!E219+REFUSE!E219+SEWAGE!E219+PWORKS!E219+WATER!E219+ELECTRIC!E219</f>
        <v>13200000</v>
      </c>
      <c r="D219" s="442">
        <f>+COUNCIL!F219+MAYOR!F219+SPEAKER!F219+MM!F219+CORP!F223+PROP!F219+RATES!F219+THALL!F219+FIN!F218+SOCIAL!F218+CEMETERY!F219+LIBRARIES!F219+HOUSING!F219+TRAFFIC!F219+PARKS!F219+REFUSE!F219+SEWAGE!F219+PWORKS!F219+WATER!F219+ELECTRIC!F219</f>
        <v>6000000</v>
      </c>
      <c r="E219" s="435">
        <f>+COUNCIL!G219+MAYOR!G219+SPEAKER!G219+MM!G219+CORP!G223+PROP!G219+RATES!G219+THALL!G219+FIN!G218+SOCIAL!G218+CEMETERY!G219+LIBRARIES!G219+HOUSING!G219+TRAFFIC!G219+PARKS!G219+REFUSE!G219+SEWAGE!G219+PWORKS!G219+WATER!G219+ELECTRIC!G219</f>
        <v>6600000</v>
      </c>
      <c r="F219" s="435">
        <f>+COUNCIL!H219+MAYOR!H219+SPEAKER!H219+MM!H219+CORP!H223+PROP!H219+RATES!H219+THALL!H219+FIN!H218+SOCIAL!H218+CEMETERY!H219+LIBRARIES!H219+HOUSING!H219+TRAFFIC!H219+PARKS!H219+REFUSE!H219+SEWAGE!H219+PWORKS!H219+WATER!H219+ELECTRIC!H219</f>
        <v>7260000</v>
      </c>
      <c r="G219" s="435">
        <f>+COUNCIL!I219+MAYOR!I219+SPEAKER!I219+MM!I219+CORP!I223+PROP!I219+RATES!I219+THALL!I219+FIN!I218+SOCIAL!I218+CEMETERY!I219+LIBRARIES!I219+HOUSING!I219+TRAFFIC!I219+PARKS!I219+REFUSE!I219+SEWAGE!I219+PWORKS!I219+WATER!I219+ELECTRIC!I219</f>
        <v>7986000</v>
      </c>
    </row>
    <row r="220" spans="1:7" s="285" customFormat="1" x14ac:dyDescent="0.25">
      <c r="A220" s="94" t="s">
        <v>72</v>
      </c>
      <c r="B220" s="451">
        <f>+COUNCIL!D220+MAYOR!D220+SPEAKER!D220+MM!D220+CORP!D224+PROP!D220+RATES!D220+THALL!D220+FIN!D219+SOCIAL!D219+CEMETERY!D220+LIBRARIES!D220+HOUSING!D220+TRAFFIC!D220+PARKS!D220+REFUSE!D220+SEWAGE!D220+PWORKS!D220+WATER!D220+ELECTRIC!D220</f>
        <v>0</v>
      </c>
      <c r="C220" s="431">
        <f>+COUNCIL!E220+MAYOR!E220+SPEAKER!E220+MM!E220+CORP!E224+PROP!E220+RATES!E220+THALL!E220+FIN!E219+SOCIAL!E219+CEMETERY!E220+LIBRARIES!E220+HOUSING!E220+TRAFFIC!E220+PARKS!E220+REFUSE!E220+SEWAGE!E220+PWORKS!E220+WATER!E220+ELECTRIC!E220</f>
        <v>0</v>
      </c>
      <c r="D220" s="442">
        <f>+COUNCIL!F220+MAYOR!F220+SPEAKER!F220+MM!F220+CORP!F224+PROP!F220+RATES!F220+THALL!F220+FIN!F219+SOCIAL!F219+CEMETERY!F220+LIBRARIES!F220+HOUSING!F220+TRAFFIC!F220+PARKS!F220+REFUSE!F220+SEWAGE!F220+PWORKS!F220+WATER!F220+ELECTRIC!F220</f>
        <v>0</v>
      </c>
      <c r="E220" s="435">
        <f>+COUNCIL!G220+MAYOR!G220+SPEAKER!G220+MM!G220+CORP!G224+PROP!G220+RATES!G220+THALL!G220+FIN!G219+SOCIAL!G219+CEMETERY!G220+LIBRARIES!G220+HOUSING!G220+TRAFFIC!G220+PARKS!G220+REFUSE!G220+SEWAGE!G220+PWORKS!G220+WATER!G220+ELECTRIC!G220</f>
        <v>0</v>
      </c>
      <c r="F220" s="435">
        <f>+COUNCIL!H220+MAYOR!H220+SPEAKER!H220+MM!H220+CORP!H224+PROP!H220+RATES!H220+THALL!H220+FIN!H219+SOCIAL!H219+CEMETERY!H220+LIBRARIES!H220+HOUSING!H220+TRAFFIC!H220+PARKS!H220+REFUSE!H220+SEWAGE!H220+PWORKS!H220+WATER!H220+ELECTRIC!H220</f>
        <v>0</v>
      </c>
      <c r="G220" s="435">
        <f>+COUNCIL!I220+MAYOR!I220+SPEAKER!I220+MM!I220+CORP!I224+PROP!I220+RATES!I220+THALL!I220+FIN!I219+SOCIAL!I219+CEMETERY!I220+LIBRARIES!I220+HOUSING!I220+TRAFFIC!I220+PARKS!I220+REFUSE!I220+SEWAGE!I220+PWORKS!I220+WATER!I220+ELECTRIC!I220</f>
        <v>0</v>
      </c>
    </row>
    <row r="221" spans="1:7" s="285" customFormat="1" x14ac:dyDescent="0.25">
      <c r="A221" s="94"/>
      <c r="B221" s="443">
        <f t="shared" ref="B221:G221" si="23">SUM(B218:B220)</f>
        <v>3015235</v>
      </c>
      <c r="C221" s="443">
        <f t="shared" si="23"/>
        <v>13200000</v>
      </c>
      <c r="D221" s="443">
        <f t="shared" si="23"/>
        <v>6000000</v>
      </c>
      <c r="E221" s="443">
        <f t="shared" si="23"/>
        <v>6600000</v>
      </c>
      <c r="F221" s="443">
        <f t="shared" si="23"/>
        <v>7260000</v>
      </c>
      <c r="G221" s="443">
        <f t="shared" si="23"/>
        <v>7986000</v>
      </c>
    </row>
    <row r="222" spans="1:7" s="285" customFormat="1" x14ac:dyDescent="0.25">
      <c r="A222" s="93" t="s">
        <v>73</v>
      </c>
      <c r="B222" s="451"/>
      <c r="C222" s="442"/>
      <c r="D222" s="442"/>
      <c r="E222" s="442"/>
      <c r="F222" s="442"/>
      <c r="G222" s="334"/>
    </row>
    <row r="223" spans="1:7" s="285" customFormat="1" x14ac:dyDescent="0.25">
      <c r="A223" s="94" t="s">
        <v>349</v>
      </c>
      <c r="B223" s="451">
        <f>+COUNCIL!D223+MAYOR!D223+SPEAKER!D223+MM!D223+CORP!D227+PROP!D223+RATES!D223+THALL!D223+FIN!D222+SOCIAL!D222+CEMETERY!D223+LIBRARIES!D223+HOUSING!D223+TRAFFIC!D223+PARKS!D223+REFUSE!D223+SEWAGE!D223+PWORKS!D223+WATER!D223+ELECTRIC!D223</f>
        <v>0</v>
      </c>
      <c r="C223" s="442">
        <f>+COUNCIL!E223+MAYOR!E223+SPEAKER!E223+MM!E223+CORP!E227+PROP!E223+RATES!E223+THALL!E223+FIN!E222+SOCIAL!E222+CEMETERY!E223+LIBRARIES!E223+HOUSING!E223+TRAFFIC!E223+PARKS!E223+REFUSE!E223+SEWAGE!E223+PWORKS!E223+WATER!E223+ELECTRIC!E223</f>
        <v>0</v>
      </c>
      <c r="D223" s="442">
        <f>+COUNCIL!F223+MAYOR!F223+SPEAKER!F223+MM!F223+CORP!F227+PROP!F223+RATES!F223+THALL!F223+FIN!F222+SOCIAL!F222+CEMETERY!F223+LIBRARIES!F223+HOUSING!F223+TRAFFIC!F223+PARKS!F223+REFUSE!F223+SEWAGE!F223+PWORKS!F223+WATER!F223+ELECTRIC!F223</f>
        <v>0</v>
      </c>
      <c r="E223" s="435">
        <f>+COUNCIL!G223+MAYOR!G223+SPEAKER!G223+MM!G223+CORP!G227+PROP!G223+RATES!G223+THALL!G223+FIN!G222+SOCIAL!G222+CEMETERY!G223+LIBRARIES!G223+HOUSING!G223+TRAFFIC!G223+PARKS!G223+REFUSE!G223+SEWAGE!G223+PWORKS!G223+WATER!G223+ELECTRIC!G223</f>
        <v>0</v>
      </c>
      <c r="F223" s="435">
        <f>+COUNCIL!H223+MAYOR!H223+SPEAKER!H223+MM!H223+CORP!H227+PROP!H223+RATES!H223+THALL!H223+FIN!H222+SOCIAL!H222+CEMETERY!H223+LIBRARIES!H223+HOUSING!H223+TRAFFIC!H223+PARKS!H223+REFUSE!H223+SEWAGE!H223+PWORKS!H223+WATER!H223+ELECTRIC!H223</f>
        <v>0</v>
      </c>
      <c r="G223" s="435">
        <f>+COUNCIL!I223+MAYOR!I223+SPEAKER!I223+MM!I223+CORP!I227+PROP!I223+RATES!I223+THALL!I223+FIN!I222+SOCIAL!I222+CEMETERY!I223+LIBRARIES!I223+HOUSING!I223+TRAFFIC!I223+PARKS!I223+REFUSE!I223+SEWAGE!I223+PWORKS!I223+WATER!I223+ELECTRIC!I223</f>
        <v>0</v>
      </c>
    </row>
    <row r="224" spans="1:7" s="285" customFormat="1" x14ac:dyDescent="0.25">
      <c r="A224" s="94" t="s">
        <v>348</v>
      </c>
      <c r="B224" s="451">
        <f>+COUNCIL!D224+MAYOR!D224+SPEAKER!D224+MM!D224+CORP!D228+PROP!D224+RATES!D224+THALL!D224+FIN!D223+SOCIAL!D223+CEMETERY!D224+LIBRARIES!D224+HOUSING!D224+TRAFFIC!D224+PARKS!D224+REFUSE!D224+SEWAGE!D224+PWORKS!D224+WATER!D224+ELECTRIC!D224</f>
        <v>2300</v>
      </c>
      <c r="C224" s="442">
        <f>+COUNCIL!E224+MAYOR!E224+SPEAKER!E224+MM!E224+CORP!E228+PROP!E224+RATES!E224+THALL!E224+FIN!E223+SOCIAL!E223+CEMETERY!E224+LIBRARIES!E224+HOUSING!E224+TRAFFIC!E224+PARKS!E224+REFUSE!E224+SEWAGE!E224+PWORKS!E224+WATER!E224+ELECTRIC!E224</f>
        <v>225000</v>
      </c>
      <c r="D224" s="442">
        <f>+COUNCIL!F224+MAYOR!F224+SPEAKER!F224+MM!F224+CORP!F228+PROP!F224+RATES!F224+THALL!F224+FIN!F223+SOCIAL!F223+CEMETERY!F224+LIBRARIES!F224+HOUSING!F224+TRAFFIC!F224+PARKS!F224+REFUSE!F224+SEWAGE!F224+PWORKS!F224+WATER!F224+ELECTRIC!F224</f>
        <v>225000</v>
      </c>
      <c r="E224" s="435">
        <f>+COUNCIL!G224+MAYOR!G224+SPEAKER!G224+MM!G224+CORP!G228+PROP!G224+RATES!G224+THALL!G224+FIN!G223+SOCIAL!G223+CEMETERY!G224+LIBRARIES!G224+HOUSING!G224+TRAFFIC!G224+PARKS!G224+REFUSE!G224+SEWAGE!G224+PWORKS!G224+WATER!G224+ELECTRIC!G224</f>
        <v>247500</v>
      </c>
      <c r="F224" s="435">
        <f>+COUNCIL!H224+MAYOR!H224+SPEAKER!H224+MM!H224+CORP!H228+PROP!H224+RATES!H224+THALL!H224+FIN!H223+SOCIAL!H223+CEMETERY!H224+LIBRARIES!H224+HOUSING!H224+TRAFFIC!H224+PARKS!H224+REFUSE!H224+SEWAGE!H224+PWORKS!H224+WATER!H224+ELECTRIC!H224</f>
        <v>272250</v>
      </c>
      <c r="G224" s="435">
        <f>+COUNCIL!I224+MAYOR!I224+SPEAKER!I224+MM!I224+CORP!I228+PROP!I224+RATES!I224+THALL!I224+FIN!I223+SOCIAL!I223+CEMETERY!I224+LIBRARIES!I224+HOUSING!I224+TRAFFIC!I224+PARKS!I224+REFUSE!I224+SEWAGE!I224+PWORKS!I224+WATER!I224+ELECTRIC!I224</f>
        <v>299475</v>
      </c>
    </row>
    <row r="225" spans="1:7" s="285" customFormat="1" x14ac:dyDescent="0.25">
      <c r="A225" s="94"/>
      <c r="B225" s="444">
        <f>SUM(B223:B224)</f>
        <v>2300</v>
      </c>
      <c r="C225" s="444">
        <f t="shared" ref="C225:G225" si="24">SUM(C223:C224)</f>
        <v>225000</v>
      </c>
      <c r="D225" s="444">
        <f t="shared" si="24"/>
        <v>225000</v>
      </c>
      <c r="E225" s="444">
        <f t="shared" si="24"/>
        <v>247500</v>
      </c>
      <c r="F225" s="444">
        <f t="shared" si="24"/>
        <v>272250</v>
      </c>
      <c r="G225" s="444">
        <f t="shared" si="24"/>
        <v>299475</v>
      </c>
    </row>
    <row r="226" spans="1:7" s="285" customFormat="1" x14ac:dyDescent="0.25">
      <c r="A226" s="93" t="s">
        <v>74</v>
      </c>
      <c r="B226" s="451"/>
      <c r="C226" s="442"/>
      <c r="D226" s="442"/>
      <c r="E226" s="442"/>
      <c r="F226" s="442"/>
      <c r="G226" s="451"/>
    </row>
    <row r="227" spans="1:7" s="285" customFormat="1" x14ac:dyDescent="0.25">
      <c r="A227" s="94" t="s">
        <v>75</v>
      </c>
      <c r="B227" s="442">
        <f>+COUNCIL!D227+MAYOR!D227+SPEAKER!D227+MM!D227+CORP!D231+PROP!D227+RATES!D227+THALL!D227+FIN!D226+SOCIAL!D226+CEMETERY!D227+LIBRARIES!D227+HOUSING!D227+TRAFFIC!D227+PARKS!D227+REFUSE!D227+SEWAGE!D227+PWORKS!D227+WATER!D227+ELECTRIC!D227</f>
        <v>60966000</v>
      </c>
      <c r="C227" s="442">
        <f>+COUNCIL!E227+MAYOR!E227+SPEAKER!E227+MM!E227+CORP!E231+PROP!E227+RATES!E227+THALL!E227+FIN!E226+SOCIAL!E226+CEMETERY!E227+LIBRARIES!E227+HOUSING!E227+TRAFFIC!E227+PARKS!E227+REFUSE!E227+SEWAGE!E227+PWORKS!E227+WATER!E227+ELECTRIC!E227</f>
        <v>79851000</v>
      </c>
      <c r="D227" s="435">
        <v>79851000</v>
      </c>
      <c r="E227" s="435">
        <f>+COUNCIL!G227+MAYOR!G227+SPEAKER!G227+MM!G227+CORP!G231+PROP!G227+RATES!G227+THALL!G227+FIN!G226+SOCIAL!G226+CEMETERY!G227+LIBRARIES!G227+HOUSING!G227+TRAFFIC!G227+PARKS!G227+REFUSE!G227+SEWAGE!G227+PWORKS!G227+WATER!G227+ELECTRIC!G227</f>
        <v>84848000</v>
      </c>
      <c r="F227" s="435">
        <f>+COUNCIL!H227+MAYOR!H227+SPEAKER!H227+MM!H227+CORP!H231+PROP!H227+RATES!H227+THALL!H227+FIN!H226+SOCIAL!H226+CEMETERY!H227+LIBRARIES!H227+HOUSING!H227+TRAFFIC!H227+PARKS!H227+REFUSE!H227+SEWAGE!H227+PWORKS!H227+WATER!H227+ELECTRIC!H227</f>
        <v>88281420</v>
      </c>
      <c r="G227" s="435">
        <f>+COUNCIL!I227+MAYOR!I227+SPEAKER!I227+MM!I227+CORP!I231+PROP!I227+RATES!I227+THALL!I227+FIN!I226+SOCIAL!I226+CEMETERY!I227+LIBRARIES!I227+HOUSING!I227+TRAFFIC!I227+PARKS!I227+REFUSE!I227+SEWAGE!I227+PWORKS!I227+WATER!I227+ELECTRIC!I227</f>
        <v>83494000</v>
      </c>
    </row>
    <row r="228" spans="1:7" s="285" customFormat="1" x14ac:dyDescent="0.25">
      <c r="A228" s="94" t="s">
        <v>131</v>
      </c>
      <c r="B228" s="442">
        <f>+COUNCIL!D228+MAYOR!D228+SPEAKER!D228+MM!D228+CORP!D232+PROP!D228+RATES!D228+THALL!D228+FIN!D227+SOCIAL!D227+CEMETERY!D228+LIBRARIES!D228+HOUSING!D228+TRAFFIC!D228+PARKS!D228+REFUSE!D228+SEWAGE!D228+PWORKS!D228+WATER!D228+ELECTRIC!D228</f>
        <v>0</v>
      </c>
      <c r="C228" s="442">
        <f>+COUNCIL!E228+MAYOR!E228+SPEAKER!E228+MM!E228+CORP!E232+PROP!E228+RATES!E228+THALL!E228+FIN!E227+SOCIAL!E227+CEMETERY!E228+LIBRARIES!E228+HOUSING!E228+TRAFFIC!E228+PARKS!E228+REFUSE!E228+SEWAGE!E228+PWORKS!E228+WATER!E228+ELECTRIC!E228</f>
        <v>0</v>
      </c>
      <c r="D228" s="435">
        <v>0</v>
      </c>
      <c r="E228" s="435">
        <f>+COUNCIL!G228+MAYOR!G228+SPEAKER!G228+MM!G228+CORP!G232+PROP!G228+RATES!G228+THALL!G228+FIN!G227+SOCIAL!G227+CEMETERY!G228+LIBRARIES!G228+HOUSING!G228+TRAFFIC!G228+PARKS!G228+REFUSE!G228+SEWAGE!G228+PWORKS!G228+WATER!G228+ELECTRIC!G228</f>
        <v>0</v>
      </c>
      <c r="F228" s="435">
        <f>+COUNCIL!H228+MAYOR!H228+SPEAKER!H228+MM!H228+CORP!H232+PROP!H228+RATES!H228+THALL!H228+FIN!H227+SOCIAL!H227+CEMETERY!H228+LIBRARIES!H228+HOUSING!H228+TRAFFIC!H228+PARKS!H228+REFUSE!H228+SEWAGE!H228+PWORKS!H228+WATER!H228+ELECTRIC!H228</f>
        <v>0</v>
      </c>
      <c r="G228" s="435">
        <f>+COUNCIL!I228+MAYOR!I228+SPEAKER!I228+MM!I228+CORP!I232+PROP!I228+RATES!I228+THALL!I228+FIN!I227+SOCIAL!I227+CEMETERY!I228+LIBRARIES!I228+HOUSING!I228+TRAFFIC!I228+PARKS!I228+REFUSE!I228+SEWAGE!I228+PWORKS!I228+WATER!I228+ELECTRIC!I228</f>
        <v>0</v>
      </c>
    </row>
    <row r="229" spans="1:7" s="285" customFormat="1" x14ac:dyDescent="0.25">
      <c r="A229" s="94" t="s">
        <v>182</v>
      </c>
      <c r="B229" s="442">
        <f>+COUNCIL!D229+MAYOR!D229+SPEAKER!D229+MM!D229+CORP!D233+PROP!D229+RATES!D229+THALL!D229+FIN!D228+SOCIAL!D228+CEMETERY!D229+LIBRARIES!D229+HOUSING!D229+TRAFFIC!D229+PARKS!D229+REFUSE!D229+SEWAGE!D229+PWORKS!D229+WATER!D229+ELECTRIC!D229</f>
        <v>0</v>
      </c>
      <c r="C229" s="442">
        <f>+COUNCIL!E229+MAYOR!E229+SPEAKER!E229+MM!E229+CORP!E233+PROP!E229+RATES!E229+THALL!E229+FIN!E228+SOCIAL!E228+CEMETERY!E229+LIBRARIES!E229+HOUSING!E229+TRAFFIC!E229+PARKS!E229+REFUSE!E229+SEWAGE!E229+PWORKS!E229+WATER!E229+ELECTRIC!E229</f>
        <v>0</v>
      </c>
      <c r="D229" s="435">
        <v>0</v>
      </c>
      <c r="E229" s="435">
        <f>+COUNCIL!G229+MAYOR!G229+SPEAKER!G229+MM!G229+CORP!G233+PROP!G229+RATES!G229+THALL!G229+FIN!G228+SOCIAL!G228+CEMETERY!G229+LIBRARIES!G229+HOUSING!G229+TRAFFIC!G229+PARKS!G229+REFUSE!G229+SEWAGE!G229+PWORKS!G229+WATER!G229+ELECTRIC!G229</f>
        <v>0</v>
      </c>
      <c r="F229" s="435">
        <f>+COUNCIL!H229+MAYOR!H229+SPEAKER!H229+MM!H229+CORP!H233+PROP!H229+RATES!H229+THALL!H229+FIN!H228+SOCIAL!H228+CEMETERY!H229+LIBRARIES!H229+HOUSING!H229+TRAFFIC!H229+PARKS!H229+REFUSE!H229+SEWAGE!H229+PWORKS!H229+WATER!H229+ELECTRIC!H229</f>
        <v>0</v>
      </c>
      <c r="G229" s="435">
        <f>+COUNCIL!I229+MAYOR!I229+SPEAKER!I229+MM!I229+CORP!I233+PROP!I229+RATES!I229+THALL!I229+FIN!I228+SOCIAL!I228+CEMETERY!I229+LIBRARIES!I229+HOUSING!I229+TRAFFIC!I229+PARKS!I229+REFUSE!I229+SEWAGE!I229+PWORKS!I229+WATER!I229+ELECTRIC!I229</f>
        <v>0</v>
      </c>
    </row>
    <row r="230" spans="1:7" s="285" customFormat="1" x14ac:dyDescent="0.25">
      <c r="A230" s="94" t="s">
        <v>255</v>
      </c>
      <c r="B230" s="442">
        <f>+COUNCIL!D230+MAYOR!D230+SPEAKER!D230+MM!D230+CORP!D234+PROP!D230+RATES!D230+THALL!D230+FIN!D229+SOCIAL!D229+CEMETERY!D230+LIBRARIES!D230+HOUSING!D230+TRAFFIC!D230+PARKS!D230+REFUSE!D230+SEWAGE!D230+PWORKS!D230+WATER!D230+ELECTRIC!D230</f>
        <v>0</v>
      </c>
      <c r="C230" s="442">
        <f>+COUNCIL!E230+MAYOR!E230+SPEAKER!E230+MM!E230+CORP!E234+PROP!E230+RATES!E230+THALL!E230+FIN!E229+SOCIAL!E229+CEMETERY!E230+LIBRARIES!E230+HOUSING!E230+TRAFFIC!E230+PARKS!E230+REFUSE!E230+SEWAGE!E230+PWORKS!E230+WATER!E230+ELECTRIC!E230</f>
        <v>0</v>
      </c>
      <c r="D230" s="435">
        <v>0</v>
      </c>
      <c r="E230" s="435">
        <f>+COUNCIL!G230+MAYOR!G230+SPEAKER!G230+MM!G230+CORP!G234+PROP!G230+RATES!G230+THALL!G230+FIN!G229+SOCIAL!G229+CEMETERY!G230+LIBRARIES!G230+HOUSING!G230+TRAFFIC!G230+PARKS!G230+REFUSE!G230+SEWAGE!G230+PWORKS!G230+WATER!G230+ELECTRIC!G230</f>
        <v>0</v>
      </c>
      <c r="F230" s="435">
        <f>+COUNCIL!H230+MAYOR!H230+SPEAKER!H230+MM!H230+CORP!H234+PROP!H230+RATES!H230+THALL!H230+FIN!H229+SOCIAL!H229+CEMETERY!H230+LIBRARIES!H230+HOUSING!H230+TRAFFIC!H230+PARKS!H230+REFUSE!H230+SEWAGE!H230+PWORKS!H230+WATER!H230+ELECTRIC!H230</f>
        <v>0</v>
      </c>
      <c r="G230" s="435">
        <f>+COUNCIL!I230+MAYOR!I230+SPEAKER!I230+MM!I230+CORP!I234+PROP!I230+RATES!I230+THALL!I230+FIN!I229+SOCIAL!I229+CEMETERY!I230+LIBRARIES!I230+HOUSING!I230+TRAFFIC!I230+PARKS!I230+REFUSE!I230+SEWAGE!I230+PWORKS!I230+WATER!I230+ELECTRIC!I230</f>
        <v>0</v>
      </c>
    </row>
    <row r="231" spans="1:7" s="285" customFormat="1" x14ac:dyDescent="0.25">
      <c r="A231" s="94" t="s">
        <v>108</v>
      </c>
      <c r="B231" s="442">
        <f>+COUNCIL!D231+MAYOR!D231+SPEAKER!D231+MM!D231+CORP!D235+PROP!D231+RATES!D231+THALL!D231+FIN!D230+SOCIAL!D230+CEMETERY!D231+LIBRARIES!D231+HOUSING!D231+TRAFFIC!D231+PARKS!D231+REFUSE!D231+SEWAGE!D231+PWORKS!D231+WATER!D231+ELECTRIC!D231</f>
        <v>0</v>
      </c>
      <c r="C231" s="442">
        <f>+COUNCIL!E231+MAYOR!E231+SPEAKER!E231+MM!E231+CORP!E235+PROP!E231+RATES!E231+THALL!E231+FIN!E230+SOCIAL!E230+CEMETERY!E231+LIBRARIES!E231+HOUSING!E231+TRAFFIC!E231+PARKS!E231+REFUSE!E231+SEWAGE!E231+PWORKS!E231+WATER!E231+ELECTRIC!E231</f>
        <v>0</v>
      </c>
      <c r="D231" s="435">
        <v>0</v>
      </c>
      <c r="E231" s="435">
        <f>+COUNCIL!G231+MAYOR!G231+SPEAKER!G231+MM!G231+CORP!G235+PROP!G231+RATES!G231+THALL!G231+FIN!G230+SOCIAL!G230+CEMETERY!G231+LIBRARIES!G231+HOUSING!G231+TRAFFIC!G231+PARKS!G231+REFUSE!G231+SEWAGE!G231+PWORKS!G231+WATER!G231+ELECTRIC!G231</f>
        <v>0</v>
      </c>
      <c r="F231" s="435">
        <f>+COUNCIL!H231+MAYOR!H231+SPEAKER!H231+MM!H231+CORP!H235+PROP!H231+RATES!H231+THALL!H231+FIN!H230+SOCIAL!H230+CEMETERY!H231+LIBRARIES!H231+HOUSING!H231+TRAFFIC!H231+PARKS!H231+REFUSE!H231+SEWAGE!H231+PWORKS!H231+WATER!H231+ELECTRIC!H231</f>
        <v>0</v>
      </c>
      <c r="G231" s="435">
        <f>+COUNCIL!I231+MAYOR!I231+SPEAKER!I231+MM!I231+CORP!I235+PROP!I231+RATES!I231+THALL!I231+FIN!I230+SOCIAL!I230+CEMETERY!I231+LIBRARIES!I231+HOUSING!I231+TRAFFIC!I231+PARKS!I231+REFUSE!I231+SEWAGE!I231+PWORKS!I231+WATER!I231+ELECTRIC!I231</f>
        <v>0</v>
      </c>
    </row>
    <row r="232" spans="1:7" s="285" customFormat="1" x14ac:dyDescent="0.25">
      <c r="A232" s="94" t="s">
        <v>76</v>
      </c>
      <c r="B232" s="442">
        <f>+COUNCIL!D232+MAYOR!D232+SPEAKER!D232+MM!D232+CORP!D236+PROP!D232+RATES!D232+THALL!D232+FIN!D232+SOCIAL!D231+CEMETERY!D232+LIBRARIES!D232+HOUSING!D232+TRAFFIC!D232+PARKS!D232+REFUSE!D232+SEWAGE!D232+PWORKS!D232+WATER!D232+ELECTRIC!D232</f>
        <v>1650000</v>
      </c>
      <c r="C232" s="442">
        <f>+COUNCIL!E232+MAYOR!E232+SPEAKER!E232+MM!E232+CORP!E236+PROP!E232+RATES!E232+THALL!E232+FIN!E232+SOCIAL!E231+CEMETERY!E232+LIBRARIES!E232+HOUSING!E232+TRAFFIC!E232+PARKS!E232+REFUSE!E232+SEWAGE!E232+PWORKS!E232+WATER!E232+ELECTRIC!E232</f>
        <v>1650000</v>
      </c>
      <c r="D232" s="442">
        <v>1650000</v>
      </c>
      <c r="E232" s="442">
        <f>+COUNCIL!G232+MAYOR!G232+SPEAKER!G232+MM!G232+CORP!G236+PROP!G232+RATES!G232+THALL!G232+FIN!G232+SOCIAL!G231+CEMETERY!G232+LIBRARIES!G232+HOUSING!G232+TRAFFIC!G232+PARKS!G232+REFUSE!G232+SEWAGE!G232+PWORKS!G232+WATER!G232+ELECTRIC!G232</f>
        <v>1800000</v>
      </c>
      <c r="F232" s="442">
        <f>+COUNCIL!H232+MAYOR!H232+SPEAKER!H232+MM!H232+CORP!H236+PROP!H232+RATES!H232+THALL!H232+FIN!H232+SOCIAL!H231+CEMETERY!H232+LIBRARIES!H232+HOUSING!H232+TRAFFIC!H232+PARKS!H232+REFUSE!H232+SEWAGE!H232+PWORKS!H232+WATER!H232+ELECTRIC!H232</f>
        <v>1950000</v>
      </c>
      <c r="G232" s="442">
        <f>+COUNCIL!I232+MAYOR!I232+SPEAKER!I232+MM!I232+CORP!I236+PROP!I232+RATES!I232+THALL!I232+FIN!I232+SOCIAL!I231+CEMETERY!I232+LIBRARIES!I232+HOUSING!I232+TRAFFIC!I232+PARKS!I232+REFUSE!I232+SEWAGE!I232+PWORKS!I232+WATER!I232+ELECTRIC!I232</f>
        <v>2100000</v>
      </c>
    </row>
    <row r="233" spans="1:7" s="285" customFormat="1" x14ac:dyDescent="0.25">
      <c r="A233" s="94" t="s">
        <v>507</v>
      </c>
      <c r="B233" s="442">
        <f>+COUNCIL!D233+MAYOR!D233+SPEAKER!D233+MM!D233+CORP!D237+PROP!D233+RATES!D233+THALL!D233+FIN!D233+SOCIAL!D232+CEMETERY!D233+LIBRARIES!D233+HOUSING!D233+TRAFFIC!D233+PARKS!D233+REFUSE!D233+SEWAGE!D233+PWORKS!D233+WATER!D233+ELECTRIC!D233</f>
        <v>0</v>
      </c>
      <c r="C233" s="442">
        <f>+COUNCIL!E233+MAYOR!E233+SPEAKER!E233+MM!E233+CORP!E237+PROP!E233+RATES!E233+THALL!E233+FIN!E233+SOCIAL!E232+CEMETERY!E233+LIBRARIES!E233+HOUSING!E233+TRAFFIC!E233+PARKS!E233+REFUSE!E233+SEWAGE!E233+PWORKS!E233+WATER!E233+ELECTRIC!E233</f>
        <v>2730000</v>
      </c>
      <c r="D233" s="442">
        <v>2730000</v>
      </c>
      <c r="E233" s="442">
        <f>+COUNCIL!G233+MAYOR!G233+SPEAKER!G233+MM!G233+CORP!G237+PROP!G233+RATES!G233+THALL!G233+FIN!G233+SOCIAL!G232+CEMETERY!G233+LIBRARIES!G233+HOUSING!G233+TRAFFIC!G233+PARKS!G233+REFUSE!G233+SEWAGE!G233+PWORKS!G233+WATER!G233+ELECTRIC!G233</f>
        <v>3447000</v>
      </c>
      <c r="F233" s="442">
        <f>+COUNCIL!H233+MAYOR!H233+SPEAKER!H233+MM!H233+CORP!H237+PROP!H233+RATES!H233+THALL!H233+FIN!H233+SOCIAL!H232+CEMETERY!H233+LIBRARIES!H233+HOUSING!H233+TRAFFIC!H233+PARKS!H233+REFUSE!H233+SEWAGE!H233+PWORKS!H233+WATER!H233+ELECTRIC!H233</f>
        <v>3601000</v>
      </c>
      <c r="G233" s="442">
        <f>+COUNCIL!I233+MAYOR!I233+SPEAKER!I233+MM!I233+CORP!I237+PROP!I233+RATES!I233+THALL!I233+FIN!I233+SOCIAL!I232+CEMETERY!I233+LIBRARIES!I233+HOUSING!I233+TRAFFIC!I233+PARKS!I233+REFUSE!I233+SEWAGE!I233+PWORKS!I233+WATER!I233+ELECTRIC!I233</f>
        <v>3763000</v>
      </c>
    </row>
    <row r="234" spans="1:7" s="285" customFormat="1" x14ac:dyDescent="0.25">
      <c r="A234" s="94" t="s">
        <v>184</v>
      </c>
      <c r="B234" s="451">
        <f>+COUNCIL!D234+MAYOR!D234+SPEAKER!D234+MM!D234+CORP!D238+PROP!D234+RATES!D234+THALL!D234+FIN!D233+SOCIAL!D233+CEMETERY!D234+LIBRARIES!D234+HOUSING!D234+TRAFFIC!D234+PARKS!D234+REFUSE!D234+SEWAGE!D234+PWORKS!D234+WATER!D234+ELECTRIC!D234</f>
        <v>0</v>
      </c>
      <c r="C234" s="431">
        <f>+COUNCIL!E234+MAYOR!E234+SPEAKER!E234+MM!E234+CORP!E238+PROP!E234+RATES!E234+THALL!E234+FIN!E233+SOCIAL!E233+CEMETERY!E234+LIBRARIES!E234+HOUSING!E234+TRAFFIC!E234+PARKS!E234+REFUSE!E234+SEWAGE!E234+PWORKS!E234+WATER!E234+ELECTRIC!E234</f>
        <v>0</v>
      </c>
      <c r="D234" s="442">
        <v>0</v>
      </c>
      <c r="E234" s="442">
        <f>+COUNCIL!G234+MAYOR!G234+SPEAKER!G234+MM!G234+CORP!G238+PROP!G234+RATES!G234+THALL!G234+FIN!G233+SOCIAL!G233+CEMETERY!G234+LIBRARIES!G234+HOUSING!G234+TRAFFIC!G234+PARKS!G234+REFUSE!G234+SEWAGE!G234+PWORKS!G234+WATER!G234+ELECTRIC!G234</f>
        <v>0</v>
      </c>
      <c r="F234" s="442">
        <f>+COUNCIL!H234+MAYOR!H234+SPEAKER!H234+MM!H234+CORP!H238+PROP!H234+RATES!H234+THALL!H234+FIN!H233+SOCIAL!H233+CEMETERY!H234+LIBRARIES!H234+HOUSING!H234+TRAFFIC!H234+PARKS!H234+REFUSE!H234+SEWAGE!H234+PWORKS!H234+WATER!H234+ELECTRIC!H234</f>
        <v>0</v>
      </c>
      <c r="G234" s="442">
        <f>+COUNCIL!I234+MAYOR!I234+SPEAKER!I234+MM!I234+CORP!I238+PROP!I234+RATES!I234+THALL!I234+FIN!I233+SOCIAL!I233+CEMETERY!I234+LIBRARIES!I234+HOUSING!I234+TRAFFIC!I234+PARKS!I234+REFUSE!I234+SEWAGE!I234+PWORKS!I234+WATER!I234+ELECTRIC!I234</f>
        <v>0</v>
      </c>
    </row>
    <row r="235" spans="1:7" s="285" customFormat="1" x14ac:dyDescent="0.25">
      <c r="A235" s="94" t="s">
        <v>77</v>
      </c>
      <c r="B235" s="451">
        <f>+COUNCIL!D235+MAYOR!D235+SPEAKER!D235+MM!D235+CORP!D239+PROP!D235+RATES!D235+THALL!D235+FIN!D234+SOCIAL!D234+CEMETERY!D235+LIBRARIES!D235+HOUSING!D235+TRAFFIC!D235+PARKS!D235+REFUSE!D235+SEWAGE!D235+PWORKS!D235+WATER!D235+ELECTRIC!D235</f>
        <v>0</v>
      </c>
      <c r="C235" s="431">
        <f>+COUNCIL!E235+MAYOR!E235+SPEAKER!E235+MM!E235+CORP!E239+PROP!E235+RATES!E235+THALL!E235+FIN!E234+SOCIAL!E234+CEMETERY!E235+LIBRARIES!E235+HOUSING!E235+TRAFFIC!E235+PARKS!E235+REFUSE!E235+SEWAGE!E235+PWORKS!E235+WATER!E235+ELECTRIC!E235</f>
        <v>0</v>
      </c>
      <c r="D235" s="442">
        <v>0</v>
      </c>
      <c r="E235" s="442">
        <f>+COUNCIL!G235+MAYOR!G235+SPEAKER!G235+MM!G235+CORP!G239+PROP!G235+RATES!G235+THALL!G235+FIN!G234+SOCIAL!G234+CEMETERY!G235+LIBRARIES!G235+HOUSING!G235+TRAFFIC!G235+PARKS!G235+REFUSE!G235+SEWAGE!G235+PWORKS!G235+WATER!G235+ELECTRIC!G235</f>
        <v>0</v>
      </c>
      <c r="F235" s="442">
        <f>+COUNCIL!H235+MAYOR!H235+SPEAKER!H235+MM!H235+CORP!H239+PROP!H235+RATES!H235+THALL!H235+FIN!H234+SOCIAL!H234+CEMETERY!H235+LIBRARIES!H235+HOUSING!H235+TRAFFIC!H235+PARKS!H235+REFUSE!H235+SEWAGE!H235+PWORKS!H235+WATER!H235+ELECTRIC!H235</f>
        <v>0</v>
      </c>
      <c r="G235" s="442">
        <f>+COUNCIL!I235+MAYOR!I235+SPEAKER!I235+MM!I235+CORP!I239+PROP!I235+RATES!I235+THALL!I235+FIN!I234+SOCIAL!I234+CEMETERY!I235+LIBRARIES!I235+HOUSING!I235+TRAFFIC!I235+PARKS!I235+REFUSE!I235+SEWAGE!I235+PWORKS!I235+WATER!I235+ELECTRIC!I235</f>
        <v>0</v>
      </c>
    </row>
    <row r="236" spans="1:7" s="285" customFormat="1" x14ac:dyDescent="0.25">
      <c r="A236" s="106" t="s">
        <v>78</v>
      </c>
      <c r="B236" s="379">
        <f>+COUNCIL!D236+MAYOR!D236+SPEAKER!D236+MM!D236+CORP!D240+PROP!D236+RATES!D236+THALL!D236+FIN!D236+SOCIAL!D235+CEMETERY!D236+LIBRARIES!D236+HOUSING!D236+TRAFFIC!D236+PARKS!D236+REFUSE!D236+SEWAGE!D236+PWORKS!D236+WATER!D236+ELECTRIC!D236</f>
        <v>23577000</v>
      </c>
      <c r="C236" s="382">
        <f>+COUNCIL!E236+MAYOR!E236+SPEAKER!E236+MM!E236+CORP!E240+PROP!E236+RATES!E236+THALL!E236+FIN!E235+SOCIAL!E235+CEMETERY!E236+LIBRARIES!E236+HOUSING!E236+TRAFFIC!E236+PARKS!E236+REFUSE!E236+SEWAGE!E236+PWORKS!E236+WATER!E236+ELECTRIC!E236</f>
        <v>34921000</v>
      </c>
      <c r="D236" s="380">
        <v>34921000</v>
      </c>
      <c r="E236" s="380">
        <f>+COUNCIL!G236+MAYOR!G236+SPEAKER!G236+MM!G236+CORP!G240+PROP!G236+RATES!G236+THALL!G236+FIN!G235+SOCIAL!G235+CEMETERY!G236+LIBRARIES!G236+HOUSING!G236+TRAFFIC!G236+PARKS!G236+REFUSE!G236+SEWAGE!G236+PWORKS!G236+WATER!G236+ELECTRIC!G236</f>
        <v>28731000</v>
      </c>
      <c r="F236" s="380">
        <f>+COUNCIL!H236+MAYOR!H236+SPEAKER!H236+MM!H236+CORP!H240+PROP!H236+RATES!H236+THALL!H236+FIN!H235+SOCIAL!H235+CEMETERY!H236+LIBRARIES!H236+HOUSING!H236+TRAFFIC!H236+PARKS!H236+REFUSE!H236+SEWAGE!H236+PWORKS!H236+WATER!H236+ELECTRIC!H236</f>
        <v>23924000</v>
      </c>
      <c r="G236" s="380">
        <f>+COUNCIL!I236+MAYOR!I236+SPEAKER!I236+MM!I236+CORP!I240+PROP!I236+RATES!I236+THALL!I236+FIN!I235+SOCIAL!I235+CEMETERY!I236+LIBRARIES!I236+HOUSING!I236+TRAFFIC!I236+PARKS!I236+REFUSE!I236+SEWAGE!I236+PWORKS!I236+WATER!I236+ELECTRIC!I236</f>
        <v>24837000</v>
      </c>
    </row>
    <row r="237" spans="1:7" s="285" customFormat="1" x14ac:dyDescent="0.25">
      <c r="A237" s="97" t="s">
        <v>200</v>
      </c>
      <c r="B237" s="334">
        <f>+COUNCIL!D237+MAYOR!D237+SPEAKER!D237+MM!D237+CORP!D241+PROP!D237+RATES!D237+THALL!D237+FIN!D237+SOCIAL!D236+CEMETERY!D237+LIBRARIES!D237+HOUSING!D237+TRAFFIC!D237+PARKS!D237+REFUSE!D237+SEWAGE!D237+PWORKS!D237+WATER!D237+ELECTRIC!D237</f>
        <v>890000</v>
      </c>
      <c r="C237" s="334">
        <f>+COUNCIL!E237+MAYOR!E237+SPEAKER!E237+MM!E237+CORP!E241+PROP!E237+RATES!E237+THALL!E237+FIN!E237+SOCIAL!E236+CEMETERY!E237+LIBRARIES!E237+HOUSING!E237+TRAFFIC!E237+PARKS!E237+REFUSE!E237+SEWAGE!E237+PWORKS!E237+WATER!E237+ELECTRIC!E237</f>
        <v>890000</v>
      </c>
      <c r="D237" s="334">
        <v>890000</v>
      </c>
      <c r="E237" s="334">
        <f>+COUNCIL!G237+MAYOR!G237+SPEAKER!G237+MM!G237+CORP!G241+PROP!G237+RATES!G237+THALL!G237+FIN!G237+SOCIAL!G236+CEMETERY!G237+LIBRARIES!G237+HOUSING!G237+TRAFFIC!G237+PARKS!G237+REFUSE!G237+SEWAGE!G237+PWORKS!G237+WATER!G237+ELECTRIC!G237</f>
        <v>934000</v>
      </c>
      <c r="F237" s="334">
        <f>+COUNCIL!H237+MAYOR!H237+SPEAKER!H237+MM!H237+CORP!H241+PROP!H237+RATES!H237+THALL!H237+FIN!H237+SOCIAL!H236+CEMETERY!H237+LIBRARIES!H237+HOUSING!H237+TRAFFIC!H237+PARKS!H237+REFUSE!H237+SEWAGE!H237+PWORKS!H237+WATER!H237+ELECTRIC!H237</f>
        <v>967000</v>
      </c>
      <c r="G237" s="334">
        <f>+COUNCIL!I237+MAYOR!I237+SPEAKER!I237+MM!I237+CORP!I241+PROP!I237+RATES!I237+THALL!I237+FIN!I237+SOCIAL!I236+CEMETERY!I237+LIBRARIES!I237+HOUSING!I237+TRAFFIC!I237+PARKS!I237+REFUSE!I237+SEWAGE!I237+PWORKS!I237+WATER!I237+ELECTRIC!I237</f>
        <v>1018000</v>
      </c>
    </row>
    <row r="238" spans="1:7" s="285" customFormat="1" x14ac:dyDescent="0.25">
      <c r="A238" s="94" t="s">
        <v>505</v>
      </c>
      <c r="B238" s="451">
        <f>+COUNCIL!D238+MAYOR!D238+SPEAKER!D238+MM!D238+CORP!D242+PROP!D238+RATES!D238+THALL!D238+FIN!D238+SOCIAL!D237+CEMETERY!D238+LIBRARIES!D238+HOUSING!D238+TRAFFIC!D238+PARKS!D238+REFUSE!D238+SEWAGE!D238+PWORKS!D238+WATER!D238+ELECTRIC!D238</f>
        <v>700000</v>
      </c>
      <c r="C238" s="451">
        <f>+COUNCIL!E238+MAYOR!E238+SPEAKER!E238+MM!E238+CORP!E242+PROP!E238+RATES!E238+THALL!E238+FIN!E238+SOCIAL!E237+CEMETERY!E238+LIBRARIES!E238+HOUSING!E238+TRAFFIC!E238+PARKS!E238+REFUSE!E238+SEWAGE!E238+PWORKS!E238+WATER!E238+ELECTRIC!E238</f>
        <v>1000000</v>
      </c>
      <c r="D238" s="451">
        <v>1000000</v>
      </c>
      <c r="E238" s="451">
        <v>1023000</v>
      </c>
      <c r="F238" s="451">
        <f>+COUNCIL!H238+MAYOR!H238+SPEAKER!H238+MM!H238+CORP!H242+PROP!H238+RATES!H238+THALL!H238+FIN!H238+SOCIAL!H237+CEMETERY!H238+LIBRARIES!H238+HOUSING!H238+TRAFFIC!H238+PARKS!H238+REFUSE!H238+SEWAGE!H238+PWORKS!H238+WATER!H238+ELECTRIC!H238</f>
        <v>0</v>
      </c>
      <c r="G238" s="451">
        <f>+COUNCIL!I238+MAYOR!I238+SPEAKER!I238+MM!I238+CORP!I242+PROP!I238+RATES!I238+THALL!I238+FIN!I238+SOCIAL!I237+CEMETERY!I238+LIBRARIES!I238+HOUSING!I238+TRAFFIC!I238+PARKS!I238+REFUSE!I238+SEWAGE!I238+PWORKS!I238+WATER!I238+ELECTRIC!I238</f>
        <v>0</v>
      </c>
    </row>
    <row r="239" spans="1:7" s="285" customFormat="1" x14ac:dyDescent="0.25">
      <c r="A239" s="94" t="s">
        <v>496</v>
      </c>
      <c r="B239" s="451">
        <f>+COUNCIL!D239+MAYOR!D239+SPEAKER!D239+MM!D239+CORP!D243+PROP!D239+RATES!D239+THALL!D239+FIN!D239+SOCIAL!D238+CEMETERY!D239+LIBRARIES!D239+HOUSING!D239+TRAFFIC!D239+PARKS!D239+REFUSE!D239+SEWAGE!D239+PWORKS!D239+WATER!D239+ELECTRIC!D239</f>
        <v>3975457</v>
      </c>
      <c r="C239" s="451">
        <v>17000000</v>
      </c>
      <c r="D239" s="451">
        <v>17000000</v>
      </c>
      <c r="E239" s="451">
        <v>46000000</v>
      </c>
      <c r="F239" s="451">
        <v>60000000</v>
      </c>
      <c r="G239" s="451">
        <v>72000000</v>
      </c>
    </row>
    <row r="240" spans="1:7" s="285" customFormat="1" x14ac:dyDescent="0.25">
      <c r="A240" s="94"/>
      <c r="B240" s="443">
        <f t="shared" ref="B240:G240" si="25">SUM(B227:B239)</f>
        <v>91758457</v>
      </c>
      <c r="C240" s="443">
        <f t="shared" si="25"/>
        <v>138042000</v>
      </c>
      <c r="D240" s="443">
        <f t="shared" si="25"/>
        <v>138042000</v>
      </c>
      <c r="E240" s="443">
        <f t="shared" si="25"/>
        <v>166783000</v>
      </c>
      <c r="F240" s="443">
        <f t="shared" si="25"/>
        <v>178723420</v>
      </c>
      <c r="G240" s="443">
        <f t="shared" si="25"/>
        <v>187212000</v>
      </c>
    </row>
    <row r="241" spans="1:7" s="285" customFormat="1" x14ac:dyDescent="0.25">
      <c r="A241" s="93" t="s">
        <v>79</v>
      </c>
      <c r="B241" s="451"/>
      <c r="C241" s="442"/>
      <c r="D241" s="442"/>
      <c r="E241" s="442"/>
      <c r="F241" s="442"/>
      <c r="G241" s="451"/>
    </row>
    <row r="242" spans="1:7" s="285" customFormat="1" x14ac:dyDescent="0.25">
      <c r="A242" s="94" t="s">
        <v>123</v>
      </c>
      <c r="B242" s="442">
        <f>+COUNCIL!D242+MAYOR!D242+SPEAKER!D242+MM!D242+CORP!D246+PROP!D242+RATES!D242+THALL!D242+FIN!D242+SOCIAL!D241+CEMETERY!D242+LIBRARIES!D242+HOUSING!D242+TRAFFIC!D242+PARKS!D242+REFUSE!D242+SEWAGE!D242+PWORKS!D242+WATER!D242+ELECTRIC!D242</f>
        <v>39662</v>
      </c>
      <c r="C242" s="442">
        <f>+COUNCIL!E242+MAYOR!E242+SPEAKER!E242+MM!E242+CORP!E246+PROP!E242+RATES!E242+THALL!E242+FIN!E242+SOCIAL!E241+CEMETERY!E242+LIBRARIES!E242+HOUSING!E242+TRAFFIC!E242+PARKS!E242+REFUSE!E242+SEWAGE!E242+PWORKS!E242+WATER!E242+ELECTRIC!E242</f>
        <v>21040.905600000002</v>
      </c>
      <c r="D242" s="442">
        <f>+COUNCIL!F242+MAYOR!F242+SPEAKER!F242+MM!F242+CORP!F246+PROP!F242+RATES!F242+THALL!F242+FIN!F242+SOCIAL!F241+CEMETERY!F242+LIBRARIES!F242+HOUSING!F242+TRAFFIC!F242+PARKS!F242+REFUSE!F242+SEWAGE!F242+PWORKS!F242+WATER!F242+ELECTRIC!F242</f>
        <v>81040.905599999998</v>
      </c>
      <c r="E242" s="435">
        <f>+COUNCIL!G242+MAYOR!G242+SPEAKER!G242+MM!G242+CORP!G246+PROP!G242+RATES!G242+THALL!G242+FIN!G241+SOCIAL!G241+CEMETERY!G242+LIBRARIES!G242+HOUSING!G242+TRAFFIC!G242+PARKS!G242+REFUSE!G242+SEWAGE!G242+PWORKS!G242+WATER!G242+ELECTRIC!G242</f>
        <v>0</v>
      </c>
      <c r="F242" s="435">
        <f>+COUNCIL!H242+MAYOR!H242+SPEAKER!H242+MM!H242+CORP!H246+PROP!H242+RATES!H242+THALL!H242+FIN!H241+SOCIAL!H241+CEMETERY!H242+LIBRARIES!H242+HOUSING!H242+TRAFFIC!H242+PARKS!H242+REFUSE!H242+SEWAGE!H242+PWORKS!H242+WATER!H242+ELECTRIC!H242</f>
        <v>0</v>
      </c>
      <c r="G242" s="435">
        <v>81040.905599999998</v>
      </c>
    </row>
    <row r="243" spans="1:7" s="285" customFormat="1" x14ac:dyDescent="0.25">
      <c r="A243" s="94" t="s">
        <v>242</v>
      </c>
      <c r="B243" s="451">
        <f>+COUNCIL!D243+MAYOR!D243+SPEAKER!D243+MM!D243+CORP!D247+PROP!D243+RATES!D243+THALL!D243+FIN!D243+SOCIAL!D242+CEMETERY!D243+LIBRARIES!D243+HOUSING!D243+TRAFFIC!D243+PARKS!D243+REFUSE!D243+SEWAGE!D243+PWORKS!D243+WATER!D243+ELECTRIC!D243</f>
        <v>2433</v>
      </c>
      <c r="C243" s="442">
        <f>+COUNCIL!E243+MAYOR!E243+SPEAKER!E243+MM!E243+CORP!E242+PROP!E243+RATES!E243+THALL!E243+FIN!E243+SOCIAL!E242+CEMETERY!E243+LIBRARIES!E243+HOUSING!E243+TRAFFIC!E243+PARKS!E243+REFUSE!E243+SEWAGE!E243+PWORKS!E243+WATER!E243+ELECTRIC!E243</f>
        <v>10803.936</v>
      </c>
      <c r="D243" s="442">
        <f>+COUNCIL!F243+MAYOR!F243+SPEAKER!F243+MM!F243+CORP!F242+PROP!F243+RATES!F243+THALL!F243+FIN!F243+SOCIAL!F242+CEMETERY!F243+LIBRARIES!F243+HOUSING!F243+TRAFFIC!F243+PARKS!F243+REFUSE!F243+SEWAGE!F243+PWORKS!F243+WATER!F243+ELECTRIC!F243</f>
        <v>10803.936</v>
      </c>
      <c r="E243" s="435">
        <f>+COUNCIL!G243+MAYOR!G243+SPEAKER!G243+MM!G243+CORP!G247+PROP!G243+RATES!G243+THALL!G243+FIN!G242+SOCIAL!G242+CEMETERY!G243+LIBRARIES!G243+HOUSING!G243+TRAFFIC!G243+PARKS!G243+REFUSE!G243+SEWAGE!G243+PWORKS!G243+WATER!G243+ELECTRIC!G243</f>
        <v>89144.996159999995</v>
      </c>
      <c r="F243" s="435">
        <f>+COUNCIL!H243+MAYOR!H243+SPEAKER!H243+MM!H243+CORP!H247+PROP!H243+RATES!H243+THALL!H243+FIN!H242+SOCIAL!H242+CEMETERY!H243+LIBRARIES!H243+HOUSING!H243+TRAFFIC!H243+PARKS!H243+REFUSE!H243+SEWAGE!H243+PWORKS!H243+WATER!H243+ELECTRIC!H243</f>
        <v>98059.495775999996</v>
      </c>
      <c r="G243" s="435">
        <v>10803.936</v>
      </c>
    </row>
    <row r="244" spans="1:7" s="285" customFormat="1" x14ac:dyDescent="0.25">
      <c r="A244" s="94" t="s">
        <v>183</v>
      </c>
      <c r="B244" s="451">
        <f>+COUNCIL!D244+MAYOR!D244+SPEAKER!D244+MM!D244+CORP!D248+PROP!D244+RATES!D244+THALL!D244+FIN!D244+SOCIAL!D243+CEMETERY!D244+LIBRARIES!D244+HOUSING!D244+TRAFFIC!D244+PARKS!D244+REFUSE!D244+SEWAGE!D244+PWORKS!D244+WATER!D244+ELECTRIC!D244</f>
        <v>1029</v>
      </c>
      <c r="C244" s="442">
        <f>+COUNCIL!E244+MAYOR!E244+SPEAKER!E244+MM!E244+CORP!E243+PROP!E244+RATES!E244+THALL!E244+FIN!E244+SOCIAL!E243+CEMETERY!E244+LIBRARIES!E244+HOUSING!E244+TRAFFIC!E244+PARKS!E244+REFUSE!E244+SEWAGE!E244+PWORKS!E244+WATER!E244+ELECTRIC!E244</f>
        <v>510438.72</v>
      </c>
      <c r="D244" s="442">
        <f>+COUNCIL!F244+MAYOR!F244+SPEAKER!F244+MM!F244+CORP!F243+PROP!F244+RATES!F244+THALL!F244+FIN!F244+SOCIAL!F243+CEMETERY!F244+LIBRARIES!F244+HOUSING!F244+TRAFFIC!F244+PARKS!F244+REFUSE!F244+SEWAGE!F244+PWORKS!F244+WATER!F244+ELECTRIC!F244</f>
        <v>510438.72</v>
      </c>
      <c r="E244" s="435">
        <f>+COUNCIL!G244+MAYOR!G244+SPEAKER!G244+MM!G244+CORP!G248+PROP!G244+RATES!G244+THALL!G244+FIN!G243+SOCIAL!G243+CEMETERY!G244+LIBRARIES!G244+HOUSING!G244+TRAFFIC!G244+PARKS!G244+REFUSE!G244+SEWAGE!G244+PWORKS!G244+WATER!G244+ELECTRIC!G244</f>
        <v>11884.329599999999</v>
      </c>
      <c r="F244" s="435">
        <f>+COUNCIL!H244+MAYOR!H244+SPEAKER!H244+MM!H244+CORP!H248+PROP!H244+RATES!H244+THALL!H244+FIN!H243+SOCIAL!H243+CEMETERY!H244+LIBRARIES!H244+HOUSING!H244+TRAFFIC!H244+PARKS!H244+REFUSE!H244+SEWAGE!H244+PWORKS!H244+WATER!H244+ELECTRIC!H244</f>
        <v>13072.762559999999</v>
      </c>
      <c r="G244" s="435">
        <v>510438.72</v>
      </c>
    </row>
    <row r="245" spans="1:7" s="285" customFormat="1" x14ac:dyDescent="0.25">
      <c r="A245" s="94" t="s">
        <v>103</v>
      </c>
      <c r="B245" s="451">
        <f>+COUNCIL!D245+MAYOR!D245+SPEAKER!D245+MM!D245+CORP!D249+PROP!D245+RATES!D245+THALL!D245+FIN!D245+SOCIAL!D244+CEMETERY!D245+LIBRARIES!D245+HOUSING!D245+TRAFFIC!D245+PARKS!D245+REFUSE!D245+SEWAGE!D245+PWORKS!D245+WATER!D245+ELECTRIC!D245</f>
        <v>0</v>
      </c>
      <c r="C245" s="442">
        <f>+COUNCIL!E245+MAYOR!E245+SPEAKER!E245+MM!E245+CORP!E249+PROP!E245+RATES!E245+THALL!E245+FIN!E245+SOCIAL!E244+CEMETERY!E245+LIBRARIES!E245+HOUSING!E245+TRAFFIC!E245+PARKS!E245+REFUSE!E245+SEWAGE!E245+PWORKS!E245+WATER!E245+ELECTRIC!E245</f>
        <v>0</v>
      </c>
      <c r="D245" s="442">
        <f>+COUNCIL!F245+MAYOR!F245+SPEAKER!F245+MM!F245+CORP!F249+PROP!F245+RATES!F245+THALL!F245+FIN!F245+SOCIAL!F244+CEMETERY!F245+LIBRARIES!F245+HOUSING!F245+TRAFFIC!F245+PARKS!F245+REFUSE!F245+SEWAGE!F245+PWORKS!F245+WATER!F245+ELECTRIC!F245</f>
        <v>0</v>
      </c>
      <c r="E245" s="435">
        <f>+COUNCIL!G245+MAYOR!G245+SPEAKER!G245+MM!G245+CORP!G249+PROP!G245+RATES!G245+THALL!G245+FIN!G244+SOCIAL!G244+CEMETERY!G245+LIBRARIES!G245+HOUSING!G245+TRAFFIC!G245+PARKS!G245+REFUSE!G245+SEWAGE!G245+PWORKS!G245+WATER!G245+ELECTRIC!G245</f>
        <v>1300.992</v>
      </c>
      <c r="F245" s="435">
        <f>+COUNCIL!H245+MAYOR!H245+SPEAKER!H245+MM!H245+CORP!H249+PROP!H245+RATES!H245+THALL!H245+FIN!H244+SOCIAL!H244+CEMETERY!H245+LIBRARIES!H245+HOUSING!H245+TRAFFIC!H245+PARKS!H245+REFUSE!H245+SEWAGE!H245+PWORKS!H245+WATER!H245+ELECTRIC!H245</f>
        <v>1431.0911999999998</v>
      </c>
      <c r="G245" s="435">
        <v>0</v>
      </c>
    </row>
    <row r="246" spans="1:7" s="285" customFormat="1" x14ac:dyDescent="0.25">
      <c r="A246" s="94" t="s">
        <v>107</v>
      </c>
      <c r="B246" s="451">
        <f>+COUNCIL!D246+MAYOR!D246+SPEAKER!D246+MM!D246+CORP!D250+PROP!D246+RATES!D246+THALL!D246+FIN!D245+SOCIAL!D245+CEMETERY!D246+LIBRARIES!D246+HOUSING!D246+TRAFFIC!D246+PARKS!D246+REFUSE!D246+SEWAGE!D246+PWORKS!D246+WATER!D246+ELECTRIC!D246</f>
        <v>0</v>
      </c>
      <c r="C246" s="442">
        <f>+COUNCIL!E246+MAYOR!E246+SPEAKER!E246+MM!E246+CORP!E250+PROP!E246+RATES!E246+THALL!E246+FIN!E246+SOCIAL!E245+CEMETERY!E246+LIBRARIES!E246+HOUSING!E246+TRAFFIC!E246+PARKS!E246+REFUSE!E246+SEWAGE!E246+PWORKS!E246+WATER!E246+ELECTRIC!E246</f>
        <v>190.08</v>
      </c>
      <c r="D246" s="442">
        <f>+COUNCIL!F246+MAYOR!F246+SPEAKER!F246+MM!F246+CORP!F250+PROP!F246+RATES!F246+THALL!F246+FIN!F245+SOCIAL!F245+CEMETERY!F246+LIBRARIES!F246+HOUSING!F246+TRAFFIC!F246+PARKS!F246+REFUSE!F246+SEWAGE!F246+PWORKS!F246+WATER!F246+ELECTRIC!F246</f>
        <v>0</v>
      </c>
      <c r="E246" s="435">
        <f>+COUNCIL!G246+MAYOR!G246+SPEAKER!G246+MM!G246+CORP!G250+PROP!G246+RATES!G246+THALL!G246+FIN!G245+SOCIAL!G245+CEMETERY!G246+LIBRARIES!G246+HOUSING!G246+TRAFFIC!G246+PARKS!G246+REFUSE!G246+SEWAGE!G246+PWORKS!G246+WATER!G246+ELECTRIC!G246</f>
        <v>0</v>
      </c>
      <c r="F246" s="435">
        <f>+COUNCIL!H246+MAYOR!H246+SPEAKER!H246+MM!H246+CORP!H250+PROP!H246+RATES!H246+THALL!H246+FIN!H245+SOCIAL!H245+CEMETERY!H246+LIBRARIES!H246+HOUSING!H246+TRAFFIC!H246+PARKS!H246+REFUSE!H246+SEWAGE!H246+PWORKS!H246+WATER!H246+ELECTRIC!H246</f>
        <v>0</v>
      </c>
      <c r="G246" s="435">
        <v>0</v>
      </c>
    </row>
    <row r="247" spans="1:7" s="285" customFormat="1" x14ac:dyDescent="0.25">
      <c r="A247" s="94" t="s">
        <v>539</v>
      </c>
      <c r="B247" s="451">
        <f>+COUNCIL!D247+MAYOR!D247+SPEAKER!D247+MM!D247+CORP!D251+PROP!D247+RATES!D247+THALL!D247+FIN!D247+SOCIAL!D246+CEMETERY!D247+LIBRARIES!D247+HOUSING!D247+TRAFFIC!D247+PARKS!D247+REFUSE!D247+SEWAGE!D247+PWORKS!D247+WATER!D247+ELECTRIC!D247</f>
        <v>24076</v>
      </c>
      <c r="C247" s="451">
        <v>980000</v>
      </c>
      <c r="D247" s="451">
        <v>980000</v>
      </c>
      <c r="E247" s="435">
        <f>+COUNCIL!G247+MAYOR!G247+SPEAKER!G247+MM!G247+CORP!G251+PROP!G247+RATES!G247+THALL!G247+FIN!G246+SOCIAL!G246+CEMETERY!G247+LIBRARIES!G247+HOUSING!G247+TRAFFIC!G247+PARKS!G247+REFUSE!G247+SEWAGE!G247+PWORKS!G247+WATER!G247+ELECTRIC!G247</f>
        <v>209.08800000000002</v>
      </c>
      <c r="F247" s="435">
        <f>+COUNCIL!H247+MAYOR!H247+SPEAKER!H247+MM!H247+CORP!H251+PROP!H247+RATES!H247+THALL!H247+FIN!H246+SOCIAL!H246+CEMETERY!H247+LIBRARIES!H247+HOUSING!H247+TRAFFIC!H247+PARKS!H247+REFUSE!H247+SEWAGE!H247+PWORKS!H247+WATER!H247+ELECTRIC!H247</f>
        <v>229.99680000000004</v>
      </c>
      <c r="G247" s="435">
        <v>980000</v>
      </c>
    </row>
    <row r="248" spans="1:7" s="285" customFormat="1" x14ac:dyDescent="0.25">
      <c r="A248" s="94"/>
      <c r="B248" s="443">
        <f>SUM(B242:B247)</f>
        <v>67200</v>
      </c>
      <c r="C248" s="443">
        <f t="shared" ref="C248:G248" si="26">SUM(C242:C247)</f>
        <v>1522473.6416</v>
      </c>
      <c r="D248" s="443">
        <f t="shared" si="26"/>
        <v>1582283.5616000001</v>
      </c>
      <c r="E248" s="443">
        <f t="shared" si="26"/>
        <v>102539.40575999999</v>
      </c>
      <c r="F248" s="443">
        <f t="shared" si="26"/>
        <v>112793.34633599999</v>
      </c>
      <c r="G248" s="443">
        <f t="shared" si="26"/>
        <v>1582283.5616000001</v>
      </c>
    </row>
    <row r="249" spans="1:7" s="285" customFormat="1" x14ac:dyDescent="0.25">
      <c r="A249" s="93" t="s">
        <v>80</v>
      </c>
      <c r="B249" s="451"/>
      <c r="C249" s="442"/>
      <c r="D249" s="442"/>
      <c r="E249" s="442"/>
      <c r="F249" s="442"/>
      <c r="G249" s="451"/>
    </row>
    <row r="250" spans="1:7" s="285" customFormat="1" x14ac:dyDescent="0.25">
      <c r="A250" s="94" t="s">
        <v>81</v>
      </c>
      <c r="B250" s="451">
        <f>+COUNCIL!D250+MAYOR!D250+SPEAKER!D250+MM!D250+CORP!D254+PROP!D250+RATES!D250+THALL!D250+FIN!D249+SOCIAL!D249+CEMETERY!D250+LIBRARIES!D250+HOUSING!D250+TRAFFIC!D250+PARKS!D250+REFUSE!D250+SEWAGE!D250+PWORKS!D250+WATER!D250+ELECTRIC!D250</f>
        <v>0</v>
      </c>
      <c r="C250" s="360">
        <f>+COUNCIL!E250+MAYOR!E250+SPEAKER!E250+MM!E250+CORP!E254+PROP!E250+RATES!E250+THALL!E250+FIN!E249+SOCIAL!E249+CEMETERY!E250+LIBRARIES!E250+HOUSING!E250+TRAFFIC!E250+PARKS!E250+REFUSE!E250+SEWAGE!E250+PWORKS!E250+WATER!E250+ELECTRIC!E250</f>
        <v>0</v>
      </c>
      <c r="D250" s="362">
        <f>+COUNCIL!F250+MAYOR!F250+SPEAKER!F250+MM!F250+CORP!F254+PROP!F250+RATES!F250+THALL!F250+FIN!F249+SOCIAL!F249+CEMETERY!F250+LIBRARIES!F250+HOUSING!F250+TRAFFIC!F250+PARKS!F250+REFUSE!F250+SEWAGE!F250+PWORKS!F250+WATER!F250+ELECTRIC!F250</f>
        <v>0</v>
      </c>
      <c r="E250" s="362"/>
      <c r="F250" s="362">
        <f>+COUNCIL!H250+MAYOR!H250+SPEAKER!H250+MM!H250+CORP!H254+PROP!H250+RATES!H250+THALL!H250+FIN!H249+SOCIAL!H249+CEMETERY!H250+LIBRARIES!H250+HOUSING!H250+TRAFFIC!H250+PARKS!H250+REFUSE!H250+SEWAGE!H250+PWORKS!H250+WATER!H250+ELECTRIC!G250</f>
        <v>0</v>
      </c>
      <c r="G250" s="360">
        <f>+COUNCIL!I250+MAYOR!I250+SPEAKER!I250+MM!I250+CORP!I254+PROP!I250+RATES!I250+THALL!I250+FIN!I249+SOCIAL!I249+CEMETERY!I250+LIBRARIES!I250+HOUSING!I250+TRAFFIC!I250+PARKS!I250+REFUSE!I250+SEWAGE!I250+PWORKS!I250+WATER!I250+ELECTRIC!I250</f>
        <v>0</v>
      </c>
    </row>
    <row r="251" spans="1:7" s="285" customFormat="1" x14ac:dyDescent="0.25">
      <c r="A251" s="94"/>
      <c r="B251" s="443">
        <f t="shared" ref="B251:G251" si="27">B250</f>
        <v>0</v>
      </c>
      <c r="C251" s="443">
        <f t="shared" si="27"/>
        <v>0</v>
      </c>
      <c r="D251" s="443">
        <f t="shared" si="27"/>
        <v>0</v>
      </c>
      <c r="E251" s="443"/>
      <c r="F251" s="443">
        <f t="shared" si="27"/>
        <v>0</v>
      </c>
      <c r="G251" s="443">
        <f t="shared" si="27"/>
        <v>0</v>
      </c>
    </row>
    <row r="252" spans="1:7" s="285" customFormat="1" x14ac:dyDescent="0.25">
      <c r="A252" s="93" t="s">
        <v>540</v>
      </c>
      <c r="B252" s="449">
        <f t="shared" ref="B252:C252" si="28">+B251+B248+B240+B225+B221+B216+B212+B206+B174</f>
        <v>138240156</v>
      </c>
      <c r="C252" s="449">
        <f t="shared" si="28"/>
        <v>235046573.50857204</v>
      </c>
      <c r="D252" s="449">
        <f>+D251+D248+D240+D225+D221+D216+D212+D206+D174</f>
        <v>229224523.94857201</v>
      </c>
      <c r="E252" s="449">
        <f t="shared" ref="E252:G252" si="29">+E251+E248+E240+E225+E221+E216+E212+E206+E174</f>
        <v>258673493.30042922</v>
      </c>
      <c r="F252" s="449">
        <f t="shared" si="29"/>
        <v>279798090.32027215</v>
      </c>
      <c r="G252" s="449">
        <f t="shared" si="29"/>
        <v>299847475.92272973</v>
      </c>
    </row>
    <row r="253" spans="1:7" s="285" customFormat="1" x14ac:dyDescent="0.25">
      <c r="A253" s="94"/>
      <c r="B253" s="449"/>
      <c r="C253" s="449"/>
      <c r="D253" s="449"/>
      <c r="E253" s="449"/>
      <c r="F253" s="449"/>
      <c r="G253" s="449"/>
    </row>
    <row r="254" spans="1:7" s="285" customFormat="1" x14ac:dyDescent="0.25">
      <c r="A254" s="145" t="s">
        <v>541</v>
      </c>
      <c r="B254" s="452"/>
      <c r="C254" s="146"/>
      <c r="D254" s="452"/>
      <c r="E254" s="452"/>
      <c r="F254" s="452"/>
      <c r="G254" s="452"/>
    </row>
    <row r="255" spans="1:7" s="285" customFormat="1" x14ac:dyDescent="0.25">
      <c r="A255" s="118" t="s">
        <v>78</v>
      </c>
      <c r="B255" s="451">
        <v>23577000</v>
      </c>
      <c r="C255" s="431">
        <v>34921000</v>
      </c>
      <c r="D255" s="431">
        <v>34921001</v>
      </c>
      <c r="E255" s="112">
        <v>28731000</v>
      </c>
      <c r="F255" s="442">
        <v>23924000</v>
      </c>
      <c r="G255" s="451">
        <v>24837000</v>
      </c>
    </row>
    <row r="256" spans="1:7" s="285" customFormat="1" x14ac:dyDescent="0.25">
      <c r="A256" s="118" t="s">
        <v>496</v>
      </c>
      <c r="B256" s="451">
        <v>3975457</v>
      </c>
      <c r="C256" s="451">
        <v>17000000</v>
      </c>
      <c r="D256" s="451">
        <v>17000001</v>
      </c>
      <c r="E256" s="451">
        <v>46000000</v>
      </c>
      <c r="F256" s="451">
        <v>60000000</v>
      </c>
      <c r="G256" s="451">
        <v>72000000</v>
      </c>
    </row>
    <row r="257" spans="1:10" s="285" customFormat="1" x14ac:dyDescent="0.25">
      <c r="A257" s="118" t="s">
        <v>542</v>
      </c>
      <c r="B257" s="453">
        <f>B154</f>
        <v>397276</v>
      </c>
      <c r="C257" s="148">
        <f>C155+C154+C153</f>
        <v>5775000</v>
      </c>
      <c r="D257" s="361">
        <f>C257-B257</f>
        <v>5377724</v>
      </c>
      <c r="E257" s="361">
        <v>2829000</v>
      </c>
      <c r="F257" s="361">
        <v>8366000</v>
      </c>
      <c r="G257" s="453"/>
    </row>
    <row r="258" spans="1:10" s="285" customFormat="1" x14ac:dyDescent="0.25">
      <c r="A258" s="118"/>
      <c r="B258" s="127"/>
      <c r="C258" s="147"/>
      <c r="D258" s="442"/>
      <c r="E258" s="442"/>
      <c r="F258" s="442"/>
      <c r="G258" s="123"/>
    </row>
    <row r="259" spans="1:10" s="285" customFormat="1" x14ac:dyDescent="0.25">
      <c r="A259" s="93" t="s">
        <v>543</v>
      </c>
      <c r="B259" s="463">
        <f>SUM(B255:B258)</f>
        <v>27949733</v>
      </c>
      <c r="C259" s="463">
        <f t="shared" ref="C259:D259" si="30">SUM(C255:C258)</f>
        <v>57696000</v>
      </c>
      <c r="D259" s="463">
        <f t="shared" si="30"/>
        <v>57298726</v>
      </c>
      <c r="E259" s="463">
        <f t="shared" ref="E259:G259" si="31">SUM(E255:E258)</f>
        <v>77560000</v>
      </c>
      <c r="F259" s="463">
        <f>SUM(F255:F258)</f>
        <v>92290000</v>
      </c>
      <c r="G259" s="463">
        <f t="shared" si="31"/>
        <v>96837000</v>
      </c>
    </row>
    <row r="260" spans="1:10" s="285" customFormat="1" x14ac:dyDescent="0.25">
      <c r="A260" s="93" t="s">
        <v>544</v>
      </c>
      <c r="B260" s="463">
        <f>B252-B259+B257</f>
        <v>110687699</v>
      </c>
      <c r="C260" s="463">
        <f>C252-C259+C257</f>
        <v>183125573.50857204</v>
      </c>
      <c r="D260" s="463">
        <f t="shared" ref="D260" si="32">D252-D259+D257</f>
        <v>177303521.94857201</v>
      </c>
      <c r="E260" s="463">
        <f t="shared" ref="E260:G260" si="33">E252-E259+E257</f>
        <v>183942493.30042922</v>
      </c>
      <c r="F260" s="463">
        <f t="shared" si="33"/>
        <v>195874090.32027215</v>
      </c>
      <c r="G260" s="463">
        <f t="shared" si="33"/>
        <v>203010475.92272973</v>
      </c>
    </row>
    <row r="261" spans="1:10" s="285" customFormat="1" x14ac:dyDescent="0.25">
      <c r="A261" s="145" t="s">
        <v>195</v>
      </c>
      <c r="B261" s="452"/>
      <c r="C261" s="148"/>
      <c r="D261" s="453"/>
      <c r="E261" s="453"/>
      <c r="F261" s="453"/>
      <c r="G261" s="453"/>
    </row>
    <row r="262" spans="1:10" s="285" customFormat="1" x14ac:dyDescent="0.25">
      <c r="A262" s="118" t="s">
        <v>196</v>
      </c>
      <c r="B262" s="127">
        <f>+COUNCIL!D259+MAYOR!D259+SPEAKER!D259+MM!D259+CORP!D263+PROP!D259+RATES!D259+THALL!D259+FIN!D258+SOCIAL!D258+CEMETERY!D259+LIBRARIES!D259+HOUSING!D259+TRAFFIC!D259+PARKS!D259+REFUSE!D259+SEWAGE!D259+PWORKS!D259+WATER!D259+ELECTRIC!D259</f>
        <v>0</v>
      </c>
      <c r="C262" s="147">
        <f>+COUNCIL!E259+MAYOR!E259+SPEAKER!E259+MM!E259+CORP!E263+PROP!E259+RATES!E259+THALL!E259+FIN!E258+SOCIAL!E258+CEMETERY!E259+LIBRARIES!E259+HOUSING!E259+TRAFFIC!E259+PARKS!E259+REFUSE!E259+SEWAGE!E259+PWORKS!E259+WATER!E259+ELECTRIC!E259</f>
        <v>0</v>
      </c>
      <c r="D262" s="442">
        <f>+COUNCIL!F259+MAYOR!F259+SPEAKER!F259+MM!F259+CORP!F263+PROP!F259+RATES!F259+THALL!F259+FIN!F258+SOCIAL!F258+CEMETERY!F259+LIBRARIES!F259+HOUSING!F259+TRAFFIC!F259+PARKS!F259+REFUSE!F259+SEWAGE!F259+PWORKS!F259+WATER!F259+ELECTRIC!F259</f>
        <v>0</v>
      </c>
      <c r="E262" s="442">
        <f>+COUNCIL!G259+MAYOR!G259+SPEAKER!G259+MM!G259+CORP!G263+PROP!G259+RATES!G259+THALL!G259+FIN!G258+SOCIAL!G258+CEMETERY!G259+LIBRARIES!G259+HOUSING!G259+TRAFFIC!G259+PARKS!G259+REFUSE!G259+SEWAGE!G259+PWORKS!G259+WATER!G259+ELECTRIC!G259</f>
        <v>0</v>
      </c>
      <c r="F262" s="442">
        <f>+COUNCIL!H259+MAYOR!H259+SPEAKER!H259+MM!H259+CORP!H263+PROP!H259+RATES!H259+THALL!H259+FIN!H258+SOCIAL!H258+CEMETERY!H259+LIBRARIES!H259+HOUSING!H259+TRAFFIC!H259+PARKS!H259+REFUSE!H259+SEWAGE!H259+PWORKS!H259+WATER!H259+ELECTRIC!H259</f>
        <v>0</v>
      </c>
      <c r="G262" s="442">
        <f>+COUNCIL!I259+MAYOR!I259+SPEAKER!I259+MM!I259+CORP!I263+PROP!I259+RATES!I259+THALL!I259+FIN!I258+SOCIAL!I258+CEMETERY!I259+LIBRARIES!I259+HOUSING!I259+TRAFFIC!I259+PARKS!I259+REFUSE!I259+SEWAGE!I259+PWORKS!I259+WATER!I259+ELECTRIC!I259</f>
        <v>0</v>
      </c>
    </row>
    <row r="263" spans="1:10" s="285" customFormat="1" x14ac:dyDescent="0.25">
      <c r="A263" s="94"/>
      <c r="B263" s="452">
        <f t="shared" ref="B263:D263" si="34">B262</f>
        <v>0</v>
      </c>
      <c r="C263" s="452">
        <f t="shared" si="34"/>
        <v>0</v>
      </c>
      <c r="D263" s="452">
        <f t="shared" si="34"/>
        <v>0</v>
      </c>
      <c r="E263" s="452">
        <f t="shared" ref="E263:G263" si="35">E262</f>
        <v>0</v>
      </c>
      <c r="F263" s="452">
        <f t="shared" si="35"/>
        <v>0</v>
      </c>
      <c r="G263" s="452">
        <f t="shared" si="35"/>
        <v>0</v>
      </c>
    </row>
    <row r="264" spans="1:10" s="285" customFormat="1" x14ac:dyDescent="0.25">
      <c r="A264" s="93" t="s">
        <v>536</v>
      </c>
      <c r="B264" s="463">
        <f t="shared" ref="B264:D264" si="36">B260+B263</f>
        <v>110687699</v>
      </c>
      <c r="C264" s="463">
        <f t="shared" si="36"/>
        <v>183125573.50857204</v>
      </c>
      <c r="D264" s="463">
        <f t="shared" si="36"/>
        <v>177303521.94857201</v>
      </c>
      <c r="E264" s="463">
        <f t="shared" ref="E264:G264" si="37">E260+E263</f>
        <v>183942493.30042922</v>
      </c>
      <c r="F264" s="463">
        <f t="shared" si="37"/>
        <v>195874090.32027215</v>
      </c>
      <c r="G264" s="463">
        <f t="shared" si="37"/>
        <v>203010475.92272973</v>
      </c>
    </row>
    <row r="265" spans="1:10" s="285" customFormat="1" x14ac:dyDescent="0.25">
      <c r="A265" s="126" t="s">
        <v>82</v>
      </c>
      <c r="B265" s="464">
        <f>B264-B165</f>
        <v>29224928.390000001</v>
      </c>
      <c r="C265" s="464">
        <f>C264-C165</f>
        <v>42398.649760037661</v>
      </c>
      <c r="D265" s="464">
        <f>D264-D165</f>
        <v>6619.5100800096989</v>
      </c>
      <c r="E265" s="464">
        <f>E264-E165</f>
        <v>6796.4081824123859</v>
      </c>
      <c r="F265" s="464">
        <f t="shared" ref="F265:G265" si="38">F264-F165</f>
        <v>157282.57416066527</v>
      </c>
      <c r="G265" s="464">
        <f t="shared" si="38"/>
        <v>173010.88337159157</v>
      </c>
      <c r="I265" s="244"/>
      <c r="J265" s="357"/>
    </row>
    <row r="266" spans="1:10" s="285" customFormat="1" x14ac:dyDescent="0.25"/>
    <row r="267" spans="1:10" s="285" customFormat="1" x14ac:dyDescent="0.25"/>
    <row r="268" spans="1:10" s="285" customFormat="1" x14ac:dyDescent="0.25"/>
    <row r="269" spans="1:10" s="285" customFormat="1" x14ac:dyDescent="0.25"/>
    <row r="270" spans="1:10" s="285" customFormat="1" x14ac:dyDescent="0.25"/>
    <row r="271" spans="1:10" s="285" customFormat="1" x14ac:dyDescent="0.25"/>
    <row r="272" spans="1:10" s="285" customFormat="1" x14ac:dyDescent="0.25"/>
    <row r="273" s="285" customFormat="1" x14ac:dyDescent="0.25"/>
    <row r="274" s="285" customFormat="1" x14ac:dyDescent="0.25"/>
    <row r="275" s="285" customFormat="1" x14ac:dyDescent="0.25"/>
    <row r="276" s="285" customFormat="1" x14ac:dyDescent="0.25"/>
    <row r="277" s="285" customFormat="1" x14ac:dyDescent="0.25"/>
    <row r="278" s="285" customFormat="1" x14ac:dyDescent="0.25"/>
    <row r="279" s="285" customFormat="1" x14ac:dyDescent="0.25"/>
    <row r="280" s="285" customFormat="1" x14ac:dyDescent="0.25"/>
    <row r="281" s="285" customFormat="1" x14ac:dyDescent="0.25"/>
    <row r="282" s="285" customFormat="1" x14ac:dyDescent="0.25"/>
    <row r="283" s="285" customFormat="1" x14ac:dyDescent="0.25"/>
    <row r="284" s="285" customFormat="1" x14ac:dyDescent="0.25"/>
    <row r="285" s="285" customFormat="1" x14ac:dyDescent="0.25"/>
    <row r="286" s="285" customFormat="1" x14ac:dyDescent="0.25"/>
    <row r="287" s="285" customFormat="1" x14ac:dyDescent="0.25"/>
    <row r="288" s="285" customFormat="1" x14ac:dyDescent="0.25"/>
    <row r="289" s="285" customFormat="1" x14ac:dyDescent="0.25"/>
    <row r="290" s="285" customFormat="1" x14ac:dyDescent="0.25"/>
    <row r="291" s="285" customFormat="1" x14ac:dyDescent="0.25"/>
    <row r="292" s="285" customFormat="1" x14ac:dyDescent="0.25"/>
    <row r="293" s="285" customFormat="1" x14ac:dyDescent="0.25"/>
    <row r="294" s="285" customFormat="1" x14ac:dyDescent="0.25"/>
    <row r="295" s="285" customFormat="1" x14ac:dyDescent="0.25"/>
    <row r="296" s="285" customFormat="1" x14ac:dyDescent="0.25"/>
    <row r="297" s="285" customFormat="1" x14ac:dyDescent="0.25"/>
    <row r="298" s="285" customFormat="1" x14ac:dyDescent="0.25"/>
    <row r="299" s="285" customFormat="1" x14ac:dyDescent="0.25"/>
    <row r="300" s="285" customFormat="1" x14ac:dyDescent="0.25"/>
    <row r="301" s="285" customFormat="1" x14ac:dyDescent="0.25"/>
    <row r="302" s="285" customFormat="1" x14ac:dyDescent="0.25"/>
    <row r="303" s="285" customFormat="1" x14ac:dyDescent="0.25"/>
    <row r="304" s="285" customFormat="1" x14ac:dyDescent="0.25"/>
    <row r="305" s="285" customFormat="1" x14ac:dyDescent="0.25"/>
    <row r="306" s="285" customFormat="1" x14ac:dyDescent="0.25"/>
    <row r="307" s="285" customFormat="1" x14ac:dyDescent="0.25"/>
    <row r="308" s="285" customFormat="1" x14ac:dyDescent="0.25"/>
    <row r="309" s="285" customFormat="1" x14ac:dyDescent="0.25"/>
    <row r="310" s="285" customFormat="1" x14ac:dyDescent="0.25"/>
    <row r="311" s="285" customFormat="1" x14ac:dyDescent="0.25"/>
    <row r="312" s="285" customFormat="1" x14ac:dyDescent="0.25"/>
    <row r="313" s="285" customFormat="1" x14ac:dyDescent="0.25"/>
    <row r="314" s="285" customFormat="1" x14ac:dyDescent="0.25"/>
    <row r="315" s="285" customFormat="1" x14ac:dyDescent="0.25"/>
    <row r="316" s="285" customFormat="1" x14ac:dyDescent="0.25"/>
  </sheetData>
  <pageMargins left="0.7" right="0.7" top="0.75" bottom="0.75" header="0.3" footer="0.3"/>
  <pageSetup paperSize="9" orientation="portrait" r:id="rId1"/>
  <rowBreaks count="1" manualBreakCount="1">
    <brk id="230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8"/>
  <sheetViews>
    <sheetView view="pageBreakPreview" zoomScaleSheetLayoutView="100" workbookViewId="0">
      <selection activeCell="G28" sqref="G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6.44140625" style="96" customWidth="1"/>
    <col min="4" max="4" width="13.33203125" style="174" customWidth="1"/>
    <col min="5" max="5" width="13.88671875" style="96" customWidth="1"/>
    <col min="6" max="7" width="12.33203125" style="96" customWidth="1"/>
    <col min="8" max="8" width="11.88671875" style="96" customWidth="1"/>
    <col min="9" max="9" width="14" style="96" customWidth="1"/>
    <col min="10" max="10" width="12.33203125" style="96" bestFit="1" customWidth="1"/>
    <col min="11" max="11" width="12.109375" style="96" customWidth="1"/>
    <col min="12" max="12" width="15.6640625" style="96" customWidth="1"/>
    <col min="13" max="16384" width="9.109375" style="96"/>
  </cols>
  <sheetData>
    <row r="1" spans="1:9" ht="12.75" customHeight="1" x14ac:dyDescent="0.25">
      <c r="A1" s="699" t="s">
        <v>12</v>
      </c>
      <c r="B1" s="700"/>
      <c r="C1" s="700"/>
      <c r="D1" s="700"/>
      <c r="E1" s="700"/>
      <c r="F1" s="700"/>
      <c r="G1" s="700"/>
      <c r="H1" s="700"/>
      <c r="I1" s="715"/>
    </row>
    <row r="2" spans="1:9" ht="12.75" customHeight="1" x14ac:dyDescent="0.25">
      <c r="A2" s="701"/>
      <c r="B2" s="702"/>
      <c r="C2" s="702"/>
      <c r="D2" s="702"/>
      <c r="E2" s="716"/>
      <c r="F2" s="702"/>
      <c r="G2" s="702"/>
      <c r="H2" s="702"/>
      <c r="I2" s="717"/>
    </row>
    <row r="3" spans="1:9" s="285" customFormat="1" x14ac:dyDescent="0.25">
      <c r="A3" s="703" t="s">
        <v>535</v>
      </c>
      <c r="B3" s="704"/>
      <c r="C3" s="705"/>
      <c r="D3" s="149"/>
      <c r="E3" s="103"/>
      <c r="F3" s="341"/>
      <c r="G3" s="425"/>
      <c r="H3" s="341"/>
      <c r="I3" s="342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10</v>
      </c>
      <c r="B7" s="155">
        <v>5005</v>
      </c>
      <c r="C7" s="94" t="s">
        <v>241</v>
      </c>
      <c r="D7" s="85"/>
      <c r="E7" s="85"/>
      <c r="F7" s="85"/>
      <c r="G7" s="85"/>
      <c r="H7" s="85"/>
      <c r="I7" s="85">
        <f>E7*(1+INPUT!C$6)</f>
        <v>0</v>
      </c>
    </row>
    <row r="8" spans="1:9" s="285" customFormat="1" x14ac:dyDescent="0.25">
      <c r="A8" s="118">
        <v>10</v>
      </c>
      <c r="B8" s="151">
        <v>5010</v>
      </c>
      <c r="C8" s="94" t="s">
        <v>34</v>
      </c>
      <c r="D8" s="85"/>
      <c r="E8" s="85"/>
      <c r="F8" s="85"/>
      <c r="G8" s="85"/>
      <c r="H8" s="85"/>
      <c r="I8" s="85">
        <f>E8*(1+INPUT!C$6)</f>
        <v>0</v>
      </c>
    </row>
    <row r="9" spans="1:9" s="285" customFormat="1" x14ac:dyDescent="0.25">
      <c r="A9" s="118">
        <v>10</v>
      </c>
      <c r="B9" s="151">
        <v>5015</v>
      </c>
      <c r="C9" s="94" t="s">
        <v>35</v>
      </c>
      <c r="D9" s="85"/>
      <c r="E9" s="85"/>
      <c r="F9" s="85"/>
      <c r="G9" s="85"/>
      <c r="H9" s="85"/>
      <c r="I9" s="85">
        <f>E9*(1+INPUT!C$6)</f>
        <v>0</v>
      </c>
    </row>
    <row r="10" spans="1:9" s="285" customFormat="1" x14ac:dyDescent="0.25">
      <c r="A10" s="118">
        <v>10</v>
      </c>
      <c r="B10" s="151">
        <v>5020</v>
      </c>
      <c r="C10" s="94" t="s">
        <v>350</v>
      </c>
      <c r="D10" s="85"/>
      <c r="E10" s="85"/>
      <c r="F10" s="85"/>
      <c r="G10" s="85"/>
      <c r="H10" s="85"/>
      <c r="I10" s="85">
        <f>E10*(1+INPUT!C$6)</f>
        <v>0</v>
      </c>
    </row>
    <row r="11" spans="1:9" s="285" customFormat="1" x14ac:dyDescent="0.25">
      <c r="A11" s="118">
        <v>10</v>
      </c>
      <c r="B11" s="151">
        <v>5025</v>
      </c>
      <c r="C11" s="94" t="s">
        <v>36</v>
      </c>
      <c r="D11" s="85"/>
      <c r="E11" s="85"/>
      <c r="F11" s="85"/>
      <c r="G11" s="85"/>
      <c r="H11" s="85"/>
      <c r="I11" s="85">
        <f>E11*(1+INPUT!C$6)</f>
        <v>0</v>
      </c>
    </row>
    <row r="12" spans="1:9" s="285" customFormat="1" x14ac:dyDescent="0.25">
      <c r="A12" s="118">
        <v>10</v>
      </c>
      <c r="B12" s="151">
        <v>5030</v>
      </c>
      <c r="C12" s="94" t="s">
        <v>85</v>
      </c>
      <c r="D12" s="85"/>
      <c r="E12" s="85"/>
      <c r="F12" s="85"/>
      <c r="G12" s="85"/>
      <c r="H12" s="85"/>
      <c r="I12" s="85">
        <f>E12*(1+INPUT!C$6)</f>
        <v>0</v>
      </c>
    </row>
    <row r="13" spans="1:9" s="285" customFormat="1" x14ac:dyDescent="0.25">
      <c r="A13" s="118">
        <v>10</v>
      </c>
      <c r="B13" s="151">
        <v>5035</v>
      </c>
      <c r="C13" s="94" t="s">
        <v>84</v>
      </c>
      <c r="D13" s="85"/>
      <c r="E13" s="85"/>
      <c r="F13" s="85"/>
      <c r="G13" s="85"/>
      <c r="H13" s="85"/>
      <c r="I13" s="85">
        <f>E13*(1+INPUT!C$6)</f>
        <v>0</v>
      </c>
    </row>
    <row r="14" spans="1:9" s="285" customFormat="1" x14ac:dyDescent="0.25">
      <c r="A14" s="118">
        <v>10</v>
      </c>
      <c r="B14" s="151">
        <v>5040</v>
      </c>
      <c r="C14" s="94" t="s">
        <v>37</v>
      </c>
      <c r="D14" s="85"/>
      <c r="E14" s="85"/>
      <c r="F14" s="85"/>
      <c r="G14" s="85"/>
      <c r="H14" s="85"/>
      <c r="I14" s="85">
        <f>E14*(1+INPUT!C$6)</f>
        <v>0</v>
      </c>
    </row>
    <row r="15" spans="1:9" s="285" customFormat="1" x14ac:dyDescent="0.25">
      <c r="A15" s="118">
        <v>10</v>
      </c>
      <c r="B15" s="151">
        <v>5045</v>
      </c>
      <c r="C15" s="94" t="s">
        <v>38</v>
      </c>
      <c r="D15" s="85"/>
      <c r="E15" s="85"/>
      <c r="F15" s="85"/>
      <c r="G15" s="85"/>
      <c r="H15" s="85"/>
      <c r="I15" s="85">
        <f>E15*(1+INPUT!C$6)</f>
        <v>0</v>
      </c>
    </row>
    <row r="16" spans="1:9" s="285" customFormat="1" x14ac:dyDescent="0.25">
      <c r="A16" s="118">
        <v>10</v>
      </c>
      <c r="B16" s="151">
        <v>5050</v>
      </c>
      <c r="C16" s="94" t="s">
        <v>83</v>
      </c>
      <c r="D16" s="85"/>
      <c r="E16" s="85"/>
      <c r="F16" s="85"/>
      <c r="G16" s="85"/>
      <c r="H16" s="85"/>
      <c r="I16" s="85">
        <f>E16*(1+INPUT!C$6)</f>
        <v>0</v>
      </c>
    </row>
    <row r="17" spans="1:11" s="285" customFormat="1" x14ac:dyDescent="0.25">
      <c r="A17" s="118">
        <v>10</v>
      </c>
      <c r="B17" s="151">
        <v>5055</v>
      </c>
      <c r="C17" s="94" t="s">
        <v>39</v>
      </c>
      <c r="D17" s="85"/>
      <c r="E17" s="85"/>
      <c r="F17" s="85"/>
      <c r="G17" s="85"/>
      <c r="H17" s="85"/>
      <c r="I17" s="85">
        <f>E17*(1+INPUT!C$6)</f>
        <v>0</v>
      </c>
    </row>
    <row r="18" spans="1:11" s="285" customFormat="1" x14ac:dyDescent="0.25">
      <c r="A18" s="344"/>
      <c r="B18" s="151"/>
      <c r="C18" s="94" t="s">
        <v>511</v>
      </c>
      <c r="D18" s="89">
        <f>SUM(D8:D17)</f>
        <v>0</v>
      </c>
      <c r="E18" s="89"/>
      <c r="F18" s="89"/>
      <c r="G18" s="89"/>
      <c r="H18" s="89"/>
      <c r="I18" s="89">
        <f>SUM(I7:I17)</f>
        <v>0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5"/>
    </row>
    <row r="20" spans="1:11" s="285" customFormat="1" x14ac:dyDescent="0.25">
      <c r="A20" s="118">
        <v>10</v>
      </c>
      <c r="B20" s="151">
        <v>5105</v>
      </c>
      <c r="C20" s="94" t="s">
        <v>41</v>
      </c>
      <c r="D20" s="85"/>
      <c r="E20" s="108"/>
      <c r="F20" s="85"/>
      <c r="G20" s="85"/>
      <c r="H20" s="85"/>
      <c r="I20" s="85">
        <f>E20*(1+INPUT!C$6)</f>
        <v>0</v>
      </c>
    </row>
    <row r="21" spans="1:11" s="285" customFormat="1" x14ac:dyDescent="0.25">
      <c r="A21" s="118">
        <v>10</v>
      </c>
      <c r="B21" s="151">
        <v>5115</v>
      </c>
      <c r="C21" s="94" t="s">
        <v>42</v>
      </c>
      <c r="D21" s="85">
        <v>0</v>
      </c>
      <c r="E21" s="85"/>
      <c r="F21" s="85"/>
      <c r="G21" s="85"/>
      <c r="H21" s="85"/>
      <c r="I21" s="85">
        <v>0</v>
      </c>
    </row>
    <row r="22" spans="1:11" s="285" customFormat="1" x14ac:dyDescent="0.25">
      <c r="A22" s="118">
        <v>10</v>
      </c>
      <c r="B22" s="151">
        <v>5120</v>
      </c>
      <c r="C22" s="94" t="s">
        <v>43</v>
      </c>
      <c r="D22" s="85"/>
      <c r="E22" s="108"/>
      <c r="F22" s="85"/>
      <c r="G22" s="85"/>
      <c r="H22" s="85"/>
      <c r="I22" s="85">
        <f>E22*(1+INPUT!C$6)</f>
        <v>0</v>
      </c>
    </row>
    <row r="23" spans="1:11" s="285" customFormat="1" x14ac:dyDescent="0.25">
      <c r="A23" s="118">
        <v>10</v>
      </c>
      <c r="B23" s="151">
        <v>5125</v>
      </c>
      <c r="C23" s="94" t="s">
        <v>44</v>
      </c>
      <c r="D23" s="85"/>
      <c r="E23" s="108"/>
      <c r="F23" s="85"/>
      <c r="G23" s="85"/>
      <c r="H23" s="85"/>
      <c r="I23" s="85">
        <f>E23*(1+INPUT!C$6)</f>
        <v>0</v>
      </c>
    </row>
    <row r="24" spans="1:11" s="285" customFormat="1" x14ac:dyDescent="0.25">
      <c r="A24" s="118">
        <v>10</v>
      </c>
      <c r="B24" s="151">
        <v>5130</v>
      </c>
      <c r="C24" s="94" t="s">
        <v>45</v>
      </c>
      <c r="D24" s="85"/>
      <c r="E24" s="108"/>
      <c r="F24" s="85"/>
      <c r="G24" s="85"/>
      <c r="H24" s="85"/>
      <c r="I24" s="85">
        <f>E24*(1+INPUT!C$6)</f>
        <v>0</v>
      </c>
    </row>
    <row r="25" spans="1:11" s="285" customFormat="1" x14ac:dyDescent="0.25">
      <c r="A25" s="344"/>
      <c r="B25" s="151"/>
      <c r="C25" s="94"/>
      <c r="D25" s="89">
        <f t="shared" ref="D25:I25" si="0">SUM(D20:D24)</f>
        <v>0</v>
      </c>
      <c r="E25" s="89"/>
      <c r="F25" s="89"/>
      <c r="G25" s="89"/>
      <c r="H25" s="89"/>
      <c r="I25" s="89">
        <f t="shared" si="0"/>
        <v>0</v>
      </c>
    </row>
    <row r="26" spans="1:11" s="285" customFormat="1" x14ac:dyDescent="0.25">
      <c r="A26" s="344"/>
      <c r="B26" s="151"/>
      <c r="C26" s="93" t="s">
        <v>46</v>
      </c>
      <c r="D26" s="225"/>
      <c r="E26" s="86"/>
      <c r="F26" s="86"/>
      <c r="G26" s="86"/>
      <c r="H26" s="86"/>
      <c r="I26" s="85"/>
    </row>
    <row r="27" spans="1:11" s="285" customFormat="1" x14ac:dyDescent="0.25">
      <c r="A27" s="344"/>
      <c r="B27" s="151"/>
      <c r="C27" s="93" t="s">
        <v>47</v>
      </c>
      <c r="D27" s="225"/>
      <c r="E27" s="86"/>
      <c r="F27" s="85"/>
      <c r="G27" s="86"/>
      <c r="H27" s="86"/>
      <c r="I27" s="85"/>
    </row>
    <row r="28" spans="1:11" s="285" customFormat="1" x14ac:dyDescent="0.25">
      <c r="A28" s="118">
        <v>10</v>
      </c>
      <c r="B28" s="151">
        <v>5150</v>
      </c>
      <c r="C28" s="94" t="s">
        <v>48</v>
      </c>
      <c r="D28" s="225">
        <f>(273034+79853+18184+5100+8248+15015)*6</f>
        <v>2396604</v>
      </c>
      <c r="E28" s="86">
        <v>4970000</v>
      </c>
      <c r="F28" s="86">
        <v>4970000</v>
      </c>
      <c r="G28" s="85">
        <f>(F28*0.068)+F28</f>
        <v>5307960</v>
      </c>
      <c r="H28" s="435">
        <f t="shared" ref="H28:I28" si="1">(G28*0.068)+G28</f>
        <v>5668901.2800000003</v>
      </c>
      <c r="I28" s="435">
        <f t="shared" si="1"/>
        <v>6054386.5670400001</v>
      </c>
      <c r="K28" s="355"/>
    </row>
    <row r="29" spans="1:11" s="285" customFormat="1" x14ac:dyDescent="0.25">
      <c r="A29" s="344"/>
      <c r="B29" s="151"/>
      <c r="C29" s="94"/>
      <c r="D29" s="226">
        <f>SUM(D28)</f>
        <v>2396604</v>
      </c>
      <c r="E29" s="89">
        <f>E28</f>
        <v>4970000</v>
      </c>
      <c r="F29" s="89">
        <f>F28</f>
        <v>4970000</v>
      </c>
      <c r="G29" s="436">
        <f t="shared" ref="G29:I29" si="2">G28</f>
        <v>5307960</v>
      </c>
      <c r="H29" s="436">
        <f t="shared" si="2"/>
        <v>5668901.2800000003</v>
      </c>
      <c r="I29" s="436">
        <f t="shared" si="2"/>
        <v>6054386.5670400001</v>
      </c>
      <c r="J29" s="355"/>
      <c r="K29" s="111"/>
    </row>
    <row r="30" spans="1:11" s="285" customFormat="1" x14ac:dyDescent="0.25">
      <c r="A30" s="344"/>
      <c r="B30" s="151"/>
      <c r="C30" s="93" t="s">
        <v>49</v>
      </c>
      <c r="D30" s="225"/>
      <c r="E30" s="86"/>
      <c r="F30" s="86"/>
      <c r="G30" s="86"/>
      <c r="H30" s="86"/>
      <c r="I30" s="85"/>
    </row>
    <row r="31" spans="1:11" s="285" customFormat="1" x14ac:dyDescent="0.25">
      <c r="A31" s="118">
        <v>10</v>
      </c>
      <c r="B31" s="151">
        <v>5170</v>
      </c>
      <c r="C31" s="94" t="s">
        <v>341</v>
      </c>
      <c r="D31" s="225"/>
      <c r="E31" s="108"/>
      <c r="F31" s="85"/>
      <c r="G31" s="85"/>
      <c r="H31" s="85"/>
      <c r="I31" s="85"/>
    </row>
    <row r="32" spans="1:11" s="285" customFormat="1" x14ac:dyDescent="0.25">
      <c r="A32" s="344"/>
      <c r="B32" s="151"/>
      <c r="C32" s="94"/>
      <c r="D32" s="226">
        <f t="shared" ref="D32:I32" si="3">SUM(D31)</f>
        <v>0</v>
      </c>
      <c r="E32" s="226">
        <f t="shared" si="3"/>
        <v>0</v>
      </c>
      <c r="F32" s="226">
        <f t="shared" si="3"/>
        <v>0</v>
      </c>
      <c r="G32" s="226">
        <f t="shared" si="3"/>
        <v>0</v>
      </c>
      <c r="H32" s="226">
        <f t="shared" si="3"/>
        <v>0</v>
      </c>
      <c r="I32" s="226">
        <f t="shared" si="3"/>
        <v>0</v>
      </c>
    </row>
    <row r="33" spans="1:9" s="285" customFormat="1" x14ac:dyDescent="0.25">
      <c r="A33" s="344"/>
      <c r="B33" s="151"/>
      <c r="C33" s="93" t="s">
        <v>50</v>
      </c>
      <c r="D33" s="225"/>
      <c r="E33" s="86"/>
      <c r="F33" s="86"/>
      <c r="G33" s="86"/>
      <c r="H33" s="86"/>
      <c r="I33" s="85"/>
    </row>
    <row r="34" spans="1:9" s="285" customFormat="1" x14ac:dyDescent="0.25">
      <c r="A34" s="118">
        <v>10</v>
      </c>
      <c r="B34" s="151">
        <v>5180</v>
      </c>
      <c r="C34" s="94" t="s">
        <v>51</v>
      </c>
      <c r="D34" s="225"/>
      <c r="E34" s="108"/>
      <c r="F34" s="85"/>
      <c r="G34" s="85"/>
      <c r="H34" s="85"/>
      <c r="I34" s="108"/>
    </row>
    <row r="35" spans="1:9" s="285" customFormat="1" x14ac:dyDescent="0.25">
      <c r="A35" s="344"/>
      <c r="B35" s="151"/>
      <c r="C35" s="94"/>
      <c r="D35" s="226">
        <f t="shared" ref="D35:I35" si="4">SUM(D34)</f>
        <v>0</v>
      </c>
      <c r="E35" s="226">
        <f t="shared" si="4"/>
        <v>0</v>
      </c>
      <c r="F35" s="226">
        <f t="shared" si="4"/>
        <v>0</v>
      </c>
      <c r="G35" s="226">
        <f t="shared" si="4"/>
        <v>0</v>
      </c>
      <c r="H35" s="226">
        <f t="shared" si="4"/>
        <v>0</v>
      </c>
      <c r="I35" s="226">
        <f t="shared" si="4"/>
        <v>0</v>
      </c>
    </row>
    <row r="36" spans="1:9" s="285" customFormat="1" x14ac:dyDescent="0.25">
      <c r="A36" s="344"/>
      <c r="B36" s="151"/>
      <c r="C36" s="93" t="s">
        <v>52</v>
      </c>
      <c r="D36" s="225"/>
      <c r="E36" s="86"/>
      <c r="F36" s="86"/>
      <c r="G36" s="86"/>
      <c r="H36" s="86"/>
      <c r="I36" s="85"/>
    </row>
    <row r="37" spans="1:9" s="285" customFormat="1" x14ac:dyDescent="0.25">
      <c r="A37" s="118">
        <v>10</v>
      </c>
      <c r="B37" s="151">
        <v>5190</v>
      </c>
      <c r="C37" s="94" t="s">
        <v>53</v>
      </c>
      <c r="D37" s="225"/>
      <c r="E37" s="108"/>
      <c r="F37" s="85"/>
      <c r="G37" s="85"/>
      <c r="H37" s="85"/>
      <c r="I37" s="85"/>
    </row>
    <row r="38" spans="1:9" s="285" customFormat="1" x14ac:dyDescent="0.25">
      <c r="A38" s="344"/>
      <c r="B38" s="151"/>
      <c r="C38" s="94"/>
      <c r="D38" s="226">
        <f t="shared" ref="D38:I38" si="5">D37</f>
        <v>0</v>
      </c>
      <c r="E38" s="226">
        <f t="shared" si="5"/>
        <v>0</v>
      </c>
      <c r="F38" s="226">
        <f t="shared" si="5"/>
        <v>0</v>
      </c>
      <c r="G38" s="226">
        <f t="shared" si="5"/>
        <v>0</v>
      </c>
      <c r="H38" s="226">
        <f t="shared" si="5"/>
        <v>0</v>
      </c>
      <c r="I38" s="226">
        <f t="shared" si="5"/>
        <v>0</v>
      </c>
    </row>
    <row r="39" spans="1:9" s="285" customFormat="1" x14ac:dyDescent="0.25">
      <c r="A39" s="344"/>
      <c r="B39" s="151"/>
      <c r="C39" s="93" t="s">
        <v>54</v>
      </c>
      <c r="D39" s="225"/>
      <c r="E39" s="86"/>
      <c r="F39" s="86"/>
      <c r="G39" s="86"/>
      <c r="H39" s="86"/>
      <c r="I39" s="85"/>
    </row>
    <row r="40" spans="1:9" s="285" customFormat="1" x14ac:dyDescent="0.25">
      <c r="A40" s="118">
        <v>10</v>
      </c>
      <c r="B40" s="151">
        <v>5200</v>
      </c>
      <c r="C40" s="94" t="s">
        <v>55</v>
      </c>
      <c r="D40" s="225"/>
      <c r="E40" s="108"/>
      <c r="F40" s="85"/>
      <c r="G40" s="85"/>
      <c r="H40" s="85"/>
      <c r="I40" s="85">
        <f>F40*(1+INPUT!C$10)</f>
        <v>0</v>
      </c>
    </row>
    <row r="41" spans="1:9" s="285" customFormat="1" x14ac:dyDescent="0.25">
      <c r="A41" s="118">
        <v>10</v>
      </c>
      <c r="B41" s="151">
        <v>5205</v>
      </c>
      <c r="C41" s="94" t="s">
        <v>56</v>
      </c>
      <c r="D41" s="225"/>
      <c r="E41" s="108"/>
      <c r="F41" s="85"/>
      <c r="G41" s="85"/>
      <c r="H41" s="85"/>
      <c r="I41" s="85">
        <f>F41*(1+INPUT!C$10)</f>
        <v>0</v>
      </c>
    </row>
    <row r="42" spans="1:9" s="285" customFormat="1" x14ac:dyDescent="0.25">
      <c r="A42" s="118">
        <v>10</v>
      </c>
      <c r="B42" s="151">
        <v>5210</v>
      </c>
      <c r="C42" s="94" t="s">
        <v>57</v>
      </c>
      <c r="D42" s="225"/>
      <c r="E42" s="108"/>
      <c r="F42" s="85"/>
      <c r="G42" s="85"/>
      <c r="H42" s="85"/>
      <c r="I42" s="85">
        <f>F42*(1+INPUT!C$10)</f>
        <v>0</v>
      </c>
    </row>
    <row r="43" spans="1:9" s="285" customFormat="1" x14ac:dyDescent="0.25">
      <c r="A43" s="118">
        <v>10</v>
      </c>
      <c r="B43" s="151">
        <v>5215</v>
      </c>
      <c r="C43" s="94" t="s">
        <v>95</v>
      </c>
      <c r="D43" s="225"/>
      <c r="E43" s="108"/>
      <c r="F43" s="85"/>
      <c r="G43" s="85"/>
      <c r="H43" s="85"/>
      <c r="I43" s="85">
        <f>F43*(1+INPUT!C$10)</f>
        <v>0</v>
      </c>
    </row>
    <row r="44" spans="1:9" s="285" customFormat="1" x14ac:dyDescent="0.25">
      <c r="A44" s="118">
        <v>10</v>
      </c>
      <c r="B44" s="151">
        <v>5220</v>
      </c>
      <c r="C44" s="94" t="s">
        <v>58</v>
      </c>
      <c r="D44" s="225"/>
      <c r="E44" s="108"/>
      <c r="F44" s="85"/>
      <c r="G44" s="85"/>
      <c r="H44" s="85"/>
      <c r="I44" s="85">
        <f>F44*(1+INPUT!C$10)</f>
        <v>0</v>
      </c>
    </row>
    <row r="45" spans="1:9" s="285" customFormat="1" x14ac:dyDescent="0.25">
      <c r="A45" s="118">
        <v>10</v>
      </c>
      <c r="B45" s="151">
        <v>5225</v>
      </c>
      <c r="C45" s="94" t="s">
        <v>92</v>
      </c>
      <c r="D45" s="225"/>
      <c r="E45" s="108"/>
      <c r="F45" s="85"/>
      <c r="G45" s="85"/>
      <c r="H45" s="85"/>
      <c r="I45" s="85">
        <f>F45*(1+INPUT!C$10)</f>
        <v>0</v>
      </c>
    </row>
    <row r="46" spans="1:9" s="285" customFormat="1" x14ac:dyDescent="0.25">
      <c r="A46" s="118">
        <v>10</v>
      </c>
      <c r="B46" s="151">
        <v>5230</v>
      </c>
      <c r="C46" s="94" t="s">
        <v>86</v>
      </c>
      <c r="D46" s="225"/>
      <c r="E46" s="108"/>
      <c r="F46" s="85"/>
      <c r="G46" s="85"/>
      <c r="H46" s="85"/>
      <c r="I46" s="85">
        <f>F46*(1+INPUT!C$10)</f>
        <v>0</v>
      </c>
    </row>
    <row r="47" spans="1:9" s="285" customFormat="1" x14ac:dyDescent="0.25">
      <c r="A47" s="118">
        <v>10</v>
      </c>
      <c r="B47" s="151">
        <v>5235</v>
      </c>
      <c r="C47" s="94" t="s">
        <v>124</v>
      </c>
      <c r="D47" s="225"/>
      <c r="E47" s="108"/>
      <c r="F47" s="85"/>
      <c r="G47" s="85"/>
      <c r="H47" s="85"/>
      <c r="I47" s="85">
        <f>F47*(1+INPUT!C$10)</f>
        <v>0</v>
      </c>
    </row>
    <row r="48" spans="1:9" s="285" customFormat="1" x14ac:dyDescent="0.25">
      <c r="A48" s="118">
        <v>10</v>
      </c>
      <c r="B48" s="151">
        <v>5240</v>
      </c>
      <c r="C48" s="94" t="s">
        <v>59</v>
      </c>
      <c r="D48" s="225"/>
      <c r="E48" s="108"/>
      <c r="F48" s="85"/>
      <c r="G48" s="85"/>
      <c r="H48" s="85"/>
      <c r="I48" s="85">
        <f>F48*(1+INPUT!C$10)</f>
        <v>0</v>
      </c>
    </row>
    <row r="49" spans="1:9" s="285" customFormat="1" x14ac:dyDescent="0.25">
      <c r="A49" s="118">
        <v>10</v>
      </c>
      <c r="B49" s="151">
        <v>5245</v>
      </c>
      <c r="C49" s="94" t="s">
        <v>91</v>
      </c>
      <c r="D49" s="225"/>
      <c r="E49" s="108"/>
      <c r="F49" s="85"/>
      <c r="G49" s="85"/>
      <c r="H49" s="85"/>
      <c r="I49" s="85">
        <f>F49*(1+INPUT!C$10)</f>
        <v>0</v>
      </c>
    </row>
    <row r="50" spans="1:9" s="285" customFormat="1" x14ac:dyDescent="0.25">
      <c r="A50" s="118">
        <v>10</v>
      </c>
      <c r="B50" s="151">
        <v>5250</v>
      </c>
      <c r="C50" s="94" t="s">
        <v>88</v>
      </c>
      <c r="D50" s="225"/>
      <c r="E50" s="108"/>
      <c r="F50" s="85"/>
      <c r="G50" s="85"/>
      <c r="H50" s="85"/>
      <c r="I50" s="85">
        <f>F50*(1+INPUT!C$10)</f>
        <v>0</v>
      </c>
    </row>
    <row r="51" spans="1:9" s="285" customFormat="1" x14ac:dyDescent="0.25">
      <c r="A51" s="118">
        <v>10</v>
      </c>
      <c r="B51" s="151">
        <v>5255</v>
      </c>
      <c r="C51" s="94" t="s">
        <v>125</v>
      </c>
      <c r="D51" s="225"/>
      <c r="E51" s="108"/>
      <c r="F51" s="85"/>
      <c r="G51" s="85"/>
      <c r="H51" s="85"/>
      <c r="I51" s="85">
        <f>F51*(1+INPUT!C$10)</f>
        <v>0</v>
      </c>
    </row>
    <row r="52" spans="1:9" s="285" customFormat="1" x14ac:dyDescent="0.25">
      <c r="A52" s="118">
        <v>10</v>
      </c>
      <c r="B52" s="151">
        <v>5260</v>
      </c>
      <c r="C52" s="94" t="s">
        <v>90</v>
      </c>
      <c r="D52" s="225"/>
      <c r="E52" s="108"/>
      <c r="F52" s="85"/>
      <c r="G52" s="85"/>
      <c r="H52" s="85"/>
      <c r="I52" s="85">
        <f>F52*(1+INPUT!C$10)</f>
        <v>0</v>
      </c>
    </row>
    <row r="53" spans="1:9" s="285" customFormat="1" x14ac:dyDescent="0.25">
      <c r="A53" s="118">
        <v>10</v>
      </c>
      <c r="B53" s="151">
        <v>5265</v>
      </c>
      <c r="C53" s="94" t="s">
        <v>87</v>
      </c>
      <c r="D53" s="225"/>
      <c r="E53" s="108"/>
      <c r="F53" s="85"/>
      <c r="G53" s="85"/>
      <c r="H53" s="85"/>
      <c r="I53" s="85">
        <f>F53*(1+INPUT!C$10)</f>
        <v>0</v>
      </c>
    </row>
    <row r="54" spans="1:9" s="285" customFormat="1" x14ac:dyDescent="0.25">
      <c r="A54" s="118">
        <v>10</v>
      </c>
      <c r="B54" s="151">
        <v>5270</v>
      </c>
      <c r="C54" s="94" t="s">
        <v>89</v>
      </c>
      <c r="D54" s="225"/>
      <c r="E54" s="108"/>
      <c r="F54" s="85"/>
      <c r="G54" s="85"/>
      <c r="H54" s="85"/>
      <c r="I54" s="85">
        <f>F54*(1+INPUT!C$10)</f>
        <v>0</v>
      </c>
    </row>
    <row r="55" spans="1:9" s="285" customFormat="1" x14ac:dyDescent="0.25">
      <c r="A55" s="118">
        <v>10</v>
      </c>
      <c r="B55" s="151">
        <v>5275</v>
      </c>
      <c r="C55" s="94" t="s">
        <v>93</v>
      </c>
      <c r="D55" s="225"/>
      <c r="E55" s="108"/>
      <c r="F55" s="85"/>
      <c r="G55" s="85"/>
      <c r="H55" s="85"/>
      <c r="I55" s="85">
        <f>F55*(1+INPUT!C$10)</f>
        <v>0</v>
      </c>
    </row>
    <row r="56" spans="1:9" s="285" customFormat="1" x14ac:dyDescent="0.25">
      <c r="A56" s="118">
        <v>10</v>
      </c>
      <c r="B56" s="151">
        <v>5280</v>
      </c>
      <c r="C56" s="94" t="s">
        <v>94</v>
      </c>
      <c r="D56" s="225"/>
      <c r="E56" s="108"/>
      <c r="F56" s="85"/>
      <c r="G56" s="85"/>
      <c r="H56" s="85"/>
      <c r="I56" s="85">
        <f>F56*(1+INPUT!C$10)</f>
        <v>0</v>
      </c>
    </row>
    <row r="57" spans="1:9" s="285" customFormat="1" x14ac:dyDescent="0.25">
      <c r="A57" s="118">
        <v>10</v>
      </c>
      <c r="B57" s="151">
        <v>5285</v>
      </c>
      <c r="C57" s="94" t="s">
        <v>60</v>
      </c>
      <c r="D57" s="225"/>
      <c r="E57" s="85"/>
      <c r="F57" s="85"/>
      <c r="G57" s="85"/>
      <c r="H57" s="85"/>
      <c r="I57" s="85">
        <f>F57*(1+INPUT!C$10)</f>
        <v>0</v>
      </c>
    </row>
    <row r="58" spans="1:9" s="285" customFormat="1" x14ac:dyDescent="0.25">
      <c r="A58" s="118">
        <v>10</v>
      </c>
      <c r="B58" s="151">
        <v>5290</v>
      </c>
      <c r="C58" s="94" t="s">
        <v>186</v>
      </c>
      <c r="D58" s="225"/>
      <c r="E58" s="108"/>
      <c r="F58" s="85"/>
      <c r="G58" s="85"/>
      <c r="H58" s="85"/>
      <c r="I58" s="85">
        <f>F58*(1+INPUT!C$10)</f>
        <v>0</v>
      </c>
    </row>
    <row r="59" spans="1:9" s="285" customFormat="1" x14ac:dyDescent="0.25">
      <c r="A59" s="344"/>
      <c r="B59" s="151"/>
      <c r="C59" s="94"/>
      <c r="D59" s="227">
        <f t="shared" ref="D59:I59" si="6">SUM(D40:D58)</f>
        <v>0</v>
      </c>
      <c r="E59" s="227">
        <f t="shared" si="6"/>
        <v>0</v>
      </c>
      <c r="F59" s="227">
        <f t="shared" si="6"/>
        <v>0</v>
      </c>
      <c r="G59" s="227">
        <f t="shared" si="6"/>
        <v>0</v>
      </c>
      <c r="H59" s="227">
        <f t="shared" si="6"/>
        <v>0</v>
      </c>
      <c r="I59" s="227">
        <f t="shared" si="6"/>
        <v>0</v>
      </c>
    </row>
    <row r="60" spans="1:9" s="285" customFormat="1" x14ac:dyDescent="0.25">
      <c r="A60" s="344"/>
      <c r="B60" s="151"/>
      <c r="C60" s="93" t="s">
        <v>198</v>
      </c>
      <c r="D60" s="225"/>
      <c r="E60" s="112"/>
      <c r="F60" s="112"/>
      <c r="G60" s="112"/>
      <c r="H60" s="112"/>
      <c r="I60" s="108"/>
    </row>
    <row r="61" spans="1:9" s="285" customFormat="1" x14ac:dyDescent="0.25">
      <c r="A61" s="118">
        <v>10</v>
      </c>
      <c r="B61" s="151">
        <v>5400</v>
      </c>
      <c r="C61" s="94" t="s">
        <v>334</v>
      </c>
      <c r="D61" s="225"/>
      <c r="E61" s="86"/>
      <c r="F61" s="85"/>
      <c r="G61" s="86"/>
      <c r="H61" s="86"/>
      <c r="I61" s="85"/>
    </row>
    <row r="62" spans="1:9" s="285" customFormat="1" x14ac:dyDescent="0.25">
      <c r="A62" s="118">
        <v>10</v>
      </c>
      <c r="B62" s="151">
        <v>5405</v>
      </c>
      <c r="C62" s="94" t="s">
        <v>335</v>
      </c>
      <c r="D62" s="225"/>
      <c r="E62" s="108"/>
      <c r="F62" s="85"/>
      <c r="G62" s="85"/>
      <c r="H62" s="85"/>
      <c r="I62" s="108"/>
    </row>
    <row r="63" spans="1:9" s="285" customFormat="1" x14ac:dyDescent="0.25">
      <c r="A63" s="344"/>
      <c r="B63" s="151"/>
      <c r="C63" s="94"/>
      <c r="D63" s="226">
        <f>D62</f>
        <v>0</v>
      </c>
      <c r="E63" s="226">
        <f t="shared" ref="E63:I63" si="7">E62</f>
        <v>0</v>
      </c>
      <c r="F63" s="226">
        <f t="shared" si="7"/>
        <v>0</v>
      </c>
      <c r="G63" s="226">
        <f t="shared" si="7"/>
        <v>0</v>
      </c>
      <c r="H63" s="226">
        <f t="shared" si="7"/>
        <v>0</v>
      </c>
      <c r="I63" s="226">
        <f t="shared" si="7"/>
        <v>0</v>
      </c>
    </row>
    <row r="64" spans="1:9" s="285" customFormat="1" x14ac:dyDescent="0.25">
      <c r="A64" s="344"/>
      <c r="B64" s="151"/>
      <c r="C64" s="93" t="s">
        <v>61</v>
      </c>
      <c r="D64" s="225"/>
      <c r="E64" s="86"/>
      <c r="F64" s="86"/>
      <c r="G64" s="86"/>
      <c r="H64" s="86"/>
      <c r="I64" s="85"/>
    </row>
    <row r="65" spans="1:12" s="285" customFormat="1" x14ac:dyDescent="0.25">
      <c r="A65" s="118">
        <v>10</v>
      </c>
      <c r="B65" s="151">
        <v>5450</v>
      </c>
      <c r="C65" s="94" t="s">
        <v>351</v>
      </c>
      <c r="D65" s="225"/>
      <c r="E65" s="108"/>
      <c r="F65" s="85"/>
      <c r="G65" s="85"/>
      <c r="H65" s="85"/>
      <c r="I65" s="108"/>
    </row>
    <row r="66" spans="1:12" s="285" customFormat="1" x14ac:dyDescent="0.25">
      <c r="A66" s="344"/>
      <c r="B66" s="151"/>
      <c r="C66" s="94"/>
      <c r="D66" s="226">
        <f t="shared" ref="D66:I66" si="8">D65</f>
        <v>0</v>
      </c>
      <c r="E66" s="226">
        <f t="shared" si="8"/>
        <v>0</v>
      </c>
      <c r="F66" s="226">
        <f t="shared" si="8"/>
        <v>0</v>
      </c>
      <c r="G66" s="226">
        <f t="shared" si="8"/>
        <v>0</v>
      </c>
      <c r="H66" s="226">
        <f t="shared" si="8"/>
        <v>0</v>
      </c>
      <c r="I66" s="226">
        <f t="shared" si="8"/>
        <v>0</v>
      </c>
    </row>
    <row r="67" spans="1:12" s="285" customFormat="1" x14ac:dyDescent="0.25">
      <c r="A67" s="344"/>
      <c r="B67" s="151"/>
      <c r="C67" s="93" t="s">
        <v>96</v>
      </c>
      <c r="D67" s="225"/>
      <c r="E67" s="86"/>
      <c r="F67" s="86"/>
      <c r="G67" s="86"/>
      <c r="H67" s="86"/>
      <c r="I67" s="85"/>
    </row>
    <row r="68" spans="1:12" s="285" customFormat="1" x14ac:dyDescent="0.25">
      <c r="A68" s="118">
        <v>10</v>
      </c>
      <c r="B68" s="151">
        <v>5470</v>
      </c>
      <c r="C68" s="94" t="s">
        <v>97</v>
      </c>
      <c r="D68" s="225"/>
      <c r="E68" s="86"/>
      <c r="F68" s="85"/>
      <c r="G68" s="85"/>
      <c r="H68" s="85"/>
      <c r="I68" s="85">
        <f>F68*(1+INPUT!C11)</f>
        <v>0</v>
      </c>
    </row>
    <row r="69" spans="1:12" s="285" customFormat="1" x14ac:dyDescent="0.25">
      <c r="A69" s="118">
        <v>10</v>
      </c>
      <c r="B69" s="151">
        <v>5475</v>
      </c>
      <c r="C69" s="94" t="s">
        <v>134</v>
      </c>
      <c r="D69" s="225"/>
      <c r="E69" s="86"/>
      <c r="F69" s="85"/>
      <c r="G69" s="85"/>
      <c r="H69" s="85"/>
      <c r="I69" s="85">
        <f>F69*(1+INPUT!C12)</f>
        <v>0</v>
      </c>
    </row>
    <row r="70" spans="1:12" s="285" customFormat="1" x14ac:dyDescent="0.25">
      <c r="A70" s="344"/>
      <c r="B70" s="151"/>
      <c r="C70" s="94"/>
      <c r="D70" s="227">
        <f t="shared" ref="D70:I70" si="9">SUM(D68:D69)</f>
        <v>0</v>
      </c>
      <c r="E70" s="227">
        <f t="shared" si="9"/>
        <v>0</v>
      </c>
      <c r="F70" s="227">
        <f t="shared" si="9"/>
        <v>0</v>
      </c>
      <c r="G70" s="227">
        <f t="shared" si="9"/>
        <v>0</v>
      </c>
      <c r="H70" s="227">
        <f t="shared" si="9"/>
        <v>0</v>
      </c>
      <c r="I70" s="227">
        <f t="shared" si="9"/>
        <v>0</v>
      </c>
    </row>
    <row r="71" spans="1:12" s="285" customFormat="1" x14ac:dyDescent="0.25">
      <c r="A71" s="344"/>
      <c r="B71" s="151"/>
      <c r="C71" s="93" t="s">
        <v>62</v>
      </c>
      <c r="D71" s="228"/>
      <c r="E71" s="113"/>
      <c r="F71" s="113"/>
      <c r="G71" s="113"/>
      <c r="H71" s="113"/>
      <c r="I71" s="336"/>
    </row>
    <row r="72" spans="1:12" s="285" customFormat="1" x14ac:dyDescent="0.25">
      <c r="A72" s="118">
        <v>10</v>
      </c>
      <c r="B72" s="151">
        <v>5505</v>
      </c>
      <c r="C72" s="94" t="s">
        <v>259</v>
      </c>
      <c r="D72" s="229"/>
      <c r="E72" s="85"/>
      <c r="F72" s="85"/>
      <c r="G72" s="435">
        <f t="shared" ref="G72:I72" si="10">(F72*0.1)+F72</f>
        <v>0</v>
      </c>
      <c r="H72" s="435">
        <f t="shared" si="10"/>
        <v>0</v>
      </c>
      <c r="I72" s="435">
        <f t="shared" si="10"/>
        <v>0</v>
      </c>
    </row>
    <row r="73" spans="1:12" s="285" customFormat="1" x14ac:dyDescent="0.25">
      <c r="A73" s="118">
        <v>10</v>
      </c>
      <c r="B73" s="151">
        <v>5510</v>
      </c>
      <c r="C73" s="94" t="s">
        <v>63</v>
      </c>
      <c r="D73" s="229"/>
      <c r="E73" s="85">
        <v>18939</v>
      </c>
      <c r="F73" s="85">
        <f t="shared" ref="F73:F121" si="11">+E73-D73</f>
        <v>18939</v>
      </c>
      <c r="G73" s="435">
        <f t="shared" ref="G73:I73" si="12">(F73*0.1)+F73</f>
        <v>20832.900000000001</v>
      </c>
      <c r="H73" s="435">
        <f t="shared" si="12"/>
        <v>22916.190000000002</v>
      </c>
      <c r="I73" s="435">
        <f t="shared" si="12"/>
        <v>25207.809000000001</v>
      </c>
      <c r="L73" s="355"/>
    </row>
    <row r="74" spans="1:12" s="285" customFormat="1" x14ac:dyDescent="0.25">
      <c r="A74" s="118">
        <v>10</v>
      </c>
      <c r="B74" s="151">
        <v>5520</v>
      </c>
      <c r="C74" s="94" t="s">
        <v>260</v>
      </c>
      <c r="D74" s="229"/>
      <c r="E74" s="85"/>
      <c r="F74" s="85">
        <f t="shared" si="11"/>
        <v>0</v>
      </c>
      <c r="G74" s="435">
        <f t="shared" ref="G74:I74" si="13">(F74*0.1)+F74</f>
        <v>0</v>
      </c>
      <c r="H74" s="435">
        <f t="shared" si="13"/>
        <v>0</v>
      </c>
      <c r="I74" s="435">
        <f t="shared" si="13"/>
        <v>0</v>
      </c>
    </row>
    <row r="75" spans="1:12" s="285" customFormat="1" x14ac:dyDescent="0.25">
      <c r="A75" s="118">
        <v>10</v>
      </c>
      <c r="B75" s="151">
        <v>5525</v>
      </c>
      <c r="C75" s="94" t="s">
        <v>261</v>
      </c>
      <c r="D75" s="229"/>
      <c r="E75" s="85"/>
      <c r="F75" s="85">
        <f t="shared" si="11"/>
        <v>0</v>
      </c>
      <c r="G75" s="435">
        <f t="shared" ref="G75:I75" si="14">(F75*0.1)+F75</f>
        <v>0</v>
      </c>
      <c r="H75" s="435">
        <f t="shared" si="14"/>
        <v>0</v>
      </c>
      <c r="I75" s="435">
        <f t="shared" si="14"/>
        <v>0</v>
      </c>
    </row>
    <row r="76" spans="1:12" s="285" customFormat="1" x14ac:dyDescent="0.25">
      <c r="A76" s="118">
        <v>10</v>
      </c>
      <c r="B76" s="151">
        <v>5530</v>
      </c>
      <c r="C76" s="94" t="s">
        <v>262</v>
      </c>
      <c r="D76" s="229"/>
      <c r="E76" s="85"/>
      <c r="F76" s="85">
        <f t="shared" si="11"/>
        <v>0</v>
      </c>
      <c r="G76" s="435">
        <f t="shared" ref="G76:I76" si="15">(F76*0.1)+F76</f>
        <v>0</v>
      </c>
      <c r="H76" s="435">
        <f t="shared" si="15"/>
        <v>0</v>
      </c>
      <c r="I76" s="435">
        <f t="shared" si="15"/>
        <v>0</v>
      </c>
    </row>
    <row r="77" spans="1:12" s="285" customFormat="1" x14ac:dyDescent="0.25">
      <c r="A77" s="118">
        <v>10</v>
      </c>
      <c r="B77" s="151">
        <v>5535</v>
      </c>
      <c r="C77" s="94" t="s">
        <v>263</v>
      </c>
      <c r="D77" s="229"/>
      <c r="E77" s="85"/>
      <c r="F77" s="85">
        <f t="shared" si="11"/>
        <v>0</v>
      </c>
      <c r="G77" s="435">
        <f t="shared" ref="G77:I77" si="16">(F77*0.1)+F77</f>
        <v>0</v>
      </c>
      <c r="H77" s="435">
        <f t="shared" si="16"/>
        <v>0</v>
      </c>
      <c r="I77" s="435">
        <f t="shared" si="16"/>
        <v>0</v>
      </c>
    </row>
    <row r="78" spans="1:12" s="285" customFormat="1" x14ac:dyDescent="0.25">
      <c r="A78" s="118">
        <v>10</v>
      </c>
      <c r="B78" s="151">
        <v>5540</v>
      </c>
      <c r="C78" s="94" t="s">
        <v>264</v>
      </c>
      <c r="D78" s="229"/>
      <c r="E78" s="85">
        <v>7271</v>
      </c>
      <c r="F78" s="85">
        <f t="shared" si="11"/>
        <v>7271</v>
      </c>
      <c r="G78" s="435">
        <f t="shared" ref="G78:I78" si="17">(F78*0.1)+F78</f>
        <v>7998.1</v>
      </c>
      <c r="H78" s="435">
        <f t="shared" si="17"/>
        <v>8797.91</v>
      </c>
      <c r="I78" s="435">
        <f t="shared" si="17"/>
        <v>9677.7009999999991</v>
      </c>
    </row>
    <row r="79" spans="1:12" s="285" customFormat="1" ht="13.5" customHeight="1" x14ac:dyDescent="0.25">
      <c r="A79" s="118">
        <v>10</v>
      </c>
      <c r="B79" s="151">
        <v>5545</v>
      </c>
      <c r="C79" s="94" t="s">
        <v>265</v>
      </c>
      <c r="D79" s="229"/>
      <c r="E79" s="85"/>
      <c r="F79" s="85">
        <f t="shared" si="11"/>
        <v>0</v>
      </c>
      <c r="G79" s="435">
        <f t="shared" ref="G79:I79" si="18">(F79*0.1)+F79</f>
        <v>0</v>
      </c>
      <c r="H79" s="435">
        <f t="shared" si="18"/>
        <v>0</v>
      </c>
      <c r="I79" s="435">
        <f t="shared" si="18"/>
        <v>0</v>
      </c>
    </row>
    <row r="80" spans="1:12" s="285" customFormat="1" x14ac:dyDescent="0.25">
      <c r="A80" s="118">
        <v>10</v>
      </c>
      <c r="B80" s="151">
        <v>5550</v>
      </c>
      <c r="C80" s="94" t="s">
        <v>267</v>
      </c>
      <c r="D80" s="229"/>
      <c r="E80" s="85"/>
      <c r="F80" s="85">
        <f t="shared" si="11"/>
        <v>0</v>
      </c>
      <c r="G80" s="435">
        <f t="shared" ref="G80:I80" si="19">(F80*0.1)+F80</f>
        <v>0</v>
      </c>
      <c r="H80" s="435">
        <f t="shared" si="19"/>
        <v>0</v>
      </c>
      <c r="I80" s="435">
        <f t="shared" si="19"/>
        <v>0</v>
      </c>
    </row>
    <row r="81" spans="1:9" s="285" customFormat="1" x14ac:dyDescent="0.25">
      <c r="A81" s="118">
        <v>10</v>
      </c>
      <c r="B81" s="151">
        <v>5555</v>
      </c>
      <c r="C81" s="94" t="s">
        <v>268</v>
      </c>
      <c r="D81" s="229"/>
      <c r="E81" s="85"/>
      <c r="F81" s="85">
        <f t="shared" si="11"/>
        <v>0</v>
      </c>
      <c r="G81" s="435">
        <f t="shared" ref="G81:I81" si="20">(F81*0.1)+F81</f>
        <v>0</v>
      </c>
      <c r="H81" s="435">
        <f t="shared" si="20"/>
        <v>0</v>
      </c>
      <c r="I81" s="435">
        <f t="shared" si="20"/>
        <v>0</v>
      </c>
    </row>
    <row r="82" spans="1:9" s="285" customFormat="1" x14ac:dyDescent="0.25">
      <c r="A82" s="118">
        <v>10</v>
      </c>
      <c r="B82" s="151">
        <v>5560</v>
      </c>
      <c r="C82" s="94" t="s">
        <v>269</v>
      </c>
      <c r="D82" s="229"/>
      <c r="E82" s="85"/>
      <c r="F82" s="85">
        <f t="shared" si="11"/>
        <v>0</v>
      </c>
      <c r="G82" s="435">
        <f t="shared" ref="G82:I82" si="21">(F82*0.1)+F82</f>
        <v>0</v>
      </c>
      <c r="H82" s="435">
        <f t="shared" si="21"/>
        <v>0</v>
      </c>
      <c r="I82" s="435">
        <f t="shared" si="21"/>
        <v>0</v>
      </c>
    </row>
    <row r="83" spans="1:9" s="285" customFormat="1" x14ac:dyDescent="0.25">
      <c r="A83" s="118">
        <v>10</v>
      </c>
      <c r="B83" s="151">
        <v>5565</v>
      </c>
      <c r="C83" s="94" t="s">
        <v>246</v>
      </c>
      <c r="D83" s="229"/>
      <c r="E83" s="85"/>
      <c r="F83" s="85">
        <f t="shared" si="11"/>
        <v>0</v>
      </c>
      <c r="G83" s="435">
        <f t="shared" ref="G83:I83" si="22">(F83*0.1)+F83</f>
        <v>0</v>
      </c>
      <c r="H83" s="435">
        <f t="shared" si="22"/>
        <v>0</v>
      </c>
      <c r="I83" s="435">
        <f t="shared" si="22"/>
        <v>0</v>
      </c>
    </row>
    <row r="84" spans="1:9" s="285" customFormat="1" x14ac:dyDescent="0.25">
      <c r="A84" s="118">
        <v>10</v>
      </c>
      <c r="B84" s="151">
        <v>5570</v>
      </c>
      <c r="C84" s="94" t="s">
        <v>270</v>
      </c>
      <c r="D84" s="229"/>
      <c r="E84" s="85">
        <v>2164</v>
      </c>
      <c r="F84" s="85">
        <v>2164</v>
      </c>
      <c r="G84" s="435">
        <f t="shared" ref="G84:I84" si="23">(F84*0.1)+F84</f>
        <v>2380.4</v>
      </c>
      <c r="H84" s="435">
        <f t="shared" si="23"/>
        <v>2618.44</v>
      </c>
      <c r="I84" s="435">
        <f t="shared" si="23"/>
        <v>2880.2840000000001</v>
      </c>
    </row>
    <row r="85" spans="1:9" s="285" customFormat="1" x14ac:dyDescent="0.25">
      <c r="A85" s="118">
        <v>10</v>
      </c>
      <c r="B85" s="151">
        <v>5575</v>
      </c>
      <c r="C85" s="94" t="s">
        <v>271</v>
      </c>
      <c r="D85" s="229">
        <v>57231.700000000004</v>
      </c>
      <c r="E85" s="85">
        <v>0</v>
      </c>
      <c r="F85" s="85">
        <v>120000</v>
      </c>
      <c r="G85" s="435">
        <f t="shared" ref="G85:I85" si="24">(F85*0.1)+F85</f>
        <v>132000</v>
      </c>
      <c r="H85" s="435">
        <f t="shared" si="24"/>
        <v>145200</v>
      </c>
      <c r="I85" s="435">
        <f t="shared" si="24"/>
        <v>159720</v>
      </c>
    </row>
    <row r="86" spans="1:9" s="285" customFormat="1" x14ac:dyDescent="0.25">
      <c r="A86" s="118">
        <v>10</v>
      </c>
      <c r="B86" s="151">
        <v>5580</v>
      </c>
      <c r="C86" s="94" t="s">
        <v>272</v>
      </c>
      <c r="D86" s="229"/>
      <c r="E86" s="85"/>
      <c r="F86" s="85">
        <v>0</v>
      </c>
      <c r="G86" s="435">
        <f t="shared" ref="G86:I86" si="25">(F86*0.1)+F86</f>
        <v>0</v>
      </c>
      <c r="H86" s="435">
        <f t="shared" si="25"/>
        <v>0</v>
      </c>
      <c r="I86" s="435">
        <f t="shared" si="25"/>
        <v>0</v>
      </c>
    </row>
    <row r="87" spans="1:9" s="285" customFormat="1" x14ac:dyDescent="0.25">
      <c r="A87" s="118">
        <v>10</v>
      </c>
      <c r="B87" s="151">
        <v>5585</v>
      </c>
      <c r="C87" s="94" t="s">
        <v>273</v>
      </c>
      <c r="D87" s="229">
        <v>21808</v>
      </c>
      <c r="E87" s="85">
        <v>39000</v>
      </c>
      <c r="F87" s="85">
        <v>39000</v>
      </c>
      <c r="G87" s="435">
        <f t="shared" ref="G87:I87" si="26">(F87*0.1)+F87</f>
        <v>42900</v>
      </c>
      <c r="H87" s="435">
        <f t="shared" si="26"/>
        <v>47190</v>
      </c>
      <c r="I87" s="435">
        <f t="shared" si="26"/>
        <v>51909</v>
      </c>
    </row>
    <row r="88" spans="1:9" s="285" customFormat="1" x14ac:dyDescent="0.25">
      <c r="A88" s="118">
        <v>10</v>
      </c>
      <c r="B88" s="151">
        <v>5590</v>
      </c>
      <c r="C88" s="94" t="s">
        <v>274</v>
      </c>
      <c r="D88" s="229">
        <v>54806</v>
      </c>
      <c r="E88" s="85">
        <v>51784</v>
      </c>
      <c r="F88" s="85">
        <v>101784</v>
      </c>
      <c r="G88" s="435">
        <v>120000</v>
      </c>
      <c r="H88" s="435">
        <f t="shared" ref="H88:I88" si="27">(G88*0.1)+G88</f>
        <v>132000</v>
      </c>
      <c r="I88" s="435">
        <f t="shared" si="27"/>
        <v>145200</v>
      </c>
    </row>
    <row r="89" spans="1:9" s="285" customFormat="1" x14ac:dyDescent="0.25">
      <c r="A89" s="118">
        <v>10</v>
      </c>
      <c r="B89" s="151">
        <v>5595</v>
      </c>
      <c r="C89" s="94" t="s">
        <v>275</v>
      </c>
      <c r="D89" s="229"/>
      <c r="E89" s="85"/>
      <c r="F89" s="85">
        <v>0</v>
      </c>
      <c r="G89" s="435">
        <f t="shared" ref="G89:I89" si="28">(F89*0.1)+F89</f>
        <v>0</v>
      </c>
      <c r="H89" s="435">
        <f t="shared" si="28"/>
        <v>0</v>
      </c>
      <c r="I89" s="435">
        <f t="shared" si="28"/>
        <v>0</v>
      </c>
    </row>
    <row r="90" spans="1:9" s="285" customFormat="1" x14ac:dyDescent="0.25">
      <c r="A90" s="375">
        <v>10</v>
      </c>
      <c r="B90" s="152">
        <v>5600</v>
      </c>
      <c r="C90" s="386" t="s">
        <v>276</v>
      </c>
      <c r="D90" s="376"/>
      <c r="E90" s="387"/>
      <c r="F90" s="387">
        <v>0</v>
      </c>
      <c r="G90" s="435">
        <f t="shared" ref="G90:I90" si="29">(F90*0.1)+F90</f>
        <v>0</v>
      </c>
      <c r="H90" s="435">
        <f t="shared" si="29"/>
        <v>0</v>
      </c>
      <c r="I90" s="435">
        <f t="shared" si="29"/>
        <v>0</v>
      </c>
    </row>
    <row r="91" spans="1:9" s="285" customFormat="1" x14ac:dyDescent="0.25">
      <c r="A91" s="378">
        <v>10</v>
      </c>
      <c r="B91" s="153">
        <v>5605</v>
      </c>
      <c r="C91" s="388" t="s">
        <v>277</v>
      </c>
      <c r="D91" s="228"/>
      <c r="E91" s="88"/>
      <c r="F91" s="88">
        <v>0</v>
      </c>
      <c r="G91" s="435">
        <f t="shared" ref="G91:I91" si="30">(F91*0.1)+F91</f>
        <v>0</v>
      </c>
      <c r="H91" s="435">
        <f t="shared" si="30"/>
        <v>0</v>
      </c>
      <c r="I91" s="435">
        <f t="shared" si="30"/>
        <v>0</v>
      </c>
    </row>
    <row r="92" spans="1:9" s="285" customFormat="1" x14ac:dyDescent="0.25">
      <c r="A92" s="118">
        <v>10</v>
      </c>
      <c r="B92" s="151">
        <v>5610</v>
      </c>
      <c r="C92" s="159" t="s">
        <v>278</v>
      </c>
      <c r="D92" s="225"/>
      <c r="E92" s="85"/>
      <c r="F92" s="85">
        <v>0</v>
      </c>
      <c r="G92" s="435">
        <f t="shared" ref="G92:I92" si="31">(F92*0.1)+F92</f>
        <v>0</v>
      </c>
      <c r="H92" s="435">
        <f t="shared" si="31"/>
        <v>0</v>
      </c>
      <c r="I92" s="435">
        <f t="shared" si="31"/>
        <v>0</v>
      </c>
    </row>
    <row r="93" spans="1:9" s="285" customFormat="1" x14ac:dyDescent="0.25">
      <c r="A93" s="118">
        <v>10</v>
      </c>
      <c r="B93" s="151">
        <v>5615</v>
      </c>
      <c r="C93" s="159" t="s">
        <v>279</v>
      </c>
      <c r="D93" s="225"/>
      <c r="E93" s="85"/>
      <c r="F93" s="85">
        <v>0</v>
      </c>
      <c r="G93" s="435">
        <f t="shared" ref="G93:I93" si="32">(F93*0.1)+F93</f>
        <v>0</v>
      </c>
      <c r="H93" s="435">
        <f t="shared" si="32"/>
        <v>0</v>
      </c>
      <c r="I93" s="435">
        <f t="shared" si="32"/>
        <v>0</v>
      </c>
    </row>
    <row r="94" spans="1:9" s="285" customFormat="1" x14ac:dyDescent="0.25">
      <c r="A94" s="118">
        <v>10</v>
      </c>
      <c r="B94" s="151">
        <v>5620</v>
      </c>
      <c r="C94" s="159" t="s">
        <v>280</v>
      </c>
      <c r="D94" s="225"/>
      <c r="E94" s="85"/>
      <c r="F94" s="85">
        <v>0</v>
      </c>
      <c r="G94" s="435">
        <f t="shared" ref="G94:I94" si="33">(F94*0.1)+F94</f>
        <v>0</v>
      </c>
      <c r="H94" s="435">
        <f t="shared" si="33"/>
        <v>0</v>
      </c>
      <c r="I94" s="435">
        <f t="shared" si="33"/>
        <v>0</v>
      </c>
    </row>
    <row r="95" spans="1:9" s="285" customFormat="1" x14ac:dyDescent="0.25">
      <c r="A95" s="118">
        <v>10</v>
      </c>
      <c r="B95" s="151">
        <v>5625</v>
      </c>
      <c r="C95" s="159" t="s">
        <v>281</v>
      </c>
      <c r="D95" s="225"/>
      <c r="E95" s="85"/>
      <c r="F95" s="85">
        <v>0</v>
      </c>
      <c r="G95" s="435">
        <f t="shared" ref="G95:I95" si="34">(F95*0.1)+F95</f>
        <v>0</v>
      </c>
      <c r="H95" s="435">
        <f t="shared" si="34"/>
        <v>0</v>
      </c>
      <c r="I95" s="435">
        <f t="shared" si="34"/>
        <v>0</v>
      </c>
    </row>
    <row r="96" spans="1:9" s="285" customFormat="1" x14ac:dyDescent="0.25">
      <c r="A96" s="118">
        <v>10</v>
      </c>
      <c r="B96" s="151">
        <v>5630</v>
      </c>
      <c r="C96" s="159" t="s">
        <v>282</v>
      </c>
      <c r="D96" s="225"/>
      <c r="E96" s="85"/>
      <c r="F96" s="85">
        <v>0</v>
      </c>
      <c r="G96" s="435">
        <f t="shared" ref="G96:I96" si="35">(F96*0.1)+F96</f>
        <v>0</v>
      </c>
      <c r="H96" s="435">
        <f t="shared" si="35"/>
        <v>0</v>
      </c>
      <c r="I96" s="435">
        <f t="shared" si="35"/>
        <v>0</v>
      </c>
    </row>
    <row r="97" spans="1:9" s="285" customFormat="1" x14ac:dyDescent="0.25">
      <c r="A97" s="118">
        <v>10</v>
      </c>
      <c r="B97" s="151">
        <v>5635</v>
      </c>
      <c r="C97" s="159" t="s">
        <v>283</v>
      </c>
      <c r="D97" s="225"/>
      <c r="E97" s="85"/>
      <c r="F97" s="85">
        <v>0</v>
      </c>
      <c r="G97" s="435">
        <f t="shared" ref="G97:I97" si="36">(F97*0.1)+F97</f>
        <v>0</v>
      </c>
      <c r="H97" s="435">
        <f t="shared" si="36"/>
        <v>0</v>
      </c>
      <c r="I97" s="435">
        <f t="shared" si="36"/>
        <v>0</v>
      </c>
    </row>
    <row r="98" spans="1:9" s="285" customFormat="1" x14ac:dyDescent="0.25">
      <c r="A98" s="118">
        <v>10</v>
      </c>
      <c r="B98" s="151">
        <v>5640</v>
      </c>
      <c r="C98" s="159" t="s">
        <v>284</v>
      </c>
      <c r="D98" s="225">
        <v>110028.44</v>
      </c>
      <c r="E98" s="85">
        <v>9513</v>
      </c>
      <c r="F98" s="85">
        <v>229513</v>
      </c>
      <c r="G98" s="435">
        <v>260000</v>
      </c>
      <c r="H98" s="435">
        <f t="shared" ref="H98:I98" si="37">(G98*0.1)+G98</f>
        <v>286000</v>
      </c>
      <c r="I98" s="435">
        <f t="shared" si="37"/>
        <v>314600</v>
      </c>
    </row>
    <row r="99" spans="1:9" s="285" customFormat="1" x14ac:dyDescent="0.25">
      <c r="A99" s="118">
        <v>10</v>
      </c>
      <c r="B99" s="151">
        <v>5645</v>
      </c>
      <c r="C99" s="159" t="s">
        <v>285</v>
      </c>
      <c r="D99" s="225"/>
      <c r="E99" s="85"/>
      <c r="F99" s="85">
        <f t="shared" si="11"/>
        <v>0</v>
      </c>
      <c r="G99" s="435">
        <f t="shared" ref="G99:I99" si="38">(F99*0.1)+F99</f>
        <v>0</v>
      </c>
      <c r="H99" s="435">
        <f t="shared" si="38"/>
        <v>0</v>
      </c>
      <c r="I99" s="435">
        <f t="shared" si="38"/>
        <v>0</v>
      </c>
    </row>
    <row r="100" spans="1:9" s="285" customFormat="1" x14ac:dyDescent="0.25">
      <c r="A100" s="118">
        <v>10</v>
      </c>
      <c r="B100" s="151">
        <v>5650</v>
      </c>
      <c r="C100" s="159" t="s">
        <v>286</v>
      </c>
      <c r="D100" s="225"/>
      <c r="E100" s="85"/>
      <c r="F100" s="85">
        <f t="shared" si="11"/>
        <v>0</v>
      </c>
      <c r="G100" s="435">
        <f t="shared" ref="G100:I100" si="39">(F100*0.1)+F100</f>
        <v>0</v>
      </c>
      <c r="H100" s="435">
        <f t="shared" si="39"/>
        <v>0</v>
      </c>
      <c r="I100" s="435">
        <f t="shared" si="39"/>
        <v>0</v>
      </c>
    </row>
    <row r="101" spans="1:9" s="285" customFormat="1" x14ac:dyDescent="0.25">
      <c r="A101" s="118">
        <v>10</v>
      </c>
      <c r="B101" s="151">
        <v>5655</v>
      </c>
      <c r="C101" s="159" t="s">
        <v>287</v>
      </c>
      <c r="D101" s="225"/>
      <c r="E101" s="85"/>
      <c r="F101" s="85">
        <f t="shared" si="11"/>
        <v>0</v>
      </c>
      <c r="G101" s="435">
        <f t="shared" ref="G101:I101" si="40">(F101*0.1)+F101</f>
        <v>0</v>
      </c>
      <c r="H101" s="435">
        <f t="shared" si="40"/>
        <v>0</v>
      </c>
      <c r="I101" s="435">
        <f t="shared" si="40"/>
        <v>0</v>
      </c>
    </row>
    <row r="102" spans="1:9" s="285" customFormat="1" x14ac:dyDescent="0.25">
      <c r="A102" s="118">
        <v>10</v>
      </c>
      <c r="B102" s="151">
        <v>5660</v>
      </c>
      <c r="C102" s="159" t="s">
        <v>288</v>
      </c>
      <c r="D102" s="225"/>
      <c r="E102" s="85"/>
      <c r="F102" s="85">
        <f t="shared" si="11"/>
        <v>0</v>
      </c>
      <c r="G102" s="435">
        <f t="shared" ref="G102:I102" si="41">(F102*0.1)+F102</f>
        <v>0</v>
      </c>
      <c r="H102" s="435">
        <f t="shared" si="41"/>
        <v>0</v>
      </c>
      <c r="I102" s="435">
        <f t="shared" si="41"/>
        <v>0</v>
      </c>
    </row>
    <row r="103" spans="1:9" s="285" customFormat="1" x14ac:dyDescent="0.25">
      <c r="A103" s="118">
        <v>10</v>
      </c>
      <c r="B103" s="151">
        <v>5665</v>
      </c>
      <c r="C103" s="94" t="s">
        <v>503</v>
      </c>
      <c r="D103" s="225"/>
      <c r="E103" s="85"/>
      <c r="F103" s="85">
        <f t="shared" si="11"/>
        <v>0</v>
      </c>
      <c r="G103" s="435">
        <f t="shared" ref="G103:I103" si="42">(F103*0.1)+F103</f>
        <v>0</v>
      </c>
      <c r="H103" s="435">
        <f t="shared" si="42"/>
        <v>0</v>
      </c>
      <c r="I103" s="435">
        <f t="shared" si="42"/>
        <v>0</v>
      </c>
    </row>
    <row r="104" spans="1:9" s="285" customFormat="1" x14ac:dyDescent="0.25">
      <c r="A104" s="118">
        <v>10</v>
      </c>
      <c r="B104" s="151">
        <v>5670</v>
      </c>
      <c r="C104" s="94" t="s">
        <v>290</v>
      </c>
      <c r="D104" s="225"/>
      <c r="E104" s="85"/>
      <c r="F104" s="85">
        <f t="shared" si="11"/>
        <v>0</v>
      </c>
      <c r="G104" s="435">
        <f t="shared" ref="G104:I104" si="43">(F104*0.1)+F104</f>
        <v>0</v>
      </c>
      <c r="H104" s="435">
        <f t="shared" si="43"/>
        <v>0</v>
      </c>
      <c r="I104" s="435">
        <f t="shared" si="43"/>
        <v>0</v>
      </c>
    </row>
    <row r="105" spans="1:9" s="285" customFormat="1" x14ac:dyDescent="0.25">
      <c r="A105" s="118">
        <v>10</v>
      </c>
      <c r="B105" s="151">
        <v>5675</v>
      </c>
      <c r="C105" s="94" t="s">
        <v>291</v>
      </c>
      <c r="D105" s="225"/>
      <c r="E105" s="85"/>
      <c r="F105" s="85">
        <f t="shared" si="11"/>
        <v>0</v>
      </c>
      <c r="G105" s="435">
        <f t="shared" ref="G105:I105" si="44">(F105*0.1)+F105</f>
        <v>0</v>
      </c>
      <c r="H105" s="435">
        <f t="shared" si="44"/>
        <v>0</v>
      </c>
      <c r="I105" s="435">
        <f t="shared" si="44"/>
        <v>0</v>
      </c>
    </row>
    <row r="106" spans="1:9" s="285" customFormat="1" x14ac:dyDescent="0.25">
      <c r="A106" s="118">
        <v>10</v>
      </c>
      <c r="B106" s="151">
        <v>5680</v>
      </c>
      <c r="C106" s="94" t="s">
        <v>292</v>
      </c>
      <c r="D106" s="225"/>
      <c r="E106" s="85"/>
      <c r="F106" s="85">
        <f t="shared" si="11"/>
        <v>0</v>
      </c>
      <c r="G106" s="435">
        <f t="shared" ref="G106:I106" si="45">(F106*0.1)+F106</f>
        <v>0</v>
      </c>
      <c r="H106" s="435">
        <f t="shared" si="45"/>
        <v>0</v>
      </c>
      <c r="I106" s="435">
        <f t="shared" si="45"/>
        <v>0</v>
      </c>
    </row>
    <row r="107" spans="1:9" s="285" customFormat="1" x14ac:dyDescent="0.25">
      <c r="A107" s="118">
        <v>10</v>
      </c>
      <c r="B107" s="151">
        <v>5685</v>
      </c>
      <c r="C107" s="94" t="s">
        <v>293</v>
      </c>
      <c r="D107" s="225"/>
      <c r="E107" s="85"/>
      <c r="F107" s="85">
        <f t="shared" si="11"/>
        <v>0</v>
      </c>
      <c r="G107" s="435">
        <f t="shared" ref="G107:I107" si="46">(F107*0.1)+F107</f>
        <v>0</v>
      </c>
      <c r="H107" s="435">
        <f t="shared" si="46"/>
        <v>0</v>
      </c>
      <c r="I107" s="435">
        <f t="shared" si="46"/>
        <v>0</v>
      </c>
    </row>
    <row r="108" spans="1:9" s="285" customFormat="1" x14ac:dyDescent="0.25">
      <c r="A108" s="118">
        <v>10</v>
      </c>
      <c r="B108" s="151">
        <v>5690</v>
      </c>
      <c r="C108" s="94" t="s">
        <v>247</v>
      </c>
      <c r="D108" s="225"/>
      <c r="E108" s="85"/>
      <c r="F108" s="85">
        <f t="shared" si="11"/>
        <v>0</v>
      </c>
      <c r="G108" s="435">
        <f t="shared" ref="G108:I108" si="47">(F108*0.1)+F108</f>
        <v>0</v>
      </c>
      <c r="H108" s="435">
        <f t="shared" si="47"/>
        <v>0</v>
      </c>
      <c r="I108" s="435">
        <f t="shared" si="47"/>
        <v>0</v>
      </c>
    </row>
    <row r="109" spans="1:9" s="285" customFormat="1" x14ac:dyDescent="0.25">
      <c r="A109" s="118">
        <v>10</v>
      </c>
      <c r="B109" s="151">
        <v>5695</v>
      </c>
      <c r="C109" s="94" t="s">
        <v>294</v>
      </c>
      <c r="D109" s="225"/>
      <c r="E109" s="85"/>
      <c r="F109" s="85">
        <f t="shared" si="11"/>
        <v>0</v>
      </c>
      <c r="G109" s="435">
        <f t="shared" ref="G109:I109" si="48">(F109*0.1)+F109</f>
        <v>0</v>
      </c>
      <c r="H109" s="435">
        <f t="shared" si="48"/>
        <v>0</v>
      </c>
      <c r="I109" s="435">
        <f t="shared" si="48"/>
        <v>0</v>
      </c>
    </row>
    <row r="110" spans="1:9" s="285" customFormat="1" x14ac:dyDescent="0.25">
      <c r="A110" s="118">
        <v>10</v>
      </c>
      <c r="B110" s="151">
        <v>5700</v>
      </c>
      <c r="C110" s="94" t="s">
        <v>295</v>
      </c>
      <c r="D110" s="225"/>
      <c r="E110" s="85"/>
      <c r="F110" s="85">
        <f t="shared" si="11"/>
        <v>0</v>
      </c>
      <c r="G110" s="435">
        <f t="shared" ref="G110:I110" si="49">(F110*0.1)+F110</f>
        <v>0</v>
      </c>
      <c r="H110" s="435">
        <f t="shared" si="49"/>
        <v>0</v>
      </c>
      <c r="I110" s="435">
        <f t="shared" si="49"/>
        <v>0</v>
      </c>
    </row>
    <row r="111" spans="1:9" s="285" customFormat="1" x14ac:dyDescent="0.25">
      <c r="A111" s="118">
        <v>10</v>
      </c>
      <c r="B111" s="151">
        <v>5710</v>
      </c>
      <c r="C111" s="94" t="s">
        <v>297</v>
      </c>
      <c r="D111" s="225"/>
      <c r="E111" s="85"/>
      <c r="F111" s="85">
        <f t="shared" si="11"/>
        <v>0</v>
      </c>
      <c r="G111" s="435">
        <f t="shared" ref="G111:I111" si="50">(F111*0.1)+F111</f>
        <v>0</v>
      </c>
      <c r="H111" s="435">
        <f t="shared" si="50"/>
        <v>0</v>
      </c>
      <c r="I111" s="435">
        <f t="shared" si="50"/>
        <v>0</v>
      </c>
    </row>
    <row r="112" spans="1:9" s="285" customFormat="1" x14ac:dyDescent="0.25">
      <c r="A112" s="118">
        <v>10</v>
      </c>
      <c r="B112" s="151">
        <v>5715</v>
      </c>
      <c r="C112" s="94" t="s">
        <v>298</v>
      </c>
      <c r="D112" s="225"/>
      <c r="E112" s="85"/>
      <c r="F112" s="85">
        <f t="shared" si="11"/>
        <v>0</v>
      </c>
      <c r="G112" s="435">
        <f t="shared" ref="G112:I112" si="51">(F112*0.1)+F112</f>
        <v>0</v>
      </c>
      <c r="H112" s="435">
        <f t="shared" si="51"/>
        <v>0</v>
      </c>
      <c r="I112" s="435">
        <f t="shared" si="51"/>
        <v>0</v>
      </c>
    </row>
    <row r="113" spans="1:9" s="285" customFormat="1" x14ac:dyDescent="0.25">
      <c r="A113" s="118">
        <v>10</v>
      </c>
      <c r="B113" s="151">
        <v>5720</v>
      </c>
      <c r="C113" s="94" t="s">
        <v>299</v>
      </c>
      <c r="D113" s="225">
        <v>0</v>
      </c>
      <c r="E113" s="85"/>
      <c r="F113" s="85">
        <f t="shared" si="11"/>
        <v>0</v>
      </c>
      <c r="G113" s="435">
        <f t="shared" ref="G113:I113" si="52">(F113*0.1)+F113</f>
        <v>0</v>
      </c>
      <c r="H113" s="435">
        <f t="shared" si="52"/>
        <v>0</v>
      </c>
      <c r="I113" s="435">
        <f t="shared" si="52"/>
        <v>0</v>
      </c>
    </row>
    <row r="114" spans="1:9" s="285" customFormat="1" x14ac:dyDescent="0.25">
      <c r="A114" s="118">
        <v>10</v>
      </c>
      <c r="B114" s="151">
        <v>5730</v>
      </c>
      <c r="C114" s="94" t="s">
        <v>300</v>
      </c>
      <c r="D114" s="225"/>
      <c r="E114" s="85"/>
      <c r="F114" s="85">
        <f t="shared" si="11"/>
        <v>0</v>
      </c>
      <c r="G114" s="435">
        <f t="shared" ref="G114:I114" si="53">(F114*0.1)+F114</f>
        <v>0</v>
      </c>
      <c r="H114" s="435">
        <f t="shared" si="53"/>
        <v>0</v>
      </c>
      <c r="I114" s="435">
        <f t="shared" si="53"/>
        <v>0</v>
      </c>
    </row>
    <row r="115" spans="1:9" s="285" customFormat="1" x14ac:dyDescent="0.25">
      <c r="A115" s="118">
        <v>10</v>
      </c>
      <c r="B115" s="151">
        <v>5735</v>
      </c>
      <c r="C115" s="94" t="s">
        <v>301</v>
      </c>
      <c r="D115" s="225"/>
      <c r="E115" s="85"/>
      <c r="F115" s="85">
        <f t="shared" si="11"/>
        <v>0</v>
      </c>
      <c r="G115" s="435">
        <f t="shared" ref="G115:I115" si="54">(F115*0.1)+F115</f>
        <v>0</v>
      </c>
      <c r="H115" s="435">
        <f t="shared" si="54"/>
        <v>0</v>
      </c>
      <c r="I115" s="435">
        <f t="shared" si="54"/>
        <v>0</v>
      </c>
    </row>
    <row r="116" spans="1:9" s="285" customFormat="1" x14ac:dyDescent="0.25">
      <c r="A116" s="118">
        <v>10</v>
      </c>
      <c r="B116" s="151">
        <v>5740</v>
      </c>
      <c r="C116" s="94" t="s">
        <v>302</v>
      </c>
      <c r="D116" s="225"/>
      <c r="E116" s="85"/>
      <c r="F116" s="85">
        <f t="shared" si="11"/>
        <v>0</v>
      </c>
      <c r="G116" s="435">
        <f t="shared" ref="G116:I116" si="55">(F116*0.1)+F116</f>
        <v>0</v>
      </c>
      <c r="H116" s="435">
        <f t="shared" si="55"/>
        <v>0</v>
      </c>
      <c r="I116" s="435">
        <f t="shared" si="55"/>
        <v>0</v>
      </c>
    </row>
    <row r="117" spans="1:9" s="285" customFormat="1" x14ac:dyDescent="0.25">
      <c r="A117" s="118">
        <v>10</v>
      </c>
      <c r="B117" s="151">
        <v>5745</v>
      </c>
      <c r="C117" s="94" t="s">
        <v>303</v>
      </c>
      <c r="D117" s="225"/>
      <c r="E117" s="85"/>
      <c r="F117" s="85">
        <f t="shared" si="11"/>
        <v>0</v>
      </c>
      <c r="G117" s="435">
        <f t="shared" ref="G117:I117" si="56">(F117*0.1)+F117</f>
        <v>0</v>
      </c>
      <c r="H117" s="435">
        <f t="shared" si="56"/>
        <v>0</v>
      </c>
      <c r="I117" s="435">
        <f t="shared" si="56"/>
        <v>0</v>
      </c>
    </row>
    <row r="118" spans="1:9" s="285" customFormat="1" x14ac:dyDescent="0.25">
      <c r="A118" s="118">
        <v>10</v>
      </c>
      <c r="B118" s="151">
        <v>5750</v>
      </c>
      <c r="C118" s="94" t="s">
        <v>304</v>
      </c>
      <c r="D118" s="225"/>
      <c r="E118" s="85"/>
      <c r="F118" s="85">
        <f t="shared" si="11"/>
        <v>0</v>
      </c>
      <c r="G118" s="435">
        <f t="shared" ref="G118:I118" si="57">(F118*0.1)+F118</f>
        <v>0</v>
      </c>
      <c r="H118" s="435">
        <f t="shared" si="57"/>
        <v>0</v>
      </c>
      <c r="I118" s="435">
        <f t="shared" si="57"/>
        <v>0</v>
      </c>
    </row>
    <row r="119" spans="1:9" s="285" customFormat="1" x14ac:dyDescent="0.25">
      <c r="A119" s="118">
        <v>10</v>
      </c>
      <c r="B119" s="151">
        <v>5755</v>
      </c>
      <c r="C119" s="94" t="s">
        <v>305</v>
      </c>
      <c r="D119" s="225"/>
      <c r="E119" s="85"/>
      <c r="F119" s="85">
        <f t="shared" si="11"/>
        <v>0</v>
      </c>
      <c r="G119" s="435">
        <f t="shared" ref="G119:I119" si="58">(F119*0.1)+F119</f>
        <v>0</v>
      </c>
      <c r="H119" s="435">
        <f t="shared" si="58"/>
        <v>0</v>
      </c>
      <c r="I119" s="435">
        <f t="shared" si="58"/>
        <v>0</v>
      </c>
    </row>
    <row r="120" spans="1:9" s="285" customFormat="1" ht="12" customHeight="1" x14ac:dyDescent="0.25">
      <c r="A120" s="118">
        <v>10</v>
      </c>
      <c r="B120" s="151">
        <v>5760</v>
      </c>
      <c r="C120" s="94" t="s">
        <v>386</v>
      </c>
      <c r="D120" s="225"/>
      <c r="E120" s="85"/>
      <c r="F120" s="85">
        <f t="shared" si="11"/>
        <v>0</v>
      </c>
      <c r="G120" s="435">
        <f t="shared" ref="G120:I120" si="59">(F120*0.1)+F120</f>
        <v>0</v>
      </c>
      <c r="H120" s="435">
        <f t="shared" si="59"/>
        <v>0</v>
      </c>
      <c r="I120" s="435">
        <f t="shared" si="59"/>
        <v>0</v>
      </c>
    </row>
    <row r="121" spans="1:9" s="285" customFormat="1" x14ac:dyDescent="0.25">
      <c r="A121" s="118">
        <v>10</v>
      </c>
      <c r="B121" s="151">
        <v>5765</v>
      </c>
      <c r="C121" s="94" t="s">
        <v>307</v>
      </c>
      <c r="D121" s="225"/>
      <c r="E121" s="85"/>
      <c r="F121" s="85">
        <f t="shared" si="11"/>
        <v>0</v>
      </c>
      <c r="G121" s="435">
        <f t="shared" ref="G121:I121" si="60">(F121*0.1)+F121</f>
        <v>0</v>
      </c>
      <c r="H121" s="435">
        <f t="shared" si="60"/>
        <v>0</v>
      </c>
      <c r="I121" s="435">
        <f t="shared" si="60"/>
        <v>0</v>
      </c>
    </row>
    <row r="122" spans="1:9" s="285" customFormat="1" x14ac:dyDescent="0.25">
      <c r="A122" s="118">
        <v>10</v>
      </c>
      <c r="B122" s="151">
        <v>5770</v>
      </c>
      <c r="C122" s="94" t="s">
        <v>308</v>
      </c>
      <c r="D122" s="225"/>
      <c r="E122" s="85">
        <v>766</v>
      </c>
      <c r="F122" s="85">
        <v>766</v>
      </c>
      <c r="G122" s="435">
        <f t="shared" ref="G122:I122" si="61">(F122*0.1)+F122</f>
        <v>842.6</v>
      </c>
      <c r="H122" s="435">
        <f t="shared" si="61"/>
        <v>926.86</v>
      </c>
      <c r="I122" s="435">
        <f t="shared" si="61"/>
        <v>1019.546</v>
      </c>
    </row>
    <row r="123" spans="1:9" s="285" customFormat="1" x14ac:dyDescent="0.25">
      <c r="A123" s="118">
        <v>10</v>
      </c>
      <c r="B123" s="151">
        <v>5775</v>
      </c>
      <c r="C123" s="94" t="s">
        <v>309</v>
      </c>
      <c r="D123" s="225">
        <v>467163</v>
      </c>
      <c r="E123" s="85">
        <v>437825</v>
      </c>
      <c r="F123" s="85">
        <v>907825</v>
      </c>
      <c r="G123" s="435">
        <v>500000</v>
      </c>
      <c r="H123" s="435">
        <f t="shared" ref="H123:I123" si="62">(G123*0.1)+G123</f>
        <v>550000</v>
      </c>
      <c r="I123" s="435">
        <f t="shared" si="62"/>
        <v>605000</v>
      </c>
    </row>
    <row r="124" spans="1:9" s="285" customFormat="1" x14ac:dyDescent="0.25">
      <c r="A124" s="118">
        <v>10</v>
      </c>
      <c r="B124" s="151">
        <v>5780</v>
      </c>
      <c r="C124" s="94" t="s">
        <v>310</v>
      </c>
      <c r="D124" s="225"/>
      <c r="E124" s="85"/>
      <c r="F124" s="85">
        <v>0</v>
      </c>
      <c r="G124" s="435">
        <f t="shared" ref="G124:I124" si="63">(F124*0.1)+F124</f>
        <v>0</v>
      </c>
      <c r="H124" s="435">
        <f t="shared" si="63"/>
        <v>0</v>
      </c>
      <c r="I124" s="435">
        <f t="shared" si="63"/>
        <v>0</v>
      </c>
    </row>
    <row r="125" spans="1:9" s="285" customFormat="1" x14ac:dyDescent="0.25">
      <c r="A125" s="118">
        <v>10</v>
      </c>
      <c r="B125" s="151">
        <v>5785</v>
      </c>
      <c r="C125" s="94" t="s">
        <v>311</v>
      </c>
      <c r="D125" s="225">
        <v>7263</v>
      </c>
      <c r="E125" s="85">
        <v>97646</v>
      </c>
      <c r="F125" s="85">
        <v>111646</v>
      </c>
      <c r="G125" s="435">
        <v>100000</v>
      </c>
      <c r="H125" s="435">
        <f t="shared" ref="H125:I125" si="64">(G125*0.1)+G125</f>
        <v>110000</v>
      </c>
      <c r="I125" s="435">
        <f t="shared" si="64"/>
        <v>121000</v>
      </c>
    </row>
    <row r="126" spans="1:9" s="285" customFormat="1" x14ac:dyDescent="0.25">
      <c r="A126" s="118">
        <v>10</v>
      </c>
      <c r="B126" s="151">
        <v>5790</v>
      </c>
      <c r="C126" s="94" t="s">
        <v>312</v>
      </c>
      <c r="D126" s="225"/>
      <c r="E126" s="85"/>
      <c r="F126" s="85">
        <v>0</v>
      </c>
      <c r="G126" s="435">
        <f t="shared" ref="G126:I126" si="65">(F126*0.1)+F126</f>
        <v>0</v>
      </c>
      <c r="H126" s="435">
        <f t="shared" si="65"/>
        <v>0</v>
      </c>
      <c r="I126" s="435">
        <f t="shared" si="65"/>
        <v>0</v>
      </c>
    </row>
    <row r="127" spans="1:9" s="285" customFormat="1" x14ac:dyDescent="0.25">
      <c r="A127" s="118">
        <v>10</v>
      </c>
      <c r="B127" s="151">
        <v>5795</v>
      </c>
      <c r="C127" s="94" t="s">
        <v>313</v>
      </c>
      <c r="D127" s="225"/>
      <c r="E127" s="85"/>
      <c r="F127" s="85">
        <v>0</v>
      </c>
      <c r="G127" s="435">
        <f t="shared" ref="G127:I127" si="66">(F127*0.1)+F127</f>
        <v>0</v>
      </c>
      <c r="H127" s="435">
        <f t="shared" si="66"/>
        <v>0</v>
      </c>
      <c r="I127" s="435">
        <f t="shared" si="66"/>
        <v>0</v>
      </c>
    </row>
    <row r="128" spans="1:9" s="285" customFormat="1" x14ac:dyDescent="0.25">
      <c r="A128" s="118">
        <v>10</v>
      </c>
      <c r="B128" s="151">
        <v>5800</v>
      </c>
      <c r="C128" s="94" t="s">
        <v>314</v>
      </c>
      <c r="D128" s="225"/>
      <c r="E128" s="85"/>
      <c r="F128" s="85">
        <v>0</v>
      </c>
      <c r="G128" s="435">
        <f t="shared" ref="G128:I128" si="67">(F128*0.1)+F128</f>
        <v>0</v>
      </c>
      <c r="H128" s="435">
        <f t="shared" si="67"/>
        <v>0</v>
      </c>
      <c r="I128" s="435">
        <f t="shared" si="67"/>
        <v>0</v>
      </c>
    </row>
    <row r="129" spans="1:12" s="285" customFormat="1" x14ac:dyDescent="0.25">
      <c r="A129" s="118">
        <v>10</v>
      </c>
      <c r="B129" s="151">
        <v>5805</v>
      </c>
      <c r="C129" s="94" t="s">
        <v>315</v>
      </c>
      <c r="D129" s="225"/>
      <c r="E129" s="85"/>
      <c r="F129" s="85">
        <v>0</v>
      </c>
      <c r="G129" s="435">
        <f t="shared" ref="G129:I129" si="68">(F129*0.1)+F129</f>
        <v>0</v>
      </c>
      <c r="H129" s="435">
        <f t="shared" si="68"/>
        <v>0</v>
      </c>
      <c r="I129" s="435">
        <f t="shared" si="68"/>
        <v>0</v>
      </c>
    </row>
    <row r="130" spans="1:12" s="285" customFormat="1" x14ac:dyDescent="0.25">
      <c r="A130" s="118">
        <v>10</v>
      </c>
      <c r="B130" s="151">
        <v>5810</v>
      </c>
      <c r="C130" s="94" t="s">
        <v>316</v>
      </c>
      <c r="D130" s="225"/>
      <c r="E130" s="85"/>
      <c r="F130" s="85">
        <v>0</v>
      </c>
      <c r="G130" s="435">
        <f t="shared" ref="G130:I130" si="69">(F130*0.1)+F130</f>
        <v>0</v>
      </c>
      <c r="H130" s="435">
        <f t="shared" si="69"/>
        <v>0</v>
      </c>
      <c r="I130" s="435">
        <f t="shared" si="69"/>
        <v>0</v>
      </c>
    </row>
    <row r="131" spans="1:12" s="285" customFormat="1" x14ac:dyDescent="0.25">
      <c r="A131" s="118">
        <v>10</v>
      </c>
      <c r="B131" s="151">
        <v>5815</v>
      </c>
      <c r="C131" s="94" t="s">
        <v>99</v>
      </c>
      <c r="D131" s="225"/>
      <c r="E131" s="85"/>
      <c r="F131" s="85">
        <v>0</v>
      </c>
      <c r="G131" s="435">
        <f t="shared" ref="G131:I131" si="70">(F131*0.1)+F131</f>
        <v>0</v>
      </c>
      <c r="H131" s="435">
        <f t="shared" si="70"/>
        <v>0</v>
      </c>
      <c r="I131" s="435">
        <f t="shared" si="70"/>
        <v>0</v>
      </c>
    </row>
    <row r="132" spans="1:12" s="285" customFormat="1" x14ac:dyDescent="0.25">
      <c r="A132" s="118">
        <v>10</v>
      </c>
      <c r="B132" s="151">
        <v>5820</v>
      </c>
      <c r="C132" s="94" t="s">
        <v>114</v>
      </c>
      <c r="D132" s="230"/>
      <c r="E132" s="85"/>
      <c r="F132" s="85">
        <v>0</v>
      </c>
      <c r="G132" s="435">
        <f t="shared" ref="G132:I132" si="71">(F132*0.1)+F132</f>
        <v>0</v>
      </c>
      <c r="H132" s="435">
        <f t="shared" si="71"/>
        <v>0</v>
      </c>
      <c r="I132" s="435">
        <f t="shared" si="71"/>
        <v>0</v>
      </c>
    </row>
    <row r="133" spans="1:12" s="285" customFormat="1" x14ac:dyDescent="0.25">
      <c r="A133" s="118">
        <v>10</v>
      </c>
      <c r="B133" s="151">
        <v>5825</v>
      </c>
      <c r="C133" s="94" t="s">
        <v>317</v>
      </c>
      <c r="D133" s="230"/>
      <c r="E133" s="85">
        <v>0</v>
      </c>
      <c r="F133" s="85">
        <v>0</v>
      </c>
      <c r="G133" s="435">
        <f t="shared" ref="G133:I133" si="72">(F133*0.1)+F133</f>
        <v>0</v>
      </c>
      <c r="H133" s="435">
        <f t="shared" si="72"/>
        <v>0</v>
      </c>
      <c r="I133" s="435">
        <f t="shared" si="72"/>
        <v>0</v>
      </c>
    </row>
    <row r="134" spans="1:12" s="285" customFormat="1" x14ac:dyDescent="0.25">
      <c r="A134" s="118">
        <v>10</v>
      </c>
      <c r="B134" s="151">
        <v>5830</v>
      </c>
      <c r="C134" s="94" t="s">
        <v>318</v>
      </c>
      <c r="D134" s="230"/>
      <c r="E134" s="85">
        <v>88350</v>
      </c>
      <c r="F134" s="85">
        <v>88350</v>
      </c>
      <c r="G134" s="435">
        <v>100000</v>
      </c>
      <c r="H134" s="435">
        <f t="shared" ref="H134:I134" si="73">(G134*0.1)+G134</f>
        <v>110000</v>
      </c>
      <c r="I134" s="435">
        <f t="shared" si="73"/>
        <v>121000</v>
      </c>
    </row>
    <row r="135" spans="1:12" s="285" customFormat="1" x14ac:dyDescent="0.25">
      <c r="A135" s="118">
        <v>10</v>
      </c>
      <c r="B135" s="151">
        <v>5835</v>
      </c>
      <c r="C135" s="94" t="s">
        <v>319</v>
      </c>
      <c r="D135" s="230"/>
      <c r="E135" s="85"/>
      <c r="F135" s="85">
        <v>0</v>
      </c>
      <c r="G135" s="435">
        <f t="shared" ref="G135:I135" si="74">(F135*0.1)+F135</f>
        <v>0</v>
      </c>
      <c r="H135" s="435">
        <f t="shared" si="74"/>
        <v>0</v>
      </c>
      <c r="I135" s="435">
        <f t="shared" si="74"/>
        <v>0</v>
      </c>
    </row>
    <row r="136" spans="1:12" s="285" customFormat="1" x14ac:dyDescent="0.25">
      <c r="A136" s="118">
        <v>10</v>
      </c>
      <c r="B136" s="151">
        <v>5840</v>
      </c>
      <c r="C136" s="94" t="s">
        <v>332</v>
      </c>
      <c r="D136" s="229"/>
      <c r="E136" s="85"/>
      <c r="F136" s="85">
        <v>0</v>
      </c>
      <c r="G136" s="435">
        <f t="shared" ref="G136:I136" si="75">(F136*0.1)+F136</f>
        <v>0</v>
      </c>
      <c r="H136" s="435">
        <f t="shared" si="75"/>
        <v>0</v>
      </c>
      <c r="I136" s="435">
        <f t="shared" si="75"/>
        <v>0</v>
      </c>
    </row>
    <row r="137" spans="1:12" s="285" customFormat="1" x14ac:dyDescent="0.25">
      <c r="A137" s="118">
        <v>10</v>
      </c>
      <c r="B137" s="151">
        <v>5845</v>
      </c>
      <c r="C137" s="94" t="s">
        <v>320</v>
      </c>
      <c r="D137" s="230"/>
      <c r="E137" s="85"/>
      <c r="F137" s="85">
        <f t="shared" ref="F137" si="76">+E137-D137</f>
        <v>0</v>
      </c>
      <c r="G137" s="435">
        <f t="shared" ref="G137:I137" si="77">(F137*0.1)+F137</f>
        <v>0</v>
      </c>
      <c r="H137" s="435">
        <f t="shared" si="77"/>
        <v>0</v>
      </c>
      <c r="I137" s="435">
        <f t="shared" si="77"/>
        <v>0</v>
      </c>
      <c r="L137" s="355"/>
    </row>
    <row r="138" spans="1:12" s="285" customFormat="1" x14ac:dyDescent="0.25">
      <c r="A138" s="118">
        <v>10</v>
      </c>
      <c r="B138" s="151">
        <v>5855</v>
      </c>
      <c r="C138" s="94" t="s">
        <v>321</v>
      </c>
      <c r="D138" s="225"/>
      <c r="E138" s="85"/>
      <c r="F138" s="85"/>
      <c r="G138" s="435">
        <f t="shared" ref="G138:I138" si="78">(F138*0.1)+F138</f>
        <v>0</v>
      </c>
      <c r="H138" s="435">
        <f t="shared" si="78"/>
        <v>0</v>
      </c>
      <c r="I138" s="435">
        <f t="shared" si="78"/>
        <v>0</v>
      </c>
    </row>
    <row r="139" spans="1:12" s="285" customFormat="1" x14ac:dyDescent="0.25">
      <c r="A139" s="118">
        <v>10</v>
      </c>
      <c r="B139" s="151">
        <v>5860</v>
      </c>
      <c r="C139" s="94" t="s">
        <v>322</v>
      </c>
      <c r="D139" s="225"/>
      <c r="E139" s="85"/>
      <c r="F139" s="85"/>
      <c r="G139" s="435">
        <f t="shared" ref="G139:I139" si="79">(F139*0.1)+F139</f>
        <v>0</v>
      </c>
      <c r="H139" s="435">
        <f t="shared" si="79"/>
        <v>0</v>
      </c>
      <c r="I139" s="435">
        <f t="shared" si="79"/>
        <v>0</v>
      </c>
    </row>
    <row r="140" spans="1:12" s="285" customFormat="1" x14ac:dyDescent="0.25">
      <c r="A140" s="118">
        <v>10</v>
      </c>
      <c r="B140" s="151">
        <v>5865</v>
      </c>
      <c r="C140" s="94" t="s">
        <v>323</v>
      </c>
      <c r="D140" s="225"/>
      <c r="E140" s="85"/>
      <c r="F140" s="85"/>
      <c r="G140" s="435">
        <f t="shared" ref="G140:I140" si="80">(F140*0.1)+F140</f>
        <v>0</v>
      </c>
      <c r="H140" s="435">
        <f t="shared" si="80"/>
        <v>0</v>
      </c>
      <c r="I140" s="435">
        <f t="shared" si="80"/>
        <v>0</v>
      </c>
    </row>
    <row r="141" spans="1:12" s="285" customFormat="1" x14ac:dyDescent="0.25">
      <c r="A141" s="118">
        <v>10</v>
      </c>
      <c r="B141" s="151">
        <v>5870</v>
      </c>
      <c r="C141" s="94" t="s">
        <v>324</v>
      </c>
      <c r="D141" s="225"/>
      <c r="E141" s="85"/>
      <c r="F141" s="85"/>
      <c r="G141" s="435">
        <f t="shared" ref="G141:I141" si="81">(F141*0.1)+F141</f>
        <v>0</v>
      </c>
      <c r="H141" s="435">
        <f t="shared" si="81"/>
        <v>0</v>
      </c>
      <c r="I141" s="435">
        <f t="shared" si="81"/>
        <v>0</v>
      </c>
    </row>
    <row r="142" spans="1:12" s="285" customFormat="1" x14ac:dyDescent="0.25">
      <c r="A142" s="118">
        <v>10</v>
      </c>
      <c r="B142" s="151">
        <v>5875</v>
      </c>
      <c r="C142" s="94" t="s">
        <v>325</v>
      </c>
      <c r="D142" s="225"/>
      <c r="E142" s="85"/>
      <c r="F142" s="85"/>
      <c r="G142" s="435">
        <f t="shared" ref="G142:I142" si="82">(F142*0.1)+F142</f>
        <v>0</v>
      </c>
      <c r="H142" s="435">
        <f t="shared" si="82"/>
        <v>0</v>
      </c>
      <c r="I142" s="435">
        <f t="shared" si="82"/>
        <v>0</v>
      </c>
    </row>
    <row r="143" spans="1:12" s="285" customFormat="1" x14ac:dyDescent="0.25">
      <c r="A143" s="118">
        <v>10</v>
      </c>
      <c r="B143" s="151">
        <v>5880</v>
      </c>
      <c r="C143" s="94" t="s">
        <v>326</v>
      </c>
      <c r="D143" s="225"/>
      <c r="E143" s="85"/>
      <c r="F143" s="85"/>
      <c r="G143" s="435">
        <f t="shared" ref="G143:I143" si="83">(F143*0.1)+F143</f>
        <v>0</v>
      </c>
      <c r="H143" s="435">
        <f t="shared" si="83"/>
        <v>0</v>
      </c>
      <c r="I143" s="435">
        <f t="shared" si="83"/>
        <v>0</v>
      </c>
    </row>
    <row r="144" spans="1:12" s="285" customFormat="1" x14ac:dyDescent="0.25">
      <c r="A144" s="118">
        <v>10</v>
      </c>
      <c r="B144" s="151">
        <v>5885</v>
      </c>
      <c r="C144" s="94" t="s">
        <v>331</v>
      </c>
      <c r="D144" s="225"/>
      <c r="E144" s="85"/>
      <c r="F144" s="85"/>
      <c r="G144" s="435">
        <f t="shared" ref="G144:I144" si="84">(F144*0.1)+F144</f>
        <v>0</v>
      </c>
      <c r="H144" s="435">
        <f t="shared" si="84"/>
        <v>0</v>
      </c>
      <c r="I144" s="435">
        <f t="shared" si="84"/>
        <v>0</v>
      </c>
    </row>
    <row r="145" spans="1:11" s="285" customFormat="1" x14ac:dyDescent="0.25">
      <c r="A145" s="118">
        <v>10</v>
      </c>
      <c r="B145" s="151">
        <v>5890</v>
      </c>
      <c r="C145" s="94" t="s">
        <v>327</v>
      </c>
      <c r="D145" s="225"/>
      <c r="E145" s="85"/>
      <c r="F145" s="85"/>
      <c r="G145" s="435">
        <f t="shared" ref="G145:I145" si="85">(F145*0.1)+F145</f>
        <v>0</v>
      </c>
      <c r="H145" s="435">
        <f t="shared" si="85"/>
        <v>0</v>
      </c>
      <c r="I145" s="435">
        <f t="shared" si="85"/>
        <v>0</v>
      </c>
    </row>
    <row r="146" spans="1:11" s="285" customFormat="1" x14ac:dyDescent="0.25">
      <c r="A146" s="118">
        <v>10</v>
      </c>
      <c r="B146" s="151">
        <v>5895</v>
      </c>
      <c r="C146" s="94" t="s">
        <v>328</v>
      </c>
      <c r="D146" s="225"/>
      <c r="E146" s="85"/>
      <c r="F146" s="85"/>
      <c r="G146" s="435">
        <f t="shared" ref="G146:I146" si="86">(F146*0.1)+F146</f>
        <v>0</v>
      </c>
      <c r="H146" s="435">
        <f t="shared" si="86"/>
        <v>0</v>
      </c>
      <c r="I146" s="435">
        <f t="shared" si="86"/>
        <v>0</v>
      </c>
    </row>
    <row r="147" spans="1:11" s="285" customFormat="1" x14ac:dyDescent="0.25">
      <c r="A147" s="118">
        <v>10</v>
      </c>
      <c r="B147" s="151">
        <v>5910</v>
      </c>
      <c r="C147" s="94" t="s">
        <v>330</v>
      </c>
      <c r="D147" s="225"/>
      <c r="E147" s="85"/>
      <c r="F147" s="85"/>
      <c r="G147" s="435">
        <f t="shared" ref="G147:I147" si="87">(F147*0.1)+F147</f>
        <v>0</v>
      </c>
      <c r="H147" s="435">
        <f t="shared" si="87"/>
        <v>0</v>
      </c>
      <c r="I147" s="435">
        <f t="shared" si="87"/>
        <v>0</v>
      </c>
    </row>
    <row r="148" spans="1:11" s="285" customFormat="1" x14ac:dyDescent="0.25">
      <c r="A148" s="344"/>
      <c r="B148" s="151"/>
      <c r="C148" s="94"/>
      <c r="D148" s="226">
        <f t="shared" ref="D148:E148" si="88">SUM(D72:D147)</f>
        <v>718300.14</v>
      </c>
      <c r="E148" s="89">
        <f t="shared" si="88"/>
        <v>753258</v>
      </c>
      <c r="F148" s="89">
        <f t="shared" ref="F148:I148" si="89">SUM(F72:F147)</f>
        <v>1627258</v>
      </c>
      <c r="G148" s="436">
        <f t="shared" si="89"/>
        <v>1286954</v>
      </c>
      <c r="H148" s="436">
        <f t="shared" si="89"/>
        <v>1415649.4</v>
      </c>
      <c r="I148" s="436">
        <f t="shared" si="89"/>
        <v>1557214.3399999999</v>
      </c>
      <c r="K148" s="111"/>
    </row>
    <row r="149" spans="1:11" s="285" customFormat="1" x14ac:dyDescent="0.25">
      <c r="A149" s="344"/>
      <c r="B149" s="151"/>
      <c r="C149" s="93" t="s">
        <v>187</v>
      </c>
      <c r="D149" s="225"/>
      <c r="E149" s="108"/>
      <c r="F149" s="108"/>
      <c r="G149" s="108"/>
      <c r="H149" s="108"/>
      <c r="I149" s="108"/>
    </row>
    <row r="150" spans="1:11" s="285" customFormat="1" x14ac:dyDescent="0.25">
      <c r="A150" s="118">
        <v>10</v>
      </c>
      <c r="B150" s="151">
        <v>6005</v>
      </c>
      <c r="C150" s="94" t="s">
        <v>188</v>
      </c>
      <c r="D150" s="225"/>
      <c r="E150" s="108"/>
      <c r="F150" s="85"/>
      <c r="G150" s="85"/>
      <c r="H150" s="85"/>
      <c r="I150" s="108"/>
    </row>
    <row r="151" spans="1:11" s="285" customFormat="1" x14ac:dyDescent="0.25">
      <c r="A151" s="344"/>
      <c r="B151" s="151"/>
      <c r="C151" s="94"/>
      <c r="D151" s="226">
        <f t="shared" ref="D151:I151" si="90">SUM(D150)</f>
        <v>0</v>
      </c>
      <c r="E151" s="226">
        <f t="shared" si="90"/>
        <v>0</v>
      </c>
      <c r="F151" s="226">
        <f t="shared" si="90"/>
        <v>0</v>
      </c>
      <c r="G151" s="226">
        <f t="shared" si="90"/>
        <v>0</v>
      </c>
      <c r="H151" s="226">
        <f t="shared" si="90"/>
        <v>0</v>
      </c>
      <c r="I151" s="226">
        <f t="shared" si="90"/>
        <v>0</v>
      </c>
    </row>
    <row r="152" spans="1:11" s="285" customFormat="1" x14ac:dyDescent="0.25">
      <c r="A152" s="344"/>
      <c r="B152" s="151"/>
      <c r="C152" s="93" t="s">
        <v>64</v>
      </c>
      <c r="D152" s="228"/>
      <c r="E152" s="113"/>
      <c r="F152" s="113"/>
      <c r="G152" s="113"/>
      <c r="H152" s="113"/>
      <c r="I152" s="88"/>
    </row>
    <row r="153" spans="1:11" s="285" customFormat="1" x14ac:dyDescent="0.25">
      <c r="A153" s="118">
        <v>10</v>
      </c>
      <c r="B153" s="151">
        <v>6105</v>
      </c>
      <c r="C153" s="94" t="s">
        <v>336</v>
      </c>
      <c r="D153" s="225"/>
      <c r="E153" s="108"/>
      <c r="F153" s="85"/>
      <c r="G153" s="85"/>
      <c r="H153" s="85"/>
      <c r="I153" s="108"/>
    </row>
    <row r="154" spans="1:11" s="285" customFormat="1" x14ac:dyDescent="0.25">
      <c r="A154" s="118">
        <v>10</v>
      </c>
      <c r="B154" s="151">
        <v>6110</v>
      </c>
      <c r="C154" s="94" t="s">
        <v>337</v>
      </c>
      <c r="D154" s="225"/>
      <c r="E154" s="108"/>
      <c r="F154" s="85"/>
      <c r="G154" s="85"/>
      <c r="H154" s="85"/>
      <c r="I154" s="108"/>
    </row>
    <row r="155" spans="1:11" s="285" customFormat="1" x14ac:dyDescent="0.25">
      <c r="A155" s="118">
        <v>10</v>
      </c>
      <c r="B155" s="151">
        <v>6115</v>
      </c>
      <c r="C155" s="94" t="s">
        <v>60</v>
      </c>
      <c r="D155" s="225"/>
      <c r="E155" s="108"/>
      <c r="F155" s="85"/>
      <c r="G155" s="85"/>
      <c r="H155" s="85"/>
      <c r="I155" s="108"/>
    </row>
    <row r="156" spans="1:11" s="285" customFormat="1" x14ac:dyDescent="0.25">
      <c r="A156" s="344"/>
      <c r="B156" s="151"/>
      <c r="C156" s="94"/>
      <c r="D156" s="226">
        <f>D153</f>
        <v>0</v>
      </c>
      <c r="E156" s="226">
        <f t="shared" ref="E156:I156" si="91">E153</f>
        <v>0</v>
      </c>
      <c r="F156" s="226">
        <f t="shared" si="91"/>
        <v>0</v>
      </c>
      <c r="G156" s="226">
        <f t="shared" si="91"/>
        <v>0</v>
      </c>
      <c r="H156" s="226">
        <f t="shared" si="91"/>
        <v>0</v>
      </c>
      <c r="I156" s="226">
        <f t="shared" si="91"/>
        <v>0</v>
      </c>
    </row>
    <row r="157" spans="1:11" s="285" customFormat="1" x14ac:dyDescent="0.25">
      <c r="A157" s="344"/>
      <c r="B157" s="151"/>
      <c r="C157" s="184" t="s">
        <v>65</v>
      </c>
      <c r="D157" s="228"/>
      <c r="E157" s="113"/>
      <c r="F157" s="113"/>
      <c r="G157" s="113"/>
      <c r="H157" s="113"/>
      <c r="I157" s="88"/>
    </row>
    <row r="158" spans="1:11" s="285" customFormat="1" x14ac:dyDescent="0.25">
      <c r="A158" s="118">
        <v>10</v>
      </c>
      <c r="B158" s="151">
        <v>6205</v>
      </c>
      <c r="C158" s="94" t="s">
        <v>377</v>
      </c>
      <c r="D158" s="225"/>
      <c r="E158" s="85"/>
      <c r="F158" s="85"/>
      <c r="G158" s="85"/>
      <c r="H158" s="85"/>
      <c r="I158" s="85"/>
    </row>
    <row r="159" spans="1:11" s="285" customFormat="1" x14ac:dyDescent="0.25">
      <c r="A159" s="118">
        <v>10</v>
      </c>
      <c r="B159" s="151">
        <v>6210</v>
      </c>
      <c r="C159" s="94" t="s">
        <v>339</v>
      </c>
      <c r="D159" s="225"/>
      <c r="E159" s="85"/>
      <c r="F159" s="85"/>
      <c r="G159" s="85"/>
      <c r="H159" s="85"/>
      <c r="I159" s="85"/>
    </row>
    <row r="160" spans="1:11" s="285" customFormat="1" x14ac:dyDescent="0.25">
      <c r="A160" s="344"/>
      <c r="B160" s="346"/>
      <c r="C160" s="347"/>
      <c r="D160" s="116">
        <f t="shared" ref="D160:I160" si="92">SUM(D158:D159)</f>
        <v>0</v>
      </c>
      <c r="E160" s="448">
        <f t="shared" si="92"/>
        <v>0</v>
      </c>
      <c r="F160" s="448">
        <f t="shared" si="92"/>
        <v>0</v>
      </c>
      <c r="G160" s="448">
        <f t="shared" si="92"/>
        <v>0</v>
      </c>
      <c r="H160" s="448">
        <f t="shared" si="92"/>
        <v>0</v>
      </c>
      <c r="I160" s="448">
        <f t="shared" si="92"/>
        <v>0</v>
      </c>
    </row>
    <row r="161" spans="1:11" s="285" customFormat="1" x14ac:dyDescent="0.25">
      <c r="A161" s="344"/>
      <c r="B161" s="346"/>
      <c r="C161" s="93" t="s">
        <v>189</v>
      </c>
      <c r="D161" s="116">
        <f t="shared" ref="D161:I161" si="93">+D160+D148+D29</f>
        <v>3114904.14</v>
      </c>
      <c r="E161" s="116">
        <f t="shared" si="93"/>
        <v>5723258</v>
      </c>
      <c r="F161" s="116">
        <f t="shared" ref="F161:G161" si="94">+F160+F148+F29</f>
        <v>6597258</v>
      </c>
      <c r="G161" s="448">
        <f t="shared" si="94"/>
        <v>6594914</v>
      </c>
      <c r="H161" s="116">
        <f t="shared" si="93"/>
        <v>7084550.6799999997</v>
      </c>
      <c r="I161" s="116">
        <f t="shared" si="93"/>
        <v>7611600.90704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11" s="285" customFormat="1" x14ac:dyDescent="0.25">
      <c r="A163" s="118">
        <v>10</v>
      </c>
      <c r="B163" s="151">
        <v>6305</v>
      </c>
      <c r="C163" s="94" t="s">
        <v>190</v>
      </c>
      <c r="D163" s="85"/>
      <c r="E163" s="85"/>
      <c r="F163" s="85"/>
      <c r="G163" s="85"/>
      <c r="H163" s="85"/>
      <c r="I163" s="85"/>
    </row>
    <row r="164" spans="1:11" s="285" customFormat="1" x14ac:dyDescent="0.25">
      <c r="A164" s="344"/>
      <c r="B164" s="151"/>
      <c r="C164" s="94"/>
      <c r="D164" s="116">
        <f t="shared" ref="D164" si="95">D163</f>
        <v>0</v>
      </c>
      <c r="E164" s="116">
        <f t="shared" ref="E164:I164" si="96">E163</f>
        <v>0</v>
      </c>
      <c r="F164" s="116">
        <f t="shared" si="96"/>
        <v>0</v>
      </c>
      <c r="G164" s="448">
        <f t="shared" si="96"/>
        <v>0</v>
      </c>
      <c r="H164" s="448">
        <f t="shared" si="96"/>
        <v>0</v>
      </c>
      <c r="I164" s="448">
        <f t="shared" si="96"/>
        <v>0</v>
      </c>
    </row>
    <row r="165" spans="1:11" s="285" customFormat="1" x14ac:dyDescent="0.25">
      <c r="A165" s="348"/>
      <c r="B165" s="152"/>
      <c r="C165" s="119" t="s">
        <v>191</v>
      </c>
      <c r="D165" s="160">
        <f t="shared" ref="D165" si="97">SUM(D161+D164)</f>
        <v>3114904.14</v>
      </c>
      <c r="E165" s="160">
        <f t="shared" ref="E165:H165" si="98">SUM(E161+E164)</f>
        <v>5723258</v>
      </c>
      <c r="F165" s="160">
        <f t="shared" si="98"/>
        <v>6597258</v>
      </c>
      <c r="G165" s="463">
        <f t="shared" si="98"/>
        <v>6594914</v>
      </c>
      <c r="H165" s="160">
        <f t="shared" si="98"/>
        <v>7084550.6799999997</v>
      </c>
      <c r="I165" s="160">
        <f t="shared" ref="I165" si="99">SUM(I161+I164)</f>
        <v>7611600.90704</v>
      </c>
      <c r="J165" s="357"/>
      <c r="K165" s="357"/>
    </row>
    <row r="166" spans="1:11" s="285" customFormat="1" x14ac:dyDescent="0.25">
      <c r="A166" s="344"/>
      <c r="B166" s="130"/>
      <c r="C166" s="115"/>
      <c r="D166" s="111"/>
      <c r="E166" s="120"/>
      <c r="F166" s="271"/>
      <c r="G166" s="271"/>
      <c r="H166" s="271"/>
      <c r="I166" s="384"/>
      <c r="K166" s="357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385"/>
      <c r="K167" s="357"/>
    </row>
    <row r="168" spans="1:11" s="285" customFormat="1" x14ac:dyDescent="0.25">
      <c r="A168" s="349"/>
      <c r="B168" s="710" t="s">
        <v>418</v>
      </c>
      <c r="C168" s="710"/>
      <c r="D168" s="711"/>
      <c r="E168" s="341"/>
      <c r="F168" s="341"/>
      <c r="G168" s="425"/>
      <c r="H168" s="341"/>
      <c r="I168" s="342"/>
    </row>
    <row r="169" spans="1:11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11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122"/>
    </row>
    <row r="172" spans="1:11" s="285" customFormat="1" x14ac:dyDescent="0.25">
      <c r="A172" s="118">
        <v>10</v>
      </c>
      <c r="B172" s="151">
        <v>1237</v>
      </c>
      <c r="C172" s="94" t="s">
        <v>99</v>
      </c>
      <c r="D172" s="122"/>
      <c r="E172" s="108"/>
      <c r="F172" s="85">
        <f>E172-D172</f>
        <v>0</v>
      </c>
      <c r="G172" s="86"/>
      <c r="H172" s="98"/>
      <c r="I172" s="85">
        <f t="shared" ref="I172:I173" si="100">E172+H172</f>
        <v>0</v>
      </c>
    </row>
    <row r="173" spans="1:11" s="285" customFormat="1" x14ac:dyDescent="0.25">
      <c r="A173" s="118">
        <v>10</v>
      </c>
      <c r="B173" s="151">
        <v>5725</v>
      </c>
      <c r="C173" s="94" t="s">
        <v>402</v>
      </c>
      <c r="D173" s="225">
        <v>0</v>
      </c>
      <c r="E173" s="85"/>
      <c r="F173" s="85">
        <f>E173-D173</f>
        <v>0</v>
      </c>
      <c r="G173" s="85"/>
      <c r="H173" s="85"/>
      <c r="I173" s="85">
        <f t="shared" si="100"/>
        <v>0</v>
      </c>
    </row>
    <row r="174" spans="1:11" s="285" customFormat="1" x14ac:dyDescent="0.25">
      <c r="A174" s="344"/>
      <c r="B174" s="151"/>
      <c r="C174" s="94"/>
      <c r="D174" s="99">
        <f>SUM(D172:D172)</f>
        <v>0</v>
      </c>
      <c r="E174" s="99"/>
      <c r="F174" s="99"/>
      <c r="G174" s="99"/>
      <c r="H174" s="99"/>
      <c r="I174" s="99">
        <f>SUM(I172)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122"/>
    </row>
    <row r="176" spans="1:11" s="285" customFormat="1" x14ac:dyDescent="0.25">
      <c r="A176" s="118">
        <v>10</v>
      </c>
      <c r="B176" s="151">
        <v>1147</v>
      </c>
      <c r="C176" s="94" t="s">
        <v>102</v>
      </c>
      <c r="D176" s="122"/>
      <c r="E176" s="98"/>
      <c r="F176" s="98"/>
      <c r="G176" s="98"/>
      <c r="H176" s="98"/>
      <c r="I176" s="122">
        <f>F176*(1+INPUT!C18)</f>
        <v>0</v>
      </c>
    </row>
    <row r="177" spans="1:9" s="285" customFormat="1" x14ac:dyDescent="0.25">
      <c r="A177" s="118">
        <v>10</v>
      </c>
      <c r="B177" s="151">
        <v>1202</v>
      </c>
      <c r="C177" s="94" t="s">
        <v>343</v>
      </c>
      <c r="D177" s="122"/>
      <c r="E177" s="98"/>
      <c r="F177" s="98"/>
      <c r="G177" s="98"/>
      <c r="H177" s="98"/>
      <c r="I177" s="122">
        <f>F177*(1+INPUT!C19)</f>
        <v>0</v>
      </c>
    </row>
    <row r="178" spans="1:9" s="285" customFormat="1" x14ac:dyDescent="0.25">
      <c r="A178" s="118">
        <v>10</v>
      </c>
      <c r="B178" s="151">
        <v>1207</v>
      </c>
      <c r="C178" s="94" t="s">
        <v>104</v>
      </c>
      <c r="D178" s="122"/>
      <c r="E178" s="98"/>
      <c r="F178" s="98"/>
      <c r="G178" s="98"/>
      <c r="H178" s="98"/>
      <c r="I178" s="122">
        <f>F178*(1+INPUT!C20)</f>
        <v>0</v>
      </c>
    </row>
    <row r="179" spans="1:9" s="285" customFormat="1" x14ac:dyDescent="0.25">
      <c r="A179" s="118">
        <v>10</v>
      </c>
      <c r="B179" s="151">
        <v>1153</v>
      </c>
      <c r="C179" s="94" t="s">
        <v>115</v>
      </c>
      <c r="D179" s="122"/>
      <c r="E179" s="98"/>
      <c r="F179" s="98"/>
      <c r="G179" s="98"/>
      <c r="H179" s="98"/>
      <c r="I179" s="122">
        <f>F179*(1+INPUT!C21)</f>
        <v>0</v>
      </c>
    </row>
    <row r="180" spans="1:9" s="285" customFormat="1" x14ac:dyDescent="0.25">
      <c r="A180" s="375">
        <v>10</v>
      </c>
      <c r="B180" s="152">
        <v>1143</v>
      </c>
      <c r="C180" s="106" t="s">
        <v>109</v>
      </c>
      <c r="D180" s="379"/>
      <c r="E180" s="380"/>
      <c r="F180" s="380"/>
      <c r="G180" s="380"/>
      <c r="H180" s="380"/>
      <c r="I180" s="379">
        <f>F180*(1+INPUT!C22)</f>
        <v>0</v>
      </c>
    </row>
    <row r="181" spans="1:9" s="285" customFormat="1" x14ac:dyDescent="0.25">
      <c r="A181" s="378">
        <v>10</v>
      </c>
      <c r="B181" s="153">
        <v>5500</v>
      </c>
      <c r="C181" s="97" t="s">
        <v>266</v>
      </c>
      <c r="D181" s="88"/>
      <c r="E181" s="88">
        <v>-33969</v>
      </c>
      <c r="F181" s="88">
        <f t="shared" ref="F181:F200" si="101">E181-D181</f>
        <v>-33969</v>
      </c>
      <c r="G181" s="605">
        <f>+(F181*0.1)+F181</f>
        <v>-37365.9</v>
      </c>
      <c r="H181" s="605">
        <f t="shared" ref="H181:I181" si="102">+(G181*0.1)+G181</f>
        <v>-41102.490000000005</v>
      </c>
      <c r="I181" s="605">
        <f t="shared" si="102"/>
        <v>-45212.739000000009</v>
      </c>
    </row>
    <row r="182" spans="1:9" s="285" customFormat="1" x14ac:dyDescent="0.25">
      <c r="A182" s="118">
        <v>10</v>
      </c>
      <c r="B182" s="151">
        <v>5705</v>
      </c>
      <c r="C182" s="94" t="s">
        <v>296</v>
      </c>
      <c r="D182" s="85"/>
      <c r="E182" s="85"/>
      <c r="F182" s="85">
        <f t="shared" si="101"/>
        <v>0</v>
      </c>
      <c r="G182" s="85"/>
      <c r="H182" s="85"/>
      <c r="I182" s="85"/>
    </row>
    <row r="183" spans="1:9" s="285" customFormat="1" x14ac:dyDescent="0.25">
      <c r="A183" s="118">
        <v>10</v>
      </c>
      <c r="B183" s="151">
        <v>1140</v>
      </c>
      <c r="C183" s="94" t="s">
        <v>113</v>
      </c>
      <c r="D183" s="98"/>
      <c r="E183" s="98"/>
      <c r="F183" s="85">
        <f t="shared" si="101"/>
        <v>0</v>
      </c>
      <c r="G183" s="86"/>
      <c r="H183" s="98"/>
      <c r="I183" s="85"/>
    </row>
    <row r="184" spans="1:9" s="285" customFormat="1" x14ac:dyDescent="0.25">
      <c r="A184" s="118">
        <v>10</v>
      </c>
      <c r="B184" s="151">
        <v>1145</v>
      </c>
      <c r="C184" s="94" t="s">
        <v>132</v>
      </c>
      <c r="D184" s="98"/>
      <c r="E184" s="98"/>
      <c r="F184" s="85">
        <f t="shared" si="101"/>
        <v>0</v>
      </c>
      <c r="G184" s="86"/>
      <c r="H184" s="98"/>
      <c r="I184" s="85"/>
    </row>
    <row r="185" spans="1:9" s="285" customFormat="1" x14ac:dyDescent="0.25">
      <c r="A185" s="118">
        <v>10</v>
      </c>
      <c r="B185" s="151">
        <v>1150</v>
      </c>
      <c r="C185" s="94" t="s">
        <v>120</v>
      </c>
      <c r="D185" s="98"/>
      <c r="E185" s="98"/>
      <c r="F185" s="85">
        <f t="shared" si="101"/>
        <v>0</v>
      </c>
      <c r="G185" s="86"/>
      <c r="H185" s="98"/>
      <c r="I185" s="85"/>
    </row>
    <row r="186" spans="1:9" s="285" customFormat="1" x14ac:dyDescent="0.25">
      <c r="A186" s="118">
        <v>10</v>
      </c>
      <c r="B186" s="151">
        <v>1155</v>
      </c>
      <c r="C186" s="94" t="s">
        <v>116</v>
      </c>
      <c r="D186" s="98"/>
      <c r="E186" s="98"/>
      <c r="F186" s="85">
        <f t="shared" si="101"/>
        <v>0</v>
      </c>
      <c r="G186" s="86"/>
      <c r="H186" s="98"/>
      <c r="I186" s="85"/>
    </row>
    <row r="187" spans="1:9" s="285" customFormat="1" x14ac:dyDescent="0.25">
      <c r="A187" s="118">
        <v>10</v>
      </c>
      <c r="B187" s="151">
        <v>1160</v>
      </c>
      <c r="C187" s="94" t="s">
        <v>101</v>
      </c>
      <c r="D187" s="98"/>
      <c r="E187" s="98"/>
      <c r="F187" s="85">
        <f t="shared" si="101"/>
        <v>0</v>
      </c>
      <c r="G187" s="86"/>
      <c r="H187" s="98"/>
      <c r="I187" s="85"/>
    </row>
    <row r="188" spans="1:9" s="285" customFormat="1" x14ac:dyDescent="0.25">
      <c r="A188" s="118">
        <v>10</v>
      </c>
      <c r="B188" s="151">
        <v>1165</v>
      </c>
      <c r="C188" s="94" t="s">
        <v>114</v>
      </c>
      <c r="D188" s="98"/>
      <c r="E188" s="98"/>
      <c r="F188" s="85">
        <f t="shared" si="101"/>
        <v>0</v>
      </c>
      <c r="G188" s="86"/>
      <c r="H188" s="98"/>
      <c r="I188" s="85"/>
    </row>
    <row r="189" spans="1:9" s="285" customFormat="1" x14ac:dyDescent="0.25">
      <c r="A189" s="118"/>
      <c r="B189" s="151"/>
      <c r="C189" s="94" t="s">
        <v>403</v>
      </c>
      <c r="D189" s="98"/>
      <c r="E189" s="98"/>
      <c r="F189" s="85">
        <f t="shared" si="101"/>
        <v>0</v>
      </c>
      <c r="G189" s="86"/>
      <c r="H189" s="98"/>
      <c r="I189" s="85"/>
    </row>
    <row r="190" spans="1:9" s="285" customFormat="1" x14ac:dyDescent="0.25">
      <c r="A190" s="118">
        <v>10</v>
      </c>
      <c r="B190" s="151">
        <v>1180</v>
      </c>
      <c r="C190" s="94" t="s">
        <v>404</v>
      </c>
      <c r="D190" s="98"/>
      <c r="E190" s="98"/>
      <c r="F190" s="85">
        <f t="shared" si="101"/>
        <v>0</v>
      </c>
      <c r="G190" s="86"/>
      <c r="H190" s="98"/>
      <c r="I190" s="85"/>
    </row>
    <row r="191" spans="1:9" s="285" customFormat="1" x14ac:dyDescent="0.25">
      <c r="A191" s="118">
        <v>10</v>
      </c>
      <c r="B191" s="151">
        <v>1185</v>
      </c>
      <c r="C191" s="94" t="s">
        <v>405</v>
      </c>
      <c r="D191" s="98"/>
      <c r="E191" s="98"/>
      <c r="F191" s="85">
        <f t="shared" si="101"/>
        <v>0</v>
      </c>
      <c r="G191" s="86"/>
      <c r="H191" s="98"/>
      <c r="I191" s="85"/>
    </row>
    <row r="192" spans="1:9" s="285" customFormat="1" x14ac:dyDescent="0.25">
      <c r="A192" s="118">
        <v>10</v>
      </c>
      <c r="B192" s="151">
        <v>1190</v>
      </c>
      <c r="C192" s="94" t="s">
        <v>406</v>
      </c>
      <c r="D192" s="98"/>
      <c r="E192" s="98"/>
      <c r="F192" s="85">
        <f t="shared" si="101"/>
        <v>0</v>
      </c>
      <c r="G192" s="86"/>
      <c r="H192" s="98"/>
      <c r="I192" s="85"/>
    </row>
    <row r="193" spans="1:9" s="285" customFormat="1" x14ac:dyDescent="0.25">
      <c r="A193" s="118"/>
      <c r="B193" s="151"/>
      <c r="C193" s="94" t="s">
        <v>407</v>
      </c>
      <c r="D193" s="98"/>
      <c r="E193" s="98"/>
      <c r="F193" s="85">
        <f t="shared" si="101"/>
        <v>0</v>
      </c>
      <c r="G193" s="86"/>
      <c r="H193" s="98"/>
      <c r="I193" s="85"/>
    </row>
    <row r="194" spans="1:9" s="285" customFormat="1" x14ac:dyDescent="0.25">
      <c r="A194" s="118">
        <v>10</v>
      </c>
      <c r="B194" s="151">
        <v>1195</v>
      </c>
      <c r="C194" s="94" t="s">
        <v>199</v>
      </c>
      <c r="D194" s="98"/>
      <c r="E194" s="98"/>
      <c r="F194" s="85">
        <f t="shared" si="101"/>
        <v>0</v>
      </c>
      <c r="G194" s="86"/>
      <c r="H194" s="98"/>
      <c r="I194" s="85"/>
    </row>
    <row r="195" spans="1:9" s="285" customFormat="1" x14ac:dyDescent="0.25">
      <c r="A195" s="118">
        <v>10</v>
      </c>
      <c r="B195" s="151">
        <v>1200</v>
      </c>
      <c r="C195" s="94" t="s">
        <v>117</v>
      </c>
      <c r="D195" s="98"/>
      <c r="E195" s="98"/>
      <c r="F195" s="85">
        <f t="shared" si="101"/>
        <v>0</v>
      </c>
      <c r="G195" s="86"/>
      <c r="H195" s="98"/>
      <c r="I195" s="85"/>
    </row>
    <row r="196" spans="1:9" s="285" customFormat="1" x14ac:dyDescent="0.25">
      <c r="A196" s="118">
        <v>10</v>
      </c>
      <c r="B196" s="151">
        <v>1205</v>
      </c>
      <c r="C196" s="115" t="s">
        <v>105</v>
      </c>
      <c r="D196" s="98"/>
      <c r="E196" s="98"/>
      <c r="F196" s="85">
        <f t="shared" si="101"/>
        <v>0</v>
      </c>
      <c r="G196" s="86"/>
      <c r="H196" s="98"/>
      <c r="I196" s="85"/>
    </row>
    <row r="197" spans="1:9" s="285" customFormat="1" x14ac:dyDescent="0.25">
      <c r="A197" s="118">
        <v>10</v>
      </c>
      <c r="B197" s="151">
        <v>1210</v>
      </c>
      <c r="C197" s="94" t="s">
        <v>118</v>
      </c>
      <c r="D197" s="98"/>
      <c r="E197" s="98"/>
      <c r="F197" s="85">
        <f t="shared" si="101"/>
        <v>0</v>
      </c>
      <c r="G197" s="86"/>
      <c r="H197" s="98"/>
      <c r="I197" s="85"/>
    </row>
    <row r="198" spans="1:9" s="285" customFormat="1" x14ac:dyDescent="0.25">
      <c r="A198" s="118">
        <v>10</v>
      </c>
      <c r="B198" s="151">
        <v>1215</v>
      </c>
      <c r="C198" s="94" t="s">
        <v>133</v>
      </c>
      <c r="D198" s="98"/>
      <c r="E198" s="98"/>
      <c r="F198" s="85">
        <f t="shared" si="101"/>
        <v>0</v>
      </c>
      <c r="G198" s="86"/>
      <c r="H198" s="98"/>
      <c r="I198" s="85"/>
    </row>
    <row r="199" spans="1:9" s="285" customFormat="1" x14ac:dyDescent="0.25">
      <c r="A199" s="118">
        <v>10</v>
      </c>
      <c r="B199" s="151">
        <v>5905</v>
      </c>
      <c r="C199" s="94" t="s">
        <v>329</v>
      </c>
      <c r="D199" s="85"/>
      <c r="E199" s="85"/>
      <c r="F199" s="85">
        <f t="shared" si="101"/>
        <v>0</v>
      </c>
      <c r="G199" s="85"/>
      <c r="H199" s="85"/>
      <c r="I199" s="85"/>
    </row>
    <row r="200" spans="1:9" s="285" customFormat="1" x14ac:dyDescent="0.25">
      <c r="A200" s="118">
        <v>10</v>
      </c>
      <c r="B200" s="151">
        <v>5900</v>
      </c>
      <c r="C200" s="94" t="s">
        <v>333</v>
      </c>
      <c r="D200" s="85"/>
      <c r="E200" s="85">
        <v>-17024</v>
      </c>
      <c r="F200" s="85">
        <f t="shared" si="101"/>
        <v>-17024</v>
      </c>
      <c r="G200" s="428">
        <f>+(F200*0.1)+F200</f>
        <v>-18726.400000000001</v>
      </c>
      <c r="H200" s="428">
        <f t="shared" ref="H200:I200" si="103">+(G200*0.1)+G200</f>
        <v>-20599.04</v>
      </c>
      <c r="I200" s="428">
        <f t="shared" si="103"/>
        <v>-22658.944</v>
      </c>
    </row>
    <row r="201" spans="1:9" s="285" customFormat="1" x14ac:dyDescent="0.25">
      <c r="A201" s="118">
        <v>10</v>
      </c>
      <c r="B201" s="151">
        <v>1220</v>
      </c>
      <c r="C201" s="94" t="s">
        <v>340</v>
      </c>
      <c r="D201" s="122"/>
      <c r="E201" s="98"/>
      <c r="F201" s="98"/>
      <c r="G201" s="98"/>
      <c r="H201" s="98"/>
      <c r="I201" s="122"/>
    </row>
    <row r="202" spans="1:9" s="285" customFormat="1" x14ac:dyDescent="0.25">
      <c r="A202" s="118">
        <v>10</v>
      </c>
      <c r="B202" s="151">
        <v>1225</v>
      </c>
      <c r="C202" s="94" t="s">
        <v>372</v>
      </c>
      <c r="D202" s="122"/>
      <c r="E202" s="98"/>
      <c r="F202" s="98"/>
      <c r="G202" s="98"/>
      <c r="H202" s="98"/>
      <c r="I202" s="122"/>
    </row>
    <row r="203" spans="1:9" s="285" customFormat="1" x14ac:dyDescent="0.25">
      <c r="A203" s="118">
        <v>10</v>
      </c>
      <c r="B203" s="151">
        <v>1230</v>
      </c>
      <c r="C203" s="94" t="s">
        <v>119</v>
      </c>
      <c r="D203" s="122"/>
      <c r="E203" s="98"/>
      <c r="F203" s="98"/>
      <c r="G203" s="98"/>
      <c r="H203" s="98"/>
      <c r="I203" s="122">
        <f>F203*(1+INPUT!C39)</f>
        <v>0</v>
      </c>
    </row>
    <row r="204" spans="1:9" s="285" customFormat="1" x14ac:dyDescent="0.25">
      <c r="A204" s="118">
        <v>10</v>
      </c>
      <c r="B204" s="151">
        <v>1235</v>
      </c>
      <c r="C204" s="94" t="s">
        <v>347</v>
      </c>
      <c r="D204" s="122"/>
      <c r="E204" s="98"/>
      <c r="F204" s="98"/>
      <c r="G204" s="98"/>
      <c r="H204" s="98"/>
      <c r="I204" s="122">
        <f>F204*(1+INPUT!C40)</f>
        <v>0</v>
      </c>
    </row>
    <row r="205" spans="1:9" s="285" customFormat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x14ac:dyDescent="0.25">
      <c r="A206" s="344"/>
      <c r="B206" s="151"/>
      <c r="C206" s="94"/>
      <c r="D206" s="100">
        <f t="shared" ref="D206:I206" si="104">SUM(D176:D204)</f>
        <v>0</v>
      </c>
      <c r="E206" s="444">
        <f t="shared" si="104"/>
        <v>-50993</v>
      </c>
      <c r="F206" s="444">
        <f t="shared" si="104"/>
        <v>-50993</v>
      </c>
      <c r="G206" s="444">
        <f t="shared" si="104"/>
        <v>-56092.3</v>
      </c>
      <c r="H206" s="444">
        <f t="shared" si="104"/>
        <v>-61701.530000000006</v>
      </c>
      <c r="I206" s="444">
        <f t="shared" si="104"/>
        <v>-67871.683000000005</v>
      </c>
    </row>
    <row r="207" spans="1:9" s="285" customFormat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122"/>
    </row>
    <row r="208" spans="1:9" s="285" customFormat="1" x14ac:dyDescent="0.25">
      <c r="A208" s="118">
        <v>10</v>
      </c>
      <c r="B208" s="151">
        <v>1305</v>
      </c>
      <c r="C208" s="94" t="s">
        <v>342</v>
      </c>
      <c r="D208" s="122"/>
      <c r="E208" s="98"/>
      <c r="F208" s="98"/>
      <c r="G208" s="98"/>
      <c r="H208" s="98"/>
      <c r="I208" s="122">
        <f>F208*(1+INPUT!C43)</f>
        <v>0</v>
      </c>
    </row>
    <row r="209" spans="1:9" s="285" customFormat="1" x14ac:dyDescent="0.25">
      <c r="A209" s="118">
        <v>10</v>
      </c>
      <c r="B209" s="151">
        <v>1310</v>
      </c>
      <c r="C209" s="94" t="s">
        <v>344</v>
      </c>
      <c r="D209" s="122"/>
      <c r="E209" s="98"/>
      <c r="F209" s="98"/>
      <c r="G209" s="98"/>
      <c r="H209" s="98"/>
      <c r="I209" s="122">
        <f>F209*(1+INPUT!C44)</f>
        <v>0</v>
      </c>
    </row>
    <row r="210" spans="1:9" s="285" customFormat="1" x14ac:dyDescent="0.25">
      <c r="A210" s="118">
        <v>10</v>
      </c>
      <c r="B210" s="151">
        <v>1320</v>
      </c>
      <c r="C210" s="94" t="s">
        <v>345</v>
      </c>
      <c r="D210" s="122"/>
      <c r="E210" s="98"/>
      <c r="F210" s="98"/>
      <c r="G210" s="98"/>
      <c r="H210" s="98"/>
      <c r="I210" s="122">
        <f>F210*(1+INPUT!C45)</f>
        <v>0</v>
      </c>
    </row>
    <row r="211" spans="1:9" s="285" customFormat="1" x14ac:dyDescent="0.25">
      <c r="A211" s="118">
        <v>10</v>
      </c>
      <c r="B211" s="151">
        <v>1315</v>
      </c>
      <c r="C211" s="94" t="s">
        <v>346</v>
      </c>
      <c r="D211" s="122"/>
      <c r="E211" s="108"/>
      <c r="F211" s="98"/>
      <c r="G211" s="98"/>
      <c r="H211" s="98"/>
      <c r="I211" s="108"/>
    </row>
    <row r="212" spans="1:9" s="285" customFormat="1" x14ac:dyDescent="0.25">
      <c r="A212" s="344"/>
      <c r="B212" s="151"/>
      <c r="C212" s="94"/>
      <c r="D212" s="99">
        <f>D211</f>
        <v>0</v>
      </c>
      <c r="E212" s="99"/>
      <c r="F212" s="99"/>
      <c r="G212" s="99"/>
      <c r="H212" s="99"/>
      <c r="I212" s="99">
        <f>SUM(I208:I211)</f>
        <v>0</v>
      </c>
    </row>
    <row r="213" spans="1:9" s="285" customFormat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122"/>
    </row>
    <row r="214" spans="1:9" s="285" customFormat="1" x14ac:dyDescent="0.25">
      <c r="A214" s="118">
        <v>10</v>
      </c>
      <c r="B214" s="151">
        <v>1400</v>
      </c>
      <c r="C214" s="94" t="s">
        <v>68</v>
      </c>
      <c r="D214" s="122"/>
      <c r="E214" s="108"/>
      <c r="F214" s="98"/>
      <c r="G214" s="98"/>
      <c r="H214" s="98"/>
      <c r="I214" s="108"/>
    </row>
    <row r="215" spans="1:9" s="285" customFormat="1" x14ac:dyDescent="0.25">
      <c r="A215" s="118">
        <v>10</v>
      </c>
      <c r="B215" s="151">
        <v>1405</v>
      </c>
      <c r="C215" s="94" t="s">
        <v>69</v>
      </c>
      <c r="D215" s="122"/>
      <c r="E215" s="108"/>
      <c r="F215" s="98"/>
      <c r="G215" s="98"/>
      <c r="H215" s="98"/>
      <c r="I215" s="108"/>
    </row>
    <row r="216" spans="1:9" s="285" customFormat="1" x14ac:dyDescent="0.25">
      <c r="A216" s="344"/>
      <c r="B216" s="151"/>
      <c r="C216" s="94"/>
      <c r="D216" s="99">
        <f t="shared" ref="D216:I216" si="105">SUM(D214:D215)</f>
        <v>0</v>
      </c>
      <c r="E216" s="99"/>
      <c r="F216" s="99"/>
      <c r="G216" s="99"/>
      <c r="H216" s="99"/>
      <c r="I216" s="99">
        <f t="shared" si="105"/>
        <v>0</v>
      </c>
    </row>
    <row r="217" spans="1:9" s="285" customFormat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122"/>
    </row>
    <row r="218" spans="1:9" s="285" customFormat="1" x14ac:dyDescent="0.25">
      <c r="A218" s="118">
        <v>10</v>
      </c>
      <c r="B218" s="151">
        <v>1500</v>
      </c>
      <c r="C218" s="94" t="s">
        <v>106</v>
      </c>
      <c r="D218" s="122"/>
      <c r="E218" s="108"/>
      <c r="F218" s="98"/>
      <c r="G218" s="98"/>
      <c r="H218" s="98"/>
      <c r="I218" s="108"/>
    </row>
    <row r="219" spans="1:9" s="285" customFormat="1" x14ac:dyDescent="0.25">
      <c r="A219" s="118">
        <v>10</v>
      </c>
      <c r="B219" s="151">
        <v>1505</v>
      </c>
      <c r="C219" s="94" t="s">
        <v>71</v>
      </c>
      <c r="D219" s="122"/>
      <c r="E219" s="108"/>
      <c r="F219" s="98"/>
      <c r="G219" s="98"/>
      <c r="H219" s="98"/>
      <c r="I219" s="108"/>
    </row>
    <row r="220" spans="1:9" s="285" customFormat="1" x14ac:dyDescent="0.25">
      <c r="A220" s="118">
        <v>10</v>
      </c>
      <c r="B220" s="151">
        <v>1510</v>
      </c>
      <c r="C220" s="94" t="s">
        <v>72</v>
      </c>
      <c r="D220" s="122"/>
      <c r="E220" s="108"/>
      <c r="F220" s="98"/>
      <c r="G220" s="98"/>
      <c r="H220" s="98"/>
      <c r="I220" s="108"/>
    </row>
    <row r="221" spans="1:9" s="285" customFormat="1" x14ac:dyDescent="0.25">
      <c r="A221" s="344"/>
      <c r="B221" s="151"/>
      <c r="C221" s="94"/>
      <c r="D221" s="99">
        <f t="shared" ref="D221:I221" si="106">SUM(D218:D220)</f>
        <v>0</v>
      </c>
      <c r="E221" s="99"/>
      <c r="F221" s="99"/>
      <c r="G221" s="99"/>
      <c r="H221" s="99"/>
      <c r="I221" s="99">
        <f t="shared" si="106"/>
        <v>0</v>
      </c>
    </row>
    <row r="222" spans="1:9" s="285" customFormat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122"/>
    </row>
    <row r="223" spans="1:9" s="285" customFormat="1" x14ac:dyDescent="0.25">
      <c r="A223" s="118">
        <v>10</v>
      </c>
      <c r="B223" s="151">
        <v>1550</v>
      </c>
      <c r="C223" s="94" t="s">
        <v>349</v>
      </c>
      <c r="D223" s="122"/>
      <c r="E223" s="98"/>
      <c r="F223" s="98"/>
      <c r="G223" s="98"/>
      <c r="H223" s="98"/>
      <c r="I223" s="122"/>
    </row>
    <row r="224" spans="1:9" s="285" customFormat="1" x14ac:dyDescent="0.25">
      <c r="A224" s="118">
        <v>10</v>
      </c>
      <c r="B224" s="151">
        <v>1555</v>
      </c>
      <c r="C224" s="94" t="s">
        <v>348</v>
      </c>
      <c r="D224" s="122"/>
      <c r="E224" s="98"/>
      <c r="F224" s="98"/>
      <c r="G224" s="98"/>
      <c r="H224" s="98"/>
      <c r="I224" s="108"/>
    </row>
    <row r="225" spans="1:10" s="285" customFormat="1" x14ac:dyDescent="0.25">
      <c r="A225" s="344"/>
      <c r="B225" s="151"/>
      <c r="C225" s="94"/>
      <c r="D225" s="100">
        <f t="shared" ref="D225:I225" si="107">SUM(D223:D224)</f>
        <v>0</v>
      </c>
      <c r="E225" s="100"/>
      <c r="F225" s="100"/>
      <c r="G225" s="100"/>
      <c r="H225" s="100"/>
      <c r="I225" s="99">
        <f t="shared" si="107"/>
        <v>0</v>
      </c>
    </row>
    <row r="226" spans="1:10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122"/>
    </row>
    <row r="227" spans="1:10" s="285" customFormat="1" x14ac:dyDescent="0.25">
      <c r="A227" s="118">
        <v>10</v>
      </c>
      <c r="B227" s="151">
        <v>1605</v>
      </c>
      <c r="C227" s="94" t="s">
        <v>75</v>
      </c>
      <c r="D227" s="98">
        <v>18899460</v>
      </c>
      <c r="E227" s="98">
        <v>24851000</v>
      </c>
      <c r="F227" s="98">
        <v>24851000</v>
      </c>
      <c r="G227" s="98">
        <v>26303000</v>
      </c>
      <c r="H227" s="98">
        <v>27367420</v>
      </c>
      <c r="I227" s="85">
        <v>26684000</v>
      </c>
      <c r="J227" s="359"/>
    </row>
    <row r="228" spans="1:10" s="285" customFormat="1" x14ac:dyDescent="0.25">
      <c r="A228" s="118">
        <v>10</v>
      </c>
      <c r="B228" s="151">
        <v>1610</v>
      </c>
      <c r="C228" s="94" t="s">
        <v>131</v>
      </c>
      <c r="D228" s="98"/>
      <c r="E228" s="98">
        <v>0</v>
      </c>
      <c r="F228" s="85">
        <f t="shared" ref="F228:F233" si="108">E228-D228</f>
        <v>0</v>
      </c>
      <c r="G228" s="86"/>
      <c r="H228" s="98"/>
      <c r="I228" s="85"/>
    </row>
    <row r="229" spans="1:10" s="285" customFormat="1" x14ac:dyDescent="0.25">
      <c r="A229" s="118">
        <v>10</v>
      </c>
      <c r="B229" s="151">
        <v>1615</v>
      </c>
      <c r="C229" s="94" t="s">
        <v>182</v>
      </c>
      <c r="D229" s="98"/>
      <c r="E229" s="98">
        <v>0</v>
      </c>
      <c r="F229" s="85">
        <f t="shared" si="108"/>
        <v>0</v>
      </c>
      <c r="G229" s="86"/>
      <c r="H229" s="98"/>
      <c r="I229" s="85"/>
    </row>
    <row r="230" spans="1:10" s="285" customFormat="1" x14ac:dyDescent="0.25">
      <c r="A230" s="118">
        <v>10</v>
      </c>
      <c r="B230" s="151">
        <v>1620</v>
      </c>
      <c r="C230" s="94" t="s">
        <v>255</v>
      </c>
      <c r="D230" s="98"/>
      <c r="E230" s="98">
        <v>0</v>
      </c>
      <c r="F230" s="85">
        <f t="shared" si="108"/>
        <v>0</v>
      </c>
      <c r="G230" s="86"/>
      <c r="H230" s="98"/>
      <c r="I230" s="85"/>
    </row>
    <row r="231" spans="1:10" s="285" customFormat="1" x14ac:dyDescent="0.25">
      <c r="A231" s="118">
        <v>10</v>
      </c>
      <c r="B231" s="151">
        <v>1625</v>
      </c>
      <c r="C231" s="94" t="s">
        <v>108</v>
      </c>
      <c r="D231" s="98"/>
      <c r="E231" s="98"/>
      <c r="F231" s="85">
        <f t="shared" si="108"/>
        <v>0</v>
      </c>
      <c r="G231" s="86"/>
      <c r="H231" s="98"/>
      <c r="I231" s="85"/>
    </row>
    <row r="232" spans="1:10" s="285" customFormat="1" x14ac:dyDescent="0.25">
      <c r="A232" s="118">
        <v>10</v>
      </c>
      <c r="B232" s="151">
        <v>1630</v>
      </c>
      <c r="C232" s="94" t="s">
        <v>76</v>
      </c>
      <c r="D232" s="98"/>
      <c r="E232" s="98"/>
      <c r="F232" s="85">
        <f t="shared" si="108"/>
        <v>0</v>
      </c>
      <c r="G232" s="86"/>
      <c r="H232" s="98"/>
      <c r="I232" s="85"/>
    </row>
    <row r="233" spans="1:10" s="285" customFormat="1" x14ac:dyDescent="0.25">
      <c r="A233" s="118">
        <v>10</v>
      </c>
      <c r="B233" s="151">
        <v>1635</v>
      </c>
      <c r="C233" s="94" t="s">
        <v>507</v>
      </c>
      <c r="D233" s="98"/>
      <c r="E233" s="98">
        <v>2730000</v>
      </c>
      <c r="F233" s="85">
        <f t="shared" si="108"/>
        <v>2730000</v>
      </c>
      <c r="G233" s="86">
        <v>3447000</v>
      </c>
      <c r="H233" s="98">
        <v>3601000</v>
      </c>
      <c r="I233" s="85">
        <v>3763000</v>
      </c>
    </row>
    <row r="234" spans="1:10" s="285" customFormat="1" x14ac:dyDescent="0.25">
      <c r="A234" s="118">
        <v>10</v>
      </c>
      <c r="B234" s="151">
        <v>1640</v>
      </c>
      <c r="C234" s="94" t="s">
        <v>184</v>
      </c>
      <c r="D234" s="122"/>
      <c r="E234" s="108"/>
      <c r="F234" s="98"/>
      <c r="G234" s="98"/>
      <c r="H234" s="98"/>
      <c r="I234" s="122"/>
    </row>
    <row r="235" spans="1:10" s="285" customFormat="1" x14ac:dyDescent="0.25">
      <c r="A235" s="118">
        <v>10</v>
      </c>
      <c r="B235" s="151">
        <v>1645</v>
      </c>
      <c r="C235" s="94" t="s">
        <v>77</v>
      </c>
      <c r="D235" s="122"/>
      <c r="E235" s="108"/>
      <c r="F235" s="98"/>
      <c r="G235" s="98"/>
      <c r="H235" s="98"/>
      <c r="I235" s="122"/>
    </row>
    <row r="236" spans="1:10" s="285" customFormat="1" x14ac:dyDescent="0.25">
      <c r="A236" s="118">
        <v>10</v>
      </c>
      <c r="B236" s="151">
        <v>1650</v>
      </c>
      <c r="C236" s="94" t="s">
        <v>78</v>
      </c>
      <c r="D236" s="122"/>
      <c r="E236" s="108"/>
      <c r="F236" s="98"/>
      <c r="G236" s="98"/>
      <c r="H236" s="98"/>
      <c r="I236" s="122"/>
    </row>
    <row r="237" spans="1:10" s="285" customFormat="1" x14ac:dyDescent="0.25">
      <c r="A237" s="118">
        <v>10</v>
      </c>
      <c r="B237" s="151"/>
      <c r="C237" s="94" t="s">
        <v>200</v>
      </c>
      <c r="D237" s="122"/>
      <c r="E237" s="108"/>
      <c r="F237" s="98"/>
      <c r="G237" s="98"/>
      <c r="H237" s="98"/>
      <c r="I237" s="122"/>
    </row>
    <row r="238" spans="1:10" s="285" customFormat="1" x14ac:dyDescent="0.25">
      <c r="A238" s="118">
        <v>10</v>
      </c>
      <c r="B238" s="151">
        <v>1660</v>
      </c>
      <c r="C238" s="94" t="s">
        <v>185</v>
      </c>
      <c r="D238" s="122"/>
      <c r="E238" s="108"/>
      <c r="F238" s="98"/>
      <c r="G238" s="98"/>
      <c r="H238" s="98"/>
      <c r="I238" s="122"/>
    </row>
    <row r="239" spans="1:10" s="285" customFormat="1" x14ac:dyDescent="0.25">
      <c r="A239" s="118">
        <v>10</v>
      </c>
      <c r="B239" s="151">
        <v>1665</v>
      </c>
      <c r="C239" s="94" t="s">
        <v>181</v>
      </c>
      <c r="D239" s="122">
        <v>0</v>
      </c>
      <c r="E239" s="108"/>
      <c r="F239" s="98"/>
      <c r="G239" s="98"/>
      <c r="H239" s="98"/>
      <c r="I239" s="122"/>
    </row>
    <row r="240" spans="1:10" s="285" customFormat="1" x14ac:dyDescent="0.25">
      <c r="A240" s="344"/>
      <c r="B240" s="151"/>
      <c r="C240" s="94"/>
      <c r="D240" s="99">
        <f t="shared" ref="D240:I240" si="109">SUM(D227:D239)</f>
        <v>18899460</v>
      </c>
      <c r="E240" s="99">
        <f t="shared" ref="E240:H240" si="110">SUM(E227:E239)</f>
        <v>27581000</v>
      </c>
      <c r="F240" s="99">
        <f t="shared" si="110"/>
        <v>27581000</v>
      </c>
      <c r="G240" s="99">
        <f t="shared" si="110"/>
        <v>29750000</v>
      </c>
      <c r="H240" s="99">
        <f t="shared" si="110"/>
        <v>30968420</v>
      </c>
      <c r="I240" s="99">
        <f t="shared" si="109"/>
        <v>30447000</v>
      </c>
    </row>
    <row r="241" spans="1:12" s="285" customFormat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122"/>
    </row>
    <row r="242" spans="1:12" s="285" customFormat="1" x14ac:dyDescent="0.25">
      <c r="A242" s="118">
        <v>10</v>
      </c>
      <c r="B242" s="151">
        <v>1705</v>
      </c>
      <c r="C242" s="94" t="s">
        <v>123</v>
      </c>
      <c r="D242" s="122"/>
      <c r="E242" s="98"/>
      <c r="F242" s="98"/>
      <c r="G242" s="98"/>
      <c r="H242" s="98"/>
      <c r="I242" s="122"/>
    </row>
    <row r="243" spans="1:12" s="285" customFormat="1" x14ac:dyDescent="0.25">
      <c r="A243" s="118">
        <v>10</v>
      </c>
      <c r="B243" s="151">
        <v>1710</v>
      </c>
      <c r="C243" s="94" t="s">
        <v>242</v>
      </c>
      <c r="D243" s="122"/>
      <c r="E243" s="98"/>
      <c r="F243" s="98"/>
      <c r="G243" s="98"/>
      <c r="H243" s="98"/>
      <c r="I243" s="122"/>
    </row>
    <row r="244" spans="1:12" s="285" customFormat="1" x14ac:dyDescent="0.25">
      <c r="A244" s="118">
        <v>10</v>
      </c>
      <c r="B244" s="151">
        <v>1715</v>
      </c>
      <c r="C244" s="94" t="s">
        <v>183</v>
      </c>
      <c r="D244" s="122"/>
      <c r="E244" s="98"/>
      <c r="F244" s="98"/>
      <c r="G244" s="98"/>
      <c r="H244" s="98"/>
      <c r="I244" s="122"/>
    </row>
    <row r="245" spans="1:12" s="285" customFormat="1" x14ac:dyDescent="0.25">
      <c r="A245" s="118">
        <v>10</v>
      </c>
      <c r="B245" s="151">
        <v>1720</v>
      </c>
      <c r="C245" s="94" t="s">
        <v>103</v>
      </c>
      <c r="D245" s="122"/>
      <c r="E245" s="98"/>
      <c r="F245" s="98"/>
      <c r="G245" s="98"/>
      <c r="H245" s="98"/>
      <c r="I245" s="122"/>
    </row>
    <row r="246" spans="1:12" s="285" customFormat="1" x14ac:dyDescent="0.25">
      <c r="A246" s="118">
        <v>10</v>
      </c>
      <c r="B246" s="151">
        <v>1725</v>
      </c>
      <c r="C246" s="94" t="s">
        <v>107</v>
      </c>
      <c r="D246" s="122"/>
      <c r="E246" s="98"/>
      <c r="F246" s="98"/>
      <c r="G246" s="98"/>
      <c r="H246" s="98"/>
      <c r="I246" s="122"/>
    </row>
    <row r="247" spans="1:12" s="285" customFormat="1" x14ac:dyDescent="0.25">
      <c r="A247" s="118">
        <v>10</v>
      </c>
      <c r="B247" s="151">
        <v>1730</v>
      </c>
      <c r="C247" s="94" t="s">
        <v>539</v>
      </c>
      <c r="D247" s="122"/>
      <c r="E247" s="98"/>
      <c r="F247" s="98"/>
      <c r="G247" s="98"/>
      <c r="H247" s="98"/>
      <c r="I247" s="122"/>
    </row>
    <row r="248" spans="1:12" s="285" customFormat="1" x14ac:dyDescent="0.25">
      <c r="A248" s="344"/>
      <c r="B248" s="151"/>
      <c r="C248" s="94"/>
      <c r="D248" s="99">
        <f>D247</f>
        <v>0</v>
      </c>
      <c r="E248" s="99">
        <f t="shared" ref="E248:I248" si="111">E247</f>
        <v>0</v>
      </c>
      <c r="F248" s="99">
        <f t="shared" si="111"/>
        <v>0</v>
      </c>
      <c r="G248" s="443">
        <f t="shared" si="111"/>
        <v>0</v>
      </c>
      <c r="H248" s="443">
        <f t="shared" si="111"/>
        <v>0</v>
      </c>
      <c r="I248" s="443">
        <f t="shared" si="111"/>
        <v>0</v>
      </c>
    </row>
    <row r="249" spans="1:12" s="285" customFormat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122"/>
    </row>
    <row r="250" spans="1:12" s="285" customFormat="1" x14ac:dyDescent="0.25">
      <c r="A250" s="118">
        <v>10</v>
      </c>
      <c r="B250" s="151">
        <v>1805</v>
      </c>
      <c r="C250" s="94" t="s">
        <v>81</v>
      </c>
      <c r="D250" s="122"/>
      <c r="E250" s="108"/>
      <c r="F250" s="98"/>
      <c r="G250" s="98"/>
      <c r="H250" s="98"/>
      <c r="I250" s="108"/>
    </row>
    <row r="251" spans="1:12" s="285" customFormat="1" x14ac:dyDescent="0.25">
      <c r="A251" s="344"/>
      <c r="B251" s="151"/>
      <c r="C251" s="94"/>
      <c r="D251" s="99">
        <f t="shared" ref="D251:I251" si="112">D250</f>
        <v>0</v>
      </c>
      <c r="E251" s="99">
        <f t="shared" ref="E251:H251" si="113">E250</f>
        <v>0</v>
      </c>
      <c r="F251" s="99">
        <f t="shared" si="113"/>
        <v>0</v>
      </c>
      <c r="G251" s="99"/>
      <c r="H251" s="99">
        <f t="shared" si="113"/>
        <v>0</v>
      </c>
      <c r="I251" s="99">
        <f t="shared" si="112"/>
        <v>0</v>
      </c>
    </row>
    <row r="252" spans="1:12" s="285" customFormat="1" x14ac:dyDescent="0.25">
      <c r="A252" s="344"/>
      <c r="B252" s="346"/>
      <c r="C252" s="93" t="s">
        <v>192</v>
      </c>
      <c r="D252" s="117">
        <f t="shared" ref="D252" si="114">SUM(D171:D251)/2</f>
        <v>18899460</v>
      </c>
      <c r="E252" s="117">
        <f t="shared" ref="E252:I252" si="115">SUM(E171:E251)/2</f>
        <v>27530007</v>
      </c>
      <c r="F252" s="117">
        <f t="shared" si="115"/>
        <v>27530007</v>
      </c>
      <c r="G252" s="449">
        <f t="shared" si="115"/>
        <v>29693907.699999999</v>
      </c>
      <c r="H252" s="449">
        <f t="shared" si="115"/>
        <v>30906718.469999999</v>
      </c>
      <c r="I252" s="449">
        <f t="shared" si="115"/>
        <v>30379128.317000002</v>
      </c>
      <c r="J252" s="357"/>
      <c r="K252" s="357"/>
      <c r="L252" s="357"/>
    </row>
    <row r="253" spans="1:12" s="285" customFormat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12" s="285" customFormat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12" s="285" customFormat="1" x14ac:dyDescent="0.25">
      <c r="A255" s="118">
        <v>10</v>
      </c>
      <c r="B255" s="151">
        <v>1905</v>
      </c>
      <c r="C255" s="118" t="s">
        <v>194</v>
      </c>
      <c r="D255" s="127"/>
      <c r="E255" s="147"/>
      <c r="F255" s="98"/>
      <c r="G255" s="98"/>
      <c r="H255" s="98"/>
      <c r="I255" s="123"/>
    </row>
    <row r="256" spans="1:12" s="285" customFormat="1" x14ac:dyDescent="0.25">
      <c r="A256" s="344"/>
      <c r="B256" s="151"/>
      <c r="C256" s="94"/>
      <c r="D256" s="117">
        <f t="shared" ref="D256:I256" si="116">SUM(D255)</f>
        <v>0</v>
      </c>
      <c r="E256" s="117">
        <f t="shared" ref="E256:H256" si="117">SUM(E255)</f>
        <v>0</v>
      </c>
      <c r="F256" s="117">
        <f t="shared" si="117"/>
        <v>0</v>
      </c>
      <c r="G256" s="117"/>
      <c r="H256" s="117">
        <f t="shared" si="117"/>
        <v>0</v>
      </c>
      <c r="I256" s="117">
        <f t="shared" si="116"/>
        <v>0</v>
      </c>
    </row>
    <row r="257" spans="1:10" s="285" customFormat="1" x14ac:dyDescent="0.25">
      <c r="A257" s="344"/>
      <c r="B257" s="151"/>
      <c r="C257" s="93" t="s">
        <v>189</v>
      </c>
      <c r="D257" s="117">
        <f>D165+D27</f>
        <v>3114904.14</v>
      </c>
      <c r="E257" s="117">
        <f t="shared" ref="E257:I257" si="118">E252+E256</f>
        <v>27530007</v>
      </c>
      <c r="F257" s="117">
        <f t="shared" si="118"/>
        <v>27530007</v>
      </c>
      <c r="G257" s="449">
        <f t="shared" si="118"/>
        <v>29693907.699999999</v>
      </c>
      <c r="H257" s="449">
        <f t="shared" si="118"/>
        <v>30906718.469999999</v>
      </c>
      <c r="I257" s="449">
        <f t="shared" si="118"/>
        <v>30379128.317000002</v>
      </c>
    </row>
    <row r="258" spans="1:10" s="285" customFormat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10" s="285" customFormat="1" x14ac:dyDescent="0.25">
      <c r="A259" s="118">
        <v>10</v>
      </c>
      <c r="B259" s="151">
        <v>1950</v>
      </c>
      <c r="C259" s="118" t="s">
        <v>196</v>
      </c>
      <c r="D259" s="127"/>
      <c r="E259" s="147"/>
      <c r="F259" s="98"/>
      <c r="G259" s="98"/>
      <c r="H259" s="98"/>
      <c r="I259" s="123"/>
    </row>
    <row r="260" spans="1:10" s="285" customFormat="1" x14ac:dyDescent="0.25">
      <c r="A260" s="344"/>
      <c r="B260" s="346"/>
      <c r="C260" s="94"/>
      <c r="D260" s="124">
        <f t="shared" ref="D260:I260" si="119">D259</f>
        <v>0</v>
      </c>
      <c r="E260" s="124">
        <f t="shared" ref="E260:H260" si="120">E259</f>
        <v>0</v>
      </c>
      <c r="F260" s="124">
        <f t="shared" si="120"/>
        <v>0</v>
      </c>
      <c r="G260" s="452">
        <f t="shared" si="120"/>
        <v>0</v>
      </c>
      <c r="H260" s="124">
        <f t="shared" si="120"/>
        <v>0</v>
      </c>
      <c r="I260" s="124">
        <f t="shared" si="119"/>
        <v>0</v>
      </c>
    </row>
    <row r="261" spans="1:10" s="285" customFormat="1" x14ac:dyDescent="0.25">
      <c r="A261" s="348"/>
      <c r="B261" s="351"/>
      <c r="C261" s="93" t="s">
        <v>536</v>
      </c>
      <c r="D261" s="160">
        <f>D252-D257</f>
        <v>15784555.859999999</v>
      </c>
      <c r="E261" s="160">
        <f t="shared" ref="E261:H261" si="121">E257+E260</f>
        <v>27530007</v>
      </c>
      <c r="F261" s="160">
        <f t="shared" si="121"/>
        <v>27530007</v>
      </c>
      <c r="G261" s="463">
        <f t="shared" ref="G261" si="122">G257+G260</f>
        <v>29693907.699999999</v>
      </c>
      <c r="H261" s="160">
        <f t="shared" si="121"/>
        <v>30906718.469999999</v>
      </c>
      <c r="I261" s="160">
        <f t="shared" ref="I261" si="123">I257+I260</f>
        <v>30379128.317000002</v>
      </c>
      <c r="J261" s="357"/>
    </row>
    <row r="262" spans="1:10" s="285" customFormat="1" x14ac:dyDescent="0.25">
      <c r="A262" s="349"/>
      <c r="B262" s="154"/>
      <c r="C262" s="126" t="s">
        <v>82</v>
      </c>
      <c r="D262" s="161">
        <f t="shared" ref="D262:I262" si="124">D261-D165</f>
        <v>12669651.719999999</v>
      </c>
      <c r="E262" s="161">
        <f t="shared" ref="E262:H262" si="125">E261-E165</f>
        <v>21806749</v>
      </c>
      <c r="F262" s="161">
        <f t="shared" si="125"/>
        <v>20932749</v>
      </c>
      <c r="G262" s="464">
        <f t="shared" ref="G262" si="126">G261-G165</f>
        <v>23098993.699999999</v>
      </c>
      <c r="H262" s="161">
        <f t="shared" si="125"/>
        <v>23822167.789999999</v>
      </c>
      <c r="I262" s="161">
        <f t="shared" si="124"/>
        <v>22767527.409960002</v>
      </c>
    </row>
    <row r="263" spans="1:10" s="285" customFormat="1" x14ac:dyDescent="0.25">
      <c r="A263" s="284"/>
      <c r="B263" s="352"/>
      <c r="D263" s="174"/>
      <c r="F263" s="357"/>
      <c r="G263" s="357"/>
      <c r="H263" s="357"/>
      <c r="J263" s="357"/>
    </row>
    <row r="264" spans="1:10" x14ac:dyDescent="0.25">
      <c r="A264" s="101"/>
    </row>
    <row r="265" spans="1:10" x14ac:dyDescent="0.25">
      <c r="D265" s="275"/>
      <c r="F265" s="95"/>
      <c r="G265" s="95"/>
      <c r="H265" s="95"/>
    </row>
    <row r="266" spans="1:10" x14ac:dyDescent="0.25">
      <c r="D266" s="275"/>
      <c r="E266" s="128"/>
      <c r="F266" s="128"/>
      <c r="G266" s="128"/>
      <c r="H266" s="128"/>
    </row>
    <row r="267" spans="1:10" x14ac:dyDescent="0.25">
      <c r="E267" s="128"/>
      <c r="F267" s="128"/>
      <c r="G267" s="128"/>
      <c r="H267" s="128"/>
      <c r="I267" s="109"/>
    </row>
    <row r="268" spans="1:10" x14ac:dyDescent="0.25">
      <c r="E268" s="128"/>
      <c r="F268" s="128"/>
      <c r="G268" s="128"/>
      <c r="H268" s="128"/>
    </row>
  </sheetData>
  <mergeCells count="5">
    <mergeCell ref="A169:B170"/>
    <mergeCell ref="B168:D168"/>
    <mergeCell ref="A1:I2"/>
    <mergeCell ref="A4:B5"/>
    <mergeCell ref="A3:C3"/>
  </mergeCells>
  <phoneticPr fontId="0" type="noConversion"/>
  <pageMargins left="0.7" right="0.7" top="0.75" bottom="0.75" header="0.3" footer="0.3"/>
  <pageSetup paperSize="17" orientation="portrait" r:id="rId1"/>
  <headerFooter alignWithMargins="0"/>
  <rowBreaks count="1" manualBreakCount="1">
    <brk id="2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8"/>
  <sheetViews>
    <sheetView view="pageBreakPreview" zoomScaleSheetLayoutView="100" workbookViewId="0">
      <selection activeCell="G28" sqref="G28:I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4.109375" style="96" customWidth="1"/>
    <col min="4" max="4" width="11.109375" style="96" customWidth="1"/>
    <col min="5" max="5" width="10.109375" style="96" customWidth="1"/>
    <col min="6" max="7" width="11.109375" style="96" customWidth="1"/>
    <col min="8" max="8" width="11.6640625" style="96" customWidth="1"/>
    <col min="9" max="9" width="13" style="96" customWidth="1"/>
    <col min="10" max="10" width="10.109375" style="96" customWidth="1"/>
    <col min="11" max="16384" width="9.109375" style="96"/>
  </cols>
  <sheetData>
    <row r="1" spans="1:9" s="441" customFormat="1" x14ac:dyDescent="0.25">
      <c r="B1" s="131"/>
    </row>
    <row r="2" spans="1:9" ht="12.75" customHeight="1" x14ac:dyDescent="0.25">
      <c r="A2" s="699" t="s">
        <v>352</v>
      </c>
      <c r="B2" s="700"/>
      <c r="C2" s="700"/>
      <c r="D2" s="700"/>
      <c r="E2" s="700"/>
      <c r="F2" s="700"/>
      <c r="G2" s="700"/>
      <c r="H2" s="700"/>
      <c r="I2" s="715"/>
    </row>
    <row r="3" spans="1:9" s="285" customFormat="1" x14ac:dyDescent="0.25">
      <c r="A3" s="718" t="s">
        <v>548</v>
      </c>
      <c r="B3" s="710"/>
      <c r="C3" s="710"/>
      <c r="D3" s="710"/>
      <c r="E3" s="710"/>
      <c r="F3" s="710"/>
      <c r="G3" s="710"/>
      <c r="H3" s="710"/>
      <c r="I3" s="711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12</v>
      </c>
      <c r="B7" s="155">
        <v>5005</v>
      </c>
      <c r="C7" s="94" t="s">
        <v>241</v>
      </c>
      <c r="D7" s="85">
        <f>(3283+300)*6</f>
        <v>21498</v>
      </c>
      <c r="E7" s="85">
        <v>21000</v>
      </c>
      <c r="F7" s="85">
        <v>21000</v>
      </c>
      <c r="G7" s="435">
        <f t="shared" ref="G7:I17" si="0">(F7*0.068)+F7</f>
        <v>22428</v>
      </c>
      <c r="H7" s="435">
        <f t="shared" si="0"/>
        <v>23953.103999999999</v>
      </c>
      <c r="I7" s="435">
        <f t="shared" si="0"/>
        <v>25581.915072</v>
      </c>
    </row>
    <row r="8" spans="1:9" s="285" customFormat="1" x14ac:dyDescent="0.25">
      <c r="A8" s="118">
        <v>12</v>
      </c>
      <c r="B8" s="151">
        <v>5010</v>
      </c>
      <c r="C8" s="94" t="s">
        <v>34</v>
      </c>
      <c r="D8" s="85"/>
      <c r="E8" s="85"/>
      <c r="F8" s="85"/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12</v>
      </c>
      <c r="B9" s="151">
        <v>5015</v>
      </c>
      <c r="C9" s="94" t="s">
        <v>35</v>
      </c>
      <c r="D9" s="85"/>
      <c r="E9" s="85"/>
      <c r="F9" s="85"/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x14ac:dyDescent="0.25">
      <c r="A10" s="118">
        <v>12</v>
      </c>
      <c r="B10" s="151">
        <v>5020</v>
      </c>
      <c r="C10" s="94" t="s">
        <v>350</v>
      </c>
      <c r="D10" s="85">
        <f>32008</f>
        <v>32008</v>
      </c>
      <c r="E10" s="85">
        <v>303000</v>
      </c>
      <c r="F10" s="85">
        <v>303000</v>
      </c>
      <c r="G10" s="435">
        <f t="shared" si="0"/>
        <v>323604</v>
      </c>
      <c r="H10" s="435">
        <f t="shared" si="0"/>
        <v>345609.07199999999</v>
      </c>
      <c r="I10" s="435">
        <f t="shared" si="0"/>
        <v>369110.48889599997</v>
      </c>
    </row>
    <row r="11" spans="1:9" s="285" customFormat="1" x14ac:dyDescent="0.25">
      <c r="A11" s="118">
        <v>12</v>
      </c>
      <c r="B11" s="151">
        <v>5025</v>
      </c>
      <c r="C11" s="94" t="s">
        <v>36</v>
      </c>
      <c r="D11" s="85"/>
      <c r="E11" s="85"/>
      <c r="F11" s="85"/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12</v>
      </c>
      <c r="B12" s="151">
        <v>5030</v>
      </c>
      <c r="C12" s="94" t="s">
        <v>85</v>
      </c>
      <c r="D12" s="85"/>
      <c r="E12" s="85"/>
      <c r="F12" s="85"/>
      <c r="G12" s="435">
        <f t="shared" si="0"/>
        <v>0</v>
      </c>
      <c r="H12" s="435">
        <f t="shared" si="0"/>
        <v>0</v>
      </c>
      <c r="I12" s="435">
        <f t="shared" si="0"/>
        <v>0</v>
      </c>
    </row>
    <row r="13" spans="1:9" s="285" customFormat="1" x14ac:dyDescent="0.25">
      <c r="A13" s="118">
        <v>12</v>
      </c>
      <c r="B13" s="151">
        <v>5035</v>
      </c>
      <c r="C13" s="94" t="s">
        <v>84</v>
      </c>
      <c r="D13" s="85"/>
      <c r="E13" s="85"/>
      <c r="F13" s="85"/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12</v>
      </c>
      <c r="B14" s="151">
        <v>5040</v>
      </c>
      <c r="C14" s="94" t="s">
        <v>37</v>
      </c>
      <c r="D14" s="85"/>
      <c r="E14" s="85">
        <v>135000</v>
      </c>
      <c r="F14" s="85">
        <v>135000</v>
      </c>
      <c r="G14" s="435">
        <f t="shared" si="0"/>
        <v>144180</v>
      </c>
      <c r="H14" s="435">
        <f t="shared" si="0"/>
        <v>153984.24</v>
      </c>
      <c r="I14" s="435">
        <f t="shared" si="0"/>
        <v>164455.16832</v>
      </c>
    </row>
    <row r="15" spans="1:9" s="285" customFormat="1" x14ac:dyDescent="0.25">
      <c r="A15" s="118">
        <v>12</v>
      </c>
      <c r="B15" s="151">
        <v>5045</v>
      </c>
      <c r="C15" s="94" t="s">
        <v>38</v>
      </c>
      <c r="D15" s="85"/>
      <c r="E15" s="85"/>
      <c r="F15" s="85"/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12</v>
      </c>
      <c r="B16" s="151">
        <v>5050</v>
      </c>
      <c r="C16" s="94" t="s">
        <v>83</v>
      </c>
      <c r="D16" s="85"/>
      <c r="E16" s="85">
        <v>13000</v>
      </c>
      <c r="F16" s="85">
        <v>13000</v>
      </c>
      <c r="G16" s="435">
        <f t="shared" si="0"/>
        <v>13884</v>
      </c>
      <c r="H16" s="435">
        <f t="shared" si="0"/>
        <v>14828.112000000001</v>
      </c>
      <c r="I16" s="435">
        <f t="shared" si="0"/>
        <v>15836.423616000002</v>
      </c>
    </row>
    <row r="17" spans="1:11" s="285" customFormat="1" x14ac:dyDescent="0.25">
      <c r="A17" s="118">
        <v>12</v>
      </c>
      <c r="B17" s="151">
        <v>5055</v>
      </c>
      <c r="C17" s="94" t="s">
        <v>39</v>
      </c>
      <c r="D17" s="85">
        <f>89259*6</f>
        <v>535554</v>
      </c>
      <c r="E17" s="85">
        <v>1612000</v>
      </c>
      <c r="F17" s="85">
        <v>1612000</v>
      </c>
      <c r="G17" s="435">
        <f t="shared" si="0"/>
        <v>1721616</v>
      </c>
      <c r="H17" s="435">
        <f t="shared" si="0"/>
        <v>1838685.888</v>
      </c>
      <c r="I17" s="435">
        <f t="shared" si="0"/>
        <v>1963716.5283840001</v>
      </c>
    </row>
    <row r="18" spans="1:11" s="285" customFormat="1" x14ac:dyDescent="0.25">
      <c r="A18" s="344"/>
      <c r="B18" s="151"/>
      <c r="C18" s="94"/>
      <c r="D18" s="89">
        <f t="shared" ref="D18:I18" si="1">SUM(D7:D17)</f>
        <v>589060</v>
      </c>
      <c r="E18" s="89">
        <f t="shared" si="1"/>
        <v>2084000</v>
      </c>
      <c r="F18" s="89">
        <f t="shared" si="1"/>
        <v>2084000</v>
      </c>
      <c r="G18" s="436">
        <f t="shared" si="1"/>
        <v>2225712</v>
      </c>
      <c r="H18" s="436">
        <f t="shared" si="1"/>
        <v>2377060.4160000002</v>
      </c>
      <c r="I18" s="436">
        <f t="shared" si="1"/>
        <v>2538700.5242880001</v>
      </c>
      <c r="J18" s="355"/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5"/>
    </row>
    <row r="20" spans="1:11" s="285" customFormat="1" x14ac:dyDescent="0.25">
      <c r="A20" s="118">
        <v>12</v>
      </c>
      <c r="B20" s="151">
        <v>5105</v>
      </c>
      <c r="C20" s="94" t="s">
        <v>41</v>
      </c>
      <c r="D20" s="85">
        <f>7368*6</f>
        <v>44208</v>
      </c>
      <c r="E20" s="85">
        <v>226000</v>
      </c>
      <c r="F20" s="85">
        <v>226000</v>
      </c>
      <c r="G20" s="435">
        <f t="shared" ref="G20:I24" si="2">(F20*0.068)+F20</f>
        <v>241368</v>
      </c>
      <c r="H20" s="435">
        <f t="shared" si="2"/>
        <v>257781.024</v>
      </c>
      <c r="I20" s="435">
        <f t="shared" si="2"/>
        <v>275310.13363200001</v>
      </c>
    </row>
    <row r="21" spans="1:11" s="285" customFormat="1" x14ac:dyDescent="0.25">
      <c r="A21" s="118">
        <v>12</v>
      </c>
      <c r="B21" s="151">
        <v>5115</v>
      </c>
      <c r="C21" s="94" t="s">
        <v>42</v>
      </c>
      <c r="D21" s="85">
        <f>4920*6</f>
        <v>29520</v>
      </c>
      <c r="E21" s="85">
        <v>192000</v>
      </c>
      <c r="F21" s="85">
        <v>192000</v>
      </c>
      <c r="G21" s="435">
        <f t="shared" si="2"/>
        <v>205056</v>
      </c>
      <c r="H21" s="435">
        <f t="shared" si="2"/>
        <v>218999.80799999999</v>
      </c>
      <c r="I21" s="435">
        <f t="shared" si="2"/>
        <v>233891.79494399999</v>
      </c>
    </row>
    <row r="22" spans="1:11" s="285" customFormat="1" x14ac:dyDescent="0.25">
      <c r="A22" s="118">
        <v>12</v>
      </c>
      <c r="B22" s="151">
        <v>5120</v>
      </c>
      <c r="C22" s="94" t="s">
        <v>43</v>
      </c>
      <c r="D22" s="85"/>
      <c r="E22" s="85"/>
      <c r="F22" s="85"/>
      <c r="G22" s="435">
        <f t="shared" si="2"/>
        <v>0</v>
      </c>
      <c r="H22" s="435">
        <f t="shared" si="2"/>
        <v>0</v>
      </c>
      <c r="I22" s="435">
        <f t="shared" si="2"/>
        <v>0</v>
      </c>
    </row>
    <row r="23" spans="1:11" s="285" customFormat="1" x14ac:dyDescent="0.25">
      <c r="A23" s="118">
        <v>12</v>
      </c>
      <c r="B23" s="151">
        <v>5125</v>
      </c>
      <c r="C23" s="94" t="s">
        <v>44</v>
      </c>
      <c r="D23" s="85"/>
      <c r="E23" s="85"/>
      <c r="F23" s="85"/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11" s="285" customFormat="1" x14ac:dyDescent="0.25">
      <c r="A24" s="118">
        <v>12</v>
      </c>
      <c r="B24" s="151">
        <v>5130</v>
      </c>
      <c r="C24" s="94" t="s">
        <v>45</v>
      </c>
      <c r="D24" s="85">
        <f>13208+892</f>
        <v>14100</v>
      </c>
      <c r="E24" s="85">
        <v>15000</v>
      </c>
      <c r="F24" s="85">
        <v>15000</v>
      </c>
      <c r="G24" s="435">
        <f t="shared" si="2"/>
        <v>16020</v>
      </c>
      <c r="H24" s="435">
        <f t="shared" si="2"/>
        <v>17109.36</v>
      </c>
      <c r="I24" s="435">
        <f t="shared" si="2"/>
        <v>18272.796480000001</v>
      </c>
    </row>
    <row r="25" spans="1:11" s="285" customFormat="1" x14ac:dyDescent="0.25">
      <c r="A25" s="344"/>
      <c r="B25" s="151"/>
      <c r="C25" s="94"/>
      <c r="D25" s="89">
        <f t="shared" ref="D25:I25" si="3">SUM(D20:D24)</f>
        <v>87828</v>
      </c>
      <c r="E25" s="89">
        <f t="shared" si="3"/>
        <v>433000</v>
      </c>
      <c r="F25" s="89">
        <f t="shared" si="3"/>
        <v>433000</v>
      </c>
      <c r="G25" s="436">
        <f t="shared" si="3"/>
        <v>462444</v>
      </c>
      <c r="H25" s="436">
        <f t="shared" si="3"/>
        <v>493890.19199999998</v>
      </c>
      <c r="I25" s="436">
        <f t="shared" si="3"/>
        <v>527474.72505600005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5"/>
    </row>
    <row r="27" spans="1:11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5"/>
    </row>
    <row r="28" spans="1:11" s="285" customFormat="1" x14ac:dyDescent="0.25">
      <c r="A28" s="118">
        <v>12</v>
      </c>
      <c r="B28" s="151">
        <v>5150</v>
      </c>
      <c r="C28" s="94" t="s">
        <v>48</v>
      </c>
      <c r="D28" s="85"/>
      <c r="E28" s="85">
        <v>737000</v>
      </c>
      <c r="F28" s="85">
        <f>E28-D28</f>
        <v>737000</v>
      </c>
      <c r="G28" s="435">
        <f>(F28*0.068)+F28</f>
        <v>787116</v>
      </c>
      <c r="H28" s="435">
        <f>(G28*0.068)+G28</f>
        <v>840639.88800000004</v>
      </c>
      <c r="I28" s="435">
        <f>(H28*0.068)+H28</f>
        <v>897803.40038400004</v>
      </c>
    </row>
    <row r="29" spans="1:11" s="285" customFormat="1" x14ac:dyDescent="0.25">
      <c r="A29" s="344"/>
      <c r="B29" s="151"/>
      <c r="C29" s="94"/>
      <c r="D29" s="89">
        <f t="shared" ref="D29:I29" si="4">D28</f>
        <v>0</v>
      </c>
      <c r="E29" s="89">
        <f t="shared" si="4"/>
        <v>737000</v>
      </c>
      <c r="F29" s="89">
        <f t="shared" si="4"/>
        <v>737000</v>
      </c>
      <c r="G29" s="436">
        <f t="shared" si="4"/>
        <v>787116</v>
      </c>
      <c r="H29" s="436">
        <f t="shared" si="4"/>
        <v>840639.88800000004</v>
      </c>
      <c r="I29" s="436">
        <f t="shared" si="4"/>
        <v>897803.40038400004</v>
      </c>
      <c r="K29" s="111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5"/>
    </row>
    <row r="31" spans="1:11" s="285" customFormat="1" hidden="1" x14ac:dyDescent="0.25">
      <c r="A31" s="118">
        <v>12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</row>
    <row r="32" spans="1:11" s="285" customFormat="1" hidden="1" x14ac:dyDescent="0.25">
      <c r="A32" s="344"/>
      <c r="B32" s="151"/>
      <c r="C32" s="94"/>
      <c r="D32" s="89">
        <f t="shared" ref="D32:I32" si="5">SUM(D31)</f>
        <v>0</v>
      </c>
      <c r="E32" s="89">
        <f t="shared" si="5"/>
        <v>0</v>
      </c>
      <c r="F32" s="89">
        <f t="shared" si="5"/>
        <v>0</v>
      </c>
      <c r="G32" s="89"/>
      <c r="H32" s="89"/>
      <c r="I32" s="89">
        <f t="shared" si="5"/>
        <v>0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5"/>
    </row>
    <row r="34" spans="1:9" s="285" customFormat="1" hidden="1" x14ac:dyDescent="0.25">
      <c r="A34" s="118">
        <v>12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I35" si="6">SUM(D34)</f>
        <v>0</v>
      </c>
      <c r="E35" s="89">
        <f t="shared" si="6"/>
        <v>0</v>
      </c>
      <c r="F35" s="89">
        <f t="shared" si="6"/>
        <v>0</v>
      </c>
      <c r="G35" s="89"/>
      <c r="H35" s="89"/>
      <c r="I35" s="89">
        <f t="shared" si="6"/>
        <v>0</v>
      </c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5"/>
    </row>
    <row r="37" spans="1:9" s="285" customFormat="1" hidden="1" x14ac:dyDescent="0.25">
      <c r="A37" s="118">
        <v>12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I38" si="7">D37</f>
        <v>0</v>
      </c>
      <c r="E38" s="89">
        <f t="shared" si="7"/>
        <v>0</v>
      </c>
      <c r="F38" s="89">
        <f t="shared" si="7"/>
        <v>0</v>
      </c>
      <c r="G38" s="89"/>
      <c r="H38" s="89"/>
      <c r="I38" s="89">
        <f t="shared" si="7"/>
        <v>0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5"/>
    </row>
    <row r="40" spans="1:9" s="285" customFormat="1" x14ac:dyDescent="0.25">
      <c r="A40" s="118">
        <v>12</v>
      </c>
      <c r="B40" s="151">
        <v>5200</v>
      </c>
      <c r="C40" s="94" t="s">
        <v>55</v>
      </c>
      <c r="D40" s="85"/>
      <c r="E40" s="108"/>
      <c r="F40" s="85">
        <f t="shared" ref="F40:F58" si="8">0/8*12</f>
        <v>0</v>
      </c>
      <c r="G40" s="85"/>
      <c r="H40" s="85"/>
      <c r="I40" s="85">
        <f>F40*(1+INPUT!C$10)</f>
        <v>0</v>
      </c>
    </row>
    <row r="41" spans="1:9" s="285" customFormat="1" x14ac:dyDescent="0.25">
      <c r="A41" s="118">
        <v>12</v>
      </c>
      <c r="B41" s="151">
        <v>5205</v>
      </c>
      <c r="C41" s="94" t="s">
        <v>56</v>
      </c>
      <c r="D41" s="85"/>
      <c r="E41" s="108"/>
      <c r="F41" s="85">
        <f t="shared" si="8"/>
        <v>0</v>
      </c>
      <c r="G41" s="85"/>
      <c r="H41" s="85"/>
      <c r="I41" s="85">
        <f>F41*(1+INPUT!C$10)</f>
        <v>0</v>
      </c>
    </row>
    <row r="42" spans="1:9" s="285" customFormat="1" x14ac:dyDescent="0.25">
      <c r="A42" s="118">
        <v>12</v>
      </c>
      <c r="B42" s="151">
        <v>5210</v>
      </c>
      <c r="C42" s="94" t="s">
        <v>57</v>
      </c>
      <c r="D42" s="85"/>
      <c r="E42" s="108"/>
      <c r="F42" s="85">
        <f t="shared" si="8"/>
        <v>0</v>
      </c>
      <c r="G42" s="85"/>
      <c r="H42" s="85"/>
      <c r="I42" s="85">
        <f>F42*(1+INPUT!C$10)</f>
        <v>0</v>
      </c>
    </row>
    <row r="43" spans="1:9" s="285" customFormat="1" x14ac:dyDescent="0.25">
      <c r="A43" s="118">
        <v>12</v>
      </c>
      <c r="B43" s="151">
        <v>5215</v>
      </c>
      <c r="C43" s="94" t="s">
        <v>95</v>
      </c>
      <c r="D43" s="85"/>
      <c r="E43" s="108"/>
      <c r="F43" s="85">
        <f t="shared" si="8"/>
        <v>0</v>
      </c>
      <c r="G43" s="85"/>
      <c r="H43" s="85"/>
      <c r="I43" s="85">
        <f>F43*(1+INPUT!C$10)</f>
        <v>0</v>
      </c>
    </row>
    <row r="44" spans="1:9" s="285" customFormat="1" x14ac:dyDescent="0.25">
      <c r="A44" s="118">
        <v>12</v>
      </c>
      <c r="B44" s="151">
        <v>5220</v>
      </c>
      <c r="C44" s="94" t="s">
        <v>58</v>
      </c>
      <c r="D44" s="85"/>
      <c r="E44" s="108"/>
      <c r="F44" s="85">
        <f t="shared" si="8"/>
        <v>0</v>
      </c>
      <c r="G44" s="85"/>
      <c r="H44" s="85"/>
      <c r="I44" s="85">
        <f>F44*(1+INPUT!C$10)</f>
        <v>0</v>
      </c>
    </row>
    <row r="45" spans="1:9" s="285" customFormat="1" x14ac:dyDescent="0.25">
      <c r="A45" s="118">
        <v>12</v>
      </c>
      <c r="B45" s="151">
        <v>5225</v>
      </c>
      <c r="C45" s="94" t="s">
        <v>92</v>
      </c>
      <c r="D45" s="85"/>
      <c r="E45" s="108"/>
      <c r="F45" s="85">
        <f t="shared" si="8"/>
        <v>0</v>
      </c>
      <c r="G45" s="85"/>
      <c r="H45" s="85"/>
      <c r="I45" s="85">
        <f>F45*(1+INPUT!C$10)</f>
        <v>0</v>
      </c>
    </row>
    <row r="46" spans="1:9" s="285" customFormat="1" x14ac:dyDescent="0.25">
      <c r="A46" s="118">
        <v>12</v>
      </c>
      <c r="B46" s="151">
        <v>5230</v>
      </c>
      <c r="C46" s="94" t="s">
        <v>86</v>
      </c>
      <c r="D46" s="85"/>
      <c r="E46" s="108"/>
      <c r="F46" s="85">
        <f t="shared" si="8"/>
        <v>0</v>
      </c>
      <c r="G46" s="85"/>
      <c r="H46" s="85"/>
      <c r="I46" s="85">
        <f>F46*(1+INPUT!C$10)</f>
        <v>0</v>
      </c>
    </row>
    <row r="47" spans="1:9" s="285" customFormat="1" x14ac:dyDescent="0.25">
      <c r="A47" s="118">
        <v>12</v>
      </c>
      <c r="B47" s="151">
        <v>5235</v>
      </c>
      <c r="C47" s="94" t="s">
        <v>124</v>
      </c>
      <c r="D47" s="85"/>
      <c r="E47" s="108"/>
      <c r="F47" s="85">
        <f t="shared" si="8"/>
        <v>0</v>
      </c>
      <c r="G47" s="85"/>
      <c r="H47" s="85"/>
      <c r="I47" s="85">
        <f>F47*(1+INPUT!C$10)</f>
        <v>0</v>
      </c>
    </row>
    <row r="48" spans="1:9" s="285" customFormat="1" x14ac:dyDescent="0.25">
      <c r="A48" s="118">
        <v>12</v>
      </c>
      <c r="B48" s="151">
        <v>5240</v>
      </c>
      <c r="C48" s="94" t="s">
        <v>59</v>
      </c>
      <c r="D48" s="85"/>
      <c r="E48" s="85">
        <v>12122</v>
      </c>
      <c r="F48" s="85">
        <f>E48-D48</f>
        <v>12122</v>
      </c>
      <c r="G48" s="85"/>
      <c r="H48" s="85"/>
      <c r="I48" s="85"/>
    </row>
    <row r="49" spans="1:9" s="285" customFormat="1" hidden="1" x14ac:dyDescent="0.25">
      <c r="A49" s="118">
        <v>12</v>
      </c>
      <c r="B49" s="151">
        <v>5245</v>
      </c>
      <c r="C49" s="94" t="s">
        <v>91</v>
      </c>
      <c r="D49" s="85"/>
      <c r="E49" s="108"/>
      <c r="F49" s="85">
        <f t="shared" si="8"/>
        <v>0</v>
      </c>
      <c r="G49" s="85"/>
      <c r="H49" s="85"/>
      <c r="I49" s="85">
        <f>F49*(1+INPUT!C$10)</f>
        <v>0</v>
      </c>
    </row>
    <row r="50" spans="1:9" s="285" customFormat="1" hidden="1" x14ac:dyDescent="0.25">
      <c r="A50" s="118">
        <v>12</v>
      </c>
      <c r="B50" s="151">
        <v>5250</v>
      </c>
      <c r="C50" s="94" t="s">
        <v>88</v>
      </c>
      <c r="D50" s="85"/>
      <c r="E50" s="108"/>
      <c r="F50" s="85">
        <f t="shared" si="8"/>
        <v>0</v>
      </c>
      <c r="G50" s="85"/>
      <c r="H50" s="85"/>
      <c r="I50" s="85">
        <f>F50*(1+INPUT!C$10)</f>
        <v>0</v>
      </c>
    </row>
    <row r="51" spans="1:9" s="285" customFormat="1" hidden="1" x14ac:dyDescent="0.25">
      <c r="A51" s="118">
        <v>12</v>
      </c>
      <c r="B51" s="151">
        <v>5255</v>
      </c>
      <c r="C51" s="94" t="s">
        <v>125</v>
      </c>
      <c r="D51" s="85"/>
      <c r="E51" s="108"/>
      <c r="F51" s="85">
        <f t="shared" si="8"/>
        <v>0</v>
      </c>
      <c r="G51" s="85"/>
      <c r="H51" s="85"/>
      <c r="I51" s="85">
        <f>F51*(1+INPUT!C$10)</f>
        <v>0</v>
      </c>
    </row>
    <row r="52" spans="1:9" s="285" customFormat="1" hidden="1" x14ac:dyDescent="0.25">
      <c r="A52" s="118">
        <v>12</v>
      </c>
      <c r="B52" s="151">
        <v>5260</v>
      </c>
      <c r="C52" s="94" t="s">
        <v>90</v>
      </c>
      <c r="D52" s="85"/>
      <c r="E52" s="108"/>
      <c r="F52" s="85">
        <f t="shared" si="8"/>
        <v>0</v>
      </c>
      <c r="G52" s="85"/>
      <c r="H52" s="85"/>
      <c r="I52" s="85">
        <f>F52*(1+INPUT!C$10)</f>
        <v>0</v>
      </c>
    </row>
    <row r="53" spans="1:9" s="285" customFormat="1" hidden="1" x14ac:dyDescent="0.25">
      <c r="A53" s="118">
        <v>12</v>
      </c>
      <c r="B53" s="151">
        <v>5265</v>
      </c>
      <c r="C53" s="94" t="s">
        <v>87</v>
      </c>
      <c r="D53" s="85"/>
      <c r="E53" s="108"/>
      <c r="F53" s="85">
        <f t="shared" si="8"/>
        <v>0</v>
      </c>
      <c r="G53" s="85"/>
      <c r="H53" s="85"/>
      <c r="I53" s="85">
        <f>F53*(1+INPUT!C$10)</f>
        <v>0</v>
      </c>
    </row>
    <row r="54" spans="1:9" s="285" customFormat="1" hidden="1" x14ac:dyDescent="0.25">
      <c r="A54" s="118">
        <v>12</v>
      </c>
      <c r="B54" s="151">
        <v>5270</v>
      </c>
      <c r="C54" s="94" t="s">
        <v>89</v>
      </c>
      <c r="D54" s="85"/>
      <c r="E54" s="108"/>
      <c r="F54" s="85">
        <f t="shared" si="8"/>
        <v>0</v>
      </c>
      <c r="G54" s="85"/>
      <c r="H54" s="85"/>
      <c r="I54" s="85">
        <f>F54*(1+INPUT!C$10)</f>
        <v>0</v>
      </c>
    </row>
    <row r="55" spans="1:9" s="285" customFormat="1" hidden="1" x14ac:dyDescent="0.25">
      <c r="A55" s="118">
        <v>12</v>
      </c>
      <c r="B55" s="151">
        <v>5275</v>
      </c>
      <c r="C55" s="94" t="s">
        <v>93</v>
      </c>
      <c r="D55" s="85"/>
      <c r="E55" s="108"/>
      <c r="F55" s="85">
        <f t="shared" si="8"/>
        <v>0</v>
      </c>
      <c r="G55" s="85"/>
      <c r="H55" s="85"/>
      <c r="I55" s="85">
        <f>F55*(1+INPUT!C$10)</f>
        <v>0</v>
      </c>
    </row>
    <row r="56" spans="1:9" s="285" customFormat="1" hidden="1" x14ac:dyDescent="0.25">
      <c r="A56" s="118">
        <v>12</v>
      </c>
      <c r="B56" s="151">
        <v>5280</v>
      </c>
      <c r="C56" s="94" t="s">
        <v>94</v>
      </c>
      <c r="D56" s="85"/>
      <c r="E56" s="108"/>
      <c r="F56" s="85">
        <f t="shared" si="8"/>
        <v>0</v>
      </c>
      <c r="G56" s="85"/>
      <c r="H56" s="85"/>
      <c r="I56" s="85">
        <f>F56*(1+INPUT!C$10)</f>
        <v>0</v>
      </c>
    </row>
    <row r="57" spans="1:9" s="285" customFormat="1" hidden="1" x14ac:dyDescent="0.25">
      <c r="A57" s="118">
        <v>12</v>
      </c>
      <c r="B57" s="151">
        <v>5285</v>
      </c>
      <c r="C57" s="94" t="s">
        <v>60</v>
      </c>
      <c r="D57" s="85"/>
      <c r="E57" s="85"/>
      <c r="F57" s="85">
        <f t="shared" si="8"/>
        <v>0</v>
      </c>
      <c r="G57" s="85"/>
      <c r="H57" s="85"/>
      <c r="I57" s="85">
        <f>F57*(1+INPUT!C$10)</f>
        <v>0</v>
      </c>
    </row>
    <row r="58" spans="1:9" s="285" customFormat="1" hidden="1" x14ac:dyDescent="0.25">
      <c r="A58" s="118">
        <v>12</v>
      </c>
      <c r="B58" s="151">
        <v>5290</v>
      </c>
      <c r="C58" s="94" t="s">
        <v>186</v>
      </c>
      <c r="D58" s="85"/>
      <c r="E58" s="108"/>
      <c r="F58" s="85">
        <f t="shared" si="8"/>
        <v>0</v>
      </c>
      <c r="G58" s="85"/>
      <c r="H58" s="85"/>
      <c r="I58" s="85">
        <f>F58*(1+INPUT!C$10)</f>
        <v>0</v>
      </c>
    </row>
    <row r="59" spans="1:9" s="285" customFormat="1" x14ac:dyDescent="0.25">
      <c r="A59" s="344"/>
      <c r="B59" s="151"/>
      <c r="C59" s="94"/>
      <c r="D59" s="110">
        <f t="shared" ref="D59:I59" si="9">SUM(D40:D58)</f>
        <v>0</v>
      </c>
      <c r="E59" s="110">
        <f t="shared" si="9"/>
        <v>12122</v>
      </c>
      <c r="F59" s="110">
        <f t="shared" si="9"/>
        <v>12122</v>
      </c>
      <c r="G59" s="446">
        <f t="shared" si="9"/>
        <v>0</v>
      </c>
      <c r="H59" s="446">
        <f t="shared" si="9"/>
        <v>0</v>
      </c>
      <c r="I59" s="446">
        <f t="shared" si="9"/>
        <v>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08"/>
    </row>
    <row r="61" spans="1:9" s="285" customFormat="1" hidden="1" x14ac:dyDescent="0.25">
      <c r="A61" s="118">
        <v>12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5"/>
    </row>
    <row r="62" spans="1:9" s="285" customFormat="1" hidden="1" x14ac:dyDescent="0.25">
      <c r="A62" s="118">
        <v>12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85"/>
      <c r="H62" s="85"/>
      <c r="I62" s="108"/>
    </row>
    <row r="63" spans="1:9" s="285" customFormat="1" hidden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/>
      <c r="I63" s="89">
        <f>SUM(I61:I62)</f>
        <v>0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5"/>
    </row>
    <row r="65" spans="1:9" s="285" customFormat="1" hidden="1" x14ac:dyDescent="0.25">
      <c r="A65" s="118">
        <v>12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I66" si="10">D65</f>
        <v>0</v>
      </c>
      <c r="E66" s="89">
        <f t="shared" si="10"/>
        <v>0</v>
      </c>
      <c r="F66" s="89">
        <f t="shared" si="10"/>
        <v>0</v>
      </c>
      <c r="G66" s="89"/>
      <c r="H66" s="89"/>
      <c r="I66" s="89">
        <f t="shared" si="10"/>
        <v>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5"/>
    </row>
    <row r="68" spans="1:9" s="285" customFormat="1" hidden="1" x14ac:dyDescent="0.25">
      <c r="A68" s="118">
        <v>12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>
        <f>F68*(1+INPUT!C11)</f>
        <v>0</v>
      </c>
    </row>
    <row r="69" spans="1:9" s="285" customFormat="1" hidden="1" x14ac:dyDescent="0.25">
      <c r="A69" s="118">
        <v>12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hidden="1" x14ac:dyDescent="0.25">
      <c r="A70" s="344"/>
      <c r="B70" s="151"/>
      <c r="C70" s="94"/>
      <c r="D70" s="110">
        <f t="shared" ref="D70:I70" si="11">SUM(D68:D69)</f>
        <v>0</v>
      </c>
      <c r="E70" s="110">
        <f t="shared" si="11"/>
        <v>0</v>
      </c>
      <c r="F70" s="110">
        <f t="shared" si="11"/>
        <v>0</v>
      </c>
      <c r="G70" s="110"/>
      <c r="H70" s="110"/>
      <c r="I70" s="89">
        <f t="shared" si="11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88"/>
    </row>
    <row r="72" spans="1:9" s="285" customFormat="1" x14ac:dyDescent="0.25">
      <c r="A72" s="118">
        <v>12</v>
      </c>
      <c r="B72" s="151">
        <v>5505</v>
      </c>
      <c r="C72" s="94" t="s">
        <v>259</v>
      </c>
      <c r="D72" s="85"/>
      <c r="E72" s="85"/>
      <c r="F72" s="85"/>
      <c r="G72" s="85"/>
      <c r="H72" s="85"/>
      <c r="I72" s="85"/>
    </row>
    <row r="73" spans="1:9" s="285" customFormat="1" x14ac:dyDescent="0.25">
      <c r="A73" s="118">
        <v>12</v>
      </c>
      <c r="B73" s="151">
        <v>5510</v>
      </c>
      <c r="C73" s="94" t="s">
        <v>63</v>
      </c>
      <c r="D73" s="85">
        <v>1693</v>
      </c>
      <c r="E73" s="85">
        <v>6764</v>
      </c>
      <c r="F73" s="85">
        <v>6764</v>
      </c>
      <c r="G73" s="85">
        <f>+(F73*0.1)+F73</f>
        <v>7440.4</v>
      </c>
      <c r="H73" s="435">
        <f t="shared" ref="H73:I73" si="12">+(G73*0.1)+G73</f>
        <v>8184.44</v>
      </c>
      <c r="I73" s="435">
        <f t="shared" si="12"/>
        <v>9002.884</v>
      </c>
    </row>
    <row r="74" spans="1:9" s="285" customFormat="1" hidden="1" x14ac:dyDescent="0.25">
      <c r="A74" s="118">
        <v>12</v>
      </c>
      <c r="B74" s="151">
        <v>5520</v>
      </c>
      <c r="C74" s="94" t="s">
        <v>260</v>
      </c>
      <c r="D74" s="85"/>
      <c r="E74" s="85"/>
      <c r="F74" s="85">
        <v>0</v>
      </c>
      <c r="G74" s="435">
        <f t="shared" ref="G74:I74" si="13">+(F74*0.1)+F74</f>
        <v>0</v>
      </c>
      <c r="H74" s="435">
        <f t="shared" si="13"/>
        <v>0</v>
      </c>
      <c r="I74" s="435">
        <f t="shared" si="13"/>
        <v>0</v>
      </c>
    </row>
    <row r="75" spans="1:9" s="285" customFormat="1" hidden="1" x14ac:dyDescent="0.25">
      <c r="A75" s="118">
        <v>12</v>
      </c>
      <c r="B75" s="151">
        <v>5525</v>
      </c>
      <c r="C75" s="94" t="s">
        <v>261</v>
      </c>
      <c r="D75" s="85"/>
      <c r="E75" s="85"/>
      <c r="F75" s="85">
        <v>0</v>
      </c>
      <c r="G75" s="435">
        <f t="shared" ref="G75:I75" si="14">+(F75*0.1)+F75</f>
        <v>0</v>
      </c>
      <c r="H75" s="435">
        <f t="shared" si="14"/>
        <v>0</v>
      </c>
      <c r="I75" s="435">
        <f t="shared" si="14"/>
        <v>0</v>
      </c>
    </row>
    <row r="76" spans="1:9" s="285" customFormat="1" hidden="1" x14ac:dyDescent="0.25">
      <c r="A76" s="118">
        <v>12</v>
      </c>
      <c r="B76" s="151">
        <v>5530</v>
      </c>
      <c r="C76" s="94" t="s">
        <v>262</v>
      </c>
      <c r="D76" s="85"/>
      <c r="E76" s="85"/>
      <c r="F76" s="85">
        <v>0</v>
      </c>
      <c r="G76" s="435">
        <f t="shared" ref="G76:I76" si="15">+(F76*0.1)+F76</f>
        <v>0</v>
      </c>
      <c r="H76" s="435">
        <f t="shared" si="15"/>
        <v>0</v>
      </c>
      <c r="I76" s="435">
        <f t="shared" si="15"/>
        <v>0</v>
      </c>
    </row>
    <row r="77" spans="1:9" s="285" customFormat="1" x14ac:dyDescent="0.25">
      <c r="A77" s="118">
        <v>12</v>
      </c>
      <c r="B77" s="151">
        <v>5535</v>
      </c>
      <c r="C77" s="94" t="s">
        <v>263</v>
      </c>
      <c r="D77" s="85">
        <v>10744</v>
      </c>
      <c r="E77" s="85">
        <v>15000</v>
      </c>
      <c r="F77" s="85">
        <v>15000</v>
      </c>
      <c r="G77" s="435">
        <f t="shared" ref="G77:I77" si="16">+(F77*0.1)+F77</f>
        <v>16500</v>
      </c>
      <c r="H77" s="435">
        <f t="shared" si="16"/>
        <v>18150</v>
      </c>
      <c r="I77" s="435">
        <f t="shared" si="16"/>
        <v>19965</v>
      </c>
    </row>
    <row r="78" spans="1:9" s="285" customFormat="1" x14ac:dyDescent="0.25">
      <c r="A78" s="118">
        <v>12</v>
      </c>
      <c r="B78" s="151">
        <v>5540</v>
      </c>
      <c r="C78" s="94" t="s">
        <v>264</v>
      </c>
      <c r="D78" s="85"/>
      <c r="E78" s="85">
        <v>30000</v>
      </c>
      <c r="F78" s="85">
        <v>30000</v>
      </c>
      <c r="G78" s="435">
        <f t="shared" ref="G78:I78" si="17">+(F78*0.1)+F78</f>
        <v>33000</v>
      </c>
      <c r="H78" s="435">
        <f t="shared" si="17"/>
        <v>36300</v>
      </c>
      <c r="I78" s="435">
        <f t="shared" si="17"/>
        <v>39930</v>
      </c>
    </row>
    <row r="79" spans="1:9" s="285" customFormat="1" ht="13.5" hidden="1" customHeight="1" x14ac:dyDescent="0.25">
      <c r="A79" s="118">
        <v>12</v>
      </c>
      <c r="B79" s="151">
        <v>5545</v>
      </c>
      <c r="C79" s="94" t="s">
        <v>265</v>
      </c>
      <c r="D79" s="85"/>
      <c r="E79" s="85"/>
      <c r="F79" s="85">
        <v>0</v>
      </c>
      <c r="G79" s="435">
        <f t="shared" ref="G79:I79" si="18">+(F79*0.1)+F79</f>
        <v>0</v>
      </c>
      <c r="H79" s="435">
        <f t="shared" si="18"/>
        <v>0</v>
      </c>
      <c r="I79" s="435">
        <f t="shared" si="18"/>
        <v>0</v>
      </c>
    </row>
    <row r="80" spans="1:9" s="285" customFormat="1" hidden="1" x14ac:dyDescent="0.25">
      <c r="A80" s="118">
        <v>12</v>
      </c>
      <c r="B80" s="151">
        <v>5550</v>
      </c>
      <c r="C80" s="94" t="s">
        <v>267</v>
      </c>
      <c r="D80" s="85"/>
      <c r="E80" s="85"/>
      <c r="F80" s="85">
        <v>0</v>
      </c>
      <c r="G80" s="435">
        <f t="shared" ref="G80:I80" si="19">+(F80*0.1)+F80</f>
        <v>0</v>
      </c>
      <c r="H80" s="435">
        <f t="shared" si="19"/>
        <v>0</v>
      </c>
      <c r="I80" s="435">
        <f t="shared" si="19"/>
        <v>0</v>
      </c>
    </row>
    <row r="81" spans="1:9" s="285" customFormat="1" hidden="1" x14ac:dyDescent="0.25">
      <c r="A81" s="118">
        <v>12</v>
      </c>
      <c r="B81" s="151">
        <v>5555</v>
      </c>
      <c r="C81" s="94" t="s">
        <v>268</v>
      </c>
      <c r="D81" s="85"/>
      <c r="E81" s="85"/>
      <c r="F81" s="85">
        <v>0</v>
      </c>
      <c r="G81" s="435">
        <f t="shared" ref="G81:I81" si="20">+(F81*0.1)+F81</f>
        <v>0</v>
      </c>
      <c r="H81" s="435">
        <f t="shared" si="20"/>
        <v>0</v>
      </c>
      <c r="I81" s="435">
        <f t="shared" si="20"/>
        <v>0</v>
      </c>
    </row>
    <row r="82" spans="1:9" s="285" customFormat="1" x14ac:dyDescent="0.25">
      <c r="A82" s="118">
        <v>12</v>
      </c>
      <c r="B82" s="151">
        <v>5560</v>
      </c>
      <c r="C82" s="94" t="s">
        <v>269</v>
      </c>
      <c r="D82" s="85"/>
      <c r="E82" s="85">
        <v>22858</v>
      </c>
      <c r="F82" s="85">
        <v>22858</v>
      </c>
      <c r="G82" s="435">
        <f t="shared" ref="G82:I82" si="21">+(F82*0.1)+F82</f>
        <v>25143.8</v>
      </c>
      <c r="H82" s="435">
        <f t="shared" si="21"/>
        <v>27658.18</v>
      </c>
      <c r="I82" s="435">
        <f t="shared" si="21"/>
        <v>30423.998</v>
      </c>
    </row>
    <row r="83" spans="1:9" s="285" customFormat="1" x14ac:dyDescent="0.25">
      <c r="A83" s="118">
        <v>12</v>
      </c>
      <c r="B83" s="151">
        <v>5565</v>
      </c>
      <c r="C83" s="94" t="s">
        <v>246</v>
      </c>
      <c r="D83" s="85"/>
      <c r="E83" s="85"/>
      <c r="F83" s="85">
        <v>0</v>
      </c>
      <c r="G83" s="435">
        <f t="shared" ref="G83:I83" si="22">+(F83*0.1)+F83</f>
        <v>0</v>
      </c>
      <c r="H83" s="435">
        <f t="shared" si="22"/>
        <v>0</v>
      </c>
      <c r="I83" s="435">
        <f t="shared" si="22"/>
        <v>0</v>
      </c>
    </row>
    <row r="84" spans="1:9" s="285" customFormat="1" x14ac:dyDescent="0.25">
      <c r="A84" s="118">
        <v>12</v>
      </c>
      <c r="B84" s="151">
        <v>5570</v>
      </c>
      <c r="C84" s="94" t="s">
        <v>270</v>
      </c>
      <c r="D84" s="85"/>
      <c r="E84" s="85">
        <v>7123</v>
      </c>
      <c r="F84" s="85">
        <v>7123</v>
      </c>
      <c r="G84" s="435">
        <f t="shared" ref="G84:I84" si="23">+(F84*0.1)+F84</f>
        <v>7835.3</v>
      </c>
      <c r="H84" s="435">
        <f t="shared" si="23"/>
        <v>8618.83</v>
      </c>
      <c r="I84" s="435">
        <f t="shared" si="23"/>
        <v>9480.7129999999997</v>
      </c>
    </row>
    <row r="85" spans="1:9" s="285" customFormat="1" x14ac:dyDescent="0.25">
      <c r="A85" s="118">
        <v>12</v>
      </c>
      <c r="B85" s="151">
        <v>5575</v>
      </c>
      <c r="C85" s="94" t="s">
        <v>271</v>
      </c>
      <c r="D85" s="85">
        <v>37209</v>
      </c>
      <c r="E85" s="85">
        <v>45000</v>
      </c>
      <c r="F85" s="85">
        <v>45000</v>
      </c>
      <c r="G85" s="435">
        <f t="shared" ref="G85:I85" si="24">+(F85*0.1)+F85</f>
        <v>49500</v>
      </c>
      <c r="H85" s="435">
        <f t="shared" si="24"/>
        <v>54450</v>
      </c>
      <c r="I85" s="435">
        <f t="shared" si="24"/>
        <v>59895</v>
      </c>
    </row>
    <row r="86" spans="1:9" s="285" customFormat="1" x14ac:dyDescent="0.25">
      <c r="A86" s="118">
        <v>12</v>
      </c>
      <c r="B86" s="151">
        <v>5580</v>
      </c>
      <c r="C86" s="94" t="s">
        <v>272</v>
      </c>
      <c r="D86" s="85">
        <v>250</v>
      </c>
      <c r="E86" s="85">
        <v>30000</v>
      </c>
      <c r="F86" s="85">
        <v>30000</v>
      </c>
      <c r="G86" s="435">
        <f t="shared" ref="G86:I86" si="25">+(F86*0.1)+F86</f>
        <v>33000</v>
      </c>
      <c r="H86" s="435">
        <f t="shared" si="25"/>
        <v>36300</v>
      </c>
      <c r="I86" s="435">
        <f t="shared" si="25"/>
        <v>39930</v>
      </c>
    </row>
    <row r="87" spans="1:9" s="285" customFormat="1" x14ac:dyDescent="0.25">
      <c r="A87" s="118">
        <v>12</v>
      </c>
      <c r="B87" s="151">
        <v>5585</v>
      </c>
      <c r="C87" s="94" t="s">
        <v>273</v>
      </c>
      <c r="D87" s="86">
        <v>15691</v>
      </c>
      <c r="E87" s="85">
        <v>20000</v>
      </c>
      <c r="F87" s="85">
        <v>20000</v>
      </c>
      <c r="G87" s="435">
        <f t="shared" ref="G87:I87" si="26">+(F87*0.1)+F87</f>
        <v>22000</v>
      </c>
      <c r="H87" s="435">
        <f t="shared" si="26"/>
        <v>24200</v>
      </c>
      <c r="I87" s="435">
        <f t="shared" si="26"/>
        <v>26620</v>
      </c>
    </row>
    <row r="88" spans="1:9" s="285" customFormat="1" x14ac:dyDescent="0.25">
      <c r="A88" s="118">
        <v>12</v>
      </c>
      <c r="B88" s="151">
        <v>5590</v>
      </c>
      <c r="C88" s="94" t="s">
        <v>274</v>
      </c>
      <c r="D88" s="86">
        <v>39242</v>
      </c>
      <c r="E88" s="85">
        <v>44800</v>
      </c>
      <c r="F88" s="85">
        <v>44800</v>
      </c>
      <c r="G88" s="435">
        <f t="shared" ref="G88:I88" si="27">+(F88*0.1)+F88</f>
        <v>49280</v>
      </c>
      <c r="H88" s="435">
        <f t="shared" si="27"/>
        <v>54208</v>
      </c>
      <c r="I88" s="435">
        <f t="shared" si="27"/>
        <v>59628.800000000003</v>
      </c>
    </row>
    <row r="89" spans="1:9" s="285" customFormat="1" x14ac:dyDescent="0.25">
      <c r="A89" s="118">
        <v>12</v>
      </c>
      <c r="B89" s="151">
        <v>5595</v>
      </c>
      <c r="C89" s="94" t="s">
        <v>395</v>
      </c>
      <c r="D89" s="85">
        <v>7249</v>
      </c>
      <c r="E89" s="85">
        <v>40000</v>
      </c>
      <c r="F89" s="85">
        <v>40000</v>
      </c>
      <c r="G89" s="435">
        <f t="shared" ref="G89:I89" si="28">+(F89*0.1)+F89</f>
        <v>44000</v>
      </c>
      <c r="H89" s="435">
        <f t="shared" si="28"/>
        <v>48400</v>
      </c>
      <c r="I89" s="435">
        <f t="shared" si="28"/>
        <v>53240</v>
      </c>
    </row>
    <row r="90" spans="1:9" s="285" customFormat="1" hidden="1" x14ac:dyDescent="0.25">
      <c r="A90" s="118">
        <v>12</v>
      </c>
      <c r="B90" s="151">
        <v>5600</v>
      </c>
      <c r="C90" s="159" t="s">
        <v>276</v>
      </c>
      <c r="D90" s="85"/>
      <c r="E90" s="85"/>
      <c r="F90" s="85">
        <v>0</v>
      </c>
      <c r="G90" s="435">
        <f t="shared" ref="G90:I90" si="29">+(F90*0.1)+F90</f>
        <v>0</v>
      </c>
      <c r="H90" s="435">
        <f t="shared" si="29"/>
        <v>0</v>
      </c>
      <c r="I90" s="435">
        <f t="shared" si="29"/>
        <v>0</v>
      </c>
    </row>
    <row r="91" spans="1:9" s="285" customFormat="1" hidden="1" x14ac:dyDescent="0.25">
      <c r="A91" s="118">
        <v>12</v>
      </c>
      <c r="B91" s="151">
        <v>5605</v>
      </c>
      <c r="C91" s="159" t="s">
        <v>277</v>
      </c>
      <c r="D91" s="85"/>
      <c r="E91" s="85"/>
      <c r="F91" s="85">
        <v>0</v>
      </c>
      <c r="G91" s="435">
        <f t="shared" ref="G91:I91" si="30">+(F91*0.1)+F91</f>
        <v>0</v>
      </c>
      <c r="H91" s="435">
        <f t="shared" si="30"/>
        <v>0</v>
      </c>
      <c r="I91" s="435">
        <f t="shared" si="30"/>
        <v>0</v>
      </c>
    </row>
    <row r="92" spans="1:9" s="285" customFormat="1" x14ac:dyDescent="0.25">
      <c r="A92" s="118">
        <v>12</v>
      </c>
      <c r="B92" s="151">
        <v>5610</v>
      </c>
      <c r="C92" s="159" t="s">
        <v>278</v>
      </c>
      <c r="D92" s="85">
        <v>49984</v>
      </c>
      <c r="E92" s="85">
        <v>150000</v>
      </c>
      <c r="F92" s="85">
        <v>150000</v>
      </c>
      <c r="G92" s="435">
        <f t="shared" ref="G92:I92" si="31">+(F92*0.1)+F92</f>
        <v>165000</v>
      </c>
      <c r="H92" s="435">
        <f t="shared" si="31"/>
        <v>181500</v>
      </c>
      <c r="I92" s="435">
        <f t="shared" si="31"/>
        <v>199650</v>
      </c>
    </row>
    <row r="93" spans="1:9" s="285" customFormat="1" x14ac:dyDescent="0.25">
      <c r="A93" s="118">
        <v>12</v>
      </c>
      <c r="B93" s="151">
        <v>5615</v>
      </c>
      <c r="C93" s="159" t="s">
        <v>279</v>
      </c>
      <c r="D93" s="85"/>
      <c r="E93" s="85"/>
      <c r="F93" s="85">
        <v>0</v>
      </c>
      <c r="G93" s="435">
        <f t="shared" ref="G93:I93" si="32">+(F93*0.1)+F93</f>
        <v>0</v>
      </c>
      <c r="H93" s="435">
        <f t="shared" si="32"/>
        <v>0</v>
      </c>
      <c r="I93" s="435">
        <f t="shared" si="32"/>
        <v>0</v>
      </c>
    </row>
    <row r="94" spans="1:9" s="285" customFormat="1" x14ac:dyDescent="0.25">
      <c r="A94" s="118">
        <v>12</v>
      </c>
      <c r="B94" s="151">
        <v>5620</v>
      </c>
      <c r="C94" s="159" t="s">
        <v>508</v>
      </c>
      <c r="D94" s="85">
        <v>161799</v>
      </c>
      <c r="E94" s="85">
        <v>420000</v>
      </c>
      <c r="F94" s="85">
        <v>420000</v>
      </c>
      <c r="G94" s="435">
        <f t="shared" ref="G94:I94" si="33">+(F94*0.1)+F94</f>
        <v>462000</v>
      </c>
      <c r="H94" s="435">
        <f t="shared" si="33"/>
        <v>508200</v>
      </c>
      <c r="I94" s="435">
        <f t="shared" si="33"/>
        <v>559020</v>
      </c>
    </row>
    <row r="95" spans="1:9" s="285" customFormat="1" ht="13.5" customHeight="1" x14ac:dyDescent="0.25">
      <c r="A95" s="118">
        <v>12</v>
      </c>
      <c r="B95" s="151">
        <v>5625</v>
      </c>
      <c r="C95" s="159" t="s">
        <v>281</v>
      </c>
      <c r="D95" s="85"/>
      <c r="E95" s="85"/>
      <c r="F95" s="85">
        <v>0</v>
      </c>
      <c r="G95" s="435">
        <f t="shared" ref="G95:I95" si="34">+(F95*0.1)+F95</f>
        <v>0</v>
      </c>
      <c r="H95" s="435">
        <f t="shared" si="34"/>
        <v>0</v>
      </c>
      <c r="I95" s="435">
        <f t="shared" si="34"/>
        <v>0</v>
      </c>
    </row>
    <row r="96" spans="1:9" s="285" customFormat="1" x14ac:dyDescent="0.25">
      <c r="A96" s="118">
        <v>12</v>
      </c>
      <c r="B96" s="151">
        <v>5630</v>
      </c>
      <c r="C96" s="159" t="s">
        <v>282</v>
      </c>
      <c r="D96" s="85"/>
      <c r="E96" s="85"/>
      <c r="F96" s="85">
        <v>0</v>
      </c>
      <c r="G96" s="435">
        <f t="shared" ref="G96:I96" si="35">+(F96*0.1)+F96</f>
        <v>0</v>
      </c>
      <c r="H96" s="435">
        <f t="shared" si="35"/>
        <v>0</v>
      </c>
      <c r="I96" s="435">
        <f t="shared" si="35"/>
        <v>0</v>
      </c>
    </row>
    <row r="97" spans="1:9" s="285" customFormat="1" x14ac:dyDescent="0.25">
      <c r="A97" s="118">
        <v>12</v>
      </c>
      <c r="B97" s="151">
        <v>5635</v>
      </c>
      <c r="C97" s="159" t="s">
        <v>283</v>
      </c>
      <c r="D97" s="85"/>
      <c r="E97" s="85"/>
      <c r="F97" s="85">
        <v>0</v>
      </c>
      <c r="G97" s="435">
        <f t="shared" ref="G97:I97" si="36">+(F97*0.1)+F97</f>
        <v>0</v>
      </c>
      <c r="H97" s="435">
        <f t="shared" si="36"/>
        <v>0</v>
      </c>
      <c r="I97" s="435">
        <f t="shared" si="36"/>
        <v>0</v>
      </c>
    </row>
    <row r="98" spans="1:9" s="285" customFormat="1" x14ac:dyDescent="0.25">
      <c r="A98" s="118">
        <v>12</v>
      </c>
      <c r="B98" s="151">
        <v>5640</v>
      </c>
      <c r="C98" s="159" t="s">
        <v>284</v>
      </c>
      <c r="D98" s="85">
        <v>64334</v>
      </c>
      <c r="E98" s="85">
        <v>60000</v>
      </c>
      <c r="F98" s="85">
        <v>60000</v>
      </c>
      <c r="G98" s="435">
        <f t="shared" ref="G98:I98" si="37">+(F98*0.1)+F98</f>
        <v>66000</v>
      </c>
      <c r="H98" s="435">
        <f t="shared" si="37"/>
        <v>72600</v>
      </c>
      <c r="I98" s="435">
        <f t="shared" si="37"/>
        <v>79860</v>
      </c>
    </row>
    <row r="99" spans="1:9" s="285" customFormat="1" x14ac:dyDescent="0.25">
      <c r="A99" s="118">
        <v>12</v>
      </c>
      <c r="B99" s="151">
        <v>5645</v>
      </c>
      <c r="C99" s="159" t="s">
        <v>285</v>
      </c>
      <c r="D99" s="85"/>
      <c r="E99" s="85"/>
      <c r="F99" s="85">
        <v>0</v>
      </c>
      <c r="G99" s="435">
        <f t="shared" ref="G99:I99" si="38">+(F99*0.1)+F99</f>
        <v>0</v>
      </c>
      <c r="H99" s="435">
        <f t="shared" si="38"/>
        <v>0</v>
      </c>
      <c r="I99" s="435">
        <f t="shared" si="38"/>
        <v>0</v>
      </c>
    </row>
    <row r="100" spans="1:9" s="285" customFormat="1" x14ac:dyDescent="0.25">
      <c r="A100" s="118">
        <v>12</v>
      </c>
      <c r="B100" s="151">
        <v>5650</v>
      </c>
      <c r="C100" s="159" t="s">
        <v>286</v>
      </c>
      <c r="D100" s="85"/>
      <c r="E100" s="85"/>
      <c r="F100" s="85">
        <v>0</v>
      </c>
      <c r="G100" s="435">
        <f t="shared" ref="G100:I100" si="39">+(F100*0.1)+F100</f>
        <v>0</v>
      </c>
      <c r="H100" s="435">
        <f t="shared" si="39"/>
        <v>0</v>
      </c>
      <c r="I100" s="435">
        <f t="shared" si="39"/>
        <v>0</v>
      </c>
    </row>
    <row r="101" spans="1:9" s="285" customFormat="1" x14ac:dyDescent="0.25">
      <c r="A101" s="118">
        <v>12</v>
      </c>
      <c r="B101" s="151">
        <v>5655</v>
      </c>
      <c r="C101" s="159" t="s">
        <v>287</v>
      </c>
      <c r="D101" s="85"/>
      <c r="E101" s="85"/>
      <c r="F101" s="85">
        <v>0</v>
      </c>
      <c r="G101" s="435">
        <f t="shared" ref="G101:I101" si="40">+(F101*0.1)+F101</f>
        <v>0</v>
      </c>
      <c r="H101" s="435">
        <f t="shared" si="40"/>
        <v>0</v>
      </c>
      <c r="I101" s="435">
        <f t="shared" si="40"/>
        <v>0</v>
      </c>
    </row>
    <row r="102" spans="1:9" s="285" customFormat="1" x14ac:dyDescent="0.25">
      <c r="A102" s="118">
        <v>12</v>
      </c>
      <c r="B102" s="151">
        <v>5660</v>
      </c>
      <c r="C102" s="159" t="s">
        <v>288</v>
      </c>
      <c r="D102" s="85"/>
      <c r="E102" s="85"/>
      <c r="F102" s="85">
        <f t="shared" ref="F102:F104" si="41">E102-D102</f>
        <v>0</v>
      </c>
      <c r="G102" s="435">
        <f t="shared" ref="G102:I102" si="42">+(F102*0.1)+F102</f>
        <v>0</v>
      </c>
      <c r="H102" s="435">
        <f t="shared" si="42"/>
        <v>0</v>
      </c>
      <c r="I102" s="435">
        <f t="shared" si="42"/>
        <v>0</v>
      </c>
    </row>
    <row r="103" spans="1:9" s="285" customFormat="1" x14ac:dyDescent="0.25">
      <c r="A103" s="118">
        <v>12</v>
      </c>
      <c r="B103" s="151">
        <v>5665</v>
      </c>
      <c r="C103" s="94" t="s">
        <v>503</v>
      </c>
      <c r="D103" s="85"/>
      <c r="E103" s="85"/>
      <c r="F103" s="85">
        <f t="shared" si="41"/>
        <v>0</v>
      </c>
      <c r="G103" s="435">
        <f t="shared" ref="G103:I103" si="43">+(F103*0.1)+F103</f>
        <v>0</v>
      </c>
      <c r="H103" s="435">
        <f t="shared" si="43"/>
        <v>0</v>
      </c>
      <c r="I103" s="435">
        <f t="shared" si="43"/>
        <v>0</v>
      </c>
    </row>
    <row r="104" spans="1:9" s="285" customFormat="1" x14ac:dyDescent="0.25">
      <c r="A104" s="118">
        <v>12</v>
      </c>
      <c r="B104" s="151">
        <v>5670</v>
      </c>
      <c r="C104" s="94" t="s">
        <v>290</v>
      </c>
      <c r="D104" s="85"/>
      <c r="E104" s="85"/>
      <c r="F104" s="85">
        <f t="shared" si="41"/>
        <v>0</v>
      </c>
      <c r="G104" s="435">
        <f t="shared" ref="G104:I104" si="44">+(F104*0.1)+F104</f>
        <v>0</v>
      </c>
      <c r="H104" s="435">
        <f t="shared" si="44"/>
        <v>0</v>
      </c>
      <c r="I104" s="435">
        <f t="shared" si="44"/>
        <v>0</v>
      </c>
    </row>
    <row r="105" spans="1:9" s="285" customFormat="1" x14ac:dyDescent="0.25">
      <c r="A105" s="118">
        <v>12</v>
      </c>
      <c r="B105" s="151">
        <v>5675</v>
      </c>
      <c r="C105" s="94" t="s">
        <v>291</v>
      </c>
      <c r="D105" s="85"/>
      <c r="E105" s="85"/>
      <c r="F105" s="85">
        <f t="shared" ref="F105:F136" si="45">E105-D105</f>
        <v>0</v>
      </c>
      <c r="G105" s="435">
        <f t="shared" ref="G105:I105" si="46">+(F105*0.1)+F105</f>
        <v>0</v>
      </c>
      <c r="H105" s="435">
        <f t="shared" si="46"/>
        <v>0</v>
      </c>
      <c r="I105" s="435">
        <f t="shared" si="46"/>
        <v>0</v>
      </c>
    </row>
    <row r="106" spans="1:9" s="285" customFormat="1" x14ac:dyDescent="0.25">
      <c r="A106" s="375">
        <v>12</v>
      </c>
      <c r="B106" s="152">
        <v>5680</v>
      </c>
      <c r="C106" s="106" t="s">
        <v>292</v>
      </c>
      <c r="D106" s="387"/>
      <c r="E106" s="387"/>
      <c r="F106" s="387">
        <f t="shared" si="45"/>
        <v>0</v>
      </c>
      <c r="G106" s="435">
        <f t="shared" ref="G106:I106" si="47">+(F106*0.1)+F106</f>
        <v>0</v>
      </c>
      <c r="H106" s="435">
        <f t="shared" si="47"/>
        <v>0</v>
      </c>
      <c r="I106" s="435">
        <f t="shared" si="47"/>
        <v>0</v>
      </c>
    </row>
    <row r="107" spans="1:9" s="285" customFormat="1" x14ac:dyDescent="0.25">
      <c r="A107" s="378">
        <v>12</v>
      </c>
      <c r="B107" s="153">
        <v>5685</v>
      </c>
      <c r="C107" s="97" t="s">
        <v>293</v>
      </c>
      <c r="D107" s="88"/>
      <c r="E107" s="88"/>
      <c r="F107" s="88">
        <f t="shared" si="45"/>
        <v>0</v>
      </c>
      <c r="G107" s="435">
        <f t="shared" ref="G107:I107" si="48">+(F107*0.1)+F107</f>
        <v>0</v>
      </c>
      <c r="H107" s="435">
        <f t="shared" si="48"/>
        <v>0</v>
      </c>
      <c r="I107" s="435">
        <f t="shared" si="48"/>
        <v>0</v>
      </c>
    </row>
    <row r="108" spans="1:9" s="285" customFormat="1" x14ac:dyDescent="0.25">
      <c r="A108" s="118">
        <v>12</v>
      </c>
      <c r="B108" s="151">
        <v>5690</v>
      </c>
      <c r="C108" s="94" t="s">
        <v>247</v>
      </c>
      <c r="D108" s="85"/>
      <c r="E108" s="85"/>
      <c r="F108" s="85">
        <f t="shared" si="45"/>
        <v>0</v>
      </c>
      <c r="G108" s="435">
        <f t="shared" ref="G108:I108" si="49">+(F108*0.1)+F108</f>
        <v>0</v>
      </c>
      <c r="H108" s="435">
        <f t="shared" si="49"/>
        <v>0</v>
      </c>
      <c r="I108" s="435">
        <f t="shared" si="49"/>
        <v>0</v>
      </c>
    </row>
    <row r="109" spans="1:9" s="285" customFormat="1" x14ac:dyDescent="0.25">
      <c r="A109" s="118">
        <v>12</v>
      </c>
      <c r="B109" s="151">
        <v>5695</v>
      </c>
      <c r="C109" s="94" t="s">
        <v>294</v>
      </c>
      <c r="D109" s="85"/>
      <c r="E109" s="85"/>
      <c r="F109" s="85">
        <f t="shared" si="45"/>
        <v>0</v>
      </c>
      <c r="G109" s="435">
        <f t="shared" ref="G109:I109" si="50">+(F109*0.1)+F109</f>
        <v>0</v>
      </c>
      <c r="H109" s="435">
        <f t="shared" si="50"/>
        <v>0</v>
      </c>
      <c r="I109" s="435">
        <f t="shared" si="50"/>
        <v>0</v>
      </c>
    </row>
    <row r="110" spans="1:9" s="285" customFormat="1" x14ac:dyDescent="0.25">
      <c r="A110" s="118">
        <v>12</v>
      </c>
      <c r="B110" s="151">
        <v>5700</v>
      </c>
      <c r="C110" s="94" t="s">
        <v>295</v>
      </c>
      <c r="D110" s="85"/>
      <c r="E110" s="85"/>
      <c r="F110" s="85">
        <f t="shared" si="45"/>
        <v>0</v>
      </c>
      <c r="G110" s="435">
        <f t="shared" ref="G110:I110" si="51">+(F110*0.1)+F110</f>
        <v>0</v>
      </c>
      <c r="H110" s="435">
        <f t="shared" si="51"/>
        <v>0</v>
      </c>
      <c r="I110" s="435">
        <f t="shared" si="51"/>
        <v>0</v>
      </c>
    </row>
    <row r="111" spans="1:9" s="285" customFormat="1" x14ac:dyDescent="0.25">
      <c r="A111" s="118">
        <v>12</v>
      </c>
      <c r="B111" s="151">
        <v>5710</v>
      </c>
      <c r="C111" s="94" t="s">
        <v>297</v>
      </c>
      <c r="D111" s="85"/>
      <c r="E111" s="85"/>
      <c r="F111" s="85">
        <f t="shared" si="45"/>
        <v>0</v>
      </c>
      <c r="G111" s="435">
        <f t="shared" ref="G111:I111" si="52">+(F111*0.1)+F111</f>
        <v>0</v>
      </c>
      <c r="H111" s="435">
        <f t="shared" si="52"/>
        <v>0</v>
      </c>
      <c r="I111" s="435">
        <f t="shared" si="52"/>
        <v>0</v>
      </c>
    </row>
    <row r="112" spans="1:9" s="285" customFormat="1" x14ac:dyDescent="0.25">
      <c r="A112" s="118">
        <v>12</v>
      </c>
      <c r="B112" s="151">
        <v>5715</v>
      </c>
      <c r="C112" s="94" t="s">
        <v>298</v>
      </c>
      <c r="D112" s="85"/>
      <c r="E112" s="85"/>
      <c r="F112" s="85">
        <f t="shared" si="45"/>
        <v>0</v>
      </c>
      <c r="G112" s="435">
        <f t="shared" ref="G112:I112" si="53">+(F112*0.1)+F112</f>
        <v>0</v>
      </c>
      <c r="H112" s="435">
        <f t="shared" si="53"/>
        <v>0</v>
      </c>
      <c r="I112" s="435">
        <f t="shared" si="53"/>
        <v>0</v>
      </c>
    </row>
    <row r="113" spans="1:9" s="285" customFormat="1" x14ac:dyDescent="0.25">
      <c r="A113" s="118">
        <v>12</v>
      </c>
      <c r="B113" s="151">
        <v>5720</v>
      </c>
      <c r="C113" s="94" t="s">
        <v>299</v>
      </c>
      <c r="D113" s="85"/>
      <c r="E113" s="85"/>
      <c r="F113" s="85">
        <f t="shared" si="45"/>
        <v>0</v>
      </c>
      <c r="G113" s="435">
        <f t="shared" ref="G113:I113" si="54">+(F113*0.1)+F113</f>
        <v>0</v>
      </c>
      <c r="H113" s="435">
        <f t="shared" si="54"/>
        <v>0</v>
      </c>
      <c r="I113" s="435">
        <f t="shared" si="54"/>
        <v>0</v>
      </c>
    </row>
    <row r="114" spans="1:9" s="285" customFormat="1" x14ac:dyDescent="0.25">
      <c r="A114" s="118">
        <v>12</v>
      </c>
      <c r="B114" s="151">
        <v>5730</v>
      </c>
      <c r="C114" s="94" t="s">
        <v>300</v>
      </c>
      <c r="D114" s="85"/>
      <c r="E114" s="85"/>
      <c r="F114" s="85">
        <f t="shared" si="45"/>
        <v>0</v>
      </c>
      <c r="G114" s="435">
        <f t="shared" ref="G114:I114" si="55">+(F114*0.1)+F114</f>
        <v>0</v>
      </c>
      <c r="H114" s="435">
        <f t="shared" si="55"/>
        <v>0</v>
      </c>
      <c r="I114" s="435">
        <f t="shared" si="55"/>
        <v>0</v>
      </c>
    </row>
    <row r="115" spans="1:9" s="285" customFormat="1" x14ac:dyDescent="0.25">
      <c r="A115" s="118">
        <v>12</v>
      </c>
      <c r="B115" s="151">
        <v>5735</v>
      </c>
      <c r="C115" s="94" t="s">
        <v>301</v>
      </c>
      <c r="D115" s="85"/>
      <c r="E115" s="85"/>
      <c r="F115" s="85">
        <f t="shared" si="45"/>
        <v>0</v>
      </c>
      <c r="G115" s="435">
        <f t="shared" ref="G115:I115" si="56">+(F115*0.1)+F115</f>
        <v>0</v>
      </c>
      <c r="H115" s="435">
        <f t="shared" si="56"/>
        <v>0</v>
      </c>
      <c r="I115" s="435">
        <f t="shared" si="56"/>
        <v>0</v>
      </c>
    </row>
    <row r="116" spans="1:9" s="285" customFormat="1" x14ac:dyDescent="0.25">
      <c r="A116" s="118">
        <v>12</v>
      </c>
      <c r="B116" s="151">
        <v>5740</v>
      </c>
      <c r="C116" s="94" t="s">
        <v>302</v>
      </c>
      <c r="D116" s="85"/>
      <c r="E116" s="85"/>
      <c r="F116" s="85">
        <f t="shared" si="45"/>
        <v>0</v>
      </c>
      <c r="G116" s="435">
        <f t="shared" ref="G116:I116" si="57">+(F116*0.1)+F116</f>
        <v>0</v>
      </c>
      <c r="H116" s="435">
        <f t="shared" si="57"/>
        <v>0</v>
      </c>
      <c r="I116" s="435">
        <f t="shared" si="57"/>
        <v>0</v>
      </c>
    </row>
    <row r="117" spans="1:9" s="285" customFormat="1" x14ac:dyDescent="0.25">
      <c r="A117" s="118">
        <v>12</v>
      </c>
      <c r="B117" s="151">
        <v>5745</v>
      </c>
      <c r="C117" s="94" t="s">
        <v>303</v>
      </c>
      <c r="D117" s="85"/>
      <c r="E117" s="85"/>
      <c r="F117" s="85">
        <f t="shared" si="45"/>
        <v>0</v>
      </c>
      <c r="G117" s="435">
        <f t="shared" ref="G117:I117" si="58">+(F117*0.1)+F117</f>
        <v>0</v>
      </c>
      <c r="H117" s="435">
        <f t="shared" si="58"/>
        <v>0</v>
      </c>
      <c r="I117" s="435">
        <f t="shared" si="58"/>
        <v>0</v>
      </c>
    </row>
    <row r="118" spans="1:9" s="285" customFormat="1" x14ac:dyDescent="0.25">
      <c r="A118" s="118">
        <v>12</v>
      </c>
      <c r="B118" s="151">
        <v>5750</v>
      </c>
      <c r="C118" s="94" t="s">
        <v>304</v>
      </c>
      <c r="D118" s="85">
        <v>18</v>
      </c>
      <c r="E118" s="85">
        <v>81</v>
      </c>
      <c r="F118" s="85">
        <v>81</v>
      </c>
      <c r="G118" s="435">
        <f t="shared" ref="G118:I118" si="59">+(F118*0.1)+F118</f>
        <v>89.1</v>
      </c>
      <c r="H118" s="435">
        <f t="shared" si="59"/>
        <v>98.009999999999991</v>
      </c>
      <c r="I118" s="435">
        <f t="shared" si="59"/>
        <v>107.81099999999999</v>
      </c>
    </row>
    <row r="119" spans="1:9" s="285" customFormat="1" x14ac:dyDescent="0.25">
      <c r="A119" s="118">
        <v>12</v>
      </c>
      <c r="B119" s="151">
        <v>5755</v>
      </c>
      <c r="C119" s="94" t="s">
        <v>305</v>
      </c>
      <c r="D119" s="85">
        <v>4175</v>
      </c>
      <c r="E119" s="85">
        <v>20300</v>
      </c>
      <c r="F119" s="85">
        <v>20300</v>
      </c>
      <c r="G119" s="435">
        <f t="shared" ref="G119:I119" si="60">+(F119*0.1)+F119</f>
        <v>22330</v>
      </c>
      <c r="H119" s="435">
        <f t="shared" si="60"/>
        <v>24563</v>
      </c>
      <c r="I119" s="435">
        <f t="shared" si="60"/>
        <v>27019.3</v>
      </c>
    </row>
    <row r="120" spans="1:9" s="285" customFormat="1" ht="12" customHeight="1" x14ac:dyDescent="0.25">
      <c r="A120" s="118">
        <v>12</v>
      </c>
      <c r="B120" s="151">
        <v>5760</v>
      </c>
      <c r="C120" s="94" t="s">
        <v>306</v>
      </c>
      <c r="D120" s="85"/>
      <c r="E120" s="85"/>
      <c r="F120" s="85">
        <f t="shared" si="45"/>
        <v>0</v>
      </c>
      <c r="G120" s="435">
        <f t="shared" ref="G120:I120" si="61">+(F120*0.1)+F120</f>
        <v>0</v>
      </c>
      <c r="H120" s="435">
        <f t="shared" si="61"/>
        <v>0</v>
      </c>
      <c r="I120" s="435">
        <f t="shared" si="61"/>
        <v>0</v>
      </c>
    </row>
    <row r="121" spans="1:9" s="285" customFormat="1" x14ac:dyDescent="0.25">
      <c r="A121" s="118">
        <v>12</v>
      </c>
      <c r="B121" s="151">
        <v>5765</v>
      </c>
      <c r="C121" s="94" t="s">
        <v>307</v>
      </c>
      <c r="D121" s="85"/>
      <c r="E121" s="85"/>
      <c r="F121" s="85">
        <f t="shared" si="45"/>
        <v>0</v>
      </c>
      <c r="G121" s="435">
        <f t="shared" ref="G121:I121" si="62">+(F121*0.1)+F121</f>
        <v>0</v>
      </c>
      <c r="H121" s="435">
        <f t="shared" si="62"/>
        <v>0</v>
      </c>
      <c r="I121" s="435">
        <f t="shared" si="62"/>
        <v>0</v>
      </c>
    </row>
    <row r="122" spans="1:9" s="285" customFormat="1" x14ac:dyDescent="0.25">
      <c r="A122" s="118">
        <v>12</v>
      </c>
      <c r="B122" s="151">
        <v>5770</v>
      </c>
      <c r="C122" s="94" t="s">
        <v>308</v>
      </c>
      <c r="D122" s="85"/>
      <c r="E122" s="85"/>
      <c r="F122" s="85">
        <f t="shared" si="45"/>
        <v>0</v>
      </c>
      <c r="G122" s="435">
        <f t="shared" ref="G122:I122" si="63">+(F122*0.1)+F122</f>
        <v>0</v>
      </c>
      <c r="H122" s="435">
        <f t="shared" si="63"/>
        <v>0</v>
      </c>
      <c r="I122" s="435">
        <f t="shared" si="63"/>
        <v>0</v>
      </c>
    </row>
    <row r="123" spans="1:9" s="285" customFormat="1" x14ac:dyDescent="0.25">
      <c r="A123" s="118">
        <v>12</v>
      </c>
      <c r="B123" s="151">
        <v>5775</v>
      </c>
      <c r="C123" s="94" t="s">
        <v>309</v>
      </c>
      <c r="D123" s="85"/>
      <c r="E123" s="85"/>
      <c r="F123" s="85">
        <f t="shared" si="45"/>
        <v>0</v>
      </c>
      <c r="G123" s="435">
        <f t="shared" ref="G123:I123" si="64">+(F123*0.1)+F123</f>
        <v>0</v>
      </c>
      <c r="H123" s="435">
        <f t="shared" si="64"/>
        <v>0</v>
      </c>
      <c r="I123" s="435">
        <f t="shared" si="64"/>
        <v>0</v>
      </c>
    </row>
    <row r="124" spans="1:9" s="285" customFormat="1" x14ac:dyDescent="0.25">
      <c r="A124" s="118">
        <v>12</v>
      </c>
      <c r="B124" s="151">
        <v>5780</v>
      </c>
      <c r="C124" s="94" t="s">
        <v>310</v>
      </c>
      <c r="D124" s="85"/>
      <c r="E124" s="85"/>
      <c r="F124" s="85">
        <f t="shared" si="45"/>
        <v>0</v>
      </c>
      <c r="G124" s="435">
        <f t="shared" ref="G124:I124" si="65">+(F124*0.1)+F124</f>
        <v>0</v>
      </c>
      <c r="H124" s="435">
        <f t="shared" si="65"/>
        <v>0</v>
      </c>
      <c r="I124" s="435">
        <f t="shared" si="65"/>
        <v>0</v>
      </c>
    </row>
    <row r="125" spans="1:9" s="285" customFormat="1" x14ac:dyDescent="0.25">
      <c r="A125" s="118">
        <v>12</v>
      </c>
      <c r="B125" s="151">
        <v>5785</v>
      </c>
      <c r="C125" s="94" t="s">
        <v>311</v>
      </c>
      <c r="D125" s="85"/>
      <c r="E125" s="85"/>
      <c r="F125" s="85">
        <f t="shared" si="45"/>
        <v>0</v>
      </c>
      <c r="G125" s="435">
        <f t="shared" ref="G125:I125" si="66">+(F125*0.1)+F125</f>
        <v>0</v>
      </c>
      <c r="H125" s="435">
        <f t="shared" si="66"/>
        <v>0</v>
      </c>
      <c r="I125" s="435">
        <f t="shared" si="66"/>
        <v>0</v>
      </c>
    </row>
    <row r="126" spans="1:9" s="285" customFormat="1" x14ac:dyDescent="0.25">
      <c r="A126" s="118">
        <v>12</v>
      </c>
      <c r="B126" s="151">
        <v>5790</v>
      </c>
      <c r="C126" s="94" t="s">
        <v>312</v>
      </c>
      <c r="D126" s="85"/>
      <c r="E126" s="85"/>
      <c r="F126" s="85">
        <f t="shared" si="45"/>
        <v>0</v>
      </c>
      <c r="G126" s="435">
        <f t="shared" ref="G126:I126" si="67">+(F126*0.1)+F126</f>
        <v>0</v>
      </c>
      <c r="H126" s="435">
        <f t="shared" si="67"/>
        <v>0</v>
      </c>
      <c r="I126" s="435">
        <f t="shared" si="67"/>
        <v>0</v>
      </c>
    </row>
    <row r="127" spans="1:9" s="285" customFormat="1" x14ac:dyDescent="0.25">
      <c r="A127" s="118">
        <v>12</v>
      </c>
      <c r="B127" s="151">
        <v>5795</v>
      </c>
      <c r="C127" s="94" t="s">
        <v>313</v>
      </c>
      <c r="D127" s="85"/>
      <c r="E127" s="85"/>
      <c r="F127" s="85">
        <f t="shared" si="45"/>
        <v>0</v>
      </c>
      <c r="G127" s="435">
        <f t="shared" ref="G127:I127" si="68">+(F127*0.1)+F127</f>
        <v>0</v>
      </c>
      <c r="H127" s="435">
        <f t="shared" si="68"/>
        <v>0</v>
      </c>
      <c r="I127" s="435">
        <f t="shared" si="68"/>
        <v>0</v>
      </c>
    </row>
    <row r="128" spans="1:9" s="285" customFormat="1" x14ac:dyDescent="0.25">
      <c r="A128" s="118">
        <v>12</v>
      </c>
      <c r="B128" s="151">
        <v>5800</v>
      </c>
      <c r="C128" s="94" t="s">
        <v>314</v>
      </c>
      <c r="D128" s="85"/>
      <c r="E128" s="85"/>
      <c r="F128" s="85">
        <f t="shared" si="45"/>
        <v>0</v>
      </c>
      <c r="G128" s="435">
        <f t="shared" ref="G128:I128" si="69">+(F128*0.1)+F128</f>
        <v>0</v>
      </c>
      <c r="H128" s="435">
        <f t="shared" si="69"/>
        <v>0</v>
      </c>
      <c r="I128" s="435">
        <f t="shared" si="69"/>
        <v>0</v>
      </c>
    </row>
    <row r="129" spans="1:9" s="285" customFormat="1" x14ac:dyDescent="0.25">
      <c r="A129" s="118">
        <v>12</v>
      </c>
      <c r="B129" s="151">
        <v>5805</v>
      </c>
      <c r="C129" s="94" t="s">
        <v>315</v>
      </c>
      <c r="D129" s="85"/>
      <c r="E129" s="85"/>
      <c r="F129" s="85">
        <f t="shared" si="45"/>
        <v>0</v>
      </c>
      <c r="G129" s="435">
        <f t="shared" ref="G129:I129" si="70">+(F129*0.1)+F129</f>
        <v>0</v>
      </c>
      <c r="H129" s="435">
        <f t="shared" si="70"/>
        <v>0</v>
      </c>
      <c r="I129" s="435">
        <f t="shared" si="70"/>
        <v>0</v>
      </c>
    </row>
    <row r="130" spans="1:9" s="285" customFormat="1" x14ac:dyDescent="0.25">
      <c r="A130" s="118">
        <v>12</v>
      </c>
      <c r="B130" s="151">
        <v>5810</v>
      </c>
      <c r="C130" s="94" t="s">
        <v>316</v>
      </c>
      <c r="D130" s="85"/>
      <c r="E130" s="85"/>
      <c r="F130" s="85">
        <f t="shared" si="45"/>
        <v>0</v>
      </c>
      <c r="G130" s="435">
        <f t="shared" ref="G130:I130" si="71">+(F130*0.1)+F130</f>
        <v>0</v>
      </c>
      <c r="H130" s="435">
        <f t="shared" si="71"/>
        <v>0</v>
      </c>
      <c r="I130" s="435">
        <f t="shared" si="71"/>
        <v>0</v>
      </c>
    </row>
    <row r="131" spans="1:9" s="285" customFormat="1" x14ac:dyDescent="0.25">
      <c r="A131" s="118">
        <v>12</v>
      </c>
      <c r="B131" s="151">
        <v>5815</v>
      </c>
      <c r="C131" s="94" t="s">
        <v>99</v>
      </c>
      <c r="D131" s="85"/>
      <c r="E131" s="85"/>
      <c r="F131" s="85">
        <f t="shared" si="45"/>
        <v>0</v>
      </c>
      <c r="G131" s="435">
        <f t="shared" ref="G131:I131" si="72">+(F131*0.1)+F131</f>
        <v>0</v>
      </c>
      <c r="H131" s="435">
        <f t="shared" si="72"/>
        <v>0</v>
      </c>
      <c r="I131" s="435">
        <f t="shared" si="72"/>
        <v>0</v>
      </c>
    </row>
    <row r="132" spans="1:9" s="285" customFormat="1" x14ac:dyDescent="0.25">
      <c r="A132" s="118">
        <v>12</v>
      </c>
      <c r="B132" s="151">
        <v>5820</v>
      </c>
      <c r="C132" s="94" t="s">
        <v>114</v>
      </c>
      <c r="D132" s="86"/>
      <c r="E132" s="85"/>
      <c r="F132" s="85">
        <f t="shared" si="45"/>
        <v>0</v>
      </c>
      <c r="G132" s="435">
        <f t="shared" ref="G132:I132" si="73">+(F132*0.1)+F132</f>
        <v>0</v>
      </c>
      <c r="H132" s="435">
        <f t="shared" si="73"/>
        <v>0</v>
      </c>
      <c r="I132" s="435">
        <f t="shared" si="73"/>
        <v>0</v>
      </c>
    </row>
    <row r="133" spans="1:9" s="285" customFormat="1" x14ac:dyDescent="0.25">
      <c r="A133" s="118">
        <v>12</v>
      </c>
      <c r="B133" s="151">
        <v>5825</v>
      </c>
      <c r="C133" s="94" t="s">
        <v>317</v>
      </c>
      <c r="D133" s="86"/>
      <c r="E133" s="85"/>
      <c r="F133" s="85">
        <f t="shared" si="45"/>
        <v>0</v>
      </c>
      <c r="G133" s="435">
        <f t="shared" ref="G133:I133" si="74">+(F133*0.1)+F133</f>
        <v>0</v>
      </c>
      <c r="H133" s="435">
        <f t="shared" si="74"/>
        <v>0</v>
      </c>
      <c r="I133" s="435">
        <f t="shared" si="74"/>
        <v>0</v>
      </c>
    </row>
    <row r="134" spans="1:9" s="285" customFormat="1" x14ac:dyDescent="0.25">
      <c r="A134" s="118">
        <v>12</v>
      </c>
      <c r="B134" s="151">
        <v>5830</v>
      </c>
      <c r="C134" s="94" t="s">
        <v>318</v>
      </c>
      <c r="D134" s="86"/>
      <c r="E134" s="85">
        <v>12778</v>
      </c>
      <c r="F134" s="85">
        <f t="shared" si="45"/>
        <v>12778</v>
      </c>
      <c r="G134" s="435">
        <f t="shared" ref="G134:I134" si="75">+(F134*0.1)+F134</f>
        <v>14055.8</v>
      </c>
      <c r="H134" s="435">
        <f t="shared" si="75"/>
        <v>15461.38</v>
      </c>
      <c r="I134" s="435">
        <f t="shared" si="75"/>
        <v>17007.518</v>
      </c>
    </row>
    <row r="135" spans="1:9" s="285" customFormat="1" x14ac:dyDescent="0.25">
      <c r="A135" s="118">
        <v>12</v>
      </c>
      <c r="B135" s="151">
        <v>5835</v>
      </c>
      <c r="C135" s="94" t="s">
        <v>319</v>
      </c>
      <c r="D135" s="86"/>
      <c r="E135" s="85">
        <v>0</v>
      </c>
      <c r="F135" s="85">
        <f t="shared" si="45"/>
        <v>0</v>
      </c>
      <c r="G135" s="435">
        <f t="shared" ref="G135:I135" si="76">+(F135*0.1)+F135</f>
        <v>0</v>
      </c>
      <c r="H135" s="435">
        <f t="shared" si="76"/>
        <v>0</v>
      </c>
      <c r="I135" s="435">
        <f t="shared" si="76"/>
        <v>0</v>
      </c>
    </row>
    <row r="136" spans="1:9" s="285" customFormat="1" x14ac:dyDescent="0.25">
      <c r="A136" s="118">
        <v>12</v>
      </c>
      <c r="B136" s="151">
        <v>5840</v>
      </c>
      <c r="C136" s="94" t="s">
        <v>332</v>
      </c>
      <c r="D136" s="115"/>
      <c r="E136" s="85">
        <v>0</v>
      </c>
      <c r="F136" s="85">
        <f t="shared" si="45"/>
        <v>0</v>
      </c>
      <c r="G136" s="435">
        <f t="shared" ref="G136:I136" si="77">+(F136*0.1)+F136</f>
        <v>0</v>
      </c>
      <c r="H136" s="435">
        <f t="shared" si="77"/>
        <v>0</v>
      </c>
      <c r="I136" s="435">
        <f t="shared" si="77"/>
        <v>0</v>
      </c>
    </row>
    <row r="137" spans="1:9" s="285" customFormat="1" x14ac:dyDescent="0.25">
      <c r="A137" s="118">
        <v>12</v>
      </c>
      <c r="B137" s="151">
        <v>5845</v>
      </c>
      <c r="C137" s="94" t="s">
        <v>320</v>
      </c>
      <c r="D137" s="86"/>
      <c r="E137" s="85">
        <v>0</v>
      </c>
      <c r="F137" s="85">
        <f t="shared" ref="F137:F143" si="78">E137-D137</f>
        <v>0</v>
      </c>
      <c r="G137" s="435">
        <f t="shared" ref="G137:I137" si="79">+(F137*0.1)+F137</f>
        <v>0</v>
      </c>
      <c r="H137" s="435">
        <f t="shared" si="79"/>
        <v>0</v>
      </c>
      <c r="I137" s="435">
        <f t="shared" si="79"/>
        <v>0</v>
      </c>
    </row>
    <row r="138" spans="1:9" s="285" customFormat="1" x14ac:dyDescent="0.25">
      <c r="A138" s="118">
        <v>12</v>
      </c>
      <c r="B138" s="151">
        <v>5855</v>
      </c>
      <c r="C138" s="94" t="s">
        <v>321</v>
      </c>
      <c r="D138" s="85"/>
      <c r="E138" s="85">
        <v>0</v>
      </c>
      <c r="F138" s="85">
        <f t="shared" si="78"/>
        <v>0</v>
      </c>
      <c r="G138" s="435">
        <f t="shared" ref="G138:I138" si="80">+(F138*0.1)+F138</f>
        <v>0</v>
      </c>
      <c r="H138" s="435">
        <f t="shared" si="80"/>
        <v>0</v>
      </c>
      <c r="I138" s="435">
        <f t="shared" si="80"/>
        <v>0</v>
      </c>
    </row>
    <row r="139" spans="1:9" s="285" customFormat="1" x14ac:dyDescent="0.25">
      <c r="A139" s="118">
        <v>12</v>
      </c>
      <c r="B139" s="151">
        <v>5860</v>
      </c>
      <c r="C139" s="94" t="s">
        <v>322</v>
      </c>
      <c r="D139" s="85"/>
      <c r="E139" s="85">
        <v>0</v>
      </c>
      <c r="F139" s="85">
        <f t="shared" si="78"/>
        <v>0</v>
      </c>
      <c r="G139" s="435">
        <f t="shared" ref="G139:I139" si="81">+(F139*0.1)+F139</f>
        <v>0</v>
      </c>
      <c r="H139" s="435">
        <f t="shared" si="81"/>
        <v>0</v>
      </c>
      <c r="I139" s="435">
        <f t="shared" si="81"/>
        <v>0</v>
      </c>
    </row>
    <row r="140" spans="1:9" s="285" customFormat="1" x14ac:dyDescent="0.25">
      <c r="A140" s="118">
        <v>12</v>
      </c>
      <c r="B140" s="151">
        <v>5865</v>
      </c>
      <c r="C140" s="94" t="s">
        <v>323</v>
      </c>
      <c r="D140" s="85"/>
      <c r="E140" s="85">
        <v>0</v>
      </c>
      <c r="F140" s="85">
        <f t="shared" si="78"/>
        <v>0</v>
      </c>
      <c r="G140" s="435">
        <f t="shared" ref="G140:I140" si="82">+(F140*0.1)+F140</f>
        <v>0</v>
      </c>
      <c r="H140" s="435">
        <f t="shared" si="82"/>
        <v>0</v>
      </c>
      <c r="I140" s="435">
        <f t="shared" si="82"/>
        <v>0</v>
      </c>
    </row>
    <row r="141" spans="1:9" s="285" customFormat="1" x14ac:dyDescent="0.25">
      <c r="A141" s="118">
        <v>12</v>
      </c>
      <c r="B141" s="151">
        <v>5870</v>
      </c>
      <c r="C141" s="94" t="s">
        <v>324</v>
      </c>
      <c r="D141" s="85"/>
      <c r="E141" s="85">
        <v>0</v>
      </c>
      <c r="F141" s="85">
        <f t="shared" si="78"/>
        <v>0</v>
      </c>
      <c r="G141" s="435">
        <f t="shared" ref="G141:I141" si="83">+(F141*0.1)+F141</f>
        <v>0</v>
      </c>
      <c r="H141" s="435">
        <f t="shared" si="83"/>
        <v>0</v>
      </c>
      <c r="I141" s="435">
        <f t="shared" si="83"/>
        <v>0</v>
      </c>
    </row>
    <row r="142" spans="1:9" s="285" customFormat="1" x14ac:dyDescent="0.25">
      <c r="A142" s="118">
        <v>12</v>
      </c>
      <c r="B142" s="151">
        <v>5875</v>
      </c>
      <c r="C142" s="94" t="s">
        <v>325</v>
      </c>
      <c r="D142" s="85"/>
      <c r="E142" s="85">
        <v>0</v>
      </c>
      <c r="F142" s="85">
        <f t="shared" si="78"/>
        <v>0</v>
      </c>
      <c r="G142" s="435">
        <f t="shared" ref="G142:I142" si="84">+(F142*0.1)+F142</f>
        <v>0</v>
      </c>
      <c r="H142" s="435">
        <f t="shared" si="84"/>
        <v>0</v>
      </c>
      <c r="I142" s="435">
        <f t="shared" si="84"/>
        <v>0</v>
      </c>
    </row>
    <row r="143" spans="1:9" s="285" customFormat="1" x14ac:dyDescent="0.25">
      <c r="A143" s="118">
        <v>12</v>
      </c>
      <c r="B143" s="151">
        <v>5880</v>
      </c>
      <c r="C143" s="94" t="s">
        <v>326</v>
      </c>
      <c r="D143" s="85"/>
      <c r="E143" s="85">
        <v>0</v>
      </c>
      <c r="F143" s="85">
        <f t="shared" si="78"/>
        <v>0</v>
      </c>
      <c r="G143" s="435">
        <f t="shared" ref="G143:I143" si="85">+(F143*0.1)+F143</f>
        <v>0</v>
      </c>
      <c r="H143" s="435">
        <f t="shared" si="85"/>
        <v>0</v>
      </c>
      <c r="I143" s="435">
        <f t="shared" si="85"/>
        <v>0</v>
      </c>
    </row>
    <row r="144" spans="1:9" s="285" customFormat="1" x14ac:dyDescent="0.25">
      <c r="A144" s="118">
        <v>12</v>
      </c>
      <c r="B144" s="151">
        <v>5885</v>
      </c>
      <c r="C144" s="94" t="s">
        <v>331</v>
      </c>
      <c r="D144" s="85">
        <v>3946</v>
      </c>
      <c r="E144" s="85"/>
      <c r="F144" s="85">
        <v>8000</v>
      </c>
      <c r="G144" s="435">
        <f t="shared" ref="G144:I144" si="86">+(F144*0.1)+F144</f>
        <v>8800</v>
      </c>
      <c r="H144" s="435">
        <f t="shared" si="86"/>
        <v>9680</v>
      </c>
      <c r="I144" s="435">
        <f t="shared" si="86"/>
        <v>10648</v>
      </c>
    </row>
    <row r="145" spans="1:9" s="285" customFormat="1" x14ac:dyDescent="0.25">
      <c r="A145" s="118">
        <v>12</v>
      </c>
      <c r="B145" s="151">
        <v>5890</v>
      </c>
      <c r="C145" s="94" t="s">
        <v>327</v>
      </c>
      <c r="D145" s="85"/>
      <c r="E145" s="85"/>
      <c r="F145" s="85"/>
      <c r="G145" s="435">
        <f t="shared" ref="G145:I145" si="87">+(F145*0.1)+F145</f>
        <v>0</v>
      </c>
      <c r="H145" s="435">
        <f t="shared" si="87"/>
        <v>0</v>
      </c>
      <c r="I145" s="435">
        <f t="shared" si="87"/>
        <v>0</v>
      </c>
    </row>
    <row r="146" spans="1:9" s="285" customFormat="1" x14ac:dyDescent="0.25">
      <c r="A146" s="118">
        <v>12</v>
      </c>
      <c r="B146" s="151">
        <v>5895</v>
      </c>
      <c r="C146" s="94" t="s">
        <v>328</v>
      </c>
      <c r="D146" s="85"/>
      <c r="E146" s="85"/>
      <c r="F146" s="85"/>
      <c r="G146" s="435">
        <f t="shared" ref="G146:I146" si="88">+(F146*0.1)+F146</f>
        <v>0</v>
      </c>
      <c r="H146" s="435">
        <f t="shared" si="88"/>
        <v>0</v>
      </c>
      <c r="I146" s="435">
        <f t="shared" si="88"/>
        <v>0</v>
      </c>
    </row>
    <row r="147" spans="1:9" s="285" customFormat="1" x14ac:dyDescent="0.25">
      <c r="A147" s="118">
        <v>12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35">
        <f t="shared" ref="G147:I147" si="89">+(F147*0.1)+F147</f>
        <v>0</v>
      </c>
      <c r="H147" s="435">
        <f t="shared" si="89"/>
        <v>0</v>
      </c>
      <c r="I147" s="435">
        <f t="shared" si="89"/>
        <v>0</v>
      </c>
    </row>
    <row r="148" spans="1:9" s="285" customFormat="1" x14ac:dyDescent="0.25">
      <c r="A148" s="344"/>
      <c r="B148" s="151"/>
      <c r="C148" s="94"/>
      <c r="D148" s="89">
        <f t="shared" ref="D148:I148" si="90">SUM(D72:D147)</f>
        <v>396334</v>
      </c>
      <c r="E148" s="89">
        <f t="shared" si="90"/>
        <v>924704</v>
      </c>
      <c r="F148" s="89">
        <f t="shared" si="90"/>
        <v>932704</v>
      </c>
      <c r="G148" s="436">
        <f t="shared" si="90"/>
        <v>1025974.4</v>
      </c>
      <c r="H148" s="436">
        <f t="shared" si="90"/>
        <v>1128571.8399999999</v>
      </c>
      <c r="I148" s="436">
        <f t="shared" si="90"/>
        <v>1241429.024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12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85"/>
      <c r="H150" s="85">
        <f>0/8*12</f>
        <v>0</v>
      </c>
      <c r="I150" s="108"/>
    </row>
    <row r="151" spans="1:9" s="285" customFormat="1" x14ac:dyDescent="0.25">
      <c r="A151" s="344"/>
      <c r="B151" s="151"/>
      <c r="C151" s="94"/>
      <c r="D151" s="89">
        <f t="shared" ref="D151:I151" si="91">SUM(D150)</f>
        <v>0</v>
      </c>
      <c r="E151" s="89">
        <f t="shared" si="91"/>
        <v>0</v>
      </c>
      <c r="F151" s="89">
        <f t="shared" si="91"/>
        <v>0</v>
      </c>
      <c r="G151" s="436">
        <f t="shared" si="91"/>
        <v>0</v>
      </c>
      <c r="H151" s="436">
        <f t="shared" si="91"/>
        <v>0</v>
      </c>
      <c r="I151" s="436">
        <f t="shared" si="91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88"/>
    </row>
    <row r="153" spans="1:9" s="285" customFormat="1" x14ac:dyDescent="0.25">
      <c r="A153" s="118">
        <v>12</v>
      </c>
      <c r="B153" s="151">
        <v>6105</v>
      </c>
      <c r="C153" s="94" t="s">
        <v>336</v>
      </c>
      <c r="D153" s="85"/>
      <c r="E153" s="108"/>
      <c r="F153" s="85">
        <f t="shared" ref="F153:H155" si="92">0/8*12</f>
        <v>0</v>
      </c>
      <c r="G153" s="85"/>
      <c r="H153" s="85">
        <f t="shared" si="92"/>
        <v>0</v>
      </c>
      <c r="I153" s="108"/>
    </row>
    <row r="154" spans="1:9" s="285" customFormat="1" x14ac:dyDescent="0.25">
      <c r="A154" s="118">
        <v>12</v>
      </c>
      <c r="B154" s="151">
        <v>6110</v>
      </c>
      <c r="C154" s="94" t="s">
        <v>337</v>
      </c>
      <c r="D154" s="85"/>
      <c r="E154" s="108"/>
      <c r="F154" s="85">
        <f t="shared" si="92"/>
        <v>0</v>
      </c>
      <c r="G154" s="85"/>
      <c r="H154" s="85">
        <f t="shared" si="92"/>
        <v>0</v>
      </c>
      <c r="I154" s="108"/>
    </row>
    <row r="155" spans="1:9" s="285" customFormat="1" x14ac:dyDescent="0.25">
      <c r="A155" s="118">
        <v>12</v>
      </c>
      <c r="B155" s="151">
        <v>6115</v>
      </c>
      <c r="C155" s="94" t="s">
        <v>60</v>
      </c>
      <c r="D155" s="85"/>
      <c r="E155" s="108"/>
      <c r="F155" s="85">
        <f t="shared" si="92"/>
        <v>0</v>
      </c>
      <c r="G155" s="85"/>
      <c r="H155" s="85">
        <f t="shared" si="92"/>
        <v>0</v>
      </c>
      <c r="I155" s="108"/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:I156" si="93">SUM(E153:E155)</f>
        <v>0</v>
      </c>
      <c r="F156" s="89">
        <f t="shared" si="93"/>
        <v>0</v>
      </c>
      <c r="G156" s="436">
        <f t="shared" si="93"/>
        <v>0</v>
      </c>
      <c r="H156" s="436">
        <f t="shared" si="93"/>
        <v>0</v>
      </c>
      <c r="I156" s="436">
        <f t="shared" si="93"/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88"/>
    </row>
    <row r="158" spans="1:9" s="285" customFormat="1" x14ac:dyDescent="0.25">
      <c r="A158" s="118">
        <v>12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>
        <f>0/8*12</f>
        <v>0</v>
      </c>
      <c r="I158" s="85">
        <f>F158*(1+INPUT!C$10)</f>
        <v>0</v>
      </c>
    </row>
    <row r="159" spans="1:9" s="285" customFormat="1" x14ac:dyDescent="0.25">
      <c r="A159" s="118">
        <v>12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>
        <f>0/8*12</f>
        <v>0</v>
      </c>
      <c r="I159" s="85">
        <f>F159*(1+INPUT!C$10)</f>
        <v>0</v>
      </c>
    </row>
    <row r="160" spans="1:9" s="285" customFormat="1" x14ac:dyDescent="0.25">
      <c r="A160" s="344"/>
      <c r="B160" s="346"/>
      <c r="C160" s="347"/>
      <c r="D160" s="116">
        <f t="shared" ref="D160:F160" si="94">SUM(D158:D159)</f>
        <v>0</v>
      </c>
      <c r="E160" s="116">
        <f t="shared" si="94"/>
        <v>0</v>
      </c>
      <c r="F160" s="116">
        <f t="shared" si="94"/>
        <v>0</v>
      </c>
      <c r="G160" s="448">
        <f t="shared" ref="G160:I160" si="95">SUM(G158:G159)</f>
        <v>0</v>
      </c>
      <c r="H160" s="448">
        <f t="shared" si="95"/>
        <v>0</v>
      </c>
      <c r="I160" s="448">
        <f t="shared" si="95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F161" si="96">D160+D156+D151+D148+D70+D66+D63+D59+D38+D35+D32+D29+D25+D18</f>
        <v>1073222</v>
      </c>
      <c r="E161" s="116">
        <f t="shared" si="96"/>
        <v>4190826</v>
      </c>
      <c r="F161" s="116">
        <f t="shared" si="96"/>
        <v>4198826</v>
      </c>
      <c r="G161" s="448">
        <f t="shared" ref="G161:I161" si="97">G160+G156+G151+G148+G70+G66+G63+G59+G38+G35+G32+G29+G25+G18</f>
        <v>4501246.4000000004</v>
      </c>
      <c r="H161" s="448">
        <f t="shared" si="97"/>
        <v>4840162.3360000001</v>
      </c>
      <c r="I161" s="448">
        <f t="shared" si="97"/>
        <v>5205407.6737280004</v>
      </c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449"/>
      <c r="H162" s="449"/>
      <c r="I162" s="449"/>
    </row>
    <row r="163" spans="1:9" s="285" customFormat="1" x14ac:dyDescent="0.25">
      <c r="A163" s="118">
        <v>12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435">
        <f t="shared" ref="G163:I163" si="98">0/8*12</f>
        <v>0</v>
      </c>
      <c r="H163" s="435">
        <f t="shared" si="98"/>
        <v>0</v>
      </c>
      <c r="I163" s="435">
        <f t="shared" si="98"/>
        <v>0</v>
      </c>
    </row>
    <row r="164" spans="1:9" s="285" customFormat="1" x14ac:dyDescent="0.25">
      <c r="A164" s="344"/>
      <c r="B164" s="151"/>
      <c r="C164" s="94"/>
      <c r="D164" s="116">
        <f t="shared" ref="D164:F164" si="99">D163</f>
        <v>0</v>
      </c>
      <c r="E164" s="116">
        <f t="shared" si="99"/>
        <v>0</v>
      </c>
      <c r="F164" s="116">
        <f t="shared" si="99"/>
        <v>0</v>
      </c>
      <c r="G164" s="448">
        <f t="shared" ref="G164:I164" si="100">G163</f>
        <v>0</v>
      </c>
      <c r="H164" s="448">
        <f t="shared" si="100"/>
        <v>0</v>
      </c>
      <c r="I164" s="448">
        <f t="shared" si="100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F165" si="101">SUM(D161+D164)</f>
        <v>1073222</v>
      </c>
      <c r="E165" s="160">
        <f t="shared" si="101"/>
        <v>4190826</v>
      </c>
      <c r="F165" s="160">
        <f t="shared" si="101"/>
        <v>4198826</v>
      </c>
      <c r="G165" s="463">
        <f t="shared" ref="G165:I165" si="102">SUM(G161+G164)</f>
        <v>4501246.4000000004</v>
      </c>
      <c r="H165" s="463">
        <f t="shared" si="102"/>
        <v>4840162.3360000001</v>
      </c>
      <c r="I165" s="463">
        <f t="shared" si="102"/>
        <v>5205407.6737280004</v>
      </c>
    </row>
    <row r="166" spans="1:9" s="285" customFormat="1" x14ac:dyDescent="0.25">
      <c r="A166" s="350"/>
      <c r="B166" s="389"/>
      <c r="C166" s="390"/>
      <c r="D166" s="120"/>
      <c r="E166" s="120"/>
      <c r="F166" s="120"/>
      <c r="G166" s="120"/>
      <c r="H166" s="120"/>
      <c r="I166" s="384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385"/>
    </row>
    <row r="168" spans="1:9" s="285" customFormat="1" x14ac:dyDescent="0.25">
      <c r="A168" s="349"/>
      <c r="B168" s="710" t="s">
        <v>549</v>
      </c>
      <c r="C168" s="710"/>
      <c r="D168" s="711"/>
      <c r="E168" s="341"/>
      <c r="F168" s="341"/>
      <c r="G168" s="425"/>
      <c r="H168" s="341"/>
      <c r="I168" s="342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122"/>
    </row>
    <row r="172" spans="1:9" s="285" customFormat="1" x14ac:dyDescent="0.25">
      <c r="A172" s="118">
        <v>12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>
        <f>+(F172*0.1)+F172</f>
        <v>0</v>
      </c>
      <c r="H172" s="442">
        <f t="shared" ref="H172:I173" si="103">+(G172*0.1)+G172</f>
        <v>0</v>
      </c>
      <c r="I172" s="442">
        <f t="shared" si="103"/>
        <v>0</v>
      </c>
    </row>
    <row r="173" spans="1:9" s="285" customFormat="1" x14ac:dyDescent="0.25">
      <c r="A173" s="118">
        <v>12</v>
      </c>
      <c r="B173" s="151">
        <v>5725</v>
      </c>
      <c r="C173" s="94" t="s">
        <v>402</v>
      </c>
      <c r="D173" s="85">
        <v>0</v>
      </c>
      <c r="E173" s="85">
        <v>0</v>
      </c>
      <c r="F173" s="85">
        <v>0</v>
      </c>
      <c r="G173" s="442">
        <f>+(F173*0.1)+F173</f>
        <v>0</v>
      </c>
      <c r="H173" s="442">
        <f t="shared" si="103"/>
        <v>0</v>
      </c>
      <c r="I173" s="442">
        <f t="shared" si="103"/>
        <v>0</v>
      </c>
    </row>
    <row r="174" spans="1:9" s="285" customFormat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122"/>
    </row>
    <row r="176" spans="1:9" s="285" customFormat="1" x14ac:dyDescent="0.25">
      <c r="A176" s="118">
        <v>12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42">
        <f t="shared" ref="G176:I176" si="104">+(F176*0.1)+F176</f>
        <v>0</v>
      </c>
      <c r="H176" s="442">
        <f t="shared" si="104"/>
        <v>0</v>
      </c>
      <c r="I176" s="442">
        <f t="shared" si="104"/>
        <v>0</v>
      </c>
    </row>
    <row r="177" spans="1:9" s="285" customFormat="1" x14ac:dyDescent="0.25">
      <c r="A177" s="118">
        <v>12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42">
        <f t="shared" ref="G177:I177" si="105">+(F177*0.1)+F177</f>
        <v>0</v>
      </c>
      <c r="H177" s="442">
        <f t="shared" si="105"/>
        <v>0</v>
      </c>
      <c r="I177" s="442">
        <f t="shared" si="105"/>
        <v>0</v>
      </c>
    </row>
    <row r="178" spans="1:9" s="285" customFormat="1" x14ac:dyDescent="0.25">
      <c r="A178" s="118">
        <v>12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42">
        <f t="shared" ref="G178:I178" si="106">+(F178*0.1)+F178</f>
        <v>0</v>
      </c>
      <c r="H178" s="442">
        <f t="shared" si="106"/>
        <v>0</v>
      </c>
      <c r="I178" s="442">
        <f t="shared" si="106"/>
        <v>0</v>
      </c>
    </row>
    <row r="179" spans="1:9" s="285" customFormat="1" x14ac:dyDescent="0.25">
      <c r="A179" s="118">
        <v>12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42">
        <f t="shared" ref="G179:I179" si="107">+(F179*0.1)+F179</f>
        <v>0</v>
      </c>
      <c r="H179" s="442">
        <f t="shared" si="107"/>
        <v>0</v>
      </c>
      <c r="I179" s="442">
        <f t="shared" si="107"/>
        <v>0</v>
      </c>
    </row>
    <row r="180" spans="1:9" s="285" customFormat="1" x14ac:dyDescent="0.25">
      <c r="A180" s="118">
        <v>12</v>
      </c>
      <c r="B180" s="151">
        <v>1143</v>
      </c>
      <c r="C180" s="94" t="s">
        <v>109</v>
      </c>
      <c r="D180" s="122"/>
      <c r="E180" s="98"/>
      <c r="F180" s="98">
        <f>E180/8*12</f>
        <v>0</v>
      </c>
      <c r="G180" s="442">
        <f t="shared" ref="G180:I180" si="108">+(F180*0.1)+F180</f>
        <v>0</v>
      </c>
      <c r="H180" s="442">
        <f t="shared" si="108"/>
        <v>0</v>
      </c>
      <c r="I180" s="442">
        <f t="shared" si="108"/>
        <v>0</v>
      </c>
    </row>
    <row r="181" spans="1:9" s="285" customFormat="1" x14ac:dyDescent="0.25">
      <c r="A181" s="118">
        <v>12</v>
      </c>
      <c r="B181" s="151">
        <v>5500</v>
      </c>
      <c r="C181" s="94" t="s">
        <v>266</v>
      </c>
      <c r="D181" s="85"/>
      <c r="E181" s="85">
        <v>-33969</v>
      </c>
      <c r="F181" s="85">
        <f t="shared" ref="F181:F200" si="109">E181-D181</f>
        <v>-33969</v>
      </c>
      <c r="G181" s="442">
        <f t="shared" ref="G181:I181" si="110">+(F181*0.1)+F181</f>
        <v>-37365.9</v>
      </c>
      <c r="H181" s="442">
        <f t="shared" si="110"/>
        <v>-41102.490000000005</v>
      </c>
      <c r="I181" s="442">
        <f t="shared" si="110"/>
        <v>-45212.739000000009</v>
      </c>
    </row>
    <row r="182" spans="1:9" s="285" customFormat="1" x14ac:dyDescent="0.25">
      <c r="A182" s="118">
        <v>12</v>
      </c>
      <c r="B182" s="151">
        <v>5705</v>
      </c>
      <c r="C182" s="94" t="s">
        <v>296</v>
      </c>
      <c r="D182" s="85"/>
      <c r="E182" s="85"/>
      <c r="F182" s="85">
        <f t="shared" si="109"/>
        <v>0</v>
      </c>
      <c r="G182" s="442">
        <f t="shared" ref="G182:I182" si="111">+(F182*0.1)+F182</f>
        <v>0</v>
      </c>
      <c r="H182" s="442">
        <f t="shared" si="111"/>
        <v>0</v>
      </c>
      <c r="I182" s="442">
        <f t="shared" si="111"/>
        <v>0</v>
      </c>
    </row>
    <row r="183" spans="1:9" s="285" customFormat="1" x14ac:dyDescent="0.25">
      <c r="A183" s="118">
        <v>12</v>
      </c>
      <c r="B183" s="151">
        <v>1140</v>
      </c>
      <c r="C183" s="94" t="s">
        <v>113</v>
      </c>
      <c r="D183" s="122"/>
      <c r="E183" s="98"/>
      <c r="F183" s="85">
        <f t="shared" si="109"/>
        <v>0</v>
      </c>
      <c r="G183" s="442">
        <f t="shared" ref="G183:I183" si="112">+(F183*0.1)+F183</f>
        <v>0</v>
      </c>
      <c r="H183" s="442">
        <f t="shared" si="112"/>
        <v>0</v>
      </c>
      <c r="I183" s="442">
        <f t="shared" si="112"/>
        <v>0</v>
      </c>
    </row>
    <row r="184" spans="1:9" s="285" customFormat="1" x14ac:dyDescent="0.25">
      <c r="A184" s="118">
        <v>12</v>
      </c>
      <c r="B184" s="151">
        <v>1145</v>
      </c>
      <c r="C184" s="94" t="s">
        <v>132</v>
      </c>
      <c r="D184" s="122"/>
      <c r="E184" s="98"/>
      <c r="F184" s="85">
        <f t="shared" si="109"/>
        <v>0</v>
      </c>
      <c r="G184" s="442">
        <f t="shared" ref="G184:I184" si="113">+(F184*0.1)+F184</f>
        <v>0</v>
      </c>
      <c r="H184" s="442">
        <f t="shared" si="113"/>
        <v>0</v>
      </c>
      <c r="I184" s="442">
        <f t="shared" si="113"/>
        <v>0</v>
      </c>
    </row>
    <row r="185" spans="1:9" s="285" customFormat="1" x14ac:dyDescent="0.25">
      <c r="A185" s="118">
        <v>12</v>
      </c>
      <c r="B185" s="151">
        <v>1150</v>
      </c>
      <c r="C185" s="94" t="s">
        <v>120</v>
      </c>
      <c r="D185" s="122"/>
      <c r="E185" s="98"/>
      <c r="F185" s="85">
        <f t="shared" si="109"/>
        <v>0</v>
      </c>
      <c r="G185" s="442">
        <f t="shared" ref="G185:I185" si="114">+(F185*0.1)+F185</f>
        <v>0</v>
      </c>
      <c r="H185" s="442">
        <f t="shared" si="114"/>
        <v>0</v>
      </c>
      <c r="I185" s="442">
        <f t="shared" si="114"/>
        <v>0</v>
      </c>
    </row>
    <row r="186" spans="1:9" s="285" customFormat="1" x14ac:dyDescent="0.25">
      <c r="A186" s="118">
        <v>12</v>
      </c>
      <c r="B186" s="151">
        <v>1155</v>
      </c>
      <c r="C186" s="94" t="s">
        <v>116</v>
      </c>
      <c r="D186" s="122"/>
      <c r="E186" s="98"/>
      <c r="F186" s="85">
        <f t="shared" si="109"/>
        <v>0</v>
      </c>
      <c r="G186" s="442">
        <f t="shared" ref="G186:I186" si="115">+(F186*0.1)+F186</f>
        <v>0</v>
      </c>
      <c r="H186" s="442">
        <f t="shared" si="115"/>
        <v>0</v>
      </c>
      <c r="I186" s="442">
        <f t="shared" si="115"/>
        <v>0</v>
      </c>
    </row>
    <row r="187" spans="1:9" s="285" customFormat="1" x14ac:dyDescent="0.25">
      <c r="A187" s="118">
        <v>12</v>
      </c>
      <c r="B187" s="151">
        <v>1160</v>
      </c>
      <c r="C187" s="94" t="s">
        <v>101</v>
      </c>
      <c r="D187" s="122"/>
      <c r="E187" s="98"/>
      <c r="F187" s="85">
        <f t="shared" si="109"/>
        <v>0</v>
      </c>
      <c r="G187" s="442">
        <f t="shared" ref="G187:I187" si="116">+(F187*0.1)+F187</f>
        <v>0</v>
      </c>
      <c r="H187" s="442">
        <f t="shared" si="116"/>
        <v>0</v>
      </c>
      <c r="I187" s="442">
        <f t="shared" si="116"/>
        <v>0</v>
      </c>
    </row>
    <row r="188" spans="1:9" s="285" customFormat="1" x14ac:dyDescent="0.25">
      <c r="A188" s="118">
        <v>12</v>
      </c>
      <c r="B188" s="151">
        <v>1165</v>
      </c>
      <c r="C188" s="94" t="s">
        <v>114</v>
      </c>
      <c r="D188" s="122"/>
      <c r="E188" s="98"/>
      <c r="F188" s="85">
        <f t="shared" si="109"/>
        <v>0</v>
      </c>
      <c r="G188" s="442">
        <f t="shared" ref="G188:I188" si="117">+(F188*0.1)+F188</f>
        <v>0</v>
      </c>
      <c r="H188" s="442">
        <f t="shared" si="117"/>
        <v>0</v>
      </c>
      <c r="I188" s="442">
        <f t="shared" si="117"/>
        <v>0</v>
      </c>
    </row>
    <row r="189" spans="1:9" s="285" customFormat="1" x14ac:dyDescent="0.25">
      <c r="A189" s="118"/>
      <c r="B189" s="151"/>
      <c r="C189" s="94" t="s">
        <v>403</v>
      </c>
      <c r="D189" s="122"/>
      <c r="E189" s="98"/>
      <c r="F189" s="85">
        <f t="shared" si="109"/>
        <v>0</v>
      </c>
      <c r="G189" s="442">
        <f t="shared" ref="G189:I189" si="118">+(F189*0.1)+F189</f>
        <v>0</v>
      </c>
      <c r="H189" s="442">
        <f t="shared" si="118"/>
        <v>0</v>
      </c>
      <c r="I189" s="442">
        <f t="shared" si="118"/>
        <v>0</v>
      </c>
    </row>
    <row r="190" spans="1:9" s="285" customFormat="1" x14ac:dyDescent="0.25">
      <c r="A190" s="118">
        <v>12</v>
      </c>
      <c r="B190" s="151">
        <v>1180</v>
      </c>
      <c r="C190" s="94" t="s">
        <v>404</v>
      </c>
      <c r="D190" s="122"/>
      <c r="E190" s="98"/>
      <c r="F190" s="85">
        <f t="shared" si="109"/>
        <v>0</v>
      </c>
      <c r="G190" s="442">
        <f t="shared" ref="G190:I190" si="119">+(F190*0.1)+F190</f>
        <v>0</v>
      </c>
      <c r="H190" s="442">
        <f t="shared" si="119"/>
        <v>0</v>
      </c>
      <c r="I190" s="442">
        <f t="shared" si="119"/>
        <v>0</v>
      </c>
    </row>
    <row r="191" spans="1:9" s="285" customFormat="1" x14ac:dyDescent="0.25">
      <c r="A191" s="118">
        <v>12</v>
      </c>
      <c r="B191" s="151">
        <v>1185</v>
      </c>
      <c r="C191" s="94" t="s">
        <v>405</v>
      </c>
      <c r="D191" s="122"/>
      <c r="E191" s="98"/>
      <c r="F191" s="85">
        <f t="shared" si="109"/>
        <v>0</v>
      </c>
      <c r="G191" s="442">
        <f t="shared" ref="G191:I191" si="120">+(F191*0.1)+F191</f>
        <v>0</v>
      </c>
      <c r="H191" s="442">
        <f t="shared" si="120"/>
        <v>0</v>
      </c>
      <c r="I191" s="442">
        <f t="shared" si="120"/>
        <v>0</v>
      </c>
    </row>
    <row r="192" spans="1:9" s="285" customFormat="1" x14ac:dyDescent="0.25">
      <c r="A192" s="118">
        <v>12</v>
      </c>
      <c r="B192" s="151">
        <v>1190</v>
      </c>
      <c r="C192" s="94" t="s">
        <v>406</v>
      </c>
      <c r="D192" s="122"/>
      <c r="E192" s="98"/>
      <c r="F192" s="85">
        <f t="shared" si="109"/>
        <v>0</v>
      </c>
      <c r="G192" s="442">
        <f t="shared" ref="G192:I192" si="121">+(F192*0.1)+F192</f>
        <v>0</v>
      </c>
      <c r="H192" s="442">
        <f t="shared" si="121"/>
        <v>0</v>
      </c>
      <c r="I192" s="442">
        <f t="shared" si="121"/>
        <v>0</v>
      </c>
    </row>
    <row r="193" spans="1:9" s="285" customFormat="1" x14ac:dyDescent="0.25">
      <c r="A193" s="118"/>
      <c r="B193" s="151"/>
      <c r="C193" s="94" t="s">
        <v>407</v>
      </c>
      <c r="D193" s="122"/>
      <c r="E193" s="98"/>
      <c r="F193" s="85">
        <f t="shared" si="109"/>
        <v>0</v>
      </c>
      <c r="G193" s="442">
        <f t="shared" ref="G193:I193" si="122">+(F193*0.1)+F193</f>
        <v>0</v>
      </c>
      <c r="H193" s="442">
        <f t="shared" si="122"/>
        <v>0</v>
      </c>
      <c r="I193" s="442">
        <f t="shared" si="122"/>
        <v>0</v>
      </c>
    </row>
    <row r="194" spans="1:9" s="285" customFormat="1" x14ac:dyDescent="0.25">
      <c r="A194" s="118">
        <v>12</v>
      </c>
      <c r="B194" s="151">
        <v>1195</v>
      </c>
      <c r="C194" s="94" t="s">
        <v>199</v>
      </c>
      <c r="D194" s="122"/>
      <c r="E194" s="98"/>
      <c r="F194" s="85">
        <f t="shared" si="109"/>
        <v>0</v>
      </c>
      <c r="G194" s="442">
        <f t="shared" ref="G194:I194" si="123">+(F194*0.1)+F194</f>
        <v>0</v>
      </c>
      <c r="H194" s="442">
        <f t="shared" si="123"/>
        <v>0</v>
      </c>
      <c r="I194" s="442">
        <f t="shared" si="123"/>
        <v>0</v>
      </c>
    </row>
    <row r="195" spans="1:9" s="285" customFormat="1" x14ac:dyDescent="0.25">
      <c r="A195" s="118">
        <v>12</v>
      </c>
      <c r="B195" s="151">
        <v>1200</v>
      </c>
      <c r="C195" s="94" t="s">
        <v>117</v>
      </c>
      <c r="D195" s="122"/>
      <c r="E195" s="98"/>
      <c r="F195" s="85">
        <f t="shared" si="109"/>
        <v>0</v>
      </c>
      <c r="G195" s="442">
        <f t="shared" ref="G195:I195" si="124">+(F195*0.1)+F195</f>
        <v>0</v>
      </c>
      <c r="H195" s="442">
        <f t="shared" si="124"/>
        <v>0</v>
      </c>
      <c r="I195" s="442">
        <f t="shared" si="124"/>
        <v>0</v>
      </c>
    </row>
    <row r="196" spans="1:9" s="285" customFormat="1" x14ac:dyDescent="0.25">
      <c r="A196" s="118">
        <v>12</v>
      </c>
      <c r="B196" s="151">
        <v>1205</v>
      </c>
      <c r="C196" s="115" t="s">
        <v>105</v>
      </c>
      <c r="D196" s="122"/>
      <c r="E196" s="98"/>
      <c r="F196" s="85">
        <f t="shared" si="109"/>
        <v>0</v>
      </c>
      <c r="G196" s="442">
        <f t="shared" ref="G196:I196" si="125">+(F196*0.1)+F196</f>
        <v>0</v>
      </c>
      <c r="H196" s="442">
        <f t="shared" si="125"/>
        <v>0</v>
      </c>
      <c r="I196" s="442">
        <f t="shared" si="125"/>
        <v>0</v>
      </c>
    </row>
    <row r="197" spans="1:9" s="285" customFormat="1" x14ac:dyDescent="0.25">
      <c r="A197" s="118">
        <v>12</v>
      </c>
      <c r="B197" s="151">
        <v>1210</v>
      </c>
      <c r="C197" s="94" t="s">
        <v>118</v>
      </c>
      <c r="D197" s="122"/>
      <c r="E197" s="98"/>
      <c r="F197" s="85">
        <f t="shared" si="109"/>
        <v>0</v>
      </c>
      <c r="G197" s="442">
        <f t="shared" ref="G197:I197" si="126">+(F197*0.1)+F197</f>
        <v>0</v>
      </c>
      <c r="H197" s="442">
        <f t="shared" si="126"/>
        <v>0</v>
      </c>
      <c r="I197" s="442">
        <f t="shared" si="126"/>
        <v>0</v>
      </c>
    </row>
    <row r="198" spans="1:9" s="285" customFormat="1" x14ac:dyDescent="0.25">
      <c r="A198" s="118">
        <v>12</v>
      </c>
      <c r="B198" s="151">
        <v>1215</v>
      </c>
      <c r="C198" s="94" t="s">
        <v>133</v>
      </c>
      <c r="D198" s="122"/>
      <c r="E198" s="98"/>
      <c r="F198" s="85">
        <f t="shared" si="109"/>
        <v>0</v>
      </c>
      <c r="G198" s="442">
        <f t="shared" ref="G198:I198" si="127">+(F198*0.1)+F198</f>
        <v>0</v>
      </c>
      <c r="H198" s="442">
        <f t="shared" si="127"/>
        <v>0</v>
      </c>
      <c r="I198" s="442">
        <f t="shared" si="127"/>
        <v>0</v>
      </c>
    </row>
    <row r="199" spans="1:9" s="285" customFormat="1" ht="0.75" customHeight="1" x14ac:dyDescent="0.25">
      <c r="A199" s="118">
        <v>12</v>
      </c>
      <c r="B199" s="151">
        <v>5905</v>
      </c>
      <c r="C199" s="94" t="s">
        <v>329</v>
      </c>
      <c r="D199" s="85"/>
      <c r="E199" s="85"/>
      <c r="F199" s="85">
        <f t="shared" si="109"/>
        <v>0</v>
      </c>
      <c r="G199" s="442">
        <f t="shared" ref="G199:I199" si="128">+(F199*0.1)+F199</f>
        <v>0</v>
      </c>
      <c r="H199" s="442">
        <f t="shared" si="128"/>
        <v>0</v>
      </c>
      <c r="I199" s="442">
        <f t="shared" si="128"/>
        <v>0</v>
      </c>
    </row>
    <row r="200" spans="1:9" s="285" customFormat="1" x14ac:dyDescent="0.25">
      <c r="A200" s="118">
        <v>12</v>
      </c>
      <c r="B200" s="151">
        <v>5900</v>
      </c>
      <c r="C200" s="94" t="s">
        <v>333</v>
      </c>
      <c r="D200" s="85">
        <v>0</v>
      </c>
      <c r="E200" s="85">
        <v>-17024</v>
      </c>
      <c r="F200" s="85">
        <f t="shared" si="109"/>
        <v>-17024</v>
      </c>
      <c r="G200" s="442">
        <f t="shared" ref="G200:I200" si="129">+(F200*0.1)+F200</f>
        <v>-18726.400000000001</v>
      </c>
      <c r="H200" s="442">
        <f t="shared" si="129"/>
        <v>-20599.04</v>
      </c>
      <c r="I200" s="442">
        <f t="shared" si="129"/>
        <v>-22658.944</v>
      </c>
    </row>
    <row r="201" spans="1:9" s="285" customFormat="1" x14ac:dyDescent="0.25">
      <c r="A201" s="118">
        <v>12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442">
        <f t="shared" ref="G201:I201" si="130">+(F201*0.1)+F201</f>
        <v>0</v>
      </c>
      <c r="H201" s="442">
        <f t="shared" si="130"/>
        <v>0</v>
      </c>
      <c r="I201" s="442">
        <f t="shared" si="130"/>
        <v>0</v>
      </c>
    </row>
    <row r="202" spans="1:9" s="285" customFormat="1" x14ac:dyDescent="0.25">
      <c r="A202" s="118">
        <v>12</v>
      </c>
      <c r="B202" s="151">
        <v>1225</v>
      </c>
      <c r="C202" s="94" t="s">
        <v>372</v>
      </c>
      <c r="D202" s="122"/>
      <c r="E202" s="98"/>
      <c r="F202" s="98">
        <f>E202/8*12</f>
        <v>0</v>
      </c>
      <c r="G202" s="442">
        <f t="shared" ref="G202:I202" si="131">+(F202*0.1)+F202</f>
        <v>0</v>
      </c>
      <c r="H202" s="442">
        <f t="shared" si="131"/>
        <v>0</v>
      </c>
      <c r="I202" s="442">
        <f t="shared" si="131"/>
        <v>0</v>
      </c>
    </row>
    <row r="203" spans="1:9" s="285" customFormat="1" x14ac:dyDescent="0.25">
      <c r="A203" s="118">
        <v>12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42">
        <f t="shared" ref="G203:I203" si="132">+(F203*0.1)+F203</f>
        <v>0</v>
      </c>
      <c r="H203" s="442">
        <f t="shared" si="132"/>
        <v>0</v>
      </c>
      <c r="I203" s="442">
        <f t="shared" si="132"/>
        <v>0</v>
      </c>
    </row>
    <row r="204" spans="1:9" s="285" customFormat="1" x14ac:dyDescent="0.25">
      <c r="A204" s="118">
        <v>12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42">
        <f t="shared" ref="G204:I204" si="133">+(F204*0.1)+F204</f>
        <v>0</v>
      </c>
      <c r="H204" s="442">
        <f t="shared" si="133"/>
        <v>0</v>
      </c>
      <c r="I204" s="442">
        <f t="shared" si="133"/>
        <v>0</v>
      </c>
    </row>
    <row r="205" spans="1:9" s="285" customFormat="1" x14ac:dyDescent="0.25">
      <c r="A205" s="118"/>
      <c r="B205" s="151"/>
      <c r="C205" s="94" t="s">
        <v>512</v>
      </c>
      <c r="D205" s="225"/>
      <c r="E205" s="85"/>
      <c r="F205" s="85"/>
      <c r="G205" s="442">
        <f t="shared" ref="G205:I205" si="134">+(F205*0.1)+F205</f>
        <v>0</v>
      </c>
      <c r="H205" s="442">
        <f t="shared" si="134"/>
        <v>0</v>
      </c>
      <c r="I205" s="442">
        <f t="shared" si="134"/>
        <v>0</v>
      </c>
    </row>
    <row r="206" spans="1:9" s="285" customFormat="1" x14ac:dyDescent="0.25">
      <c r="A206" s="344"/>
      <c r="B206" s="151"/>
      <c r="C206" s="94"/>
      <c r="D206" s="100">
        <f t="shared" ref="D206:I206" si="135">SUM(D176:D204)</f>
        <v>0</v>
      </c>
      <c r="E206" s="100">
        <f t="shared" si="135"/>
        <v>-50993</v>
      </c>
      <c r="F206" s="100">
        <f t="shared" si="135"/>
        <v>-50993</v>
      </c>
      <c r="G206" s="100"/>
      <c r="H206" s="100">
        <f t="shared" si="135"/>
        <v>-61701.530000000006</v>
      </c>
      <c r="I206" s="99">
        <f t="shared" si="135"/>
        <v>-67871.683000000005</v>
      </c>
    </row>
    <row r="207" spans="1:9" s="285" customFormat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122"/>
    </row>
    <row r="208" spans="1:9" s="285" customFormat="1" x14ac:dyDescent="0.25">
      <c r="A208" s="118">
        <v>12</v>
      </c>
      <c r="B208" s="151">
        <v>1305</v>
      </c>
      <c r="C208" s="94" t="s">
        <v>342</v>
      </c>
      <c r="D208" s="122"/>
      <c r="E208" s="98"/>
      <c r="F208" s="98">
        <f t="shared" ref="F208:F211" si="136">E208/8*12</f>
        <v>0</v>
      </c>
      <c r="G208" s="442">
        <f t="shared" ref="G208:I208" si="137">+(F208*0.1)+F208</f>
        <v>0</v>
      </c>
      <c r="H208" s="442">
        <f t="shared" si="137"/>
        <v>0</v>
      </c>
      <c r="I208" s="442">
        <f t="shared" si="137"/>
        <v>0</v>
      </c>
    </row>
    <row r="209" spans="1:9" s="285" customFormat="1" x14ac:dyDescent="0.25">
      <c r="A209" s="118">
        <v>12</v>
      </c>
      <c r="B209" s="151">
        <v>1310</v>
      </c>
      <c r="C209" s="94" t="s">
        <v>344</v>
      </c>
      <c r="D209" s="122"/>
      <c r="E209" s="98"/>
      <c r="F209" s="98">
        <f t="shared" si="136"/>
        <v>0</v>
      </c>
      <c r="G209" s="442">
        <f t="shared" ref="G209:I209" si="138">+(F209*0.1)+F209</f>
        <v>0</v>
      </c>
      <c r="H209" s="442">
        <f t="shared" si="138"/>
        <v>0</v>
      </c>
      <c r="I209" s="442">
        <f t="shared" si="138"/>
        <v>0</v>
      </c>
    </row>
    <row r="210" spans="1:9" s="285" customFormat="1" x14ac:dyDescent="0.25">
      <c r="A210" s="118">
        <v>12</v>
      </c>
      <c r="B210" s="151">
        <v>1320</v>
      </c>
      <c r="C210" s="94" t="s">
        <v>345</v>
      </c>
      <c r="D210" s="122"/>
      <c r="E210" s="98"/>
      <c r="F210" s="98">
        <f t="shared" si="136"/>
        <v>0</v>
      </c>
      <c r="G210" s="442">
        <f t="shared" ref="G210:I210" si="139">+(F210*0.1)+F210</f>
        <v>0</v>
      </c>
      <c r="H210" s="442">
        <f t="shared" si="139"/>
        <v>0</v>
      </c>
      <c r="I210" s="442">
        <f t="shared" si="139"/>
        <v>0</v>
      </c>
    </row>
    <row r="211" spans="1:9" s="285" customFormat="1" x14ac:dyDescent="0.25">
      <c r="A211" s="118">
        <v>12</v>
      </c>
      <c r="B211" s="151">
        <v>1315</v>
      </c>
      <c r="C211" s="94" t="s">
        <v>346</v>
      </c>
      <c r="D211" s="122"/>
      <c r="E211" s="108"/>
      <c r="F211" s="98">
        <f t="shared" si="136"/>
        <v>0</v>
      </c>
      <c r="G211" s="442">
        <f t="shared" ref="G211:I211" si="140">+(F211*0.1)+F211</f>
        <v>0</v>
      </c>
      <c r="H211" s="442">
        <f t="shared" si="140"/>
        <v>0</v>
      </c>
      <c r="I211" s="442">
        <f t="shared" si="140"/>
        <v>0</v>
      </c>
    </row>
    <row r="212" spans="1:9" s="285" customFormat="1" x14ac:dyDescent="0.25">
      <c r="A212" s="344"/>
      <c r="B212" s="151"/>
      <c r="C212" s="94"/>
      <c r="D212" s="99">
        <f>D211</f>
        <v>0</v>
      </c>
      <c r="E212" s="99">
        <f t="shared" ref="E212:I212" si="141">SUM(E208:E211)</f>
        <v>0</v>
      </c>
      <c r="F212" s="99">
        <f t="shared" si="141"/>
        <v>0</v>
      </c>
      <c r="G212" s="99"/>
      <c r="H212" s="99">
        <f t="shared" si="141"/>
        <v>0</v>
      </c>
      <c r="I212" s="99">
        <f t="shared" si="141"/>
        <v>0</v>
      </c>
    </row>
    <row r="213" spans="1:9" s="285" customFormat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122"/>
    </row>
    <row r="214" spans="1:9" s="285" customFormat="1" x14ac:dyDescent="0.25">
      <c r="A214" s="118">
        <v>12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42">
        <f t="shared" ref="G214:I214" si="142">+(F214*0.1)+F214</f>
        <v>0</v>
      </c>
      <c r="H214" s="442">
        <f t="shared" si="142"/>
        <v>0</v>
      </c>
      <c r="I214" s="442">
        <f t="shared" si="142"/>
        <v>0</v>
      </c>
    </row>
    <row r="215" spans="1:9" s="285" customFormat="1" x14ac:dyDescent="0.25">
      <c r="A215" s="118">
        <v>12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42">
        <f t="shared" ref="G215:I215" si="143">+(F215*0.1)+F215</f>
        <v>0</v>
      </c>
      <c r="H215" s="442">
        <f t="shared" si="143"/>
        <v>0</v>
      </c>
      <c r="I215" s="442">
        <f t="shared" si="143"/>
        <v>0</v>
      </c>
    </row>
    <row r="216" spans="1:9" s="285" customFormat="1" x14ac:dyDescent="0.25">
      <c r="A216" s="344"/>
      <c r="B216" s="151"/>
      <c r="C216" s="94"/>
      <c r="D216" s="99">
        <f t="shared" ref="D216:I216" si="144">SUM(D214:D215)</f>
        <v>0</v>
      </c>
      <c r="E216" s="99">
        <f t="shared" si="144"/>
        <v>0</v>
      </c>
      <c r="F216" s="99">
        <f t="shared" si="144"/>
        <v>0</v>
      </c>
      <c r="G216" s="99"/>
      <c r="H216" s="99">
        <f t="shared" ref="H216" si="145">SUM(H214:H215)</f>
        <v>0</v>
      </c>
      <c r="I216" s="99">
        <f t="shared" si="144"/>
        <v>0</v>
      </c>
    </row>
    <row r="217" spans="1:9" s="285" customFormat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122"/>
    </row>
    <row r="218" spans="1:9" s="285" customFormat="1" x14ac:dyDescent="0.25">
      <c r="A218" s="118">
        <v>12</v>
      </c>
      <c r="B218" s="151">
        <v>1500</v>
      </c>
      <c r="C218" s="94" t="s">
        <v>106</v>
      </c>
      <c r="D218" s="122"/>
      <c r="E218" s="108"/>
      <c r="F218" s="98">
        <f t="shared" ref="F218:F220" si="146">E218/8*12</f>
        <v>0</v>
      </c>
      <c r="G218" s="442">
        <f t="shared" ref="G218:I218" si="147">+(F218*0.1)+F218</f>
        <v>0</v>
      </c>
      <c r="H218" s="442">
        <f t="shared" si="147"/>
        <v>0</v>
      </c>
      <c r="I218" s="442">
        <f t="shared" si="147"/>
        <v>0</v>
      </c>
    </row>
    <row r="219" spans="1:9" s="285" customFormat="1" x14ac:dyDescent="0.25">
      <c r="A219" s="118">
        <v>12</v>
      </c>
      <c r="B219" s="151">
        <v>1505</v>
      </c>
      <c r="C219" s="94" t="s">
        <v>71</v>
      </c>
      <c r="D219" s="122"/>
      <c r="E219" s="108"/>
      <c r="F219" s="98">
        <f t="shared" si="146"/>
        <v>0</v>
      </c>
      <c r="G219" s="442">
        <f t="shared" ref="G219:I219" si="148">+(F219*0.1)+F219</f>
        <v>0</v>
      </c>
      <c r="H219" s="442">
        <f t="shared" si="148"/>
        <v>0</v>
      </c>
      <c r="I219" s="442">
        <f t="shared" si="148"/>
        <v>0</v>
      </c>
    </row>
    <row r="220" spans="1:9" s="285" customFormat="1" x14ac:dyDescent="0.25">
      <c r="A220" s="118">
        <v>12</v>
      </c>
      <c r="B220" s="151">
        <v>1510</v>
      </c>
      <c r="C220" s="94" t="s">
        <v>72</v>
      </c>
      <c r="D220" s="122"/>
      <c r="E220" s="108"/>
      <c r="F220" s="98">
        <f t="shared" si="146"/>
        <v>0</v>
      </c>
      <c r="G220" s="442">
        <f t="shared" ref="G220:I220" si="149">+(F220*0.1)+F220</f>
        <v>0</v>
      </c>
      <c r="H220" s="442">
        <f t="shared" si="149"/>
        <v>0</v>
      </c>
      <c r="I220" s="442">
        <f t="shared" si="149"/>
        <v>0</v>
      </c>
    </row>
    <row r="221" spans="1:9" s="285" customFormat="1" x14ac:dyDescent="0.25">
      <c r="A221" s="344"/>
      <c r="B221" s="151"/>
      <c r="C221" s="94"/>
      <c r="D221" s="99">
        <f t="shared" ref="D221:I221" si="150">SUM(D218:D220)</f>
        <v>0</v>
      </c>
      <c r="E221" s="99">
        <f t="shared" si="150"/>
        <v>0</v>
      </c>
      <c r="F221" s="99">
        <f t="shared" si="150"/>
        <v>0</v>
      </c>
      <c r="G221" s="99"/>
      <c r="H221" s="99">
        <f t="shared" ref="H221" si="151">SUM(H218:H220)</f>
        <v>0</v>
      </c>
      <c r="I221" s="99">
        <f t="shared" si="150"/>
        <v>0</v>
      </c>
    </row>
    <row r="222" spans="1:9" s="285" customFormat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122"/>
    </row>
    <row r="223" spans="1:9" s="285" customFormat="1" x14ac:dyDescent="0.25">
      <c r="A223" s="118">
        <v>12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42">
        <f t="shared" ref="G223:I223" si="152">+(F223*0.1)+F223</f>
        <v>0</v>
      </c>
      <c r="H223" s="442">
        <f t="shared" si="152"/>
        <v>0</v>
      </c>
      <c r="I223" s="442">
        <f t="shared" si="152"/>
        <v>0</v>
      </c>
    </row>
    <row r="224" spans="1:9" s="285" customFormat="1" x14ac:dyDescent="0.25">
      <c r="A224" s="118">
        <v>12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42">
        <f t="shared" ref="G224:I224" si="153">+(F224*0.1)+F224</f>
        <v>0</v>
      </c>
      <c r="H224" s="442">
        <f t="shared" si="153"/>
        <v>0</v>
      </c>
      <c r="I224" s="442">
        <f t="shared" si="153"/>
        <v>0</v>
      </c>
    </row>
    <row r="225" spans="1:9" s="285" customFormat="1" x14ac:dyDescent="0.25">
      <c r="A225" s="348"/>
      <c r="B225" s="152"/>
      <c r="C225" s="106"/>
      <c r="D225" s="100">
        <f t="shared" ref="D225:I225" si="154">SUM(D223:D224)</f>
        <v>0</v>
      </c>
      <c r="E225" s="100">
        <f t="shared" si="154"/>
        <v>0</v>
      </c>
      <c r="F225" s="100">
        <f t="shared" si="154"/>
        <v>0</v>
      </c>
      <c r="G225" s="100"/>
      <c r="H225" s="100">
        <f t="shared" ref="H225" si="155">SUM(H223:H224)</f>
        <v>0</v>
      </c>
      <c r="I225" s="99">
        <f t="shared" si="154"/>
        <v>0</v>
      </c>
    </row>
    <row r="226" spans="1:9" s="285" customFormat="1" ht="13.5" customHeight="1" x14ac:dyDescent="0.25">
      <c r="A226" s="350"/>
      <c r="B226" s="153"/>
      <c r="C226" s="332" t="s">
        <v>74</v>
      </c>
      <c r="D226" s="334"/>
      <c r="E226" s="381"/>
      <c r="F226" s="381"/>
      <c r="G226" s="381"/>
      <c r="H226" s="381"/>
      <c r="I226" s="334"/>
    </row>
    <row r="227" spans="1:9" s="285" customFormat="1" x14ac:dyDescent="0.25">
      <c r="A227" s="118">
        <v>12</v>
      </c>
      <c r="B227" s="151">
        <v>1605</v>
      </c>
      <c r="C227" s="94" t="s">
        <v>75</v>
      </c>
      <c r="D227" s="122"/>
      <c r="E227" s="98"/>
      <c r="F227" s="98">
        <f t="shared" ref="F227:F239" si="156">E227/8*12</f>
        <v>0</v>
      </c>
      <c r="G227" s="442">
        <f t="shared" ref="G227:I227" si="157">+(F227*0.1)+F227</f>
        <v>0</v>
      </c>
      <c r="H227" s="442">
        <f t="shared" si="157"/>
        <v>0</v>
      </c>
      <c r="I227" s="442">
        <f t="shared" si="157"/>
        <v>0</v>
      </c>
    </row>
    <row r="228" spans="1:9" s="285" customFormat="1" x14ac:dyDescent="0.25">
      <c r="A228" s="118">
        <v>12</v>
      </c>
      <c r="B228" s="151">
        <v>1610</v>
      </c>
      <c r="C228" s="94" t="s">
        <v>131</v>
      </c>
      <c r="D228" s="122"/>
      <c r="E228" s="108"/>
      <c r="F228" s="98">
        <f t="shared" si="156"/>
        <v>0</v>
      </c>
      <c r="G228" s="442">
        <f t="shared" ref="G228:I228" si="158">+(F228*0.1)+F228</f>
        <v>0</v>
      </c>
      <c r="H228" s="442">
        <f t="shared" si="158"/>
        <v>0</v>
      </c>
      <c r="I228" s="442">
        <f t="shared" si="158"/>
        <v>0</v>
      </c>
    </row>
    <row r="229" spans="1:9" s="285" customFormat="1" x14ac:dyDescent="0.25">
      <c r="A229" s="118">
        <v>12</v>
      </c>
      <c r="B229" s="151">
        <v>1615</v>
      </c>
      <c r="C229" s="94" t="s">
        <v>182</v>
      </c>
      <c r="D229" s="122"/>
      <c r="E229" s="108"/>
      <c r="F229" s="98">
        <f t="shared" si="156"/>
        <v>0</v>
      </c>
      <c r="G229" s="442">
        <f t="shared" ref="G229:I229" si="159">+(F229*0.1)+F229</f>
        <v>0</v>
      </c>
      <c r="H229" s="442">
        <f t="shared" si="159"/>
        <v>0</v>
      </c>
      <c r="I229" s="442">
        <f t="shared" si="159"/>
        <v>0</v>
      </c>
    </row>
    <row r="230" spans="1:9" s="285" customFormat="1" x14ac:dyDescent="0.25">
      <c r="A230" s="118">
        <v>12</v>
      </c>
      <c r="B230" s="151">
        <v>1620</v>
      </c>
      <c r="C230" s="94" t="s">
        <v>255</v>
      </c>
      <c r="D230" s="122"/>
      <c r="E230" s="108"/>
      <c r="F230" s="98">
        <f t="shared" si="156"/>
        <v>0</v>
      </c>
      <c r="G230" s="442">
        <f t="shared" ref="G230:I230" si="160">+(F230*0.1)+F230</f>
        <v>0</v>
      </c>
      <c r="H230" s="442">
        <f t="shared" si="160"/>
        <v>0</v>
      </c>
      <c r="I230" s="442">
        <f t="shared" si="160"/>
        <v>0</v>
      </c>
    </row>
    <row r="231" spans="1:9" s="285" customFormat="1" x14ac:dyDescent="0.25">
      <c r="A231" s="118">
        <v>12</v>
      </c>
      <c r="B231" s="151">
        <v>1625</v>
      </c>
      <c r="C231" s="94" t="s">
        <v>108</v>
      </c>
      <c r="D231" s="122"/>
      <c r="E231" s="108"/>
      <c r="F231" s="98">
        <f t="shared" si="156"/>
        <v>0</v>
      </c>
      <c r="G231" s="442">
        <f t="shared" ref="G231:I231" si="161">+(F231*0.1)+F231</f>
        <v>0</v>
      </c>
      <c r="H231" s="442">
        <f t="shared" si="161"/>
        <v>0</v>
      </c>
      <c r="I231" s="442">
        <f t="shared" si="161"/>
        <v>0</v>
      </c>
    </row>
    <row r="232" spans="1:9" s="285" customFormat="1" x14ac:dyDescent="0.25">
      <c r="A232" s="118">
        <v>12</v>
      </c>
      <c r="B232" s="151">
        <v>1630</v>
      </c>
      <c r="C232" s="94" t="s">
        <v>76</v>
      </c>
      <c r="D232" s="122"/>
      <c r="E232" s="108"/>
      <c r="F232" s="98">
        <f t="shared" si="156"/>
        <v>0</v>
      </c>
      <c r="G232" s="442">
        <f t="shared" ref="G232:I232" si="162">+(F232*0.1)+F232</f>
        <v>0</v>
      </c>
      <c r="H232" s="442">
        <f t="shared" si="162"/>
        <v>0</v>
      </c>
      <c r="I232" s="442">
        <f t="shared" si="162"/>
        <v>0</v>
      </c>
    </row>
    <row r="233" spans="1:9" s="285" customFormat="1" x14ac:dyDescent="0.25">
      <c r="A233" s="118">
        <v>12</v>
      </c>
      <c r="B233" s="151">
        <v>1635</v>
      </c>
      <c r="C233" s="94" t="s">
        <v>180</v>
      </c>
      <c r="D233" s="122"/>
      <c r="E233" s="108"/>
      <c r="F233" s="98">
        <f t="shared" si="156"/>
        <v>0</v>
      </c>
      <c r="G233" s="442">
        <f t="shared" ref="G233:I233" si="163">+(F233*0.1)+F233</f>
        <v>0</v>
      </c>
      <c r="H233" s="442">
        <f t="shared" si="163"/>
        <v>0</v>
      </c>
      <c r="I233" s="442">
        <f t="shared" si="163"/>
        <v>0</v>
      </c>
    </row>
    <row r="234" spans="1:9" s="285" customFormat="1" x14ac:dyDescent="0.25">
      <c r="A234" s="118">
        <v>12</v>
      </c>
      <c r="B234" s="151">
        <v>1640</v>
      </c>
      <c r="C234" s="94" t="s">
        <v>184</v>
      </c>
      <c r="D234" s="122"/>
      <c r="E234" s="108"/>
      <c r="F234" s="98">
        <f t="shared" si="156"/>
        <v>0</v>
      </c>
      <c r="G234" s="442">
        <f t="shared" ref="G234:I234" si="164">+(F234*0.1)+F234</f>
        <v>0</v>
      </c>
      <c r="H234" s="442">
        <f t="shared" si="164"/>
        <v>0</v>
      </c>
      <c r="I234" s="442">
        <f t="shared" si="164"/>
        <v>0</v>
      </c>
    </row>
    <row r="235" spans="1:9" s="285" customFormat="1" x14ac:dyDescent="0.25">
      <c r="A235" s="118">
        <v>12</v>
      </c>
      <c r="B235" s="151">
        <v>1645</v>
      </c>
      <c r="C235" s="94" t="s">
        <v>77</v>
      </c>
      <c r="D235" s="122"/>
      <c r="E235" s="108"/>
      <c r="F235" s="98">
        <f t="shared" si="156"/>
        <v>0</v>
      </c>
      <c r="G235" s="442">
        <f t="shared" ref="G235:I235" si="165">+(F235*0.1)+F235</f>
        <v>0</v>
      </c>
      <c r="H235" s="442">
        <f t="shared" si="165"/>
        <v>0</v>
      </c>
      <c r="I235" s="442">
        <f t="shared" si="165"/>
        <v>0</v>
      </c>
    </row>
    <row r="236" spans="1:9" s="285" customFormat="1" x14ac:dyDescent="0.25">
      <c r="A236" s="118">
        <v>12</v>
      </c>
      <c r="B236" s="151">
        <v>1650</v>
      </c>
      <c r="C236" s="94" t="s">
        <v>78</v>
      </c>
      <c r="D236" s="122"/>
      <c r="E236" s="108"/>
      <c r="F236" s="98">
        <f t="shared" si="156"/>
        <v>0</v>
      </c>
      <c r="G236" s="442">
        <f t="shared" ref="G236:I236" si="166">+(F236*0.1)+F236</f>
        <v>0</v>
      </c>
      <c r="H236" s="442">
        <f t="shared" si="166"/>
        <v>0</v>
      </c>
      <c r="I236" s="442">
        <f t="shared" si="166"/>
        <v>0</v>
      </c>
    </row>
    <row r="237" spans="1:9" s="285" customFormat="1" x14ac:dyDescent="0.25">
      <c r="A237" s="118">
        <v>12</v>
      </c>
      <c r="B237" s="151"/>
      <c r="C237" s="94" t="s">
        <v>200</v>
      </c>
      <c r="D237" s="122"/>
      <c r="E237" s="108"/>
      <c r="F237" s="98">
        <f t="shared" si="156"/>
        <v>0</v>
      </c>
      <c r="G237" s="442">
        <f t="shared" ref="G237:I237" si="167">+(F237*0.1)+F237</f>
        <v>0</v>
      </c>
      <c r="H237" s="442">
        <f t="shared" si="167"/>
        <v>0</v>
      </c>
      <c r="I237" s="442">
        <f t="shared" si="167"/>
        <v>0</v>
      </c>
    </row>
    <row r="238" spans="1:9" s="285" customFormat="1" x14ac:dyDescent="0.25">
      <c r="A238" s="118">
        <v>12</v>
      </c>
      <c r="B238" s="151">
        <v>1660</v>
      </c>
      <c r="C238" s="94" t="s">
        <v>185</v>
      </c>
      <c r="D238" s="122"/>
      <c r="E238" s="108"/>
      <c r="F238" s="98">
        <f t="shared" si="156"/>
        <v>0</v>
      </c>
      <c r="G238" s="442">
        <f t="shared" ref="G238:I238" si="168">+(F238*0.1)+F238</f>
        <v>0</v>
      </c>
      <c r="H238" s="442">
        <f t="shared" si="168"/>
        <v>0</v>
      </c>
      <c r="I238" s="442">
        <f t="shared" si="168"/>
        <v>0</v>
      </c>
    </row>
    <row r="239" spans="1:9" s="285" customFormat="1" x14ac:dyDescent="0.25">
      <c r="A239" s="118">
        <v>12</v>
      </c>
      <c r="B239" s="151">
        <v>1665</v>
      </c>
      <c r="C239" s="94" t="s">
        <v>181</v>
      </c>
      <c r="D239" s="122"/>
      <c r="E239" s="108"/>
      <c r="F239" s="98">
        <f t="shared" si="156"/>
        <v>0</v>
      </c>
      <c r="G239" s="442">
        <f t="shared" ref="G239:I239" si="169">+(F239*0.1)+F239</f>
        <v>0</v>
      </c>
      <c r="H239" s="442">
        <f t="shared" si="169"/>
        <v>0</v>
      </c>
      <c r="I239" s="442">
        <f t="shared" si="169"/>
        <v>0</v>
      </c>
    </row>
    <row r="240" spans="1:9" s="285" customFormat="1" x14ac:dyDescent="0.25">
      <c r="A240" s="344"/>
      <c r="B240" s="151"/>
      <c r="C240" s="94"/>
      <c r="D240" s="99">
        <f>SUM(D227:D236)</f>
        <v>0</v>
      </c>
      <c r="E240" s="99">
        <f t="shared" ref="E240:I240" si="170">SUM(E227:E239)</f>
        <v>0</v>
      </c>
      <c r="F240" s="99">
        <f>SUM(F227:F239)</f>
        <v>0</v>
      </c>
      <c r="G240" s="443">
        <f>SUM(G227:G239)</f>
        <v>0</v>
      </c>
      <c r="H240" s="99">
        <f t="shared" si="170"/>
        <v>0</v>
      </c>
      <c r="I240" s="99">
        <f t="shared" si="170"/>
        <v>0</v>
      </c>
    </row>
    <row r="241" spans="1:9" s="285" customFormat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122"/>
    </row>
    <row r="242" spans="1:9" s="285" customFormat="1" x14ac:dyDescent="0.25">
      <c r="A242" s="118">
        <v>12</v>
      </c>
      <c r="B242" s="151">
        <v>1705</v>
      </c>
      <c r="C242" s="94" t="s">
        <v>123</v>
      </c>
      <c r="D242" s="122"/>
      <c r="E242" s="98"/>
      <c r="F242" s="98">
        <f t="shared" ref="F242:F246" si="171">E242/8*12</f>
        <v>0</v>
      </c>
      <c r="G242" s="442">
        <f t="shared" ref="G242:I242" si="172">+(F242*0.1)+F242</f>
        <v>0</v>
      </c>
      <c r="H242" s="442">
        <f t="shared" si="172"/>
        <v>0</v>
      </c>
      <c r="I242" s="442">
        <f t="shared" si="172"/>
        <v>0</v>
      </c>
    </row>
    <row r="243" spans="1:9" s="285" customFormat="1" x14ac:dyDescent="0.25">
      <c r="A243" s="118">
        <v>12</v>
      </c>
      <c r="B243" s="151">
        <v>1710</v>
      </c>
      <c r="C243" s="94" t="s">
        <v>242</v>
      </c>
      <c r="D243" s="122"/>
      <c r="E243" s="98"/>
      <c r="F243" s="98">
        <f t="shared" si="171"/>
        <v>0</v>
      </c>
      <c r="G243" s="442">
        <f t="shared" ref="G243:I243" si="173">+(F243*0.1)+F243</f>
        <v>0</v>
      </c>
      <c r="H243" s="442">
        <f t="shared" si="173"/>
        <v>0</v>
      </c>
      <c r="I243" s="442">
        <f t="shared" si="173"/>
        <v>0</v>
      </c>
    </row>
    <row r="244" spans="1:9" s="285" customFormat="1" x14ac:dyDescent="0.25">
      <c r="A244" s="118">
        <v>12</v>
      </c>
      <c r="B244" s="151">
        <v>1715</v>
      </c>
      <c r="C244" s="94" t="s">
        <v>183</v>
      </c>
      <c r="D244" s="122"/>
      <c r="E244" s="98"/>
      <c r="F244" s="98">
        <f t="shared" si="171"/>
        <v>0</v>
      </c>
      <c r="G244" s="442">
        <f t="shared" ref="G244:I244" si="174">+(F244*0.1)+F244</f>
        <v>0</v>
      </c>
      <c r="H244" s="442">
        <f t="shared" si="174"/>
        <v>0</v>
      </c>
      <c r="I244" s="442">
        <f t="shared" si="174"/>
        <v>0</v>
      </c>
    </row>
    <row r="245" spans="1:9" s="285" customFormat="1" x14ac:dyDescent="0.25">
      <c r="A245" s="118">
        <v>12</v>
      </c>
      <c r="B245" s="151">
        <v>1720</v>
      </c>
      <c r="C245" s="94" t="s">
        <v>103</v>
      </c>
      <c r="D245" s="122"/>
      <c r="E245" s="98"/>
      <c r="F245" s="98">
        <f t="shared" si="171"/>
        <v>0</v>
      </c>
      <c r="G245" s="442">
        <f t="shared" ref="G245:I245" si="175">+(F245*0.1)+F245</f>
        <v>0</v>
      </c>
      <c r="H245" s="442">
        <f t="shared" si="175"/>
        <v>0</v>
      </c>
      <c r="I245" s="442">
        <f t="shared" si="175"/>
        <v>0</v>
      </c>
    </row>
    <row r="246" spans="1:9" s="285" customFormat="1" x14ac:dyDescent="0.25">
      <c r="A246" s="118">
        <v>12</v>
      </c>
      <c r="B246" s="151">
        <v>1725</v>
      </c>
      <c r="C246" s="94" t="s">
        <v>107</v>
      </c>
      <c r="D246" s="122"/>
      <c r="E246" s="98"/>
      <c r="F246" s="98">
        <f t="shared" si="171"/>
        <v>0</v>
      </c>
      <c r="G246" s="442">
        <f t="shared" ref="G246:I246" si="176">+(F246*0.1)+F246</f>
        <v>0</v>
      </c>
      <c r="H246" s="442">
        <f t="shared" si="176"/>
        <v>0</v>
      </c>
      <c r="I246" s="442">
        <f t="shared" si="176"/>
        <v>0</v>
      </c>
    </row>
    <row r="247" spans="1:9" s="285" customFormat="1" x14ac:dyDescent="0.25">
      <c r="A247" s="118">
        <v>12</v>
      </c>
      <c r="B247" s="151">
        <v>1730</v>
      </c>
      <c r="C247" s="94" t="s">
        <v>519</v>
      </c>
      <c r="D247" s="122"/>
      <c r="E247" s="98"/>
      <c r="F247" s="85">
        <f>E247-D247</f>
        <v>0</v>
      </c>
      <c r="G247" s="442">
        <f t="shared" ref="G247:I247" si="177">+(F247*0.1)+F247</f>
        <v>0</v>
      </c>
      <c r="H247" s="442">
        <f t="shared" si="177"/>
        <v>0</v>
      </c>
      <c r="I247" s="442">
        <f t="shared" si="177"/>
        <v>0</v>
      </c>
    </row>
    <row r="248" spans="1:9" s="285" customFormat="1" x14ac:dyDescent="0.25">
      <c r="A248" s="344"/>
      <c r="B248" s="151"/>
      <c r="C248" s="94"/>
      <c r="D248" s="99">
        <f t="shared" ref="D248:I248" si="178">SUM(D242:D247)</f>
        <v>0</v>
      </c>
      <c r="E248" s="99">
        <f t="shared" si="178"/>
        <v>0</v>
      </c>
      <c r="F248" s="99">
        <f t="shared" si="178"/>
        <v>0</v>
      </c>
      <c r="G248" s="443">
        <f t="shared" si="178"/>
        <v>0</v>
      </c>
      <c r="H248" s="99">
        <f t="shared" si="178"/>
        <v>0</v>
      </c>
      <c r="I248" s="99">
        <f t="shared" si="178"/>
        <v>0</v>
      </c>
    </row>
    <row r="249" spans="1:9" s="285" customFormat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122"/>
    </row>
    <row r="250" spans="1:9" s="285" customFormat="1" x14ac:dyDescent="0.25">
      <c r="A250" s="118">
        <v>12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442">
        <f t="shared" ref="G250:I250" si="179">+(F250*0.1)+F250</f>
        <v>0</v>
      </c>
      <c r="H250" s="442">
        <f t="shared" si="179"/>
        <v>0</v>
      </c>
      <c r="I250" s="442">
        <f t="shared" si="179"/>
        <v>0</v>
      </c>
    </row>
    <row r="251" spans="1:9" s="285" customFormat="1" x14ac:dyDescent="0.25">
      <c r="A251" s="344"/>
      <c r="B251" s="151"/>
      <c r="C251" s="94"/>
      <c r="D251" s="99">
        <f t="shared" ref="D251:I251" si="180">D250</f>
        <v>0</v>
      </c>
      <c r="E251" s="99">
        <f t="shared" si="180"/>
        <v>0</v>
      </c>
      <c r="F251" s="99">
        <f t="shared" si="180"/>
        <v>0</v>
      </c>
      <c r="G251" s="99"/>
      <c r="H251" s="99">
        <f t="shared" ref="H251" si="181">H250</f>
        <v>0</v>
      </c>
      <c r="I251" s="99">
        <f t="shared" si="180"/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I252" si="182">SUM(D171:D251)/2</f>
        <v>0</v>
      </c>
      <c r="E252" s="117">
        <f t="shared" si="182"/>
        <v>-50993</v>
      </c>
      <c r="F252" s="117">
        <f t="shared" si="182"/>
        <v>-50993</v>
      </c>
      <c r="G252" s="449">
        <f t="shared" si="182"/>
        <v>-28046.15</v>
      </c>
      <c r="H252" s="117">
        <f t="shared" si="182"/>
        <v>-61701.530000000006</v>
      </c>
      <c r="I252" s="117">
        <f t="shared" si="182"/>
        <v>-67871.683000000005</v>
      </c>
    </row>
    <row r="253" spans="1:9" s="285" customFormat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9" s="285" customFormat="1" x14ac:dyDescent="0.25">
      <c r="A255" s="118">
        <v>12</v>
      </c>
      <c r="B255" s="151">
        <v>1905</v>
      </c>
      <c r="C255" s="118" t="s">
        <v>194</v>
      </c>
      <c r="D255" s="127"/>
      <c r="E255" s="147">
        <v>980000</v>
      </c>
      <c r="F255" s="147">
        <v>980000</v>
      </c>
      <c r="G255" s="442"/>
      <c r="H255" s="442"/>
      <c r="I255" s="442"/>
    </row>
    <row r="256" spans="1:9" s="285" customFormat="1" x14ac:dyDescent="0.25">
      <c r="A256" s="344"/>
      <c r="B256" s="151"/>
      <c r="C256" s="94"/>
      <c r="D256" s="117">
        <f t="shared" ref="D256:I256" si="183">SUM(D255)</f>
        <v>0</v>
      </c>
      <c r="E256" s="117">
        <f t="shared" si="183"/>
        <v>980000</v>
      </c>
      <c r="F256" s="117">
        <f t="shared" si="183"/>
        <v>980000</v>
      </c>
      <c r="G256" s="117"/>
      <c r="H256" s="117">
        <f t="shared" ref="H256" si="184">SUM(H255)</f>
        <v>0</v>
      </c>
      <c r="I256" s="117">
        <f t="shared" si="183"/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I257" si="185">D252+D256</f>
        <v>0</v>
      </c>
      <c r="E257" s="117">
        <f t="shared" si="185"/>
        <v>929007</v>
      </c>
      <c r="F257" s="117">
        <f t="shared" si="185"/>
        <v>929007</v>
      </c>
      <c r="G257" s="449">
        <f t="shared" si="185"/>
        <v>-28046.15</v>
      </c>
      <c r="H257" s="117">
        <f t="shared" ref="H257" si="186">H252+H256</f>
        <v>-61701.530000000006</v>
      </c>
      <c r="I257" s="117">
        <f t="shared" si="185"/>
        <v>-67871.683000000005</v>
      </c>
    </row>
    <row r="258" spans="1:9" s="285" customFormat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9" s="285" customFormat="1" x14ac:dyDescent="0.25">
      <c r="A259" s="118">
        <v>12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442">
        <f t="shared" ref="G259:I259" si="187">+(F259*0.1)+F259</f>
        <v>0</v>
      </c>
      <c r="H259" s="442">
        <f t="shared" si="187"/>
        <v>0</v>
      </c>
      <c r="I259" s="442">
        <f t="shared" si="187"/>
        <v>0</v>
      </c>
    </row>
    <row r="260" spans="1:9" s="285" customFormat="1" x14ac:dyDescent="0.25">
      <c r="A260" s="344"/>
      <c r="B260" s="346"/>
      <c r="C260" s="94"/>
      <c r="D260" s="124">
        <f t="shared" ref="D260:I260" si="188">D259</f>
        <v>0</v>
      </c>
      <c r="E260" s="124">
        <f t="shared" si="188"/>
        <v>0</v>
      </c>
      <c r="F260" s="124">
        <f t="shared" si="188"/>
        <v>0</v>
      </c>
      <c r="G260" s="452">
        <f t="shared" ref="G260" si="189">G259</f>
        <v>0</v>
      </c>
      <c r="H260" s="124">
        <f t="shared" ref="H260" si="190">H259</f>
        <v>0</v>
      </c>
      <c r="I260" s="124">
        <f t="shared" si="188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F261" si="191">D257+D260</f>
        <v>0</v>
      </c>
      <c r="E261" s="160">
        <f t="shared" si="191"/>
        <v>929007</v>
      </c>
      <c r="F261" s="160">
        <f t="shared" si="191"/>
        <v>929007</v>
      </c>
      <c r="G261" s="463">
        <f t="shared" ref="G261" si="192">G257+G260</f>
        <v>-28046.15</v>
      </c>
      <c r="H261" s="463">
        <f t="shared" ref="H261:I261" si="193">H257+H260</f>
        <v>-61701.530000000006</v>
      </c>
      <c r="I261" s="463">
        <f t="shared" si="193"/>
        <v>-67871.683000000005</v>
      </c>
    </row>
    <row r="262" spans="1:9" s="285" customFormat="1" x14ac:dyDescent="0.25">
      <c r="A262" s="349"/>
      <c r="B262" s="154"/>
      <c r="C262" s="126" t="s">
        <v>82</v>
      </c>
      <c r="D262" s="160">
        <f t="shared" ref="D262:F262" si="194">D261-D165</f>
        <v>-1073222</v>
      </c>
      <c r="E262" s="160">
        <f t="shared" si="194"/>
        <v>-3261819</v>
      </c>
      <c r="F262" s="160">
        <f t="shared" si="194"/>
        <v>-3269819</v>
      </c>
      <c r="G262" s="463">
        <f t="shared" ref="G262" si="195">G261-G165</f>
        <v>-4529292.5500000007</v>
      </c>
      <c r="H262" s="463">
        <f t="shared" ref="H262:I262" si="196">H261-H165</f>
        <v>-4901863.8660000004</v>
      </c>
      <c r="I262" s="463">
        <f t="shared" si="196"/>
        <v>-5273279.3567280006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5" spans="1:9" s="285" customFormat="1" x14ac:dyDescent="0.25">
      <c r="B265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2:I2"/>
    <mergeCell ref="A4:B5"/>
    <mergeCell ref="B168:D168"/>
    <mergeCell ref="A169:B170"/>
    <mergeCell ref="A3:I3"/>
  </mergeCells>
  <phoneticPr fontId="0" type="noConversion"/>
  <pageMargins left="0.25" right="0.25" top="0.75" bottom="0.75" header="0.3" footer="0.3"/>
  <pageSetup paperSize="9" orientation="portrait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8"/>
  <sheetViews>
    <sheetView view="pageBreakPreview" zoomScaleSheetLayoutView="100" workbookViewId="0">
      <selection activeCell="G28" sqref="G28:I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3" style="96" customWidth="1"/>
    <col min="4" max="4" width="11.33203125" style="96" customWidth="1"/>
    <col min="5" max="5" width="12.109375" style="96" customWidth="1"/>
    <col min="6" max="7" width="12.44140625" style="96" customWidth="1"/>
    <col min="8" max="8" width="10.5546875" style="96" customWidth="1"/>
    <col min="9" max="9" width="11.5546875" style="403" customWidth="1"/>
    <col min="10" max="10" width="12.88671875" style="96" hidden="1" customWidth="1"/>
    <col min="11" max="11" width="0.33203125" style="96" customWidth="1"/>
    <col min="12" max="16384" width="9.109375" style="96"/>
  </cols>
  <sheetData>
    <row r="1" spans="1:10" ht="12.75" customHeight="1" x14ac:dyDescent="0.25">
      <c r="A1" s="699" t="s">
        <v>353</v>
      </c>
      <c r="B1" s="700"/>
      <c r="C1" s="700"/>
      <c r="D1" s="700"/>
      <c r="E1" s="700"/>
      <c r="F1" s="700"/>
      <c r="G1" s="700"/>
      <c r="H1" s="700"/>
      <c r="I1" s="700"/>
      <c r="J1" s="700"/>
    </row>
    <row r="2" spans="1:10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  <c r="J2" s="702"/>
    </row>
    <row r="3" spans="1:10" s="285" customFormat="1" x14ac:dyDescent="0.25">
      <c r="A3" s="703" t="s">
        <v>548</v>
      </c>
      <c r="B3" s="704"/>
      <c r="C3" s="705"/>
      <c r="D3" s="149"/>
      <c r="E3" s="338"/>
      <c r="F3" s="338"/>
      <c r="G3" s="425"/>
      <c r="H3" s="338"/>
      <c r="I3" s="342"/>
      <c r="J3" s="338"/>
    </row>
    <row r="4" spans="1:10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  <c r="J4" s="391" t="s">
        <v>538</v>
      </c>
    </row>
    <row r="5" spans="1:10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  <c r="J5" s="392" t="s">
        <v>384</v>
      </c>
    </row>
    <row r="6" spans="1:10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>
        <f t="shared" ref="I6" si="0">D6+F6</f>
        <v>0</v>
      </c>
      <c r="J6" s="385"/>
    </row>
    <row r="7" spans="1:10" s="285" customFormat="1" x14ac:dyDescent="0.25">
      <c r="A7" s="118">
        <v>14</v>
      </c>
      <c r="B7" s="155">
        <v>5005</v>
      </c>
      <c r="C7" s="94" t="s">
        <v>241</v>
      </c>
      <c r="D7" s="85">
        <f>1333*6</f>
        <v>7998</v>
      </c>
      <c r="E7" s="85">
        <v>3900</v>
      </c>
      <c r="F7" s="85">
        <v>3900</v>
      </c>
      <c r="G7" s="435">
        <f t="shared" ref="G7:I17" si="1">(F7*0.068)+F7</f>
        <v>4165.2</v>
      </c>
      <c r="H7" s="435">
        <f t="shared" si="1"/>
        <v>4448.4336000000003</v>
      </c>
      <c r="I7" s="435">
        <f t="shared" si="1"/>
        <v>4750.9270848000006</v>
      </c>
      <c r="J7" s="385"/>
    </row>
    <row r="8" spans="1:10" s="285" customFormat="1" x14ac:dyDescent="0.25">
      <c r="A8" s="118">
        <v>14</v>
      </c>
      <c r="B8" s="151">
        <v>5010</v>
      </c>
      <c r="C8" s="94" t="s">
        <v>34</v>
      </c>
      <c r="D8" s="85"/>
      <c r="E8" s="85"/>
      <c r="F8" s="85"/>
      <c r="G8" s="435">
        <f t="shared" si="1"/>
        <v>0</v>
      </c>
      <c r="H8" s="435">
        <f t="shared" si="1"/>
        <v>0</v>
      </c>
      <c r="I8" s="435">
        <f t="shared" si="1"/>
        <v>0</v>
      </c>
      <c r="J8" s="385"/>
    </row>
    <row r="9" spans="1:10" s="285" customFormat="1" x14ac:dyDescent="0.25">
      <c r="A9" s="118">
        <v>14</v>
      </c>
      <c r="B9" s="151">
        <v>5015</v>
      </c>
      <c r="C9" s="94" t="s">
        <v>35</v>
      </c>
      <c r="D9" s="85"/>
      <c r="E9" s="85"/>
      <c r="F9" s="85"/>
      <c r="G9" s="435">
        <f t="shared" si="1"/>
        <v>0</v>
      </c>
      <c r="H9" s="435">
        <f t="shared" si="1"/>
        <v>0</v>
      </c>
      <c r="I9" s="435">
        <f t="shared" si="1"/>
        <v>0</v>
      </c>
      <c r="J9" s="385"/>
    </row>
    <row r="10" spans="1:10" s="285" customFormat="1" x14ac:dyDescent="0.25">
      <c r="A10" s="118">
        <v>14</v>
      </c>
      <c r="B10" s="151">
        <v>5020</v>
      </c>
      <c r="C10" s="94" t="s">
        <v>350</v>
      </c>
      <c r="D10" s="85">
        <f>14034*6</f>
        <v>84204</v>
      </c>
      <c r="E10" s="85">
        <v>64200</v>
      </c>
      <c r="F10" s="85">
        <v>64200</v>
      </c>
      <c r="G10" s="435">
        <f t="shared" si="1"/>
        <v>68565.600000000006</v>
      </c>
      <c r="H10" s="435">
        <f t="shared" si="1"/>
        <v>73228.060800000007</v>
      </c>
      <c r="I10" s="435">
        <f t="shared" si="1"/>
        <v>78207.568934400013</v>
      </c>
      <c r="J10" s="385"/>
    </row>
    <row r="11" spans="1:10" s="285" customFormat="1" x14ac:dyDescent="0.25">
      <c r="A11" s="118">
        <v>14</v>
      </c>
      <c r="B11" s="151">
        <v>5025</v>
      </c>
      <c r="C11" s="94" t="s">
        <v>36</v>
      </c>
      <c r="D11" s="85"/>
      <c r="E11" s="85"/>
      <c r="F11" s="85"/>
      <c r="G11" s="435">
        <f t="shared" si="1"/>
        <v>0</v>
      </c>
      <c r="H11" s="435">
        <f t="shared" si="1"/>
        <v>0</v>
      </c>
      <c r="I11" s="435">
        <f t="shared" si="1"/>
        <v>0</v>
      </c>
      <c r="J11" s="385"/>
    </row>
    <row r="12" spans="1:10" s="285" customFormat="1" x14ac:dyDescent="0.25">
      <c r="A12" s="118">
        <v>14</v>
      </c>
      <c r="B12" s="151">
        <v>5030</v>
      </c>
      <c r="C12" s="94" t="s">
        <v>85</v>
      </c>
      <c r="D12" s="85"/>
      <c r="E12" s="85"/>
      <c r="F12" s="85"/>
      <c r="G12" s="435">
        <f t="shared" si="1"/>
        <v>0</v>
      </c>
      <c r="H12" s="435">
        <f t="shared" si="1"/>
        <v>0</v>
      </c>
      <c r="I12" s="435">
        <f t="shared" si="1"/>
        <v>0</v>
      </c>
      <c r="J12" s="385"/>
    </row>
    <row r="13" spans="1:10" s="285" customFormat="1" x14ac:dyDescent="0.25">
      <c r="A13" s="118">
        <v>14</v>
      </c>
      <c r="B13" s="151">
        <v>5035</v>
      </c>
      <c r="C13" s="94" t="s">
        <v>84</v>
      </c>
      <c r="D13" s="85"/>
      <c r="E13" s="85"/>
      <c r="F13" s="85"/>
      <c r="G13" s="435">
        <f t="shared" si="1"/>
        <v>0</v>
      </c>
      <c r="H13" s="435">
        <f t="shared" si="1"/>
        <v>0</v>
      </c>
      <c r="I13" s="435">
        <f t="shared" si="1"/>
        <v>0</v>
      </c>
      <c r="J13" s="385"/>
    </row>
    <row r="14" spans="1:10" s="285" customFormat="1" x14ac:dyDescent="0.25">
      <c r="A14" s="118">
        <v>14</v>
      </c>
      <c r="B14" s="151">
        <v>5040</v>
      </c>
      <c r="C14" s="94" t="s">
        <v>37</v>
      </c>
      <c r="D14" s="85">
        <v>25564</v>
      </c>
      <c r="E14" s="85">
        <v>49000</v>
      </c>
      <c r="F14" s="85">
        <v>49000</v>
      </c>
      <c r="G14" s="435">
        <f t="shared" si="1"/>
        <v>52332</v>
      </c>
      <c r="H14" s="435">
        <f t="shared" si="1"/>
        <v>55890.576000000001</v>
      </c>
      <c r="I14" s="435">
        <f t="shared" si="1"/>
        <v>59691.135168000001</v>
      </c>
      <c r="J14" s="385"/>
    </row>
    <row r="15" spans="1:10" s="285" customFormat="1" x14ac:dyDescent="0.25">
      <c r="A15" s="118">
        <v>14</v>
      </c>
      <c r="B15" s="151">
        <v>5045</v>
      </c>
      <c r="C15" s="94" t="s">
        <v>38</v>
      </c>
      <c r="D15" s="85"/>
      <c r="E15" s="85"/>
      <c r="F15" s="85"/>
      <c r="G15" s="435">
        <f t="shared" si="1"/>
        <v>0</v>
      </c>
      <c r="H15" s="435">
        <f t="shared" si="1"/>
        <v>0</v>
      </c>
      <c r="I15" s="435">
        <f t="shared" si="1"/>
        <v>0</v>
      </c>
      <c r="J15" s="385"/>
    </row>
    <row r="16" spans="1:10" s="285" customFormat="1" x14ac:dyDescent="0.25">
      <c r="A16" s="118">
        <v>14</v>
      </c>
      <c r="B16" s="151">
        <v>5050</v>
      </c>
      <c r="C16" s="94" t="s">
        <v>83</v>
      </c>
      <c r="D16" s="85"/>
      <c r="E16" s="85"/>
      <c r="F16" s="85"/>
      <c r="G16" s="435">
        <f t="shared" si="1"/>
        <v>0</v>
      </c>
      <c r="H16" s="435">
        <f t="shared" si="1"/>
        <v>0</v>
      </c>
      <c r="I16" s="435">
        <f t="shared" si="1"/>
        <v>0</v>
      </c>
      <c r="J16" s="385"/>
    </row>
    <row r="17" spans="1:11" s="285" customFormat="1" x14ac:dyDescent="0.25">
      <c r="A17" s="118">
        <v>14</v>
      </c>
      <c r="B17" s="151">
        <v>5055</v>
      </c>
      <c r="C17" s="94" t="s">
        <v>39</v>
      </c>
      <c r="D17" s="85">
        <f>(78021)*6</f>
        <v>468126</v>
      </c>
      <c r="E17" s="85">
        <v>582000</v>
      </c>
      <c r="F17" s="85">
        <v>582000</v>
      </c>
      <c r="G17" s="435">
        <f t="shared" si="1"/>
        <v>621576</v>
      </c>
      <c r="H17" s="435">
        <f t="shared" si="1"/>
        <v>663843.16800000006</v>
      </c>
      <c r="I17" s="435">
        <f t="shared" si="1"/>
        <v>708984.50342400011</v>
      </c>
      <c r="J17" s="385"/>
    </row>
    <row r="18" spans="1:11" s="285" customFormat="1" x14ac:dyDescent="0.25">
      <c r="A18" s="344"/>
      <c r="B18" s="151"/>
      <c r="D18" s="89">
        <f t="shared" ref="D18:K18" si="2">SUM(D7:D17)</f>
        <v>585892</v>
      </c>
      <c r="E18" s="89">
        <f t="shared" si="2"/>
        <v>699100</v>
      </c>
      <c r="F18" s="89">
        <f t="shared" si="2"/>
        <v>699100</v>
      </c>
      <c r="G18" s="436">
        <f t="shared" si="2"/>
        <v>746638.8</v>
      </c>
      <c r="H18" s="436">
        <f t="shared" si="2"/>
        <v>797410.23840000015</v>
      </c>
      <c r="I18" s="436">
        <f t="shared" si="2"/>
        <v>851634.13461120008</v>
      </c>
      <c r="J18" s="436">
        <f t="shared" si="2"/>
        <v>0</v>
      </c>
      <c r="K18" s="436">
        <f t="shared" si="2"/>
        <v>0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5">
        <f t="shared" ref="I19" si="3">D19+F19</f>
        <v>0</v>
      </c>
      <c r="J19" s="111"/>
    </row>
    <row r="20" spans="1:11" s="285" customFormat="1" x14ac:dyDescent="0.25">
      <c r="A20" s="118">
        <v>14</v>
      </c>
      <c r="B20" s="151">
        <v>5105</v>
      </c>
      <c r="C20" s="94" t="s">
        <v>41</v>
      </c>
      <c r="D20" s="85">
        <f>16433*6</f>
        <v>98598</v>
      </c>
      <c r="E20" s="85">
        <v>91500</v>
      </c>
      <c r="F20" s="85">
        <v>91500</v>
      </c>
      <c r="G20" s="435">
        <f t="shared" ref="G20:I24" si="4">(F20*0.068)+F20</f>
        <v>97722</v>
      </c>
      <c r="H20" s="435">
        <f t="shared" si="4"/>
        <v>104367.09600000001</v>
      </c>
      <c r="I20" s="435">
        <f t="shared" si="4"/>
        <v>111464.05852800001</v>
      </c>
      <c r="J20" s="385"/>
    </row>
    <row r="21" spans="1:11" s="285" customFormat="1" x14ac:dyDescent="0.25">
      <c r="A21" s="118">
        <v>14</v>
      </c>
      <c r="B21" s="151">
        <v>5115</v>
      </c>
      <c r="C21" s="94" t="s">
        <v>42</v>
      </c>
      <c r="D21" s="85">
        <f>11713*6</f>
        <v>70278</v>
      </c>
      <c r="E21" s="85">
        <v>55000</v>
      </c>
      <c r="F21" s="85">
        <v>55000</v>
      </c>
      <c r="G21" s="435">
        <f t="shared" si="4"/>
        <v>58740</v>
      </c>
      <c r="H21" s="435">
        <f t="shared" si="4"/>
        <v>62734.32</v>
      </c>
      <c r="I21" s="435">
        <f t="shared" si="4"/>
        <v>67000.253759999992</v>
      </c>
      <c r="J21" s="385"/>
    </row>
    <row r="22" spans="1:11" s="285" customFormat="1" x14ac:dyDescent="0.25">
      <c r="A22" s="118">
        <v>14</v>
      </c>
      <c r="B22" s="151">
        <v>5120</v>
      </c>
      <c r="C22" s="94" t="s">
        <v>43</v>
      </c>
      <c r="D22" s="85">
        <f>6414*6</f>
        <v>38484</v>
      </c>
      <c r="E22" s="85">
        <v>56000</v>
      </c>
      <c r="F22" s="85">
        <v>56000</v>
      </c>
      <c r="G22" s="435">
        <f t="shared" si="4"/>
        <v>59808</v>
      </c>
      <c r="H22" s="435">
        <f t="shared" si="4"/>
        <v>63874.944000000003</v>
      </c>
      <c r="I22" s="435">
        <f t="shared" si="4"/>
        <v>68218.440192000009</v>
      </c>
      <c r="J22" s="385"/>
    </row>
    <row r="23" spans="1:11" s="285" customFormat="1" x14ac:dyDescent="0.25">
      <c r="A23" s="118">
        <v>14</v>
      </c>
      <c r="B23" s="151">
        <v>5125</v>
      </c>
      <c r="C23" s="94" t="s">
        <v>44</v>
      </c>
      <c r="D23" s="85"/>
      <c r="E23" s="85"/>
      <c r="F23" s="85"/>
      <c r="G23" s="435">
        <f t="shared" si="4"/>
        <v>0</v>
      </c>
      <c r="H23" s="435">
        <f t="shared" si="4"/>
        <v>0</v>
      </c>
      <c r="I23" s="435">
        <f t="shared" si="4"/>
        <v>0</v>
      </c>
      <c r="J23" s="385"/>
    </row>
    <row r="24" spans="1:11" s="285" customFormat="1" x14ac:dyDescent="0.25">
      <c r="A24" s="118">
        <v>14</v>
      </c>
      <c r="B24" s="151">
        <v>5130</v>
      </c>
      <c r="C24" s="94" t="s">
        <v>45</v>
      </c>
      <c r="D24" s="85">
        <f>1171*6</f>
        <v>7026</v>
      </c>
      <c r="E24" s="85">
        <v>5600</v>
      </c>
      <c r="F24" s="85">
        <v>5600</v>
      </c>
      <c r="G24" s="435">
        <f t="shared" si="4"/>
        <v>5980.8</v>
      </c>
      <c r="H24" s="435">
        <f t="shared" si="4"/>
        <v>6387.4944000000005</v>
      </c>
      <c r="I24" s="435">
        <f t="shared" si="4"/>
        <v>6821.8440192000007</v>
      </c>
      <c r="J24" s="385"/>
    </row>
    <row r="25" spans="1:11" s="285" customFormat="1" x14ac:dyDescent="0.25">
      <c r="A25" s="344"/>
      <c r="B25" s="151"/>
      <c r="C25" s="94"/>
      <c r="D25" s="89">
        <f t="shared" ref="D25:J25" si="5">SUM(D20:D24)</f>
        <v>214386</v>
      </c>
      <c r="E25" s="89">
        <f t="shared" si="5"/>
        <v>208100</v>
      </c>
      <c r="F25" s="89">
        <f t="shared" si="5"/>
        <v>208100</v>
      </c>
      <c r="G25" s="436">
        <f t="shared" si="5"/>
        <v>222250.8</v>
      </c>
      <c r="H25" s="436">
        <f t="shared" si="5"/>
        <v>237363.85439999998</v>
      </c>
      <c r="I25" s="436">
        <f t="shared" si="5"/>
        <v>253504.59649920004</v>
      </c>
      <c r="J25" s="393">
        <f t="shared" si="5"/>
        <v>0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5"/>
      <c r="J26" s="111"/>
    </row>
    <row r="27" spans="1:11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5"/>
      <c r="J27" s="111"/>
    </row>
    <row r="28" spans="1:11" s="285" customFormat="1" x14ac:dyDescent="0.25">
      <c r="A28" s="118">
        <v>14</v>
      </c>
      <c r="B28" s="151">
        <v>5150</v>
      </c>
      <c r="C28" s="94" t="s">
        <v>48</v>
      </c>
      <c r="D28" s="85"/>
      <c r="E28" s="85">
        <v>578000</v>
      </c>
      <c r="F28" s="85">
        <f>E28-D28</f>
        <v>578000</v>
      </c>
      <c r="G28" s="435">
        <f>(F28*0.068)+F28</f>
        <v>617304</v>
      </c>
      <c r="H28" s="435">
        <f>(G28*0.068)+G28</f>
        <v>659280.67200000002</v>
      </c>
      <c r="I28" s="435">
        <f>(H28*0.068)+H28</f>
        <v>704111.75769600004</v>
      </c>
      <c r="J28" s="385"/>
    </row>
    <row r="29" spans="1:11" s="285" customFormat="1" x14ac:dyDescent="0.25">
      <c r="A29" s="344"/>
      <c r="B29" s="151"/>
      <c r="C29" s="94"/>
      <c r="D29" s="89">
        <f t="shared" ref="D29:J29" si="6">D28</f>
        <v>0</v>
      </c>
      <c r="E29" s="89">
        <f t="shared" si="6"/>
        <v>578000</v>
      </c>
      <c r="F29" s="89">
        <f t="shared" si="6"/>
        <v>578000</v>
      </c>
      <c r="G29" s="436">
        <f t="shared" si="6"/>
        <v>617304</v>
      </c>
      <c r="H29" s="436">
        <f t="shared" si="6"/>
        <v>659280.67200000002</v>
      </c>
      <c r="I29" s="436">
        <f t="shared" si="6"/>
        <v>704111.75769600004</v>
      </c>
      <c r="J29" s="393">
        <f t="shared" si="6"/>
        <v>0</v>
      </c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5"/>
      <c r="J30" s="111"/>
    </row>
    <row r="31" spans="1:11" s="285" customFormat="1" x14ac:dyDescent="0.25">
      <c r="A31" s="118">
        <v>14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  <c r="J31" s="385"/>
    </row>
    <row r="32" spans="1:11" s="285" customFormat="1" x14ac:dyDescent="0.25">
      <c r="A32" s="344"/>
      <c r="B32" s="151"/>
      <c r="C32" s="94"/>
      <c r="D32" s="89">
        <f t="shared" ref="D32:J32" si="7">SUM(D31)</f>
        <v>0</v>
      </c>
      <c r="E32" s="89">
        <f t="shared" si="7"/>
        <v>0</v>
      </c>
      <c r="F32" s="89">
        <f t="shared" si="7"/>
        <v>0</v>
      </c>
      <c r="G32" s="436">
        <f t="shared" si="7"/>
        <v>0</v>
      </c>
      <c r="H32" s="436">
        <f t="shared" si="7"/>
        <v>0</v>
      </c>
      <c r="I32" s="436">
        <f t="shared" si="7"/>
        <v>0</v>
      </c>
      <c r="J32" s="393">
        <f t="shared" si="7"/>
        <v>0</v>
      </c>
    </row>
    <row r="33" spans="1:10" s="285" customFormat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5"/>
      <c r="J33" s="111"/>
    </row>
    <row r="34" spans="1:10" s="285" customFormat="1" x14ac:dyDescent="0.25">
      <c r="A34" s="118">
        <v>14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85"/>
      <c r="J34" s="394"/>
    </row>
    <row r="35" spans="1:10" s="285" customFormat="1" x14ac:dyDescent="0.25">
      <c r="A35" s="344"/>
      <c r="B35" s="151"/>
      <c r="C35" s="94"/>
      <c r="D35" s="89">
        <f t="shared" ref="D35:J35" si="8">SUM(D34)</f>
        <v>0</v>
      </c>
      <c r="E35" s="89">
        <f t="shared" si="8"/>
        <v>0</v>
      </c>
      <c r="F35" s="89">
        <f t="shared" si="8"/>
        <v>0</v>
      </c>
      <c r="G35" s="436">
        <f t="shared" si="8"/>
        <v>0</v>
      </c>
      <c r="H35" s="436">
        <f t="shared" si="8"/>
        <v>0</v>
      </c>
      <c r="I35" s="436">
        <f t="shared" si="8"/>
        <v>0</v>
      </c>
      <c r="J35" s="393">
        <f t="shared" si="8"/>
        <v>0</v>
      </c>
    </row>
    <row r="36" spans="1:10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5"/>
      <c r="J36" s="111"/>
    </row>
    <row r="37" spans="1:10" s="285" customFormat="1" x14ac:dyDescent="0.25">
      <c r="A37" s="118">
        <v>14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  <c r="J37" s="385"/>
    </row>
    <row r="38" spans="1:10" s="285" customFormat="1" x14ac:dyDescent="0.25">
      <c r="A38" s="344"/>
      <c r="B38" s="151"/>
      <c r="C38" s="94"/>
      <c r="D38" s="89">
        <f t="shared" ref="D38:J38" si="9">D37</f>
        <v>0</v>
      </c>
      <c r="E38" s="89">
        <f t="shared" si="9"/>
        <v>0</v>
      </c>
      <c r="F38" s="89">
        <f t="shared" si="9"/>
        <v>0</v>
      </c>
      <c r="G38" s="436">
        <f t="shared" si="9"/>
        <v>0</v>
      </c>
      <c r="H38" s="436">
        <f t="shared" si="9"/>
        <v>0</v>
      </c>
      <c r="I38" s="436">
        <f t="shared" si="9"/>
        <v>0</v>
      </c>
      <c r="J38" s="393">
        <f t="shared" si="9"/>
        <v>0</v>
      </c>
    </row>
    <row r="39" spans="1:10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5"/>
      <c r="J39" s="111"/>
    </row>
    <row r="40" spans="1:10" s="285" customFormat="1" x14ac:dyDescent="0.25">
      <c r="A40" s="118">
        <v>14</v>
      </c>
      <c r="B40" s="151">
        <v>5200</v>
      </c>
      <c r="C40" s="94" t="s">
        <v>55</v>
      </c>
      <c r="D40" s="85"/>
      <c r="E40" s="108"/>
      <c r="F40" s="85">
        <f t="shared" ref="F40:F58" si="10">0/8*12</f>
        <v>0</v>
      </c>
      <c r="G40" s="85"/>
      <c r="H40" s="85"/>
      <c r="I40" s="85"/>
      <c r="J40" s="385">
        <f>F40*(1+INPUT!C$10)</f>
        <v>0</v>
      </c>
    </row>
    <row r="41" spans="1:10" s="285" customFormat="1" x14ac:dyDescent="0.25">
      <c r="A41" s="118">
        <v>14</v>
      </c>
      <c r="B41" s="151">
        <v>5205</v>
      </c>
      <c r="C41" s="94" t="s">
        <v>56</v>
      </c>
      <c r="D41" s="85"/>
      <c r="E41" s="108"/>
      <c r="F41" s="85">
        <f t="shared" si="10"/>
        <v>0</v>
      </c>
      <c r="G41" s="85"/>
      <c r="H41" s="85"/>
      <c r="I41" s="85"/>
      <c r="J41" s="385">
        <f>F41*(1+INPUT!C$10)</f>
        <v>0</v>
      </c>
    </row>
    <row r="42" spans="1:10" s="285" customFormat="1" x14ac:dyDescent="0.25">
      <c r="A42" s="118">
        <v>14</v>
      </c>
      <c r="B42" s="151">
        <v>5210</v>
      </c>
      <c r="C42" s="94" t="s">
        <v>57</v>
      </c>
      <c r="D42" s="85"/>
      <c r="E42" s="108"/>
      <c r="F42" s="85">
        <f t="shared" si="10"/>
        <v>0</v>
      </c>
      <c r="G42" s="85">
        <v>35000</v>
      </c>
      <c r="H42" s="85">
        <f>+(G42*0.1)+G42</f>
        <v>38500</v>
      </c>
      <c r="I42" s="85">
        <f>+(H42*0.1)+H42</f>
        <v>42350</v>
      </c>
      <c r="J42" s="385">
        <f>F42*(1+INPUT!C$10)</f>
        <v>0</v>
      </c>
    </row>
    <row r="43" spans="1:10" s="285" customFormat="1" x14ac:dyDescent="0.25">
      <c r="A43" s="118">
        <v>14</v>
      </c>
      <c r="B43" s="151">
        <v>5215</v>
      </c>
      <c r="C43" s="94" t="s">
        <v>95</v>
      </c>
      <c r="D43" s="85"/>
      <c r="E43" s="108"/>
      <c r="F43" s="85">
        <f t="shared" si="10"/>
        <v>0</v>
      </c>
      <c r="G43" s="85"/>
      <c r="H43" s="85"/>
      <c r="I43" s="85"/>
      <c r="J43" s="385">
        <f>F43*(1+INPUT!C$10)</f>
        <v>0</v>
      </c>
    </row>
    <row r="44" spans="1:10" s="285" customFormat="1" x14ac:dyDescent="0.25">
      <c r="A44" s="118">
        <v>14</v>
      </c>
      <c r="B44" s="151">
        <v>5220</v>
      </c>
      <c r="C44" s="94" t="s">
        <v>58</v>
      </c>
      <c r="D44" s="85"/>
      <c r="E44" s="108"/>
      <c r="F44" s="85">
        <f t="shared" si="10"/>
        <v>0</v>
      </c>
      <c r="G44" s="85"/>
      <c r="H44" s="85"/>
      <c r="I44" s="85"/>
      <c r="J44" s="385">
        <f>F44*(1+INPUT!C$10)</f>
        <v>0</v>
      </c>
    </row>
    <row r="45" spans="1:10" s="285" customFormat="1" x14ac:dyDescent="0.25">
      <c r="A45" s="118">
        <v>14</v>
      </c>
      <c r="B45" s="151">
        <v>5225</v>
      </c>
      <c r="C45" s="94" t="s">
        <v>92</v>
      </c>
      <c r="D45" s="85"/>
      <c r="E45" s="108"/>
      <c r="F45" s="85">
        <f t="shared" si="10"/>
        <v>0</v>
      </c>
      <c r="G45" s="85"/>
      <c r="H45" s="85"/>
      <c r="I45" s="85"/>
      <c r="J45" s="385">
        <f>F45*(1+INPUT!C$10)</f>
        <v>0</v>
      </c>
    </row>
    <row r="46" spans="1:10" s="285" customFormat="1" x14ac:dyDescent="0.25">
      <c r="A46" s="118">
        <v>14</v>
      </c>
      <c r="B46" s="151">
        <v>5230</v>
      </c>
      <c r="C46" s="94" t="s">
        <v>86</v>
      </c>
      <c r="D46" s="85"/>
      <c r="E46" s="108"/>
      <c r="F46" s="85">
        <f t="shared" si="10"/>
        <v>0</v>
      </c>
      <c r="G46" s="85"/>
      <c r="H46" s="85"/>
      <c r="I46" s="85"/>
      <c r="J46" s="385">
        <f>F46*(1+INPUT!C$10)</f>
        <v>0</v>
      </c>
    </row>
    <row r="47" spans="1:10" s="285" customFormat="1" x14ac:dyDescent="0.25">
      <c r="A47" s="118">
        <v>14</v>
      </c>
      <c r="B47" s="151">
        <v>5235</v>
      </c>
      <c r="C47" s="94" t="s">
        <v>124</v>
      </c>
      <c r="D47" s="85"/>
      <c r="E47" s="108"/>
      <c r="F47" s="85">
        <f t="shared" si="10"/>
        <v>0</v>
      </c>
      <c r="G47" s="85"/>
      <c r="H47" s="85"/>
      <c r="I47" s="85"/>
      <c r="J47" s="385">
        <f>F47*(1+INPUT!C$10)</f>
        <v>0</v>
      </c>
    </row>
    <row r="48" spans="1:10" s="285" customFormat="1" x14ac:dyDescent="0.25">
      <c r="A48" s="118">
        <v>14</v>
      </c>
      <c r="B48" s="151">
        <v>5240</v>
      </c>
      <c r="C48" s="94" t="s">
        <v>59</v>
      </c>
      <c r="D48" s="85"/>
      <c r="E48" s="85">
        <v>2000</v>
      </c>
      <c r="F48" s="85">
        <f>E48-D48</f>
        <v>2000</v>
      </c>
      <c r="G48" s="85">
        <v>60000</v>
      </c>
      <c r="H48" s="85">
        <f>+(G48*0.1)+G48</f>
        <v>66000</v>
      </c>
      <c r="I48" s="85">
        <f>+(H48*0.1)+H48</f>
        <v>72600</v>
      </c>
      <c r="J48" s="385"/>
    </row>
    <row r="49" spans="1:10" s="285" customFormat="1" x14ac:dyDescent="0.25">
      <c r="A49" s="118">
        <v>14</v>
      </c>
      <c r="B49" s="151">
        <v>5245</v>
      </c>
      <c r="C49" s="94" t="s">
        <v>91</v>
      </c>
      <c r="D49" s="85"/>
      <c r="E49" s="108"/>
      <c r="F49" s="85">
        <f t="shared" si="10"/>
        <v>0</v>
      </c>
      <c r="G49" s="85"/>
      <c r="H49" s="85"/>
      <c r="I49" s="85"/>
      <c r="J49" s="385">
        <f>F49*(1+INPUT!C$10)</f>
        <v>0</v>
      </c>
    </row>
    <row r="50" spans="1:10" s="285" customFormat="1" x14ac:dyDescent="0.25">
      <c r="A50" s="118">
        <v>14</v>
      </c>
      <c r="B50" s="151">
        <v>5250</v>
      </c>
      <c r="C50" s="94" t="s">
        <v>88</v>
      </c>
      <c r="D50" s="85"/>
      <c r="E50" s="108"/>
      <c r="F50" s="85">
        <f t="shared" si="10"/>
        <v>0</v>
      </c>
      <c r="G50" s="85"/>
      <c r="H50" s="85"/>
      <c r="I50" s="85"/>
      <c r="J50" s="385">
        <f>F50*(1+INPUT!C$10)</f>
        <v>0</v>
      </c>
    </row>
    <row r="51" spans="1:10" s="285" customFormat="1" x14ac:dyDescent="0.25">
      <c r="A51" s="118">
        <v>14</v>
      </c>
      <c r="B51" s="151">
        <v>5255</v>
      </c>
      <c r="C51" s="94" t="s">
        <v>125</v>
      </c>
      <c r="D51" s="85"/>
      <c r="E51" s="108"/>
      <c r="F51" s="85">
        <f t="shared" si="10"/>
        <v>0</v>
      </c>
      <c r="G51" s="85"/>
      <c r="H51" s="85"/>
      <c r="I51" s="85"/>
      <c r="J51" s="385">
        <f>F51*(1+INPUT!C$10)</f>
        <v>0</v>
      </c>
    </row>
    <row r="52" spans="1:10" s="285" customFormat="1" x14ac:dyDescent="0.25">
      <c r="A52" s="118">
        <v>14</v>
      </c>
      <c r="B52" s="151">
        <v>5260</v>
      </c>
      <c r="C52" s="94" t="s">
        <v>90</v>
      </c>
      <c r="D52" s="85"/>
      <c r="E52" s="108"/>
      <c r="F52" s="85">
        <f t="shared" si="10"/>
        <v>0</v>
      </c>
      <c r="G52" s="85"/>
      <c r="H52" s="85"/>
      <c r="I52" s="85"/>
      <c r="J52" s="385">
        <f>F52*(1+INPUT!C$10)</f>
        <v>0</v>
      </c>
    </row>
    <row r="53" spans="1:10" s="285" customFormat="1" x14ac:dyDescent="0.25">
      <c r="A53" s="118">
        <v>14</v>
      </c>
      <c r="B53" s="151">
        <v>5265</v>
      </c>
      <c r="C53" s="94" t="s">
        <v>87</v>
      </c>
      <c r="D53" s="85"/>
      <c r="E53" s="108"/>
      <c r="F53" s="85">
        <f t="shared" si="10"/>
        <v>0</v>
      </c>
      <c r="G53" s="85"/>
      <c r="H53" s="85"/>
      <c r="I53" s="85"/>
      <c r="J53" s="385">
        <f>F53*(1+INPUT!C$10)</f>
        <v>0</v>
      </c>
    </row>
    <row r="54" spans="1:10" s="285" customFormat="1" x14ac:dyDescent="0.25">
      <c r="A54" s="118">
        <v>14</v>
      </c>
      <c r="B54" s="151">
        <v>5270</v>
      </c>
      <c r="C54" s="94" t="s">
        <v>89</v>
      </c>
      <c r="D54" s="85"/>
      <c r="E54" s="108"/>
      <c r="F54" s="85">
        <f t="shared" si="10"/>
        <v>0</v>
      </c>
      <c r="G54" s="85"/>
      <c r="H54" s="85"/>
      <c r="I54" s="85"/>
      <c r="J54" s="385">
        <f>F54*(1+INPUT!C$10)</f>
        <v>0</v>
      </c>
    </row>
    <row r="55" spans="1:10" s="285" customFormat="1" x14ac:dyDescent="0.25">
      <c r="A55" s="375">
        <v>14</v>
      </c>
      <c r="B55" s="152">
        <v>5275</v>
      </c>
      <c r="C55" s="106" t="s">
        <v>93</v>
      </c>
      <c r="D55" s="387"/>
      <c r="E55" s="382"/>
      <c r="F55" s="387">
        <f t="shared" si="10"/>
        <v>0</v>
      </c>
      <c r="G55" s="387"/>
      <c r="H55" s="387"/>
      <c r="I55" s="387"/>
      <c r="J55" s="385">
        <f>F55*(1+INPUT!C$10)</f>
        <v>0</v>
      </c>
    </row>
    <row r="56" spans="1:10" s="285" customFormat="1" x14ac:dyDescent="0.25">
      <c r="A56" s="118">
        <v>14</v>
      </c>
      <c r="B56" s="153">
        <v>5280</v>
      </c>
      <c r="C56" s="97" t="s">
        <v>94</v>
      </c>
      <c r="D56" s="88"/>
      <c r="E56" s="335"/>
      <c r="F56" s="88">
        <f t="shared" si="10"/>
        <v>0</v>
      </c>
      <c r="G56" s="88"/>
      <c r="H56" s="88"/>
      <c r="I56" s="88"/>
      <c r="J56" s="385">
        <f>F56*(1+INPUT!C$10)</f>
        <v>0</v>
      </c>
    </row>
    <row r="57" spans="1:10" s="285" customFormat="1" x14ac:dyDescent="0.25">
      <c r="A57" s="118">
        <v>14</v>
      </c>
      <c r="B57" s="151">
        <v>5285</v>
      </c>
      <c r="C57" s="94" t="s">
        <v>60</v>
      </c>
      <c r="D57" s="85"/>
      <c r="E57" s="85"/>
      <c r="F57" s="85">
        <f t="shared" si="10"/>
        <v>0</v>
      </c>
      <c r="G57" s="85"/>
      <c r="H57" s="85"/>
      <c r="I57" s="85"/>
      <c r="J57" s="385">
        <f>F57*(1+INPUT!C$10)</f>
        <v>0</v>
      </c>
    </row>
    <row r="58" spans="1:10" s="285" customFormat="1" x14ac:dyDescent="0.25">
      <c r="A58" s="118">
        <v>14</v>
      </c>
      <c r="B58" s="151">
        <v>5290</v>
      </c>
      <c r="C58" s="94" t="s">
        <v>186</v>
      </c>
      <c r="D58" s="85"/>
      <c r="E58" s="108"/>
      <c r="F58" s="85">
        <f t="shared" si="10"/>
        <v>0</v>
      </c>
      <c r="G58" s="85"/>
      <c r="H58" s="85"/>
      <c r="I58" s="85"/>
      <c r="J58" s="385">
        <f>F58*(1+INPUT!C$10)</f>
        <v>0</v>
      </c>
    </row>
    <row r="59" spans="1:10" s="285" customFormat="1" x14ac:dyDescent="0.25">
      <c r="A59" s="344"/>
      <c r="B59" s="151"/>
      <c r="C59" s="94"/>
      <c r="D59" s="110">
        <f t="shared" ref="D59:J59" si="11">SUM(D40:D58)</f>
        <v>0</v>
      </c>
      <c r="E59" s="110">
        <f t="shared" si="11"/>
        <v>2000</v>
      </c>
      <c r="F59" s="110">
        <f t="shared" si="11"/>
        <v>2000</v>
      </c>
      <c r="G59" s="446">
        <f t="shared" si="11"/>
        <v>95000</v>
      </c>
      <c r="H59" s="446">
        <f t="shared" si="11"/>
        <v>104500</v>
      </c>
      <c r="I59" s="446">
        <f t="shared" si="11"/>
        <v>114950</v>
      </c>
      <c r="J59" s="395">
        <f t="shared" si="11"/>
        <v>0</v>
      </c>
    </row>
    <row r="60" spans="1:10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08"/>
      <c r="J60" s="396"/>
    </row>
    <row r="61" spans="1:10" s="285" customFormat="1" x14ac:dyDescent="0.25">
      <c r="A61" s="118">
        <v>14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5"/>
      <c r="J61" s="111"/>
    </row>
    <row r="62" spans="1:10" s="285" customFormat="1" x14ac:dyDescent="0.25">
      <c r="A62" s="118">
        <v>14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85"/>
      <c r="H62" s="85"/>
      <c r="I62" s="85"/>
      <c r="J62" s="394"/>
    </row>
    <row r="63" spans="1:10" s="285" customFormat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/>
      <c r="I63" s="89"/>
      <c r="J63" s="393">
        <f>SUM(J61:J62)</f>
        <v>0</v>
      </c>
    </row>
    <row r="64" spans="1:10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5"/>
      <c r="J64" s="111"/>
    </row>
    <row r="65" spans="1:10" s="285" customFormat="1" x14ac:dyDescent="0.25">
      <c r="A65" s="118">
        <v>14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85"/>
      <c r="J65" s="394"/>
    </row>
    <row r="66" spans="1:10" s="285" customFormat="1" x14ac:dyDescent="0.25">
      <c r="A66" s="344"/>
      <c r="B66" s="151"/>
      <c r="C66" s="94"/>
      <c r="D66" s="89">
        <f t="shared" ref="D66:J66" si="12">D65</f>
        <v>0</v>
      </c>
      <c r="E66" s="89">
        <f t="shared" si="12"/>
        <v>0</v>
      </c>
      <c r="F66" s="89">
        <f t="shared" si="12"/>
        <v>0</v>
      </c>
      <c r="G66" s="436">
        <f t="shared" si="12"/>
        <v>0</v>
      </c>
      <c r="H66" s="436">
        <f t="shared" si="12"/>
        <v>0</v>
      </c>
      <c r="I66" s="436">
        <f t="shared" si="12"/>
        <v>0</v>
      </c>
      <c r="J66" s="393">
        <f t="shared" si="12"/>
        <v>0</v>
      </c>
    </row>
    <row r="67" spans="1:10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5"/>
      <c r="J67" s="111"/>
    </row>
    <row r="68" spans="1:10" s="285" customFormat="1" x14ac:dyDescent="0.25">
      <c r="A68" s="118">
        <v>14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/>
      <c r="J68" s="385">
        <f>F68*(1+INPUT!C11)</f>
        <v>0</v>
      </c>
    </row>
    <row r="69" spans="1:10" s="285" customFormat="1" x14ac:dyDescent="0.25">
      <c r="A69" s="118">
        <v>14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/>
      <c r="J69" s="385">
        <f>F69*(1+INPUT!C12)</f>
        <v>0</v>
      </c>
    </row>
    <row r="70" spans="1:10" s="285" customFormat="1" x14ac:dyDescent="0.25">
      <c r="A70" s="344"/>
      <c r="B70" s="151"/>
      <c r="C70" s="94"/>
      <c r="D70" s="110">
        <f t="shared" ref="D70:J70" si="13">SUM(D68:D69)</f>
        <v>0</v>
      </c>
      <c r="E70" s="110">
        <f t="shared" si="13"/>
        <v>0</v>
      </c>
      <c r="F70" s="110">
        <f t="shared" si="13"/>
        <v>0</v>
      </c>
      <c r="G70" s="446">
        <f t="shared" si="13"/>
        <v>0</v>
      </c>
      <c r="H70" s="446">
        <f t="shared" si="13"/>
        <v>0</v>
      </c>
      <c r="I70" s="446">
        <f t="shared" si="13"/>
        <v>0</v>
      </c>
      <c r="J70" s="395">
        <f t="shared" si="13"/>
        <v>0</v>
      </c>
    </row>
    <row r="71" spans="1:10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88"/>
      <c r="J71" s="120"/>
    </row>
    <row r="72" spans="1:10" s="285" customFormat="1" x14ac:dyDescent="0.25">
      <c r="A72" s="118">
        <v>14</v>
      </c>
      <c r="B72" s="151">
        <v>5505</v>
      </c>
      <c r="C72" s="94" t="s">
        <v>259</v>
      </c>
      <c r="D72" s="85"/>
      <c r="E72" s="85">
        <v>50000</v>
      </c>
      <c r="F72" s="85">
        <v>10000</v>
      </c>
      <c r="G72" s="85"/>
      <c r="H72" s="85"/>
      <c r="I72" s="85"/>
      <c r="J72" s="385"/>
    </row>
    <row r="73" spans="1:10" s="285" customFormat="1" x14ac:dyDescent="0.25">
      <c r="A73" s="118">
        <v>14</v>
      </c>
      <c r="B73" s="151">
        <v>5510</v>
      </c>
      <c r="C73" s="94" t="s">
        <v>63</v>
      </c>
      <c r="D73" s="85"/>
      <c r="E73" s="85">
        <v>1353</v>
      </c>
      <c r="F73" s="85">
        <v>1353</v>
      </c>
      <c r="G73" s="85"/>
      <c r="H73" s="85"/>
      <c r="I73" s="85"/>
      <c r="J73" s="385"/>
    </row>
    <row r="74" spans="1:10" s="285" customFormat="1" x14ac:dyDescent="0.25">
      <c r="A74" s="118">
        <v>14</v>
      </c>
      <c r="B74" s="151">
        <v>5520</v>
      </c>
      <c r="C74" s="94" t="s">
        <v>260</v>
      </c>
      <c r="D74" s="85"/>
      <c r="E74" s="85"/>
      <c r="F74" s="85"/>
      <c r="G74" s="85"/>
      <c r="H74" s="85"/>
      <c r="I74" s="85"/>
      <c r="J74" s="385"/>
    </row>
    <row r="75" spans="1:10" s="285" customFormat="1" x14ac:dyDescent="0.25">
      <c r="A75" s="118">
        <v>14</v>
      </c>
      <c r="B75" s="151">
        <v>5525</v>
      </c>
      <c r="C75" s="94" t="s">
        <v>261</v>
      </c>
      <c r="D75" s="85"/>
      <c r="E75" s="85"/>
      <c r="F75" s="85"/>
      <c r="G75" s="85"/>
      <c r="H75" s="85"/>
      <c r="I75" s="85"/>
      <c r="J75" s="385"/>
    </row>
    <row r="76" spans="1:10" s="285" customFormat="1" x14ac:dyDescent="0.25">
      <c r="A76" s="118">
        <v>14</v>
      </c>
      <c r="B76" s="151">
        <v>5530</v>
      </c>
      <c r="C76" s="94" t="s">
        <v>262</v>
      </c>
      <c r="D76" s="85"/>
      <c r="E76" s="85"/>
      <c r="F76" s="85"/>
      <c r="G76" s="85"/>
      <c r="H76" s="85"/>
      <c r="I76" s="85"/>
      <c r="J76" s="385"/>
    </row>
    <row r="77" spans="1:10" s="285" customFormat="1" x14ac:dyDescent="0.25">
      <c r="A77" s="118">
        <v>14</v>
      </c>
      <c r="B77" s="151">
        <v>5535</v>
      </c>
      <c r="C77" s="94" t="s">
        <v>263</v>
      </c>
      <c r="D77" s="85">
        <f>[1]Sheet1!$D$594</f>
        <v>2345.1999999999998</v>
      </c>
      <c r="E77" s="85">
        <v>15000</v>
      </c>
      <c r="F77" s="85">
        <v>5000</v>
      </c>
      <c r="G77" s="85">
        <v>25000</v>
      </c>
      <c r="H77" s="85">
        <f t="shared" ref="H77:I79" si="14">+(G77*0.1)+G77</f>
        <v>27500</v>
      </c>
      <c r="I77" s="85">
        <f t="shared" si="14"/>
        <v>30250</v>
      </c>
      <c r="J77" s="385"/>
    </row>
    <row r="78" spans="1:10" s="285" customFormat="1" x14ac:dyDescent="0.25">
      <c r="A78" s="118">
        <v>14</v>
      </c>
      <c r="B78" s="151">
        <v>5540</v>
      </c>
      <c r="C78" s="94" t="s">
        <v>264</v>
      </c>
      <c r="D78" s="85"/>
      <c r="E78" s="85">
        <v>14542</v>
      </c>
      <c r="F78" s="85">
        <v>3000</v>
      </c>
      <c r="G78" s="85">
        <v>35000</v>
      </c>
      <c r="H78" s="85">
        <f t="shared" si="14"/>
        <v>38500</v>
      </c>
      <c r="I78" s="85">
        <f t="shared" si="14"/>
        <v>42350</v>
      </c>
      <c r="J78" s="385"/>
    </row>
    <row r="79" spans="1:10" s="285" customFormat="1" ht="13.5" customHeight="1" x14ac:dyDescent="0.25">
      <c r="A79" s="118">
        <v>14</v>
      </c>
      <c r="B79" s="151">
        <v>5545</v>
      </c>
      <c r="C79" s="94" t="s">
        <v>265</v>
      </c>
      <c r="D79" s="85"/>
      <c r="E79" s="85">
        <v>5000</v>
      </c>
      <c r="F79" s="85">
        <v>1000</v>
      </c>
      <c r="G79" s="85">
        <v>8000</v>
      </c>
      <c r="H79" s="85">
        <f t="shared" si="14"/>
        <v>8800</v>
      </c>
      <c r="I79" s="85">
        <f t="shared" si="14"/>
        <v>9680</v>
      </c>
      <c r="J79" s="385"/>
    </row>
    <row r="80" spans="1:10" s="285" customFormat="1" x14ac:dyDescent="0.25">
      <c r="A80" s="118">
        <v>14</v>
      </c>
      <c r="B80" s="151">
        <v>5550</v>
      </c>
      <c r="C80" s="94" t="s">
        <v>267</v>
      </c>
      <c r="D80" s="85"/>
      <c r="E80" s="85"/>
      <c r="F80" s="85"/>
      <c r="G80" s="85"/>
      <c r="H80" s="85"/>
      <c r="I80" s="85"/>
      <c r="J80" s="385"/>
    </row>
    <row r="81" spans="1:10" s="285" customFormat="1" x14ac:dyDescent="0.25">
      <c r="A81" s="118">
        <v>14</v>
      </c>
      <c r="B81" s="151">
        <v>5555</v>
      </c>
      <c r="C81" s="94" t="s">
        <v>268</v>
      </c>
      <c r="D81" s="85"/>
      <c r="E81" s="85"/>
      <c r="F81" s="85"/>
      <c r="G81" s="85"/>
      <c r="H81" s="85"/>
      <c r="I81" s="85"/>
      <c r="J81" s="385"/>
    </row>
    <row r="82" spans="1:10" s="285" customFormat="1" x14ac:dyDescent="0.25">
      <c r="A82" s="118">
        <v>14</v>
      </c>
      <c r="B82" s="151">
        <v>5560</v>
      </c>
      <c r="C82" s="94" t="s">
        <v>269</v>
      </c>
      <c r="D82" s="85">
        <v>12428</v>
      </c>
      <c r="E82" s="85">
        <v>21811</v>
      </c>
      <c r="F82" s="85">
        <v>24000</v>
      </c>
      <c r="G82" s="85"/>
      <c r="H82" s="85"/>
      <c r="I82" s="85"/>
      <c r="J82" s="385"/>
    </row>
    <row r="83" spans="1:10" s="285" customFormat="1" x14ac:dyDescent="0.25">
      <c r="A83" s="118">
        <v>14</v>
      </c>
      <c r="B83" s="151">
        <v>5565</v>
      </c>
      <c r="C83" s="94" t="s">
        <v>246</v>
      </c>
      <c r="D83" s="85"/>
      <c r="E83" s="85"/>
      <c r="F83" s="85"/>
      <c r="G83" s="85"/>
      <c r="H83" s="85"/>
      <c r="I83" s="85"/>
      <c r="J83" s="385"/>
    </row>
    <row r="84" spans="1:10" s="285" customFormat="1" x14ac:dyDescent="0.25">
      <c r="A84" s="118">
        <v>14</v>
      </c>
      <c r="B84" s="151">
        <v>5570</v>
      </c>
      <c r="C84" s="94" t="s">
        <v>270</v>
      </c>
      <c r="D84" s="85"/>
      <c r="E84" s="85">
        <v>6797</v>
      </c>
      <c r="F84" s="85">
        <v>1000</v>
      </c>
      <c r="G84" s="85"/>
      <c r="H84" s="85"/>
      <c r="I84" s="85"/>
      <c r="J84" s="385"/>
    </row>
    <row r="85" spans="1:10" s="285" customFormat="1" x14ac:dyDescent="0.25">
      <c r="A85" s="118">
        <v>14</v>
      </c>
      <c r="B85" s="151">
        <v>5575</v>
      </c>
      <c r="C85" s="94" t="s">
        <v>271</v>
      </c>
      <c r="D85" s="85">
        <v>193</v>
      </c>
      <c r="E85" s="85">
        <v>45000</v>
      </c>
      <c r="F85" s="85">
        <v>10000</v>
      </c>
      <c r="G85" s="85"/>
      <c r="H85" s="85"/>
      <c r="I85" s="85"/>
      <c r="J85" s="385"/>
    </row>
    <row r="86" spans="1:10" s="285" customFormat="1" x14ac:dyDescent="0.25">
      <c r="A86" s="118">
        <v>14</v>
      </c>
      <c r="B86" s="151">
        <v>5580</v>
      </c>
      <c r="C86" s="94" t="s">
        <v>272</v>
      </c>
      <c r="D86" s="85">
        <f>[1]Sheet1!$D$587</f>
        <v>6884.84</v>
      </c>
      <c r="E86" s="85">
        <v>20000</v>
      </c>
      <c r="F86" s="85">
        <v>10000</v>
      </c>
      <c r="G86" s="85">
        <v>60000</v>
      </c>
      <c r="H86" s="85">
        <f>+(G86*0.1)+G86</f>
        <v>66000</v>
      </c>
      <c r="I86" s="85">
        <f>+(H86*0.1)+H86</f>
        <v>72600</v>
      </c>
      <c r="J86" s="385"/>
    </row>
    <row r="87" spans="1:10" s="285" customFormat="1" x14ac:dyDescent="0.25">
      <c r="A87" s="118">
        <v>14</v>
      </c>
      <c r="B87" s="151">
        <v>5585</v>
      </c>
      <c r="C87" s="94" t="s">
        <v>273</v>
      </c>
      <c r="D87" s="86">
        <v>29486</v>
      </c>
      <c r="E87" s="85">
        <v>30000</v>
      </c>
      <c r="F87" s="85">
        <v>50000</v>
      </c>
      <c r="G87" s="85"/>
      <c r="H87" s="85"/>
      <c r="I87" s="85"/>
      <c r="J87" s="385"/>
    </row>
    <row r="88" spans="1:10" s="285" customFormat="1" x14ac:dyDescent="0.25">
      <c r="A88" s="118">
        <v>14</v>
      </c>
      <c r="B88" s="151">
        <v>5590</v>
      </c>
      <c r="C88" s="94" t="s">
        <v>274</v>
      </c>
      <c r="D88" s="86">
        <v>108383</v>
      </c>
      <c r="E88" s="85">
        <v>44800</v>
      </c>
      <c r="F88" s="85">
        <v>216766</v>
      </c>
      <c r="G88" s="85"/>
      <c r="H88" s="85"/>
      <c r="I88" s="85"/>
      <c r="J88" s="385"/>
    </row>
    <row r="89" spans="1:10" s="285" customFormat="1" x14ac:dyDescent="0.25">
      <c r="A89" s="118">
        <v>14</v>
      </c>
      <c r="B89" s="151">
        <v>5595</v>
      </c>
      <c r="C89" s="94" t="s">
        <v>275</v>
      </c>
      <c r="D89" s="85"/>
      <c r="E89" s="85"/>
      <c r="F89" s="85"/>
      <c r="G89" s="85"/>
      <c r="H89" s="85"/>
      <c r="I89" s="85"/>
      <c r="J89" s="385"/>
    </row>
    <row r="90" spans="1:10" s="285" customFormat="1" x14ac:dyDescent="0.25">
      <c r="A90" s="118">
        <v>14</v>
      </c>
      <c r="B90" s="151">
        <v>5600</v>
      </c>
      <c r="C90" s="159" t="s">
        <v>276</v>
      </c>
      <c r="D90" s="85"/>
      <c r="E90" s="85"/>
      <c r="F90" s="85"/>
      <c r="G90" s="85"/>
      <c r="H90" s="85"/>
      <c r="I90" s="85"/>
      <c r="J90" s="385"/>
    </row>
    <row r="91" spans="1:10" s="285" customFormat="1" x14ac:dyDescent="0.25">
      <c r="A91" s="118">
        <v>14</v>
      </c>
      <c r="B91" s="151">
        <v>5605</v>
      </c>
      <c r="C91" s="159" t="s">
        <v>277</v>
      </c>
      <c r="D91" s="85"/>
      <c r="E91" s="85"/>
      <c r="F91" s="85"/>
      <c r="G91" s="85"/>
      <c r="H91" s="85"/>
      <c r="I91" s="85"/>
      <c r="J91" s="385"/>
    </row>
    <row r="92" spans="1:10" s="285" customFormat="1" x14ac:dyDescent="0.25">
      <c r="A92" s="118">
        <v>14</v>
      </c>
      <c r="B92" s="151">
        <v>5610</v>
      </c>
      <c r="C92" s="159" t="s">
        <v>278</v>
      </c>
      <c r="D92" s="85"/>
      <c r="E92" s="85"/>
      <c r="F92" s="85">
        <f t="shared" ref="F92:F103" si="15">E92-D92</f>
        <v>0</v>
      </c>
      <c r="G92" s="85"/>
      <c r="H92" s="85"/>
      <c r="I92" s="85"/>
      <c r="J92" s="385"/>
    </row>
    <row r="93" spans="1:10" s="285" customFormat="1" x14ac:dyDescent="0.25">
      <c r="A93" s="118">
        <v>14</v>
      </c>
      <c r="B93" s="151">
        <v>5615</v>
      </c>
      <c r="C93" s="159" t="s">
        <v>279</v>
      </c>
      <c r="D93" s="85"/>
      <c r="E93" s="85"/>
      <c r="F93" s="85">
        <f t="shared" si="15"/>
        <v>0</v>
      </c>
      <c r="G93" s="85"/>
      <c r="H93" s="85"/>
      <c r="I93" s="85"/>
      <c r="J93" s="385"/>
    </row>
    <row r="94" spans="1:10" s="285" customFormat="1" x14ac:dyDescent="0.25">
      <c r="A94" s="118">
        <v>14</v>
      </c>
      <c r="B94" s="151">
        <v>5620</v>
      </c>
      <c r="C94" s="159" t="s">
        <v>280</v>
      </c>
      <c r="D94" s="85"/>
      <c r="E94" s="85"/>
      <c r="F94" s="85">
        <f t="shared" si="15"/>
        <v>0</v>
      </c>
      <c r="G94" s="85"/>
      <c r="H94" s="85"/>
      <c r="I94" s="85"/>
      <c r="J94" s="385"/>
    </row>
    <row r="95" spans="1:10" s="285" customFormat="1" x14ac:dyDescent="0.25">
      <c r="A95" s="118">
        <v>14</v>
      </c>
      <c r="B95" s="151">
        <v>5625</v>
      </c>
      <c r="C95" s="159" t="s">
        <v>281</v>
      </c>
      <c r="D95" s="85"/>
      <c r="E95" s="85"/>
      <c r="F95" s="85">
        <f t="shared" si="15"/>
        <v>0</v>
      </c>
      <c r="G95" s="85"/>
      <c r="H95" s="85"/>
      <c r="I95" s="85"/>
      <c r="J95" s="385"/>
    </row>
    <row r="96" spans="1:10" s="285" customFormat="1" x14ac:dyDescent="0.25">
      <c r="A96" s="118">
        <v>14</v>
      </c>
      <c r="B96" s="151">
        <v>5630</v>
      </c>
      <c r="C96" s="159" t="s">
        <v>282</v>
      </c>
      <c r="D96" s="85"/>
      <c r="E96" s="85"/>
      <c r="F96" s="85">
        <f t="shared" si="15"/>
        <v>0</v>
      </c>
      <c r="G96" s="85">
        <v>100000</v>
      </c>
      <c r="H96" s="85">
        <f>+(G96*0.1)+G96</f>
        <v>110000</v>
      </c>
      <c r="I96" s="85">
        <f>+(H96*0.1)+H96</f>
        <v>121000</v>
      </c>
      <c r="J96" s="385"/>
    </row>
    <row r="97" spans="1:10" s="285" customFormat="1" x14ac:dyDescent="0.25">
      <c r="A97" s="118">
        <v>14</v>
      </c>
      <c r="B97" s="151">
        <v>5635</v>
      </c>
      <c r="C97" s="159" t="s">
        <v>283</v>
      </c>
      <c r="D97" s="85"/>
      <c r="E97" s="85"/>
      <c r="F97" s="85">
        <f t="shared" si="15"/>
        <v>0</v>
      </c>
      <c r="G97" s="85"/>
      <c r="H97" s="85"/>
      <c r="I97" s="85"/>
      <c r="J97" s="385"/>
    </row>
    <row r="98" spans="1:10" s="285" customFormat="1" x14ac:dyDescent="0.25">
      <c r="A98" s="118">
        <v>14</v>
      </c>
      <c r="B98" s="151">
        <v>5640</v>
      </c>
      <c r="C98" s="159" t="s">
        <v>374</v>
      </c>
      <c r="D98" s="85">
        <v>19259</v>
      </c>
      <c r="E98" s="85">
        <v>250000</v>
      </c>
      <c r="F98" s="85">
        <v>250000</v>
      </c>
      <c r="G98" s="85">
        <v>80000</v>
      </c>
      <c r="H98" s="85">
        <f>+(G98*0.1)+G98</f>
        <v>88000</v>
      </c>
      <c r="I98" s="85">
        <f>+(H98*0.1)+H98</f>
        <v>96800</v>
      </c>
      <c r="J98" s="385"/>
    </row>
    <row r="99" spans="1:10" s="285" customFormat="1" x14ac:dyDescent="0.25">
      <c r="A99" s="118">
        <v>14</v>
      </c>
      <c r="B99" s="151">
        <v>5645</v>
      </c>
      <c r="C99" s="159" t="s">
        <v>285</v>
      </c>
      <c r="D99" s="85"/>
      <c r="E99" s="85"/>
      <c r="F99" s="85">
        <f t="shared" si="15"/>
        <v>0</v>
      </c>
      <c r="G99" s="85"/>
      <c r="H99" s="85"/>
      <c r="I99" s="85"/>
      <c r="J99" s="385"/>
    </row>
    <row r="100" spans="1:10" s="285" customFormat="1" x14ac:dyDescent="0.25">
      <c r="A100" s="118">
        <v>14</v>
      </c>
      <c r="B100" s="151">
        <v>5650</v>
      </c>
      <c r="C100" s="159" t="s">
        <v>286</v>
      </c>
      <c r="D100" s="85"/>
      <c r="E100" s="85"/>
      <c r="F100" s="85">
        <f t="shared" si="15"/>
        <v>0</v>
      </c>
      <c r="G100" s="85"/>
      <c r="H100" s="85"/>
      <c r="I100" s="85"/>
      <c r="J100" s="385"/>
    </row>
    <row r="101" spans="1:10" s="285" customFormat="1" x14ac:dyDescent="0.25">
      <c r="A101" s="118">
        <v>14</v>
      </c>
      <c r="B101" s="151">
        <v>5655</v>
      </c>
      <c r="C101" s="159" t="s">
        <v>287</v>
      </c>
      <c r="D101" s="85"/>
      <c r="E101" s="85"/>
      <c r="F101" s="85">
        <f t="shared" si="15"/>
        <v>0</v>
      </c>
      <c r="G101" s="85"/>
      <c r="H101" s="85"/>
      <c r="I101" s="85"/>
      <c r="J101" s="385"/>
    </row>
    <row r="102" spans="1:10" s="285" customFormat="1" x14ac:dyDescent="0.25">
      <c r="A102" s="118">
        <v>14</v>
      </c>
      <c r="B102" s="151">
        <v>5660</v>
      </c>
      <c r="C102" s="159" t="s">
        <v>288</v>
      </c>
      <c r="D102" s="85"/>
      <c r="E102" s="85"/>
      <c r="F102" s="85">
        <f t="shared" si="15"/>
        <v>0</v>
      </c>
      <c r="G102" s="85"/>
      <c r="H102" s="85"/>
      <c r="I102" s="85"/>
      <c r="J102" s="385"/>
    </row>
    <row r="103" spans="1:10" s="285" customFormat="1" x14ac:dyDescent="0.25">
      <c r="A103" s="118">
        <v>14</v>
      </c>
      <c r="B103" s="151">
        <v>5665</v>
      </c>
      <c r="C103" s="94" t="s">
        <v>289</v>
      </c>
      <c r="D103" s="85"/>
      <c r="E103" s="85"/>
      <c r="F103" s="85">
        <f t="shared" si="15"/>
        <v>0</v>
      </c>
      <c r="G103" s="85"/>
      <c r="H103" s="85"/>
      <c r="I103" s="85"/>
      <c r="J103" s="385"/>
    </row>
    <row r="104" spans="1:10" s="285" customFormat="1" x14ac:dyDescent="0.25">
      <c r="A104" s="118">
        <v>14</v>
      </c>
      <c r="B104" s="151">
        <v>5670</v>
      </c>
      <c r="C104" s="94" t="s">
        <v>290</v>
      </c>
      <c r="D104" s="85"/>
      <c r="E104" s="85"/>
      <c r="F104" s="85">
        <f t="shared" ref="F104:F133" si="16">E104-D104</f>
        <v>0</v>
      </c>
      <c r="G104" s="85"/>
      <c r="H104" s="85"/>
      <c r="I104" s="85"/>
      <c r="J104" s="385"/>
    </row>
    <row r="105" spans="1:10" s="285" customFormat="1" x14ac:dyDescent="0.25">
      <c r="A105" s="118">
        <v>14</v>
      </c>
      <c r="B105" s="151">
        <v>5675</v>
      </c>
      <c r="C105" s="94" t="s">
        <v>291</v>
      </c>
      <c r="D105" s="85"/>
      <c r="E105" s="85"/>
      <c r="F105" s="85">
        <f t="shared" si="16"/>
        <v>0</v>
      </c>
      <c r="G105" s="85"/>
      <c r="H105" s="85"/>
      <c r="I105" s="85"/>
      <c r="J105" s="385"/>
    </row>
    <row r="106" spans="1:10" s="285" customFormat="1" x14ac:dyDescent="0.25">
      <c r="A106" s="118">
        <v>14</v>
      </c>
      <c r="B106" s="151">
        <v>5680</v>
      </c>
      <c r="C106" s="94" t="s">
        <v>292</v>
      </c>
      <c r="D106" s="85"/>
      <c r="E106" s="85"/>
      <c r="F106" s="85">
        <f t="shared" si="16"/>
        <v>0</v>
      </c>
      <c r="G106" s="85"/>
      <c r="H106" s="85"/>
      <c r="I106" s="85"/>
      <c r="J106" s="385"/>
    </row>
    <row r="107" spans="1:10" s="285" customFormat="1" x14ac:dyDescent="0.25">
      <c r="A107" s="118">
        <v>14</v>
      </c>
      <c r="B107" s="151">
        <v>5685</v>
      </c>
      <c r="C107" s="94" t="s">
        <v>293</v>
      </c>
      <c r="D107" s="85"/>
      <c r="E107" s="85"/>
      <c r="F107" s="85">
        <f t="shared" si="16"/>
        <v>0</v>
      </c>
      <c r="G107" s="85"/>
      <c r="H107" s="85"/>
      <c r="I107" s="85"/>
      <c r="J107" s="385"/>
    </row>
    <row r="108" spans="1:10" s="285" customFormat="1" x14ac:dyDescent="0.25">
      <c r="A108" s="118">
        <v>14</v>
      </c>
      <c r="B108" s="151">
        <v>5690</v>
      </c>
      <c r="C108" s="94" t="s">
        <v>247</v>
      </c>
      <c r="D108" s="85"/>
      <c r="E108" s="85"/>
      <c r="F108" s="85">
        <f t="shared" si="16"/>
        <v>0</v>
      </c>
      <c r="G108" s="85"/>
      <c r="H108" s="85"/>
      <c r="I108" s="85"/>
      <c r="J108" s="385"/>
    </row>
    <row r="109" spans="1:10" s="285" customFormat="1" x14ac:dyDescent="0.25">
      <c r="A109" s="118">
        <v>14</v>
      </c>
      <c r="B109" s="151">
        <v>5695</v>
      </c>
      <c r="C109" s="94" t="s">
        <v>294</v>
      </c>
      <c r="D109" s="85"/>
      <c r="E109" s="85"/>
      <c r="F109" s="85">
        <f t="shared" si="16"/>
        <v>0</v>
      </c>
      <c r="G109" s="85"/>
      <c r="H109" s="85"/>
      <c r="I109" s="85"/>
      <c r="J109" s="385"/>
    </row>
    <row r="110" spans="1:10" s="285" customFormat="1" x14ac:dyDescent="0.25">
      <c r="A110" s="375">
        <v>14</v>
      </c>
      <c r="B110" s="152">
        <v>5700</v>
      </c>
      <c r="C110" s="106" t="s">
        <v>295</v>
      </c>
      <c r="D110" s="387"/>
      <c r="E110" s="387">
        <v>40000</v>
      </c>
      <c r="F110" s="387">
        <f t="shared" si="16"/>
        <v>40000</v>
      </c>
      <c r="G110" s="387">
        <v>80000</v>
      </c>
      <c r="H110" s="85">
        <f>+(G110*0.1)+G110</f>
        <v>88000</v>
      </c>
      <c r="I110" s="85">
        <f>+(H110*0.1)+H110</f>
        <v>96800</v>
      </c>
      <c r="J110" s="385"/>
    </row>
    <row r="111" spans="1:10" s="285" customFormat="1" x14ac:dyDescent="0.25">
      <c r="A111" s="378">
        <v>14</v>
      </c>
      <c r="B111" s="153">
        <v>5710</v>
      </c>
      <c r="C111" s="97" t="s">
        <v>297</v>
      </c>
      <c r="D111" s="88"/>
      <c r="E111" s="88"/>
      <c r="F111" s="88">
        <f t="shared" si="16"/>
        <v>0</v>
      </c>
      <c r="G111" s="88"/>
      <c r="H111" s="88"/>
      <c r="I111" s="88"/>
      <c r="J111" s="385"/>
    </row>
    <row r="112" spans="1:10" s="285" customFormat="1" x14ac:dyDescent="0.25">
      <c r="A112" s="118">
        <v>14</v>
      </c>
      <c r="B112" s="151">
        <v>5715</v>
      </c>
      <c r="C112" s="94" t="s">
        <v>298</v>
      </c>
      <c r="D112" s="85"/>
      <c r="E112" s="85"/>
      <c r="F112" s="85">
        <f t="shared" si="16"/>
        <v>0</v>
      </c>
      <c r="G112" s="85"/>
      <c r="H112" s="85"/>
      <c r="I112" s="85"/>
      <c r="J112" s="385"/>
    </row>
    <row r="113" spans="1:10" s="285" customFormat="1" x14ac:dyDescent="0.25">
      <c r="A113" s="118">
        <v>14</v>
      </c>
      <c r="B113" s="151">
        <v>5720</v>
      </c>
      <c r="C113" s="94" t="s">
        <v>299</v>
      </c>
      <c r="D113" s="85"/>
      <c r="E113" s="85"/>
      <c r="F113" s="85">
        <f t="shared" si="16"/>
        <v>0</v>
      </c>
      <c r="G113" s="85"/>
      <c r="H113" s="85"/>
      <c r="I113" s="85"/>
      <c r="J113" s="385"/>
    </row>
    <row r="114" spans="1:10" s="285" customFormat="1" x14ac:dyDescent="0.25">
      <c r="A114" s="118">
        <v>14</v>
      </c>
      <c r="B114" s="151">
        <v>5730</v>
      </c>
      <c r="C114" s="94" t="s">
        <v>300</v>
      </c>
      <c r="D114" s="85"/>
      <c r="E114" s="85"/>
      <c r="F114" s="85">
        <f t="shared" si="16"/>
        <v>0</v>
      </c>
      <c r="G114" s="85"/>
      <c r="H114" s="85"/>
      <c r="I114" s="85"/>
      <c r="J114" s="385"/>
    </row>
    <row r="115" spans="1:10" s="285" customFormat="1" x14ac:dyDescent="0.25">
      <c r="A115" s="118">
        <v>14</v>
      </c>
      <c r="B115" s="151">
        <v>5735</v>
      </c>
      <c r="C115" s="94" t="s">
        <v>301</v>
      </c>
      <c r="D115" s="85"/>
      <c r="E115" s="85"/>
      <c r="F115" s="85">
        <f t="shared" si="16"/>
        <v>0</v>
      </c>
      <c r="G115" s="85"/>
      <c r="H115" s="85"/>
      <c r="I115" s="85"/>
      <c r="J115" s="385"/>
    </row>
    <row r="116" spans="1:10" s="285" customFormat="1" x14ac:dyDescent="0.25">
      <c r="A116" s="118">
        <v>14</v>
      </c>
      <c r="B116" s="151">
        <v>5740</v>
      </c>
      <c r="C116" s="94" t="s">
        <v>302</v>
      </c>
      <c r="D116" s="85"/>
      <c r="E116" s="85"/>
      <c r="F116" s="85">
        <f t="shared" si="16"/>
        <v>0</v>
      </c>
      <c r="G116" s="85"/>
      <c r="H116" s="85"/>
      <c r="I116" s="85"/>
      <c r="J116" s="385"/>
    </row>
    <row r="117" spans="1:10" s="285" customFormat="1" x14ac:dyDescent="0.25">
      <c r="A117" s="118">
        <v>14</v>
      </c>
      <c r="B117" s="151">
        <v>5745</v>
      </c>
      <c r="C117" s="94" t="s">
        <v>303</v>
      </c>
      <c r="D117" s="85"/>
      <c r="E117" s="85"/>
      <c r="F117" s="85">
        <f t="shared" si="16"/>
        <v>0</v>
      </c>
      <c r="G117" s="85"/>
      <c r="H117" s="85"/>
      <c r="I117" s="85"/>
      <c r="J117" s="385"/>
    </row>
    <row r="118" spans="1:10" s="285" customFormat="1" x14ac:dyDescent="0.25">
      <c r="A118" s="118">
        <v>14</v>
      </c>
      <c r="B118" s="151">
        <v>5750</v>
      </c>
      <c r="C118" s="94" t="s">
        <v>304</v>
      </c>
      <c r="D118" s="85"/>
      <c r="E118" s="85">
        <v>230</v>
      </c>
      <c r="F118" s="85">
        <f t="shared" si="16"/>
        <v>230</v>
      </c>
      <c r="G118" s="85"/>
      <c r="H118" s="85"/>
      <c r="I118" s="85"/>
      <c r="J118" s="385"/>
    </row>
    <row r="119" spans="1:10" s="285" customFormat="1" x14ac:dyDescent="0.25">
      <c r="A119" s="118">
        <v>14</v>
      </c>
      <c r="B119" s="151">
        <v>5755</v>
      </c>
      <c r="C119" s="94" t="s">
        <v>305</v>
      </c>
      <c r="D119" s="85"/>
      <c r="E119" s="85">
        <v>7650</v>
      </c>
      <c r="F119" s="85">
        <f t="shared" si="16"/>
        <v>7650</v>
      </c>
      <c r="G119" s="85"/>
      <c r="H119" s="85"/>
      <c r="I119" s="85">
        <v>0</v>
      </c>
      <c r="J119" s="385"/>
    </row>
    <row r="120" spans="1:10" s="285" customFormat="1" ht="12" customHeight="1" x14ac:dyDescent="0.25">
      <c r="A120" s="118">
        <v>14</v>
      </c>
      <c r="B120" s="151">
        <v>5760</v>
      </c>
      <c r="C120" s="94" t="s">
        <v>306</v>
      </c>
      <c r="D120" s="85"/>
      <c r="E120" s="85"/>
      <c r="F120" s="85">
        <f t="shared" si="16"/>
        <v>0</v>
      </c>
      <c r="G120" s="85"/>
      <c r="H120" s="85"/>
      <c r="I120" s="85"/>
      <c r="J120" s="385"/>
    </row>
    <row r="121" spans="1:10" s="285" customFormat="1" x14ac:dyDescent="0.25">
      <c r="A121" s="118">
        <v>14</v>
      </c>
      <c r="B121" s="151">
        <v>5765</v>
      </c>
      <c r="C121" s="94" t="s">
        <v>307</v>
      </c>
      <c r="D121" s="85"/>
      <c r="E121" s="85"/>
      <c r="F121" s="85">
        <f t="shared" si="16"/>
        <v>0</v>
      </c>
      <c r="G121" s="85"/>
      <c r="H121" s="85"/>
      <c r="I121" s="85"/>
      <c r="J121" s="385"/>
    </row>
    <row r="122" spans="1:10" s="285" customFormat="1" x14ac:dyDescent="0.25">
      <c r="A122" s="118">
        <v>14</v>
      </c>
      <c r="B122" s="151">
        <v>5770</v>
      </c>
      <c r="C122" s="94" t="s">
        <v>308</v>
      </c>
      <c r="D122" s="85"/>
      <c r="E122" s="85"/>
      <c r="F122" s="85">
        <f t="shared" si="16"/>
        <v>0</v>
      </c>
      <c r="G122" s="85"/>
      <c r="H122" s="85"/>
      <c r="I122" s="85"/>
      <c r="J122" s="385"/>
    </row>
    <row r="123" spans="1:10" s="285" customFormat="1" x14ac:dyDescent="0.25">
      <c r="A123" s="118">
        <v>14</v>
      </c>
      <c r="B123" s="151">
        <v>5775</v>
      </c>
      <c r="C123" s="94" t="s">
        <v>309</v>
      </c>
      <c r="D123" s="85"/>
      <c r="E123" s="85"/>
      <c r="F123" s="85">
        <f t="shared" si="16"/>
        <v>0</v>
      </c>
      <c r="G123" s="85"/>
      <c r="H123" s="85"/>
      <c r="I123" s="85"/>
      <c r="J123" s="385"/>
    </row>
    <row r="124" spans="1:10" s="285" customFormat="1" x14ac:dyDescent="0.25">
      <c r="A124" s="118">
        <v>14</v>
      </c>
      <c r="B124" s="151">
        <v>5780</v>
      </c>
      <c r="C124" s="94" t="s">
        <v>310</v>
      </c>
      <c r="D124" s="85"/>
      <c r="E124" s="85"/>
      <c r="F124" s="85">
        <f t="shared" si="16"/>
        <v>0</v>
      </c>
      <c r="G124" s="85"/>
      <c r="H124" s="85"/>
      <c r="I124" s="85"/>
      <c r="J124" s="385"/>
    </row>
    <row r="125" spans="1:10" s="285" customFormat="1" x14ac:dyDescent="0.25">
      <c r="A125" s="118">
        <v>14</v>
      </c>
      <c r="B125" s="151">
        <v>5785</v>
      </c>
      <c r="C125" s="94" t="s">
        <v>311</v>
      </c>
      <c r="D125" s="85"/>
      <c r="E125" s="85"/>
      <c r="F125" s="85">
        <f t="shared" si="16"/>
        <v>0</v>
      </c>
      <c r="G125" s="85"/>
      <c r="H125" s="85"/>
      <c r="I125" s="85"/>
      <c r="J125" s="385"/>
    </row>
    <row r="126" spans="1:10" s="285" customFormat="1" x14ac:dyDescent="0.25">
      <c r="A126" s="118">
        <v>14</v>
      </c>
      <c r="B126" s="151">
        <v>5790</v>
      </c>
      <c r="C126" s="94" t="s">
        <v>312</v>
      </c>
      <c r="D126" s="85"/>
      <c r="E126" s="85"/>
      <c r="F126" s="85">
        <f t="shared" si="16"/>
        <v>0</v>
      </c>
      <c r="G126" s="85"/>
      <c r="H126" s="85"/>
      <c r="I126" s="85"/>
      <c r="J126" s="385"/>
    </row>
    <row r="127" spans="1:10" s="285" customFormat="1" x14ac:dyDescent="0.25">
      <c r="A127" s="118">
        <v>14</v>
      </c>
      <c r="B127" s="151">
        <v>5795</v>
      </c>
      <c r="C127" s="94" t="s">
        <v>313</v>
      </c>
      <c r="D127" s="85"/>
      <c r="E127" s="85"/>
      <c r="F127" s="85">
        <f t="shared" si="16"/>
        <v>0</v>
      </c>
      <c r="G127" s="85"/>
      <c r="H127" s="85"/>
      <c r="I127" s="85"/>
      <c r="J127" s="385"/>
    </row>
    <row r="128" spans="1:10" s="285" customFormat="1" x14ac:dyDescent="0.25">
      <c r="A128" s="118">
        <v>14</v>
      </c>
      <c r="B128" s="151">
        <v>5800</v>
      </c>
      <c r="C128" s="94" t="s">
        <v>314</v>
      </c>
      <c r="D128" s="85"/>
      <c r="E128" s="85"/>
      <c r="F128" s="85">
        <f t="shared" si="16"/>
        <v>0</v>
      </c>
      <c r="G128" s="85"/>
      <c r="H128" s="85"/>
      <c r="I128" s="85"/>
      <c r="J128" s="385"/>
    </row>
    <row r="129" spans="1:10" s="285" customFormat="1" x14ac:dyDescent="0.25">
      <c r="A129" s="118">
        <v>14</v>
      </c>
      <c r="B129" s="151">
        <v>5805</v>
      </c>
      <c r="C129" s="94" t="s">
        <v>315</v>
      </c>
      <c r="D129" s="85"/>
      <c r="E129" s="85"/>
      <c r="F129" s="85">
        <f t="shared" si="16"/>
        <v>0</v>
      </c>
      <c r="G129" s="85"/>
      <c r="H129" s="85"/>
      <c r="I129" s="85"/>
      <c r="J129" s="385"/>
    </row>
    <row r="130" spans="1:10" s="285" customFormat="1" x14ac:dyDescent="0.25">
      <c r="A130" s="118">
        <v>14</v>
      </c>
      <c r="B130" s="151">
        <v>5810</v>
      </c>
      <c r="C130" s="94" t="s">
        <v>316</v>
      </c>
      <c r="D130" s="85"/>
      <c r="E130" s="85"/>
      <c r="F130" s="85">
        <f t="shared" si="16"/>
        <v>0</v>
      </c>
      <c r="G130" s="85"/>
      <c r="H130" s="85"/>
      <c r="I130" s="85"/>
      <c r="J130" s="385"/>
    </row>
    <row r="131" spans="1:10" s="285" customFormat="1" x14ac:dyDescent="0.25">
      <c r="A131" s="118">
        <v>14</v>
      </c>
      <c r="B131" s="151">
        <v>5815</v>
      </c>
      <c r="C131" s="94" t="s">
        <v>99</v>
      </c>
      <c r="D131" s="85"/>
      <c r="E131" s="85"/>
      <c r="F131" s="85">
        <f t="shared" si="16"/>
        <v>0</v>
      </c>
      <c r="G131" s="85"/>
      <c r="H131" s="85"/>
      <c r="I131" s="85"/>
      <c r="J131" s="385"/>
    </row>
    <row r="132" spans="1:10" s="285" customFormat="1" x14ac:dyDescent="0.25">
      <c r="A132" s="118">
        <v>14</v>
      </c>
      <c r="B132" s="151">
        <v>5820</v>
      </c>
      <c r="C132" s="94" t="s">
        <v>114</v>
      </c>
      <c r="D132" s="86"/>
      <c r="E132" s="85"/>
      <c r="F132" s="85">
        <f t="shared" si="16"/>
        <v>0</v>
      </c>
      <c r="G132" s="85"/>
      <c r="H132" s="85"/>
      <c r="I132" s="85"/>
      <c r="J132" s="385"/>
    </row>
    <row r="133" spans="1:10" s="285" customFormat="1" x14ac:dyDescent="0.25">
      <c r="A133" s="118">
        <v>14</v>
      </c>
      <c r="B133" s="151">
        <v>5825</v>
      </c>
      <c r="C133" s="94" t="s">
        <v>317</v>
      </c>
      <c r="D133" s="86"/>
      <c r="E133" s="85"/>
      <c r="F133" s="85">
        <f t="shared" si="16"/>
        <v>0</v>
      </c>
      <c r="G133" s="85"/>
      <c r="H133" s="85"/>
      <c r="I133" s="85"/>
      <c r="J133" s="385"/>
    </row>
    <row r="134" spans="1:10" s="285" customFormat="1" x14ac:dyDescent="0.25">
      <c r="A134" s="118">
        <v>14</v>
      </c>
      <c r="B134" s="151">
        <v>5830</v>
      </c>
      <c r="C134" s="94" t="s">
        <v>318</v>
      </c>
      <c r="D134" s="86"/>
      <c r="E134" s="85">
        <v>11500</v>
      </c>
      <c r="F134" s="85">
        <v>0</v>
      </c>
      <c r="G134" s="85"/>
      <c r="H134" s="85"/>
      <c r="I134" s="85"/>
      <c r="J134" s="385"/>
    </row>
    <row r="135" spans="1:10" s="285" customFormat="1" x14ac:dyDescent="0.25">
      <c r="A135" s="118">
        <v>14</v>
      </c>
      <c r="B135" s="151">
        <v>5835</v>
      </c>
      <c r="C135" s="94" t="s">
        <v>319</v>
      </c>
      <c r="D135" s="86"/>
      <c r="E135" s="85">
        <v>25000</v>
      </c>
      <c r="F135" s="85">
        <v>0</v>
      </c>
      <c r="G135" s="85">
        <v>25000</v>
      </c>
      <c r="H135" s="85">
        <f>+(G135*0.1)+G135</f>
        <v>27500</v>
      </c>
      <c r="I135" s="85">
        <f>+(H135*0.1)+H135</f>
        <v>30250</v>
      </c>
      <c r="J135" s="385"/>
    </row>
    <row r="136" spans="1:10" s="285" customFormat="1" x14ac:dyDescent="0.25">
      <c r="A136" s="118">
        <v>14</v>
      </c>
      <c r="B136" s="151">
        <v>5840</v>
      </c>
      <c r="C136" s="94" t="s">
        <v>332</v>
      </c>
      <c r="D136" s="115"/>
      <c r="E136" s="85"/>
      <c r="F136" s="85">
        <f t="shared" ref="F136:F147" si="17">E136-D136</f>
        <v>0</v>
      </c>
      <c r="G136" s="85"/>
      <c r="H136" s="85"/>
      <c r="I136" s="85"/>
      <c r="J136" s="385"/>
    </row>
    <row r="137" spans="1:10" s="285" customFormat="1" x14ac:dyDescent="0.25">
      <c r="A137" s="118">
        <v>14</v>
      </c>
      <c r="B137" s="151">
        <v>5845</v>
      </c>
      <c r="C137" s="94" t="s">
        <v>320</v>
      </c>
      <c r="D137" s="86"/>
      <c r="E137" s="85"/>
      <c r="F137" s="85">
        <f t="shared" si="17"/>
        <v>0</v>
      </c>
      <c r="G137" s="85"/>
      <c r="H137" s="85"/>
      <c r="I137" s="85"/>
      <c r="J137" s="385"/>
    </row>
    <row r="138" spans="1:10" s="285" customFormat="1" x14ac:dyDescent="0.25">
      <c r="A138" s="118">
        <v>14</v>
      </c>
      <c r="B138" s="151">
        <v>5855</v>
      </c>
      <c r="C138" s="94" t="s">
        <v>321</v>
      </c>
      <c r="D138" s="85"/>
      <c r="E138" s="85"/>
      <c r="F138" s="85">
        <f t="shared" si="17"/>
        <v>0</v>
      </c>
      <c r="G138" s="85"/>
      <c r="H138" s="85"/>
      <c r="I138" s="85"/>
      <c r="J138" s="385"/>
    </row>
    <row r="139" spans="1:10" s="285" customFormat="1" x14ac:dyDescent="0.25">
      <c r="A139" s="118">
        <v>14</v>
      </c>
      <c r="B139" s="151">
        <v>5860</v>
      </c>
      <c r="C139" s="94" t="s">
        <v>322</v>
      </c>
      <c r="D139" s="85"/>
      <c r="E139" s="85"/>
      <c r="F139" s="85">
        <f t="shared" si="17"/>
        <v>0</v>
      </c>
      <c r="G139" s="85"/>
      <c r="H139" s="85"/>
      <c r="I139" s="85"/>
      <c r="J139" s="385"/>
    </row>
    <row r="140" spans="1:10" s="285" customFormat="1" x14ac:dyDescent="0.25">
      <c r="A140" s="118">
        <v>14</v>
      </c>
      <c r="B140" s="151">
        <v>5865</v>
      </c>
      <c r="C140" s="94" t="s">
        <v>323</v>
      </c>
      <c r="D140" s="85"/>
      <c r="E140" s="85"/>
      <c r="F140" s="85">
        <f t="shared" si="17"/>
        <v>0</v>
      </c>
      <c r="G140" s="85"/>
      <c r="H140" s="85"/>
      <c r="I140" s="85"/>
      <c r="J140" s="385"/>
    </row>
    <row r="141" spans="1:10" s="285" customFormat="1" x14ac:dyDescent="0.25">
      <c r="A141" s="118">
        <v>14</v>
      </c>
      <c r="B141" s="151">
        <v>5870</v>
      </c>
      <c r="C141" s="94" t="s">
        <v>324</v>
      </c>
      <c r="D141" s="85"/>
      <c r="E141" s="85"/>
      <c r="F141" s="85">
        <f t="shared" si="17"/>
        <v>0</v>
      </c>
      <c r="G141" s="85"/>
      <c r="H141" s="85"/>
      <c r="I141" s="85"/>
      <c r="J141" s="385"/>
    </row>
    <row r="142" spans="1:10" s="285" customFormat="1" x14ac:dyDescent="0.25">
      <c r="A142" s="118">
        <v>14</v>
      </c>
      <c r="B142" s="151">
        <v>5875</v>
      </c>
      <c r="C142" s="94" t="s">
        <v>325</v>
      </c>
      <c r="D142" s="85"/>
      <c r="E142" s="85"/>
      <c r="F142" s="85">
        <f t="shared" si="17"/>
        <v>0</v>
      </c>
      <c r="G142" s="85"/>
      <c r="H142" s="85"/>
      <c r="I142" s="85"/>
      <c r="J142" s="385"/>
    </row>
    <row r="143" spans="1:10" s="285" customFormat="1" x14ac:dyDescent="0.25">
      <c r="A143" s="118">
        <v>14</v>
      </c>
      <c r="B143" s="151">
        <v>5880</v>
      </c>
      <c r="C143" s="94" t="s">
        <v>326</v>
      </c>
      <c r="D143" s="85"/>
      <c r="E143" s="85"/>
      <c r="F143" s="85">
        <f t="shared" si="17"/>
        <v>0</v>
      </c>
      <c r="G143" s="85"/>
      <c r="H143" s="85"/>
      <c r="I143" s="85"/>
      <c r="J143" s="385"/>
    </row>
    <row r="144" spans="1:10" s="285" customFormat="1" x14ac:dyDescent="0.25">
      <c r="A144" s="118">
        <v>14</v>
      </c>
      <c r="B144" s="151">
        <v>5885</v>
      </c>
      <c r="C144" s="94" t="s">
        <v>331</v>
      </c>
      <c r="D144" s="85">
        <v>106716</v>
      </c>
      <c r="E144" s="85">
        <v>0</v>
      </c>
      <c r="F144" s="85">
        <v>140000</v>
      </c>
      <c r="G144" s="85">
        <v>500000</v>
      </c>
      <c r="H144" s="85">
        <f>+(G144*0.1)+G144</f>
        <v>550000</v>
      </c>
      <c r="I144" s="85">
        <f>+(H144*0.1)+H144</f>
        <v>605000</v>
      </c>
      <c r="J144" s="385"/>
    </row>
    <row r="145" spans="1:10" s="285" customFormat="1" x14ac:dyDescent="0.25">
      <c r="A145" s="118">
        <v>14</v>
      </c>
      <c r="B145" s="151">
        <v>5890</v>
      </c>
      <c r="C145" s="94" t="s">
        <v>327</v>
      </c>
      <c r="D145" s="85"/>
      <c r="E145" s="85">
        <v>0</v>
      </c>
      <c r="F145" s="85">
        <f t="shared" si="17"/>
        <v>0</v>
      </c>
      <c r="G145" s="85"/>
      <c r="H145" s="85"/>
      <c r="I145" s="85"/>
      <c r="J145" s="385"/>
    </row>
    <row r="146" spans="1:10" s="285" customFormat="1" x14ac:dyDescent="0.25">
      <c r="A146" s="118">
        <v>14</v>
      </c>
      <c r="B146" s="151">
        <v>5895</v>
      </c>
      <c r="C146" s="94" t="s">
        <v>328</v>
      </c>
      <c r="D146" s="85"/>
      <c r="E146" s="85">
        <v>0</v>
      </c>
      <c r="F146" s="85">
        <f t="shared" si="17"/>
        <v>0</v>
      </c>
      <c r="G146" s="85"/>
      <c r="H146" s="85"/>
      <c r="I146" s="85"/>
      <c r="J146" s="385"/>
    </row>
    <row r="147" spans="1:10" s="285" customFormat="1" x14ac:dyDescent="0.25">
      <c r="A147" s="118">
        <v>14</v>
      </c>
      <c r="B147" s="151">
        <v>5910</v>
      </c>
      <c r="C147" s="94" t="s">
        <v>330</v>
      </c>
      <c r="D147" s="85"/>
      <c r="E147" s="85">
        <v>0</v>
      </c>
      <c r="F147" s="85">
        <f t="shared" si="17"/>
        <v>0</v>
      </c>
      <c r="G147" s="85"/>
      <c r="H147" s="85"/>
      <c r="I147" s="85">
        <f t="shared" ref="I147" si="18">D147+F147</f>
        <v>0</v>
      </c>
      <c r="J147" s="385"/>
    </row>
    <row r="148" spans="1:10" s="285" customFormat="1" x14ac:dyDescent="0.25">
      <c r="A148" s="344"/>
      <c r="B148" s="151"/>
      <c r="C148" s="94"/>
      <c r="D148" s="89">
        <f t="shared" ref="D148:J148" si="19">SUM(D72:D147)</f>
        <v>285695.04000000004</v>
      </c>
      <c r="E148" s="89">
        <f t="shared" si="19"/>
        <v>588683</v>
      </c>
      <c r="F148" s="89">
        <f t="shared" si="19"/>
        <v>769999</v>
      </c>
      <c r="G148" s="436">
        <f t="shared" si="19"/>
        <v>913000</v>
      </c>
      <c r="H148" s="436">
        <f t="shared" si="19"/>
        <v>1004300</v>
      </c>
      <c r="I148" s="89">
        <f t="shared" ref="I148" si="20">SUM(I72:I147)</f>
        <v>1104730</v>
      </c>
      <c r="J148" s="393">
        <f t="shared" si="19"/>
        <v>0</v>
      </c>
    </row>
    <row r="149" spans="1:10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  <c r="J149" s="394"/>
    </row>
    <row r="150" spans="1:10" s="285" customFormat="1" x14ac:dyDescent="0.25">
      <c r="A150" s="118">
        <v>14</v>
      </c>
      <c r="B150" s="151">
        <v>6005</v>
      </c>
      <c r="C150" s="94" t="s">
        <v>188</v>
      </c>
      <c r="D150" s="85"/>
      <c r="E150" s="108"/>
      <c r="F150" s="85">
        <f>E150-D150</f>
        <v>0</v>
      </c>
      <c r="G150" s="85"/>
      <c r="H150" s="85"/>
      <c r="I150" s="85">
        <f>0/8*12</f>
        <v>0</v>
      </c>
      <c r="J150" s="394"/>
    </row>
    <row r="151" spans="1:10" s="285" customFormat="1" x14ac:dyDescent="0.25">
      <c r="A151" s="344"/>
      <c r="B151" s="151"/>
      <c r="C151" s="94"/>
      <c r="D151" s="89">
        <f t="shared" ref="D151:J151" si="21">SUM(D150)</f>
        <v>0</v>
      </c>
      <c r="E151" s="89">
        <f t="shared" si="21"/>
        <v>0</v>
      </c>
      <c r="F151" s="89">
        <f t="shared" si="21"/>
        <v>0</v>
      </c>
      <c r="G151" s="436">
        <f t="shared" si="21"/>
        <v>0</v>
      </c>
      <c r="H151" s="436">
        <f t="shared" si="21"/>
        <v>0</v>
      </c>
      <c r="I151" s="89">
        <f t="shared" ref="I151" si="22">SUM(I150)</f>
        <v>0</v>
      </c>
      <c r="J151" s="393">
        <f t="shared" si="21"/>
        <v>0</v>
      </c>
    </row>
    <row r="152" spans="1:10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88"/>
      <c r="J152" s="120"/>
    </row>
    <row r="153" spans="1:10" s="285" customFormat="1" x14ac:dyDescent="0.25">
      <c r="A153" s="118">
        <v>14</v>
      </c>
      <c r="B153" s="151">
        <v>6105</v>
      </c>
      <c r="C153" s="94" t="s">
        <v>336</v>
      </c>
      <c r="D153" s="85"/>
      <c r="E153" s="108"/>
      <c r="F153" s="85">
        <v>100000</v>
      </c>
      <c r="G153" s="85"/>
      <c r="H153" s="85"/>
      <c r="I153" s="85"/>
      <c r="J153" s="394"/>
    </row>
    <row r="154" spans="1:10" s="285" customFormat="1" x14ac:dyDescent="0.25">
      <c r="A154" s="118">
        <v>14</v>
      </c>
      <c r="B154" s="151">
        <v>6110</v>
      </c>
      <c r="C154" s="94" t="s">
        <v>337</v>
      </c>
      <c r="D154" s="85"/>
      <c r="E154" s="108"/>
      <c r="F154" s="85">
        <f t="shared" ref="F154" si="23">0/8*12</f>
        <v>0</v>
      </c>
      <c r="G154" s="85"/>
      <c r="H154" s="85"/>
      <c r="I154" s="85"/>
      <c r="J154" s="394"/>
    </row>
    <row r="155" spans="1:10" s="285" customFormat="1" x14ac:dyDescent="0.25">
      <c r="A155" s="118">
        <v>14</v>
      </c>
      <c r="B155" s="151">
        <v>6115</v>
      </c>
      <c r="C155" s="94" t="s">
        <v>60</v>
      </c>
      <c r="D155" s="85"/>
      <c r="E155" s="108">
        <v>100000</v>
      </c>
      <c r="F155" s="85">
        <v>0</v>
      </c>
      <c r="G155" s="85"/>
      <c r="H155" s="85"/>
      <c r="I155" s="85"/>
      <c r="J155" s="394"/>
    </row>
    <row r="156" spans="1:10" s="285" customFormat="1" x14ac:dyDescent="0.25">
      <c r="A156" s="344"/>
      <c r="B156" s="151"/>
      <c r="C156" s="94"/>
      <c r="D156" s="89">
        <f>D153</f>
        <v>0</v>
      </c>
      <c r="E156" s="89">
        <f t="shared" ref="E156:J156" si="24">SUM(E153:E155)</f>
        <v>100000</v>
      </c>
      <c r="F156" s="89">
        <f t="shared" si="24"/>
        <v>100000</v>
      </c>
      <c r="G156" s="436">
        <f t="shared" si="24"/>
        <v>0</v>
      </c>
      <c r="H156" s="436">
        <f t="shared" si="24"/>
        <v>0</v>
      </c>
      <c r="I156" s="89">
        <f t="shared" si="24"/>
        <v>0</v>
      </c>
      <c r="J156" s="393">
        <f t="shared" si="24"/>
        <v>0</v>
      </c>
    </row>
    <row r="157" spans="1:10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88"/>
      <c r="J157" s="120"/>
    </row>
    <row r="158" spans="1:10" s="285" customFormat="1" x14ac:dyDescent="0.25">
      <c r="A158" s="118">
        <v>14</v>
      </c>
      <c r="B158" s="151">
        <v>6205</v>
      </c>
      <c r="C158" s="94" t="s">
        <v>338</v>
      </c>
      <c r="D158" s="85"/>
      <c r="E158" s="108"/>
      <c r="F158" s="85">
        <v>0</v>
      </c>
      <c r="G158" s="85"/>
      <c r="H158" s="85"/>
      <c r="I158" s="85">
        <v>0</v>
      </c>
      <c r="J158" s="385">
        <f>F158*(1+INPUT!C$10)</f>
        <v>0</v>
      </c>
    </row>
    <row r="159" spans="1:10" s="285" customFormat="1" x14ac:dyDescent="0.25">
      <c r="A159" s="118">
        <v>14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/>
      <c r="I159" s="85">
        <f>0/8*12</f>
        <v>0</v>
      </c>
      <c r="J159" s="385">
        <f>F159*(1+INPUT!C$10)</f>
        <v>0</v>
      </c>
    </row>
    <row r="160" spans="1:10" s="285" customFormat="1" x14ac:dyDescent="0.25">
      <c r="A160" s="344"/>
      <c r="B160" s="346"/>
      <c r="C160" s="347"/>
      <c r="D160" s="116">
        <f t="shared" ref="D160:J160" si="25">SUM(D158:D159)</f>
        <v>0</v>
      </c>
      <c r="E160" s="116">
        <f t="shared" si="25"/>
        <v>0</v>
      </c>
      <c r="F160" s="116">
        <f t="shared" si="25"/>
        <v>0</v>
      </c>
      <c r="G160" s="116"/>
      <c r="H160" s="116"/>
      <c r="I160" s="116">
        <f t="shared" ref="I160" si="26">SUM(I158:I159)</f>
        <v>0</v>
      </c>
      <c r="J160" s="397">
        <f t="shared" si="25"/>
        <v>0</v>
      </c>
    </row>
    <row r="161" spans="1:10" s="285" customFormat="1" x14ac:dyDescent="0.25">
      <c r="A161" s="344"/>
      <c r="B161" s="346"/>
      <c r="C161" s="93" t="s">
        <v>189</v>
      </c>
      <c r="D161" s="116">
        <f t="shared" ref="D161:J161" si="27">D160+D156+D151+D148+D70+D66+D63+D59+D38+D35+D32+D29+D25+D18</f>
        <v>1085973.04</v>
      </c>
      <c r="E161" s="116">
        <f t="shared" si="27"/>
        <v>2175883</v>
      </c>
      <c r="F161" s="116">
        <f t="shared" si="27"/>
        <v>2357199</v>
      </c>
      <c r="G161" s="448">
        <f t="shared" si="27"/>
        <v>2594193.6</v>
      </c>
      <c r="H161" s="448">
        <f t="shared" si="27"/>
        <v>2802854.7648</v>
      </c>
      <c r="I161" s="116">
        <f t="shared" ref="I161" si="28">I160+I156+I151+I148+I70+I66+I63+I59+I38+I35+I32+I29+I25+I18</f>
        <v>3028930.4888064</v>
      </c>
      <c r="J161" s="397">
        <f t="shared" si="27"/>
        <v>0</v>
      </c>
    </row>
    <row r="162" spans="1:10" s="285" customFormat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  <c r="J162" s="398"/>
    </row>
    <row r="163" spans="1:10" s="285" customFormat="1" x14ac:dyDescent="0.25">
      <c r="A163" s="118">
        <v>14</v>
      </c>
      <c r="B163" s="151">
        <v>6305</v>
      </c>
      <c r="C163" s="94" t="s">
        <v>190</v>
      </c>
      <c r="D163" s="85"/>
      <c r="E163" s="85"/>
      <c r="F163" s="85">
        <f>E163-D163</f>
        <v>0</v>
      </c>
      <c r="G163" s="85"/>
      <c r="H163" s="85"/>
      <c r="I163" s="85">
        <f>0/8*12</f>
        <v>0</v>
      </c>
      <c r="J163" s="385"/>
    </row>
    <row r="164" spans="1:10" s="285" customFormat="1" x14ac:dyDescent="0.25">
      <c r="A164" s="344"/>
      <c r="B164" s="151"/>
      <c r="C164" s="94"/>
      <c r="D164" s="116">
        <f t="shared" ref="D164:J164" si="29">D163</f>
        <v>0</v>
      </c>
      <c r="E164" s="116">
        <f t="shared" si="29"/>
        <v>0</v>
      </c>
      <c r="F164" s="116">
        <f t="shared" si="29"/>
        <v>0</v>
      </c>
      <c r="G164" s="448">
        <f t="shared" si="29"/>
        <v>0</v>
      </c>
      <c r="H164" s="448">
        <f t="shared" si="29"/>
        <v>0</v>
      </c>
      <c r="I164" s="116">
        <f t="shared" ref="I164" si="30">I163</f>
        <v>0</v>
      </c>
      <c r="J164" s="397">
        <f t="shared" si="29"/>
        <v>0</v>
      </c>
    </row>
    <row r="165" spans="1:10" s="285" customFormat="1" x14ac:dyDescent="0.25">
      <c r="A165" s="348"/>
      <c r="B165" s="152"/>
      <c r="C165" s="119" t="s">
        <v>191</v>
      </c>
      <c r="D165" s="160">
        <f t="shared" ref="D165:J165" si="31">SUM(D161+D164)</f>
        <v>1085973.04</v>
      </c>
      <c r="E165" s="160">
        <f t="shared" si="31"/>
        <v>2175883</v>
      </c>
      <c r="F165" s="160">
        <f t="shared" si="31"/>
        <v>2357199</v>
      </c>
      <c r="G165" s="463">
        <f t="shared" si="31"/>
        <v>2594193.6</v>
      </c>
      <c r="H165" s="463">
        <f t="shared" si="31"/>
        <v>2802854.7648</v>
      </c>
      <c r="I165" s="463">
        <f t="shared" si="31"/>
        <v>3028930.4888064</v>
      </c>
      <c r="J165" s="399">
        <f t="shared" si="31"/>
        <v>0</v>
      </c>
    </row>
    <row r="166" spans="1:10" s="285" customFormat="1" x14ac:dyDescent="0.25">
      <c r="A166" s="350"/>
      <c r="B166" s="389"/>
      <c r="C166" s="390"/>
      <c r="D166" s="120"/>
      <c r="E166" s="120"/>
      <c r="F166" s="120"/>
      <c r="G166" s="120"/>
      <c r="H166" s="120"/>
      <c r="I166" s="402"/>
      <c r="J166" s="271"/>
    </row>
    <row r="167" spans="1:10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385"/>
      <c r="J167" s="111"/>
    </row>
    <row r="168" spans="1:10" s="285" customFormat="1" x14ac:dyDescent="0.25">
      <c r="A168" s="349"/>
      <c r="B168" s="710" t="s">
        <v>549</v>
      </c>
      <c r="C168" s="710"/>
      <c r="D168" s="711"/>
      <c r="E168" s="338"/>
      <c r="F168" s="338"/>
      <c r="G168" s="425"/>
      <c r="H168" s="338"/>
      <c r="I168" s="342"/>
      <c r="J168" s="338"/>
    </row>
    <row r="169" spans="1:10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  <c r="J169" s="391" t="s">
        <v>538</v>
      </c>
    </row>
    <row r="170" spans="1:10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  <c r="J170" s="392" t="s">
        <v>384</v>
      </c>
    </row>
    <row r="171" spans="1:10" s="285" customFormat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122"/>
      <c r="J171" s="383"/>
    </row>
    <row r="172" spans="1:10" s="285" customFormat="1" x14ac:dyDescent="0.25">
      <c r="A172" s="118">
        <v>14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22"/>
      <c r="J172" s="394">
        <f>F172*(1+INPUT!C15)</f>
        <v>0</v>
      </c>
    </row>
    <row r="173" spans="1:10" s="285" customFormat="1" x14ac:dyDescent="0.25">
      <c r="A173" s="118">
        <v>14</v>
      </c>
      <c r="B173" s="151">
        <v>5725</v>
      </c>
      <c r="C173" s="94" t="s">
        <v>402</v>
      </c>
      <c r="D173" s="85">
        <v>0</v>
      </c>
      <c r="E173" s="85">
        <v>0</v>
      </c>
      <c r="F173" s="85">
        <v>0</v>
      </c>
      <c r="G173" s="85"/>
      <c r="H173" s="85"/>
      <c r="I173" s="85"/>
      <c r="J173" s="385">
        <f>F173*(1+INPUT!C$10)</f>
        <v>0</v>
      </c>
    </row>
    <row r="174" spans="1:10" s="285" customFormat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/>
      <c r="J174" s="400">
        <f>SUM(J172)</f>
        <v>0</v>
      </c>
    </row>
    <row r="175" spans="1:10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122"/>
      <c r="J175" s="383"/>
    </row>
    <row r="176" spans="1:10" s="285" customFormat="1" x14ac:dyDescent="0.25">
      <c r="A176" s="118">
        <v>14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98"/>
      <c r="H176" s="98"/>
      <c r="I176" s="122"/>
      <c r="J176" s="383">
        <f>F176*(1+INPUT!C18)</f>
        <v>0</v>
      </c>
    </row>
    <row r="177" spans="1:10" s="285" customFormat="1" x14ac:dyDescent="0.25">
      <c r="A177" s="118">
        <v>14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98"/>
      <c r="H177" s="98"/>
      <c r="I177" s="122"/>
      <c r="J177" s="383">
        <f>F177*(1+INPUT!C19)</f>
        <v>0</v>
      </c>
    </row>
    <row r="178" spans="1:10" s="285" customFormat="1" x14ac:dyDescent="0.25">
      <c r="A178" s="118">
        <v>14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98"/>
      <c r="H178" s="98"/>
      <c r="I178" s="122"/>
      <c r="J178" s="383">
        <f>F178*(1+INPUT!C20)</f>
        <v>0</v>
      </c>
    </row>
    <row r="179" spans="1:10" s="285" customFormat="1" x14ac:dyDescent="0.25">
      <c r="A179" s="118">
        <v>14</v>
      </c>
      <c r="B179" s="151">
        <v>1153</v>
      </c>
      <c r="C179" s="94" t="s">
        <v>115</v>
      </c>
      <c r="D179" s="122"/>
      <c r="E179" s="98"/>
      <c r="F179" s="98">
        <f t="shared" ref="F179:F204" si="32">E179/8*12</f>
        <v>0</v>
      </c>
      <c r="G179" s="98"/>
      <c r="H179" s="98"/>
      <c r="I179" s="122"/>
      <c r="J179" s="383">
        <f>F179*(1+INPUT!C21)</f>
        <v>0</v>
      </c>
    </row>
    <row r="180" spans="1:10" s="285" customFormat="1" x14ac:dyDescent="0.25">
      <c r="A180" s="118">
        <v>14</v>
      </c>
      <c r="B180" s="151">
        <v>1143</v>
      </c>
      <c r="C180" s="94" t="s">
        <v>109</v>
      </c>
      <c r="D180" s="122"/>
      <c r="E180" s="98"/>
      <c r="F180" s="98">
        <f t="shared" si="32"/>
        <v>0</v>
      </c>
      <c r="G180" s="98"/>
      <c r="H180" s="98"/>
      <c r="I180" s="122"/>
      <c r="J180" s="383">
        <f>F180*(1+INPUT!C22)</f>
        <v>0</v>
      </c>
    </row>
    <row r="181" spans="1:10" s="285" customFormat="1" x14ac:dyDescent="0.25">
      <c r="A181" s="118">
        <v>14</v>
      </c>
      <c r="B181" s="151">
        <v>5500</v>
      </c>
      <c r="C181" s="94" t="s">
        <v>266</v>
      </c>
      <c r="D181" s="85"/>
      <c r="E181" s="85">
        <v>-33969</v>
      </c>
      <c r="F181" s="85">
        <f t="shared" ref="F181:F200" si="33">E181-D181</f>
        <v>-33969</v>
      </c>
      <c r="G181" s="428">
        <f>+(F181*0.1)+F181</f>
        <v>-37365.9</v>
      </c>
      <c r="H181" s="428">
        <f t="shared" ref="H181:I181" si="34">+(G181*0.1)+G181</f>
        <v>-41102.490000000005</v>
      </c>
      <c r="I181" s="428">
        <f t="shared" si="34"/>
        <v>-45212.739000000009</v>
      </c>
      <c r="J181" s="385"/>
    </row>
    <row r="182" spans="1:10" s="285" customFormat="1" x14ac:dyDescent="0.25">
      <c r="A182" s="118">
        <v>14</v>
      </c>
      <c r="B182" s="151">
        <v>5705</v>
      </c>
      <c r="C182" s="94" t="s">
        <v>296</v>
      </c>
      <c r="D182" s="85"/>
      <c r="E182" s="85"/>
      <c r="F182" s="85">
        <f t="shared" si="33"/>
        <v>0</v>
      </c>
      <c r="G182" s="85"/>
      <c r="H182" s="85"/>
      <c r="I182" s="85"/>
      <c r="J182" s="385"/>
    </row>
    <row r="183" spans="1:10" s="285" customFormat="1" x14ac:dyDescent="0.25">
      <c r="A183" s="118">
        <v>14</v>
      </c>
      <c r="B183" s="151">
        <v>1140</v>
      </c>
      <c r="C183" s="94" t="s">
        <v>113</v>
      </c>
      <c r="D183" s="122"/>
      <c r="E183" s="98"/>
      <c r="F183" s="85">
        <f t="shared" si="33"/>
        <v>0</v>
      </c>
      <c r="G183" s="85"/>
      <c r="H183" s="85"/>
      <c r="I183" s="85"/>
      <c r="J183" s="385"/>
    </row>
    <row r="184" spans="1:10" s="285" customFormat="1" x14ac:dyDescent="0.25">
      <c r="A184" s="118">
        <v>14</v>
      </c>
      <c r="B184" s="151">
        <v>1145</v>
      </c>
      <c r="C184" s="94" t="s">
        <v>132</v>
      </c>
      <c r="D184" s="122"/>
      <c r="E184" s="98"/>
      <c r="F184" s="85">
        <f t="shared" si="33"/>
        <v>0</v>
      </c>
      <c r="G184" s="85"/>
      <c r="H184" s="85"/>
      <c r="I184" s="85"/>
      <c r="J184" s="385"/>
    </row>
    <row r="185" spans="1:10" s="285" customFormat="1" x14ac:dyDescent="0.25">
      <c r="A185" s="118">
        <v>14</v>
      </c>
      <c r="B185" s="151">
        <v>1150</v>
      </c>
      <c r="C185" s="94" t="s">
        <v>120</v>
      </c>
      <c r="D185" s="122"/>
      <c r="E185" s="98"/>
      <c r="F185" s="85">
        <f t="shared" si="33"/>
        <v>0</v>
      </c>
      <c r="G185" s="85"/>
      <c r="H185" s="85"/>
      <c r="I185" s="85"/>
      <c r="J185" s="385"/>
    </row>
    <row r="186" spans="1:10" s="285" customFormat="1" x14ac:dyDescent="0.25">
      <c r="A186" s="118">
        <v>14</v>
      </c>
      <c r="B186" s="151">
        <v>1155</v>
      </c>
      <c r="C186" s="94" t="s">
        <v>116</v>
      </c>
      <c r="D186" s="122"/>
      <c r="E186" s="98"/>
      <c r="F186" s="85">
        <f t="shared" si="33"/>
        <v>0</v>
      </c>
      <c r="G186" s="85"/>
      <c r="H186" s="85"/>
      <c r="I186" s="85"/>
      <c r="J186" s="385"/>
    </row>
    <row r="187" spans="1:10" s="285" customFormat="1" x14ac:dyDescent="0.25">
      <c r="A187" s="118">
        <v>14</v>
      </c>
      <c r="B187" s="151">
        <v>1160</v>
      </c>
      <c r="C187" s="94" t="s">
        <v>101</v>
      </c>
      <c r="D187" s="122"/>
      <c r="E187" s="98"/>
      <c r="F187" s="85">
        <f t="shared" si="33"/>
        <v>0</v>
      </c>
      <c r="G187" s="85"/>
      <c r="H187" s="85"/>
      <c r="I187" s="85"/>
      <c r="J187" s="385"/>
    </row>
    <row r="188" spans="1:10" s="285" customFormat="1" x14ac:dyDescent="0.25">
      <c r="A188" s="118">
        <v>14</v>
      </c>
      <c r="B188" s="151">
        <v>1165</v>
      </c>
      <c r="C188" s="94" t="s">
        <v>114</v>
      </c>
      <c r="D188" s="122"/>
      <c r="E188" s="98"/>
      <c r="F188" s="85">
        <f t="shared" si="33"/>
        <v>0</v>
      </c>
      <c r="G188" s="85"/>
      <c r="H188" s="85"/>
      <c r="I188" s="85"/>
      <c r="J188" s="385"/>
    </row>
    <row r="189" spans="1:10" s="285" customFormat="1" x14ac:dyDescent="0.25">
      <c r="A189" s="118"/>
      <c r="B189" s="151"/>
      <c r="C189" s="94" t="s">
        <v>403</v>
      </c>
      <c r="D189" s="122"/>
      <c r="E189" s="98"/>
      <c r="F189" s="85">
        <f t="shared" si="33"/>
        <v>0</v>
      </c>
      <c r="G189" s="85"/>
      <c r="H189" s="85"/>
      <c r="I189" s="85"/>
      <c r="J189" s="385"/>
    </row>
    <row r="190" spans="1:10" s="285" customFormat="1" x14ac:dyDescent="0.25">
      <c r="A190" s="118">
        <v>14</v>
      </c>
      <c r="B190" s="151">
        <v>1180</v>
      </c>
      <c r="C190" s="94" t="s">
        <v>404</v>
      </c>
      <c r="D190" s="122"/>
      <c r="E190" s="98"/>
      <c r="F190" s="85">
        <f t="shared" si="33"/>
        <v>0</v>
      </c>
      <c r="G190" s="85"/>
      <c r="H190" s="85"/>
      <c r="I190" s="85"/>
      <c r="J190" s="385"/>
    </row>
    <row r="191" spans="1:10" s="285" customFormat="1" x14ac:dyDescent="0.25">
      <c r="A191" s="118">
        <v>14</v>
      </c>
      <c r="B191" s="151">
        <v>1185</v>
      </c>
      <c r="C191" s="94" t="s">
        <v>405</v>
      </c>
      <c r="D191" s="122"/>
      <c r="E191" s="98"/>
      <c r="F191" s="85">
        <f t="shared" si="33"/>
        <v>0</v>
      </c>
      <c r="G191" s="85"/>
      <c r="H191" s="85"/>
      <c r="I191" s="85"/>
      <c r="J191" s="385"/>
    </row>
    <row r="192" spans="1:10" s="285" customFormat="1" x14ac:dyDescent="0.25">
      <c r="A192" s="118">
        <v>14</v>
      </c>
      <c r="B192" s="151">
        <v>1190</v>
      </c>
      <c r="C192" s="94" t="s">
        <v>406</v>
      </c>
      <c r="D192" s="122"/>
      <c r="E192" s="98"/>
      <c r="F192" s="85">
        <f t="shared" si="33"/>
        <v>0</v>
      </c>
      <c r="G192" s="85"/>
      <c r="H192" s="85"/>
      <c r="I192" s="85"/>
      <c r="J192" s="385"/>
    </row>
    <row r="193" spans="1:10" s="285" customFormat="1" x14ac:dyDescent="0.25">
      <c r="A193" s="118"/>
      <c r="B193" s="151"/>
      <c r="C193" s="94" t="s">
        <v>407</v>
      </c>
      <c r="D193" s="122"/>
      <c r="E193" s="98"/>
      <c r="F193" s="85">
        <f t="shared" si="33"/>
        <v>0</v>
      </c>
      <c r="G193" s="85"/>
      <c r="H193" s="85"/>
      <c r="I193" s="85"/>
      <c r="J193" s="385"/>
    </row>
    <row r="194" spans="1:10" s="285" customFormat="1" x14ac:dyDescent="0.25">
      <c r="A194" s="118">
        <v>14</v>
      </c>
      <c r="B194" s="151">
        <v>1195</v>
      </c>
      <c r="C194" s="94" t="s">
        <v>199</v>
      </c>
      <c r="D194" s="122"/>
      <c r="E194" s="98"/>
      <c r="F194" s="85">
        <f t="shared" si="33"/>
        <v>0</v>
      </c>
      <c r="G194" s="85"/>
      <c r="H194" s="85"/>
      <c r="I194" s="85"/>
      <c r="J194" s="385"/>
    </row>
    <row r="195" spans="1:10" s="285" customFormat="1" x14ac:dyDescent="0.25">
      <c r="A195" s="118">
        <v>14</v>
      </c>
      <c r="B195" s="151">
        <v>1200</v>
      </c>
      <c r="C195" s="94" t="s">
        <v>117</v>
      </c>
      <c r="D195" s="122"/>
      <c r="E195" s="98"/>
      <c r="F195" s="85">
        <f t="shared" si="33"/>
        <v>0</v>
      </c>
      <c r="G195" s="85"/>
      <c r="H195" s="85"/>
      <c r="I195" s="85"/>
      <c r="J195" s="385"/>
    </row>
    <row r="196" spans="1:10" s="285" customFormat="1" x14ac:dyDescent="0.25">
      <c r="A196" s="118">
        <v>14</v>
      </c>
      <c r="B196" s="151">
        <v>1205</v>
      </c>
      <c r="C196" s="115" t="s">
        <v>105</v>
      </c>
      <c r="D196" s="122"/>
      <c r="E196" s="98"/>
      <c r="F196" s="85">
        <f t="shared" si="33"/>
        <v>0</v>
      </c>
      <c r="G196" s="85"/>
      <c r="H196" s="85"/>
      <c r="I196" s="85"/>
      <c r="J196" s="385"/>
    </row>
    <row r="197" spans="1:10" s="285" customFormat="1" x14ac:dyDescent="0.25">
      <c r="A197" s="118">
        <v>14</v>
      </c>
      <c r="B197" s="151">
        <v>1210</v>
      </c>
      <c r="C197" s="94" t="s">
        <v>118</v>
      </c>
      <c r="D197" s="122"/>
      <c r="E197" s="98"/>
      <c r="F197" s="85">
        <f t="shared" si="33"/>
        <v>0</v>
      </c>
      <c r="G197" s="85"/>
      <c r="H197" s="85"/>
      <c r="I197" s="85"/>
      <c r="J197" s="385"/>
    </row>
    <row r="198" spans="1:10" s="285" customFormat="1" x14ac:dyDescent="0.25">
      <c r="A198" s="118">
        <v>14</v>
      </c>
      <c r="B198" s="151">
        <v>1215</v>
      </c>
      <c r="C198" s="94" t="s">
        <v>133</v>
      </c>
      <c r="D198" s="122"/>
      <c r="E198" s="98"/>
      <c r="F198" s="85">
        <f t="shared" si="33"/>
        <v>0</v>
      </c>
      <c r="G198" s="85"/>
      <c r="H198" s="85"/>
      <c r="I198" s="85"/>
      <c r="J198" s="385"/>
    </row>
    <row r="199" spans="1:10" s="285" customFormat="1" x14ac:dyDescent="0.25">
      <c r="A199" s="118">
        <v>14</v>
      </c>
      <c r="B199" s="151">
        <v>5905</v>
      </c>
      <c r="C199" s="94" t="s">
        <v>329</v>
      </c>
      <c r="D199" s="85"/>
      <c r="E199" s="85"/>
      <c r="F199" s="85">
        <f t="shared" si="33"/>
        <v>0</v>
      </c>
      <c r="G199" s="85"/>
      <c r="H199" s="85"/>
      <c r="I199" s="85"/>
      <c r="J199" s="385"/>
    </row>
    <row r="200" spans="1:10" s="285" customFormat="1" x14ac:dyDescent="0.25">
      <c r="A200" s="118">
        <v>14</v>
      </c>
      <c r="B200" s="151">
        <v>5900</v>
      </c>
      <c r="C200" s="94" t="s">
        <v>333</v>
      </c>
      <c r="D200" s="85">
        <v>0</v>
      </c>
      <c r="E200" s="85">
        <v>-17024</v>
      </c>
      <c r="F200" s="85">
        <f t="shared" si="33"/>
        <v>-17024</v>
      </c>
      <c r="G200" s="428">
        <f>+(F200*0.1)+F200</f>
        <v>-18726.400000000001</v>
      </c>
      <c r="H200" s="428">
        <f t="shared" ref="H200:I200" si="35">+(G200*0.1)+G200</f>
        <v>-20599.04</v>
      </c>
      <c r="I200" s="428">
        <f t="shared" si="35"/>
        <v>-22658.944</v>
      </c>
      <c r="J200" s="385"/>
    </row>
    <row r="201" spans="1:10" s="285" customFormat="1" x14ac:dyDescent="0.25">
      <c r="A201" s="118">
        <v>14</v>
      </c>
      <c r="B201" s="151">
        <v>1220</v>
      </c>
      <c r="C201" s="94" t="s">
        <v>340</v>
      </c>
      <c r="D201" s="122"/>
      <c r="E201" s="98"/>
      <c r="F201" s="98">
        <f t="shared" si="32"/>
        <v>0</v>
      </c>
      <c r="G201" s="98"/>
      <c r="H201" s="98"/>
      <c r="I201" s="122"/>
      <c r="J201" s="383">
        <f>F201*(1+INPUT!C37)</f>
        <v>0</v>
      </c>
    </row>
    <row r="202" spans="1:10" s="285" customFormat="1" x14ac:dyDescent="0.25">
      <c r="A202" s="118">
        <v>14</v>
      </c>
      <c r="B202" s="151">
        <v>1225</v>
      </c>
      <c r="C202" s="94" t="s">
        <v>372</v>
      </c>
      <c r="D202" s="122"/>
      <c r="E202" s="98"/>
      <c r="F202" s="98">
        <f t="shared" si="32"/>
        <v>0</v>
      </c>
      <c r="G202" s="98"/>
      <c r="H202" s="98"/>
      <c r="I202" s="122"/>
      <c r="J202" s="383">
        <f>F202*(1+INPUT!C38)</f>
        <v>0</v>
      </c>
    </row>
    <row r="203" spans="1:10" s="285" customFormat="1" x14ac:dyDescent="0.25">
      <c r="A203" s="118">
        <v>14</v>
      </c>
      <c r="B203" s="151">
        <v>1230</v>
      </c>
      <c r="C203" s="94" t="s">
        <v>119</v>
      </c>
      <c r="D203" s="122"/>
      <c r="E203" s="98"/>
      <c r="F203" s="98">
        <f t="shared" si="32"/>
        <v>0</v>
      </c>
      <c r="G203" s="98"/>
      <c r="H203" s="98"/>
      <c r="I203" s="122"/>
      <c r="J203" s="383">
        <f>F203*(1+INPUT!C39)</f>
        <v>0</v>
      </c>
    </row>
    <row r="204" spans="1:10" s="285" customFormat="1" x14ac:dyDescent="0.25">
      <c r="A204" s="118">
        <v>14</v>
      </c>
      <c r="B204" s="151">
        <v>1235</v>
      </c>
      <c r="C204" s="94" t="s">
        <v>347</v>
      </c>
      <c r="D204" s="122"/>
      <c r="E204" s="98"/>
      <c r="F204" s="98">
        <f t="shared" si="32"/>
        <v>0</v>
      </c>
      <c r="G204" s="98"/>
      <c r="H204" s="98"/>
      <c r="I204" s="122"/>
      <c r="J204" s="383">
        <f>F204*(1+INPUT!C40)</f>
        <v>0</v>
      </c>
    </row>
    <row r="205" spans="1:10" s="285" customFormat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  <c r="J205" s="385"/>
    </row>
    <row r="206" spans="1:10" s="285" customFormat="1" x14ac:dyDescent="0.25">
      <c r="A206" s="344"/>
      <c r="B206" s="151"/>
      <c r="C206" s="94"/>
      <c r="D206" s="100">
        <f t="shared" ref="D206:J206" si="36">SUM(D176:D204)</f>
        <v>0</v>
      </c>
      <c r="E206" s="100">
        <f t="shared" si="36"/>
        <v>-50993</v>
      </c>
      <c r="F206" s="100">
        <f t="shared" si="36"/>
        <v>-50993</v>
      </c>
      <c r="G206" s="100">
        <f t="shared" si="36"/>
        <v>-56092.3</v>
      </c>
      <c r="H206" s="100">
        <f t="shared" si="36"/>
        <v>-61701.530000000006</v>
      </c>
      <c r="I206" s="100">
        <f t="shared" si="36"/>
        <v>-67871.683000000005</v>
      </c>
      <c r="J206" s="401">
        <f t="shared" si="36"/>
        <v>0</v>
      </c>
    </row>
    <row r="207" spans="1:10" s="285" customFormat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122"/>
      <c r="J207" s="383"/>
    </row>
    <row r="208" spans="1:10" s="285" customFormat="1" x14ac:dyDescent="0.25">
      <c r="A208" s="118">
        <v>14</v>
      </c>
      <c r="B208" s="151">
        <v>1305</v>
      </c>
      <c r="C208" s="94" t="s">
        <v>342</v>
      </c>
      <c r="D208" s="122"/>
      <c r="E208" s="98"/>
      <c r="F208" s="98">
        <f t="shared" ref="F208:F211" si="37">E208/8*12</f>
        <v>0</v>
      </c>
      <c r="G208" s="98"/>
      <c r="H208" s="98"/>
      <c r="I208" s="122">
        <f>F208/8*12</f>
        <v>0</v>
      </c>
      <c r="J208" s="383">
        <f>F208*(1+INPUT!C43)</f>
        <v>0</v>
      </c>
    </row>
    <row r="209" spans="1:11" s="285" customFormat="1" x14ac:dyDescent="0.25">
      <c r="A209" s="118">
        <v>14</v>
      </c>
      <c r="B209" s="151">
        <v>1310</v>
      </c>
      <c r="C209" s="94" t="s">
        <v>344</v>
      </c>
      <c r="D209" s="122"/>
      <c r="E209" s="98"/>
      <c r="F209" s="98">
        <f t="shared" si="37"/>
        <v>0</v>
      </c>
      <c r="G209" s="98"/>
      <c r="H209" s="98"/>
      <c r="I209" s="122">
        <f>F209/8*12</f>
        <v>0</v>
      </c>
      <c r="J209" s="383">
        <f>F209*(1+INPUT!C44)</f>
        <v>0</v>
      </c>
    </row>
    <row r="210" spans="1:11" s="285" customFormat="1" x14ac:dyDescent="0.25">
      <c r="A210" s="118">
        <v>14</v>
      </c>
      <c r="B210" s="151">
        <v>1320</v>
      </c>
      <c r="C210" s="94" t="s">
        <v>345</v>
      </c>
      <c r="D210" s="122"/>
      <c r="E210" s="98"/>
      <c r="F210" s="98">
        <f t="shared" si="37"/>
        <v>0</v>
      </c>
      <c r="G210" s="98"/>
      <c r="H210" s="98"/>
      <c r="I210" s="122">
        <f>F210/8*12</f>
        <v>0</v>
      </c>
      <c r="J210" s="383">
        <f>F210*(1+INPUT!C45)</f>
        <v>0</v>
      </c>
    </row>
    <row r="211" spans="1:11" s="285" customFormat="1" x14ac:dyDescent="0.25">
      <c r="A211" s="118">
        <v>14</v>
      </c>
      <c r="B211" s="151">
        <v>1315</v>
      </c>
      <c r="C211" s="94" t="s">
        <v>346</v>
      </c>
      <c r="D211" s="122"/>
      <c r="E211" s="108"/>
      <c r="F211" s="98">
        <f t="shared" si="37"/>
        <v>0</v>
      </c>
      <c r="G211" s="98"/>
      <c r="H211" s="98"/>
      <c r="I211" s="122">
        <f>F211/8*12</f>
        <v>0</v>
      </c>
      <c r="J211" s="394">
        <f>F211*(1+INPUT!C46)</f>
        <v>0</v>
      </c>
    </row>
    <row r="212" spans="1:11" s="285" customFormat="1" x14ac:dyDescent="0.25">
      <c r="A212" s="344"/>
      <c r="B212" s="151"/>
      <c r="C212" s="94"/>
      <c r="D212" s="99">
        <f>D211</f>
        <v>0</v>
      </c>
      <c r="E212" s="99">
        <f t="shared" ref="E212:K212" si="38">SUM(E208:E211)</f>
        <v>0</v>
      </c>
      <c r="F212" s="99">
        <f t="shared" si="38"/>
        <v>0</v>
      </c>
      <c r="G212" s="99">
        <f t="shared" si="38"/>
        <v>0</v>
      </c>
      <c r="H212" s="99">
        <f t="shared" si="38"/>
        <v>0</v>
      </c>
      <c r="I212" s="99">
        <f t="shared" si="38"/>
        <v>0</v>
      </c>
      <c r="J212" s="99">
        <f t="shared" si="38"/>
        <v>0</v>
      </c>
      <c r="K212" s="99">
        <f t="shared" si="38"/>
        <v>0</v>
      </c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122"/>
      <c r="J213" s="383"/>
    </row>
    <row r="214" spans="1:11" s="285" customFormat="1" x14ac:dyDescent="0.25">
      <c r="A214" s="118">
        <v>14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98"/>
      <c r="H214" s="98"/>
      <c r="I214" s="122">
        <f>F214/8*12</f>
        <v>0</v>
      </c>
      <c r="J214" s="394"/>
    </row>
    <row r="215" spans="1:11" s="285" customFormat="1" x14ac:dyDescent="0.25">
      <c r="A215" s="118">
        <v>14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98"/>
      <c r="H215" s="98"/>
      <c r="I215" s="122">
        <f>F215/8*12</f>
        <v>0</v>
      </c>
      <c r="J215" s="394"/>
    </row>
    <row r="216" spans="1:11" s="285" customFormat="1" x14ac:dyDescent="0.25">
      <c r="A216" s="344"/>
      <c r="B216" s="151"/>
      <c r="C216" s="94"/>
      <c r="D216" s="99">
        <f t="shared" ref="D216:J216" si="39">SUM(D214:D215)</f>
        <v>0</v>
      </c>
      <c r="E216" s="99">
        <f t="shared" si="39"/>
        <v>0</v>
      </c>
      <c r="F216" s="99">
        <f t="shared" si="39"/>
        <v>0</v>
      </c>
      <c r="G216" s="99">
        <f t="shared" si="39"/>
        <v>0</v>
      </c>
      <c r="H216" s="99">
        <f t="shared" si="39"/>
        <v>0</v>
      </c>
      <c r="I216" s="99">
        <f t="shared" si="39"/>
        <v>0</v>
      </c>
      <c r="J216" s="400">
        <f t="shared" si="39"/>
        <v>0</v>
      </c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122"/>
      <c r="J217" s="383"/>
    </row>
    <row r="218" spans="1:11" s="285" customFormat="1" x14ac:dyDescent="0.25">
      <c r="A218" s="118">
        <v>14</v>
      </c>
      <c r="B218" s="151">
        <v>1500</v>
      </c>
      <c r="C218" s="94" t="s">
        <v>106</v>
      </c>
      <c r="D218" s="122"/>
      <c r="E218" s="108"/>
      <c r="F218" s="98">
        <f t="shared" ref="F218:F220" si="40">E218/8*12</f>
        <v>0</v>
      </c>
      <c r="G218" s="98"/>
      <c r="H218" s="98"/>
      <c r="I218" s="122">
        <f>F218/8*12</f>
        <v>0</v>
      </c>
      <c r="J218" s="394"/>
    </row>
    <row r="219" spans="1:11" s="285" customFormat="1" x14ac:dyDescent="0.25">
      <c r="A219" s="118">
        <v>14</v>
      </c>
      <c r="B219" s="151">
        <v>1505</v>
      </c>
      <c r="C219" s="94" t="s">
        <v>71</v>
      </c>
      <c r="D219" s="122"/>
      <c r="E219" s="108"/>
      <c r="F219" s="98">
        <f t="shared" si="40"/>
        <v>0</v>
      </c>
      <c r="G219" s="98"/>
      <c r="H219" s="98"/>
      <c r="I219" s="122">
        <f>F219/8*12</f>
        <v>0</v>
      </c>
      <c r="J219" s="394"/>
    </row>
    <row r="220" spans="1:11" s="285" customFormat="1" x14ac:dyDescent="0.25">
      <c r="A220" s="375">
        <v>14</v>
      </c>
      <c r="B220" s="152">
        <v>1510</v>
      </c>
      <c r="C220" s="106" t="s">
        <v>72</v>
      </c>
      <c r="D220" s="379"/>
      <c r="E220" s="382"/>
      <c r="F220" s="380">
        <f t="shared" si="40"/>
        <v>0</v>
      </c>
      <c r="G220" s="380"/>
      <c r="H220" s="380"/>
      <c r="I220" s="379">
        <f>F220/8*12</f>
        <v>0</v>
      </c>
      <c r="J220" s="394"/>
    </row>
    <row r="221" spans="1:11" s="285" customFormat="1" x14ac:dyDescent="0.25">
      <c r="A221" s="350"/>
      <c r="B221" s="153"/>
      <c r="C221" s="97"/>
      <c r="D221" s="99">
        <f t="shared" ref="D221:K221" si="41">SUM(D218:D220)</f>
        <v>0</v>
      </c>
      <c r="E221" s="99">
        <f t="shared" si="41"/>
        <v>0</v>
      </c>
      <c r="F221" s="99">
        <f t="shared" si="41"/>
        <v>0</v>
      </c>
      <c r="G221" s="99">
        <f t="shared" si="41"/>
        <v>0</v>
      </c>
      <c r="H221" s="99">
        <f t="shared" si="41"/>
        <v>0</v>
      </c>
      <c r="I221" s="99">
        <f t="shared" si="41"/>
        <v>0</v>
      </c>
      <c r="J221" s="99">
        <f t="shared" si="41"/>
        <v>0</v>
      </c>
      <c r="K221" s="99">
        <f t="shared" si="41"/>
        <v>0</v>
      </c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122"/>
      <c r="J222" s="383"/>
    </row>
    <row r="223" spans="1:11" s="285" customFormat="1" x14ac:dyDescent="0.25">
      <c r="A223" s="118">
        <v>14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98"/>
      <c r="H223" s="98"/>
      <c r="I223" s="122">
        <f>F223/8*12</f>
        <v>0</v>
      </c>
      <c r="J223" s="383"/>
    </row>
    <row r="224" spans="1:11" s="285" customFormat="1" x14ac:dyDescent="0.25">
      <c r="A224" s="118">
        <v>14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98"/>
      <c r="H224" s="98"/>
      <c r="I224" s="122">
        <f>F224/8*12</f>
        <v>0</v>
      </c>
      <c r="J224" s="394"/>
    </row>
    <row r="225" spans="1:10" s="285" customFormat="1" x14ac:dyDescent="0.25">
      <c r="A225" s="344"/>
      <c r="B225" s="151"/>
      <c r="C225" s="94"/>
      <c r="D225" s="100">
        <f t="shared" ref="D225:J225" si="42">SUM(D223:D224)</f>
        <v>0</v>
      </c>
      <c r="E225" s="100">
        <f t="shared" si="42"/>
        <v>0</v>
      </c>
      <c r="F225" s="100">
        <f t="shared" si="42"/>
        <v>0</v>
      </c>
      <c r="G225" s="100">
        <f t="shared" si="42"/>
        <v>0</v>
      </c>
      <c r="H225" s="100">
        <f t="shared" si="42"/>
        <v>0</v>
      </c>
      <c r="I225" s="100">
        <f t="shared" si="42"/>
        <v>0</v>
      </c>
      <c r="J225" s="401">
        <f t="shared" si="42"/>
        <v>0</v>
      </c>
    </row>
    <row r="226" spans="1:10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122"/>
      <c r="J226" s="383"/>
    </row>
    <row r="227" spans="1:10" s="285" customFormat="1" x14ac:dyDescent="0.25">
      <c r="A227" s="118">
        <v>14</v>
      </c>
      <c r="B227" s="151">
        <v>1605</v>
      </c>
      <c r="C227" s="94" t="s">
        <v>75</v>
      </c>
      <c r="D227" s="122"/>
      <c r="E227" s="98"/>
      <c r="F227" s="98">
        <f t="shared" ref="F227:F239" si="43">E227/8*12</f>
        <v>0</v>
      </c>
      <c r="G227" s="98"/>
      <c r="H227" s="98"/>
      <c r="I227" s="122">
        <f t="shared" ref="I227:I239" si="44">F227/8*12</f>
        <v>0</v>
      </c>
      <c r="J227" s="383"/>
    </row>
    <row r="228" spans="1:10" s="285" customFormat="1" x14ac:dyDescent="0.25">
      <c r="A228" s="118">
        <v>14</v>
      </c>
      <c r="B228" s="151">
        <v>1610</v>
      </c>
      <c r="C228" s="94" t="s">
        <v>131</v>
      </c>
      <c r="D228" s="122"/>
      <c r="E228" s="108"/>
      <c r="F228" s="98">
        <f t="shared" si="43"/>
        <v>0</v>
      </c>
      <c r="G228" s="98"/>
      <c r="H228" s="98"/>
      <c r="I228" s="122">
        <f t="shared" si="44"/>
        <v>0</v>
      </c>
      <c r="J228" s="383"/>
    </row>
    <row r="229" spans="1:10" s="285" customFormat="1" x14ac:dyDescent="0.25">
      <c r="A229" s="118">
        <v>14</v>
      </c>
      <c r="B229" s="151">
        <v>1615</v>
      </c>
      <c r="C229" s="94" t="s">
        <v>182</v>
      </c>
      <c r="D229" s="122"/>
      <c r="E229" s="108"/>
      <c r="F229" s="98">
        <f t="shared" si="43"/>
        <v>0</v>
      </c>
      <c r="G229" s="98"/>
      <c r="H229" s="98"/>
      <c r="I229" s="122">
        <f t="shared" si="44"/>
        <v>0</v>
      </c>
      <c r="J229" s="383"/>
    </row>
    <row r="230" spans="1:10" s="285" customFormat="1" x14ac:dyDescent="0.25">
      <c r="A230" s="118">
        <v>14</v>
      </c>
      <c r="B230" s="151">
        <v>1620</v>
      </c>
      <c r="C230" s="94" t="s">
        <v>255</v>
      </c>
      <c r="D230" s="122"/>
      <c r="E230" s="108"/>
      <c r="F230" s="98">
        <f t="shared" si="43"/>
        <v>0</v>
      </c>
      <c r="G230" s="98"/>
      <c r="H230" s="98"/>
      <c r="I230" s="122">
        <f t="shared" si="44"/>
        <v>0</v>
      </c>
      <c r="J230" s="383"/>
    </row>
    <row r="231" spans="1:10" s="285" customFormat="1" x14ac:dyDescent="0.25">
      <c r="A231" s="118">
        <v>14</v>
      </c>
      <c r="B231" s="151">
        <v>1625</v>
      </c>
      <c r="C231" s="94" t="s">
        <v>108</v>
      </c>
      <c r="D231" s="122"/>
      <c r="E231" s="108"/>
      <c r="F231" s="98">
        <f t="shared" si="43"/>
        <v>0</v>
      </c>
      <c r="G231" s="98"/>
      <c r="H231" s="98"/>
      <c r="I231" s="122">
        <f t="shared" si="44"/>
        <v>0</v>
      </c>
      <c r="J231" s="383"/>
    </row>
    <row r="232" spans="1:10" s="285" customFormat="1" x14ac:dyDescent="0.25">
      <c r="A232" s="118">
        <v>14</v>
      </c>
      <c r="B232" s="151">
        <v>1630</v>
      </c>
      <c r="C232" s="94" t="s">
        <v>76</v>
      </c>
      <c r="D232" s="122"/>
      <c r="E232" s="108"/>
      <c r="F232" s="98">
        <f t="shared" si="43"/>
        <v>0</v>
      </c>
      <c r="G232" s="98"/>
      <c r="H232" s="98"/>
      <c r="I232" s="122">
        <f t="shared" si="44"/>
        <v>0</v>
      </c>
      <c r="J232" s="383"/>
    </row>
    <row r="233" spans="1:10" s="285" customFormat="1" x14ac:dyDescent="0.25">
      <c r="A233" s="118">
        <v>14</v>
      </c>
      <c r="B233" s="151">
        <v>1635</v>
      </c>
      <c r="C233" s="94" t="s">
        <v>180</v>
      </c>
      <c r="D233" s="122"/>
      <c r="E233" s="108"/>
      <c r="F233" s="98">
        <f t="shared" si="43"/>
        <v>0</v>
      </c>
      <c r="G233" s="98"/>
      <c r="H233" s="98"/>
      <c r="I233" s="122">
        <f t="shared" si="44"/>
        <v>0</v>
      </c>
      <c r="J233" s="383"/>
    </row>
    <row r="234" spans="1:10" s="285" customFormat="1" x14ac:dyDescent="0.25">
      <c r="A234" s="118">
        <v>14</v>
      </c>
      <c r="B234" s="151">
        <v>1640</v>
      </c>
      <c r="C234" s="94" t="s">
        <v>184</v>
      </c>
      <c r="D234" s="122"/>
      <c r="E234" s="108"/>
      <c r="F234" s="98">
        <f t="shared" si="43"/>
        <v>0</v>
      </c>
      <c r="G234" s="98"/>
      <c r="H234" s="98"/>
      <c r="I234" s="122">
        <f t="shared" si="44"/>
        <v>0</v>
      </c>
      <c r="J234" s="383"/>
    </row>
    <row r="235" spans="1:10" s="285" customFormat="1" x14ac:dyDescent="0.25">
      <c r="A235" s="118">
        <v>14</v>
      </c>
      <c r="B235" s="151">
        <v>1645</v>
      </c>
      <c r="C235" s="94" t="s">
        <v>77</v>
      </c>
      <c r="D235" s="122"/>
      <c r="E235" s="108"/>
      <c r="F235" s="98">
        <f t="shared" si="43"/>
        <v>0</v>
      </c>
      <c r="G235" s="98"/>
      <c r="H235" s="98"/>
      <c r="I235" s="122">
        <f t="shared" si="44"/>
        <v>0</v>
      </c>
      <c r="J235" s="383"/>
    </row>
    <row r="236" spans="1:10" s="285" customFormat="1" x14ac:dyDescent="0.25">
      <c r="A236" s="118">
        <v>14</v>
      </c>
      <c r="B236" s="151">
        <v>1650</v>
      </c>
      <c r="C236" s="94" t="s">
        <v>78</v>
      </c>
      <c r="D236" s="122"/>
      <c r="E236" s="108"/>
      <c r="F236" s="98">
        <f t="shared" si="43"/>
        <v>0</v>
      </c>
      <c r="G236" s="98"/>
      <c r="H236" s="98"/>
      <c r="I236" s="122">
        <f t="shared" si="44"/>
        <v>0</v>
      </c>
      <c r="J236" s="383"/>
    </row>
    <row r="237" spans="1:10" s="285" customFormat="1" x14ac:dyDescent="0.25">
      <c r="A237" s="118">
        <v>14</v>
      </c>
      <c r="B237" s="151"/>
      <c r="C237" s="94" t="s">
        <v>200</v>
      </c>
      <c r="D237" s="122"/>
      <c r="E237" s="108"/>
      <c r="F237" s="98">
        <f t="shared" si="43"/>
        <v>0</v>
      </c>
      <c r="G237" s="98"/>
      <c r="H237" s="98"/>
      <c r="I237" s="122">
        <f t="shared" si="44"/>
        <v>0</v>
      </c>
      <c r="J237" s="383"/>
    </row>
    <row r="238" spans="1:10" s="285" customFormat="1" x14ac:dyDescent="0.25">
      <c r="A238" s="118">
        <v>14</v>
      </c>
      <c r="B238" s="151">
        <v>1660</v>
      </c>
      <c r="C238" s="94" t="s">
        <v>185</v>
      </c>
      <c r="D238" s="122"/>
      <c r="E238" s="108"/>
      <c r="F238" s="98">
        <f t="shared" si="43"/>
        <v>0</v>
      </c>
      <c r="G238" s="98"/>
      <c r="H238" s="98"/>
      <c r="I238" s="122">
        <f t="shared" si="44"/>
        <v>0</v>
      </c>
      <c r="J238" s="383"/>
    </row>
    <row r="239" spans="1:10" s="285" customFormat="1" x14ac:dyDescent="0.25">
      <c r="A239" s="118">
        <v>14</v>
      </c>
      <c r="B239" s="151">
        <v>1665</v>
      </c>
      <c r="C239" s="94" t="s">
        <v>181</v>
      </c>
      <c r="D239" s="122"/>
      <c r="E239" s="108"/>
      <c r="F239" s="98">
        <f t="shared" si="43"/>
        <v>0</v>
      </c>
      <c r="G239" s="98"/>
      <c r="H239" s="98"/>
      <c r="I239" s="122">
        <f t="shared" si="44"/>
        <v>0</v>
      </c>
      <c r="J239" s="383"/>
    </row>
    <row r="240" spans="1:10" s="285" customFormat="1" x14ac:dyDescent="0.25">
      <c r="A240" s="344"/>
      <c r="B240" s="151"/>
      <c r="C240" s="94"/>
      <c r="D240" s="99">
        <f>SUM(D227:D236)</f>
        <v>0</v>
      </c>
      <c r="E240" s="99">
        <f t="shared" ref="E240:J240" si="45">SUM(E227:E239)</f>
        <v>0</v>
      </c>
      <c r="F240" s="99">
        <f t="shared" si="45"/>
        <v>0</v>
      </c>
      <c r="G240" s="99">
        <f t="shared" si="45"/>
        <v>0</v>
      </c>
      <c r="H240" s="99">
        <f t="shared" si="45"/>
        <v>0</v>
      </c>
      <c r="I240" s="99">
        <f t="shared" si="45"/>
        <v>0</v>
      </c>
      <c r="J240" s="400">
        <f t="shared" si="45"/>
        <v>0</v>
      </c>
    </row>
    <row r="241" spans="1:10" s="285" customFormat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122"/>
      <c r="J241" s="383"/>
    </row>
    <row r="242" spans="1:10" s="285" customFormat="1" x14ac:dyDescent="0.25">
      <c r="A242" s="118">
        <v>14</v>
      </c>
      <c r="B242" s="151">
        <v>1705</v>
      </c>
      <c r="C242" s="94" t="s">
        <v>123</v>
      </c>
      <c r="D242" s="122"/>
      <c r="E242" s="98"/>
      <c r="F242" s="98">
        <f t="shared" ref="F242:F247" si="46">E242/8*12</f>
        <v>0</v>
      </c>
      <c r="G242" s="98"/>
      <c r="H242" s="98"/>
      <c r="I242" s="122">
        <f t="shared" ref="I242:I247" si="47">F242/8*12</f>
        <v>0</v>
      </c>
      <c r="J242" s="383"/>
    </row>
    <row r="243" spans="1:10" s="285" customFormat="1" x14ac:dyDescent="0.25">
      <c r="A243" s="118">
        <v>14</v>
      </c>
      <c r="B243" s="151">
        <v>1710</v>
      </c>
      <c r="C243" s="94" t="s">
        <v>242</v>
      </c>
      <c r="D243" s="122"/>
      <c r="E243" s="98"/>
      <c r="F243" s="98">
        <f t="shared" si="46"/>
        <v>0</v>
      </c>
      <c r="G243" s="98"/>
      <c r="H243" s="98"/>
      <c r="I243" s="122">
        <f t="shared" si="47"/>
        <v>0</v>
      </c>
      <c r="J243" s="383"/>
    </row>
    <row r="244" spans="1:10" s="285" customFormat="1" x14ac:dyDescent="0.25">
      <c r="A244" s="118">
        <v>14</v>
      </c>
      <c r="B244" s="151">
        <v>1715</v>
      </c>
      <c r="C244" s="94" t="s">
        <v>183</v>
      </c>
      <c r="D244" s="122"/>
      <c r="E244" s="98"/>
      <c r="F244" s="98">
        <f t="shared" si="46"/>
        <v>0</v>
      </c>
      <c r="G244" s="98"/>
      <c r="H244" s="98"/>
      <c r="I244" s="122">
        <f t="shared" si="47"/>
        <v>0</v>
      </c>
      <c r="J244" s="383"/>
    </row>
    <row r="245" spans="1:10" s="285" customFormat="1" x14ac:dyDescent="0.25">
      <c r="A245" s="118">
        <v>14</v>
      </c>
      <c r="B245" s="151">
        <v>1720</v>
      </c>
      <c r="C245" s="94" t="s">
        <v>103</v>
      </c>
      <c r="D245" s="122"/>
      <c r="E245" s="98"/>
      <c r="F245" s="98">
        <f t="shared" si="46"/>
        <v>0</v>
      </c>
      <c r="G245" s="98"/>
      <c r="H245" s="98"/>
      <c r="I245" s="122">
        <f t="shared" si="47"/>
        <v>0</v>
      </c>
      <c r="J245" s="383"/>
    </row>
    <row r="246" spans="1:10" s="285" customFormat="1" x14ac:dyDescent="0.25">
      <c r="A246" s="118">
        <v>14</v>
      </c>
      <c r="B246" s="151">
        <v>1725</v>
      </c>
      <c r="C246" s="94" t="s">
        <v>107</v>
      </c>
      <c r="D246" s="122"/>
      <c r="E246" s="98"/>
      <c r="F246" s="98">
        <f t="shared" si="46"/>
        <v>0</v>
      </c>
      <c r="G246" s="98"/>
      <c r="H246" s="98"/>
      <c r="I246" s="122">
        <f t="shared" si="47"/>
        <v>0</v>
      </c>
      <c r="J246" s="383"/>
    </row>
    <row r="247" spans="1:10" s="285" customFormat="1" x14ac:dyDescent="0.25">
      <c r="A247" s="118">
        <v>14</v>
      </c>
      <c r="B247" s="151">
        <v>1730</v>
      </c>
      <c r="C247" s="94" t="s">
        <v>256</v>
      </c>
      <c r="D247" s="122"/>
      <c r="E247" s="98"/>
      <c r="F247" s="98">
        <f t="shared" si="46"/>
        <v>0</v>
      </c>
      <c r="G247" s="98"/>
      <c r="H247" s="98"/>
      <c r="I247" s="122">
        <f t="shared" si="47"/>
        <v>0</v>
      </c>
      <c r="J247" s="383"/>
    </row>
    <row r="248" spans="1:10" s="285" customFormat="1" x14ac:dyDescent="0.25">
      <c r="A248" s="344"/>
      <c r="B248" s="151"/>
      <c r="C248" s="94"/>
      <c r="D248" s="99">
        <f>D247</f>
        <v>0</v>
      </c>
      <c r="E248" s="99">
        <f t="shared" ref="E248:J248" si="48">SUM(E242:E247)</f>
        <v>0</v>
      </c>
      <c r="F248" s="99">
        <f t="shared" si="48"/>
        <v>0</v>
      </c>
      <c r="G248" s="99">
        <f t="shared" si="48"/>
        <v>0</v>
      </c>
      <c r="H248" s="99">
        <f t="shared" si="48"/>
        <v>0</v>
      </c>
      <c r="I248" s="99">
        <f t="shared" si="48"/>
        <v>0</v>
      </c>
      <c r="J248" s="400">
        <f t="shared" si="48"/>
        <v>0</v>
      </c>
    </row>
    <row r="249" spans="1:10" s="285" customFormat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122"/>
      <c r="J249" s="383"/>
    </row>
    <row r="250" spans="1:10" s="285" customFormat="1" x14ac:dyDescent="0.25">
      <c r="A250" s="118">
        <v>14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98"/>
      <c r="H250" s="98"/>
      <c r="I250" s="122">
        <f>F250/8*12</f>
        <v>0</v>
      </c>
      <c r="J250" s="394"/>
    </row>
    <row r="251" spans="1:10" s="285" customFormat="1" x14ac:dyDescent="0.25">
      <c r="A251" s="344"/>
      <c r="B251" s="151"/>
      <c r="C251" s="94"/>
      <c r="D251" s="99">
        <f t="shared" ref="D251:J251" si="49">D250</f>
        <v>0</v>
      </c>
      <c r="E251" s="99">
        <f t="shared" si="49"/>
        <v>0</v>
      </c>
      <c r="F251" s="99">
        <f t="shared" si="49"/>
        <v>0</v>
      </c>
      <c r="G251" s="99"/>
      <c r="H251" s="99"/>
      <c r="I251" s="99">
        <f t="shared" ref="I251" si="50">I250</f>
        <v>0</v>
      </c>
      <c r="J251" s="400">
        <f t="shared" si="49"/>
        <v>0</v>
      </c>
    </row>
    <row r="252" spans="1:10" s="285" customFormat="1" x14ac:dyDescent="0.25">
      <c r="A252" s="344"/>
      <c r="B252" s="346"/>
      <c r="C252" s="93" t="s">
        <v>192</v>
      </c>
      <c r="D252" s="117">
        <f t="shared" ref="D252:J252" si="51">SUM(D171:D251)/2</f>
        <v>0</v>
      </c>
      <c r="E252" s="117">
        <f t="shared" si="51"/>
        <v>-50993</v>
      </c>
      <c r="F252" s="117">
        <f t="shared" si="51"/>
        <v>-50993</v>
      </c>
      <c r="G252" s="117">
        <f t="shared" si="51"/>
        <v>-56092.3</v>
      </c>
      <c r="H252" s="117">
        <f t="shared" si="51"/>
        <v>-61701.530000000006</v>
      </c>
      <c r="I252" s="117">
        <f t="shared" si="51"/>
        <v>-67871.683000000005</v>
      </c>
      <c r="J252" s="398">
        <f t="shared" si="51"/>
        <v>0</v>
      </c>
    </row>
    <row r="253" spans="1:10" s="285" customFormat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  <c r="J253" s="398"/>
    </row>
    <row r="254" spans="1:10" s="285" customFormat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  <c r="J254" s="146"/>
    </row>
    <row r="255" spans="1:10" s="285" customFormat="1" x14ac:dyDescent="0.25">
      <c r="A255" s="118">
        <v>14</v>
      </c>
      <c r="B255" s="151">
        <v>1905</v>
      </c>
      <c r="C255" s="118" t="s">
        <v>194</v>
      </c>
      <c r="D255" s="127"/>
      <c r="E255" s="147"/>
      <c r="F255" s="98">
        <f>E255/8*12</f>
        <v>0</v>
      </c>
      <c r="G255" s="98"/>
      <c r="H255" s="98"/>
      <c r="I255" s="122">
        <f>F255/8*12</f>
        <v>0</v>
      </c>
      <c r="J255" s="147"/>
    </row>
    <row r="256" spans="1:10" s="285" customFormat="1" x14ac:dyDescent="0.25">
      <c r="A256" s="344"/>
      <c r="B256" s="151"/>
      <c r="C256" s="94"/>
      <c r="D256" s="117">
        <f t="shared" ref="D256:J256" si="52">SUM(D255)</f>
        <v>0</v>
      </c>
      <c r="E256" s="117">
        <f t="shared" si="52"/>
        <v>0</v>
      </c>
      <c r="F256" s="117">
        <f t="shared" si="52"/>
        <v>0</v>
      </c>
      <c r="G256" s="117"/>
      <c r="H256" s="117"/>
      <c r="I256" s="117">
        <f t="shared" ref="I256" si="53">SUM(I255)</f>
        <v>0</v>
      </c>
      <c r="J256" s="398">
        <f t="shared" si="52"/>
        <v>0</v>
      </c>
    </row>
    <row r="257" spans="1:11" s="285" customFormat="1" x14ac:dyDescent="0.25">
      <c r="A257" s="344"/>
      <c r="B257" s="151"/>
      <c r="C257" s="93" t="s">
        <v>189</v>
      </c>
      <c r="D257" s="117">
        <f t="shared" ref="D257:J257" si="54">D252+D256</f>
        <v>0</v>
      </c>
      <c r="E257" s="117">
        <f t="shared" si="54"/>
        <v>-50993</v>
      </c>
      <c r="F257" s="117">
        <f t="shared" si="54"/>
        <v>-50993</v>
      </c>
      <c r="G257" s="117">
        <f t="shared" si="54"/>
        <v>-56092.3</v>
      </c>
      <c r="H257" s="117">
        <f t="shared" si="54"/>
        <v>-61701.530000000006</v>
      </c>
      <c r="I257" s="117">
        <f t="shared" si="54"/>
        <v>-67871.683000000005</v>
      </c>
      <c r="J257" s="398">
        <f t="shared" si="54"/>
        <v>0</v>
      </c>
    </row>
    <row r="258" spans="1:11" s="285" customFormat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  <c r="J258" s="148"/>
    </row>
    <row r="259" spans="1:11" s="285" customFormat="1" x14ac:dyDescent="0.25">
      <c r="A259" s="118">
        <v>14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98"/>
      <c r="H259" s="98"/>
      <c r="I259" s="122">
        <f>F259/8*12</f>
        <v>0</v>
      </c>
      <c r="J259" s="147"/>
    </row>
    <row r="260" spans="1:11" s="285" customFormat="1" x14ac:dyDescent="0.25">
      <c r="A260" s="344"/>
      <c r="B260" s="346"/>
      <c r="C260" s="94"/>
      <c r="D260" s="124">
        <f t="shared" ref="D260:F260" si="55">D259</f>
        <v>0</v>
      </c>
      <c r="E260" s="124">
        <f t="shared" si="55"/>
        <v>0</v>
      </c>
      <c r="F260" s="124">
        <f t="shared" si="55"/>
        <v>0</v>
      </c>
      <c r="G260" s="124">
        <f t="shared" ref="G260:K260" si="56">G259</f>
        <v>0</v>
      </c>
      <c r="H260" s="124">
        <f t="shared" si="56"/>
        <v>0</v>
      </c>
      <c r="I260" s="124">
        <f t="shared" si="56"/>
        <v>0</v>
      </c>
      <c r="J260" s="124">
        <f t="shared" si="56"/>
        <v>0</v>
      </c>
      <c r="K260" s="124">
        <f t="shared" si="56"/>
        <v>0</v>
      </c>
    </row>
    <row r="261" spans="1:11" s="285" customFormat="1" x14ac:dyDescent="0.25">
      <c r="A261" s="348"/>
      <c r="B261" s="351"/>
      <c r="C261" s="93" t="s">
        <v>197</v>
      </c>
      <c r="D261" s="160">
        <f t="shared" ref="D261:F261" si="57">D257+D260</f>
        <v>0</v>
      </c>
      <c r="E261" s="160">
        <f t="shared" si="57"/>
        <v>-50993</v>
      </c>
      <c r="F261" s="160">
        <f t="shared" si="57"/>
        <v>-50993</v>
      </c>
      <c r="G261" s="160">
        <f t="shared" ref="G261:K261" si="58">G257+G260</f>
        <v>-56092.3</v>
      </c>
      <c r="H261" s="160">
        <f t="shared" si="58"/>
        <v>-61701.530000000006</v>
      </c>
      <c r="I261" s="160">
        <f t="shared" si="58"/>
        <v>-67871.683000000005</v>
      </c>
      <c r="J261" s="160">
        <f t="shared" si="58"/>
        <v>0</v>
      </c>
      <c r="K261" s="160">
        <f t="shared" si="58"/>
        <v>0</v>
      </c>
    </row>
    <row r="262" spans="1:11" s="285" customFormat="1" x14ac:dyDescent="0.25">
      <c r="A262" s="349"/>
      <c r="B262" s="154"/>
      <c r="C262" s="126" t="s">
        <v>82</v>
      </c>
      <c r="D262" s="160">
        <f t="shared" ref="D262:F262" si="59">D261-D165</f>
        <v>-1085973.04</v>
      </c>
      <c r="E262" s="160">
        <f t="shared" si="59"/>
        <v>-2226876</v>
      </c>
      <c r="F262" s="160">
        <f t="shared" si="59"/>
        <v>-2408192</v>
      </c>
      <c r="G262" s="160">
        <f t="shared" ref="G262:K262" si="60">G261-G165</f>
        <v>-2650285.9</v>
      </c>
      <c r="H262" s="160">
        <f t="shared" si="60"/>
        <v>-2864556.2947999998</v>
      </c>
      <c r="I262" s="160">
        <f t="shared" si="60"/>
        <v>-3096802.1718064002</v>
      </c>
      <c r="J262" s="160">
        <f t="shared" si="60"/>
        <v>0</v>
      </c>
      <c r="K262" s="160">
        <f t="shared" si="60"/>
        <v>0</v>
      </c>
    </row>
    <row r="263" spans="1:11" s="285" customFormat="1" x14ac:dyDescent="0.25"/>
    <row r="264" spans="1:11" s="285" customFormat="1" x14ac:dyDescent="0.25"/>
    <row r="265" spans="1:11" x14ac:dyDescent="0.25">
      <c r="B265" s="96"/>
      <c r="I265" s="96"/>
    </row>
    <row r="266" spans="1:11" x14ac:dyDescent="0.25">
      <c r="B266" s="96"/>
      <c r="I266" s="96"/>
    </row>
    <row r="267" spans="1:11" x14ac:dyDescent="0.25">
      <c r="A267" s="109"/>
      <c r="B267" s="96"/>
      <c r="I267" s="96"/>
    </row>
    <row r="268" spans="1:11" x14ac:dyDescent="0.25">
      <c r="B268" s="96"/>
      <c r="I268" s="96"/>
    </row>
  </sheetData>
  <mergeCells count="5">
    <mergeCell ref="A1:J2"/>
    <mergeCell ref="A3:C3"/>
    <mergeCell ref="A4:B5"/>
    <mergeCell ref="B168:D168"/>
    <mergeCell ref="A169:B170"/>
  </mergeCells>
  <phoneticPr fontId="0" type="noConversion"/>
  <pageMargins left="0.25" right="0.25" top="0.75" bottom="0.75" header="0.3" footer="0.3"/>
  <pageSetup orientation="portrait" r:id="rId1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8"/>
  <sheetViews>
    <sheetView view="pageBreakPreview" topLeftCell="A136" zoomScaleSheetLayoutView="100" workbookViewId="0">
      <selection activeCell="G17" sqref="G17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7" width="16.332031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354</v>
      </c>
      <c r="B1" s="700"/>
      <c r="C1" s="700"/>
      <c r="D1" s="700"/>
      <c r="E1" s="700"/>
      <c r="F1" s="700"/>
      <c r="G1" s="700"/>
      <c r="H1" s="700"/>
      <c r="I1" s="715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17"/>
    </row>
    <row r="3" spans="1:9" s="285" customFormat="1" x14ac:dyDescent="0.25">
      <c r="A3" s="703" t="s">
        <v>417</v>
      </c>
      <c r="B3" s="704"/>
      <c r="C3" s="705"/>
      <c r="D3" s="149"/>
      <c r="E3" s="341"/>
      <c r="F3" s="341"/>
      <c r="G3" s="425"/>
      <c r="H3" s="341"/>
      <c r="I3" s="342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16</v>
      </c>
      <c r="B7" s="155">
        <v>5005</v>
      </c>
      <c r="C7" s="94" t="s">
        <v>241</v>
      </c>
      <c r="D7" s="85">
        <f>900*6</f>
        <v>5400</v>
      </c>
      <c r="E7" s="85">
        <v>7500</v>
      </c>
      <c r="F7" s="85">
        <v>7500</v>
      </c>
      <c r="G7" s="435">
        <f t="shared" ref="G7:I17" si="0">(F7*0.068)+F7</f>
        <v>8010</v>
      </c>
      <c r="H7" s="435">
        <f t="shared" si="0"/>
        <v>8554.68</v>
      </c>
      <c r="I7" s="435">
        <f t="shared" si="0"/>
        <v>9136.3982400000004</v>
      </c>
    </row>
    <row r="8" spans="1:9" s="285" customFormat="1" hidden="1" x14ac:dyDescent="0.25">
      <c r="A8" s="118">
        <v>16</v>
      </c>
      <c r="B8" s="151">
        <v>5010</v>
      </c>
      <c r="C8" s="94" t="s">
        <v>34</v>
      </c>
      <c r="D8" s="85"/>
      <c r="E8" s="85"/>
      <c r="F8" s="85"/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16</v>
      </c>
      <c r="B9" s="151">
        <v>5015</v>
      </c>
      <c r="C9" s="94" t="s">
        <v>35</v>
      </c>
      <c r="D9" s="85">
        <v>3537</v>
      </c>
      <c r="E9" s="85"/>
      <c r="F9" s="85"/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x14ac:dyDescent="0.25">
      <c r="A10" s="118">
        <v>16</v>
      </c>
      <c r="B10" s="151">
        <v>5020</v>
      </c>
      <c r="C10" s="94" t="s">
        <v>350</v>
      </c>
      <c r="D10" s="85">
        <v>105128</v>
      </c>
      <c r="E10" s="85">
        <v>623000</v>
      </c>
      <c r="F10" s="85">
        <v>623000</v>
      </c>
      <c r="G10" s="435">
        <f t="shared" si="0"/>
        <v>665364</v>
      </c>
      <c r="H10" s="435">
        <f t="shared" si="0"/>
        <v>710608.75199999998</v>
      </c>
      <c r="I10" s="435">
        <f t="shared" si="0"/>
        <v>758930.14713599999</v>
      </c>
    </row>
    <row r="11" spans="1:9" s="285" customFormat="1" hidden="1" x14ac:dyDescent="0.25">
      <c r="A11" s="118">
        <v>16</v>
      </c>
      <c r="B11" s="151">
        <v>5020</v>
      </c>
      <c r="C11" s="94" t="s">
        <v>36</v>
      </c>
      <c r="D11" s="85"/>
      <c r="E11" s="85"/>
      <c r="F11" s="85"/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hidden="1" x14ac:dyDescent="0.25">
      <c r="A12" s="118">
        <v>16</v>
      </c>
      <c r="B12" s="151">
        <v>5020</v>
      </c>
      <c r="C12" s="94" t="s">
        <v>85</v>
      </c>
      <c r="D12" s="85"/>
      <c r="E12" s="85"/>
      <c r="F12" s="85"/>
      <c r="G12" s="435">
        <f t="shared" si="0"/>
        <v>0</v>
      </c>
      <c r="H12" s="435">
        <f t="shared" si="0"/>
        <v>0</v>
      </c>
      <c r="I12" s="435">
        <f t="shared" si="0"/>
        <v>0</v>
      </c>
    </row>
    <row r="13" spans="1:9" s="285" customFormat="1" hidden="1" x14ac:dyDescent="0.25">
      <c r="A13" s="118">
        <v>16</v>
      </c>
      <c r="B13" s="151">
        <v>5020</v>
      </c>
      <c r="C13" s="94" t="s">
        <v>84</v>
      </c>
      <c r="D13" s="85"/>
      <c r="E13" s="85"/>
      <c r="F13" s="85"/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16</v>
      </c>
      <c r="B14" s="151">
        <v>5040</v>
      </c>
      <c r="C14" s="94" t="s">
        <v>37</v>
      </c>
      <c r="D14" s="85">
        <v>91925</v>
      </c>
      <c r="E14" s="85">
        <v>461000</v>
      </c>
      <c r="F14" s="85">
        <v>461000</v>
      </c>
      <c r="G14" s="435">
        <f t="shared" si="0"/>
        <v>492348</v>
      </c>
      <c r="H14" s="435">
        <f t="shared" si="0"/>
        <v>525827.66399999999</v>
      </c>
      <c r="I14" s="435">
        <f t="shared" si="0"/>
        <v>561583.94515199994</v>
      </c>
    </row>
    <row r="15" spans="1:9" s="285" customFormat="1" hidden="1" x14ac:dyDescent="0.25">
      <c r="A15" s="118">
        <v>16</v>
      </c>
      <c r="B15" s="151">
        <v>5045</v>
      </c>
      <c r="C15" s="94" t="s">
        <v>38</v>
      </c>
      <c r="D15" s="85"/>
      <c r="E15" s="85"/>
      <c r="F15" s="85"/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16</v>
      </c>
      <c r="B16" s="151">
        <v>5050</v>
      </c>
      <c r="C16" s="94" t="s">
        <v>83</v>
      </c>
      <c r="D16" s="85">
        <v>5047</v>
      </c>
      <c r="E16" s="85">
        <v>0</v>
      </c>
      <c r="F16" s="85">
        <v>0</v>
      </c>
      <c r="G16" s="435">
        <f t="shared" si="0"/>
        <v>0</v>
      </c>
      <c r="H16" s="435">
        <f t="shared" si="0"/>
        <v>0</v>
      </c>
      <c r="I16" s="435">
        <f t="shared" si="0"/>
        <v>0</v>
      </c>
    </row>
    <row r="17" spans="1:9" s="285" customFormat="1" x14ac:dyDescent="0.25">
      <c r="A17" s="118">
        <v>16</v>
      </c>
      <c r="B17" s="151">
        <v>5055</v>
      </c>
      <c r="C17" s="94" t="s">
        <v>39</v>
      </c>
      <c r="D17" s="85">
        <f>(433629+28681)*6</f>
        <v>2773860</v>
      </c>
      <c r="E17" s="85">
        <v>4178000</v>
      </c>
      <c r="F17" s="85">
        <v>4178000</v>
      </c>
      <c r="G17" s="435">
        <f t="shared" si="0"/>
        <v>4462104</v>
      </c>
      <c r="H17" s="435">
        <f t="shared" si="0"/>
        <v>4765527.0719999997</v>
      </c>
      <c r="I17" s="435">
        <f t="shared" si="0"/>
        <v>5089582.9128959998</v>
      </c>
    </row>
    <row r="18" spans="1:9" s="285" customFormat="1" x14ac:dyDescent="0.25">
      <c r="A18" s="344"/>
      <c r="B18" s="151"/>
      <c r="C18" s="94"/>
      <c r="D18" s="89">
        <f t="shared" ref="D18:I18" si="1">SUM(D7:D17)</f>
        <v>2984897</v>
      </c>
      <c r="E18" s="89">
        <f t="shared" si="1"/>
        <v>5269500</v>
      </c>
      <c r="F18" s="89">
        <f t="shared" si="1"/>
        <v>5269500</v>
      </c>
      <c r="G18" s="89">
        <f t="shared" si="1"/>
        <v>5627826</v>
      </c>
      <c r="H18" s="436">
        <f t="shared" si="1"/>
        <v>6010518.1679999996</v>
      </c>
      <c r="I18" s="89">
        <f t="shared" si="1"/>
        <v>6419233.4034240004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5"/>
    </row>
    <row r="20" spans="1:9" s="285" customFormat="1" x14ac:dyDescent="0.25">
      <c r="A20" s="118">
        <v>16</v>
      </c>
      <c r="B20" s="151">
        <v>5105</v>
      </c>
      <c r="C20" s="94" t="s">
        <v>41</v>
      </c>
      <c r="D20" s="85">
        <f>24298*6</f>
        <v>145788</v>
      </c>
      <c r="E20" s="85">
        <v>291000</v>
      </c>
      <c r="F20" s="85">
        <v>291000</v>
      </c>
      <c r="G20" s="435">
        <f t="shared" ref="G20:I24" si="2">(F20*0.068)+F20</f>
        <v>310788</v>
      </c>
      <c r="H20" s="435">
        <f t="shared" si="2"/>
        <v>331921.58400000003</v>
      </c>
      <c r="I20" s="435">
        <f t="shared" si="2"/>
        <v>354492.25171200006</v>
      </c>
    </row>
    <row r="21" spans="1:9" s="285" customFormat="1" x14ac:dyDescent="0.25">
      <c r="A21" s="118">
        <v>16</v>
      </c>
      <c r="B21" s="151">
        <v>5115</v>
      </c>
      <c r="C21" s="94" t="s">
        <v>42</v>
      </c>
      <c r="D21" s="85">
        <f>30826*6</f>
        <v>184956</v>
      </c>
      <c r="E21" s="85">
        <v>189000</v>
      </c>
      <c r="F21" s="85">
        <v>189000</v>
      </c>
      <c r="G21" s="435">
        <f t="shared" si="2"/>
        <v>201852</v>
      </c>
      <c r="H21" s="435">
        <f t="shared" si="2"/>
        <v>215577.93599999999</v>
      </c>
      <c r="I21" s="435">
        <f t="shared" si="2"/>
        <v>230237.23564799997</v>
      </c>
    </row>
    <row r="22" spans="1:9" s="285" customFormat="1" x14ac:dyDescent="0.25">
      <c r="A22" s="118">
        <v>16</v>
      </c>
      <c r="B22" s="151">
        <v>5120</v>
      </c>
      <c r="C22" s="94" t="s">
        <v>43</v>
      </c>
      <c r="D22" s="85">
        <f>12762*6</f>
        <v>76572</v>
      </c>
      <c r="E22" s="85">
        <v>241000</v>
      </c>
      <c r="F22" s="85">
        <v>241000</v>
      </c>
      <c r="G22" s="435">
        <f t="shared" si="2"/>
        <v>257388</v>
      </c>
      <c r="H22" s="435">
        <f t="shared" si="2"/>
        <v>274890.38400000002</v>
      </c>
      <c r="I22" s="435">
        <f t="shared" si="2"/>
        <v>293582.93011200003</v>
      </c>
    </row>
    <row r="23" spans="1:9" s="285" customFormat="1" x14ac:dyDescent="0.25">
      <c r="A23" s="118">
        <v>16</v>
      </c>
      <c r="B23" s="151">
        <v>5125</v>
      </c>
      <c r="C23" s="94" t="s">
        <v>44</v>
      </c>
      <c r="D23" s="85"/>
      <c r="E23" s="85"/>
      <c r="F23" s="85"/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9" s="285" customFormat="1" x14ac:dyDescent="0.25">
      <c r="A24" s="118">
        <v>16</v>
      </c>
      <c r="B24" s="151">
        <v>5130</v>
      </c>
      <c r="C24" s="94" t="s">
        <v>45</v>
      </c>
      <c r="D24" s="85">
        <f>2991*6</f>
        <v>17946</v>
      </c>
      <c r="E24" s="85">
        <v>31200</v>
      </c>
      <c r="F24" s="85">
        <v>31200</v>
      </c>
      <c r="G24" s="435">
        <f t="shared" si="2"/>
        <v>33321.599999999999</v>
      </c>
      <c r="H24" s="435">
        <f t="shared" si="2"/>
        <v>35587.468800000002</v>
      </c>
      <c r="I24" s="435">
        <f t="shared" si="2"/>
        <v>38007.416678400004</v>
      </c>
    </row>
    <row r="25" spans="1:9" s="285" customFormat="1" x14ac:dyDescent="0.25">
      <c r="A25" s="344"/>
      <c r="B25" s="151"/>
      <c r="C25" s="94"/>
      <c r="D25" s="89">
        <f t="shared" ref="D25:I25" si="3">SUM(D20:D24)</f>
        <v>425262</v>
      </c>
      <c r="E25" s="89">
        <f t="shared" si="3"/>
        <v>752200</v>
      </c>
      <c r="F25" s="89">
        <f t="shared" si="3"/>
        <v>752200</v>
      </c>
      <c r="G25" s="89">
        <f t="shared" si="3"/>
        <v>803349.6</v>
      </c>
      <c r="H25" s="89">
        <f t="shared" si="3"/>
        <v>857977.37280000013</v>
      </c>
      <c r="I25" s="89">
        <f t="shared" si="3"/>
        <v>916319.83415040001</v>
      </c>
    </row>
    <row r="26" spans="1:9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5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5"/>
    </row>
    <row r="28" spans="1:9" s="285" customFormat="1" hidden="1" x14ac:dyDescent="0.25">
      <c r="A28" s="118">
        <v>16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>
        <f>E28*(1+INPUT!C$8)</f>
        <v>0</v>
      </c>
    </row>
    <row r="29" spans="1:9" s="285" customFormat="1" hidden="1" x14ac:dyDescent="0.25">
      <c r="A29" s="344"/>
      <c r="B29" s="151"/>
      <c r="C29" s="94"/>
      <c r="D29" s="89">
        <f t="shared" ref="D29:I29" si="4">D28</f>
        <v>0</v>
      </c>
      <c r="E29" s="89">
        <f t="shared" si="4"/>
        <v>0</v>
      </c>
      <c r="F29" s="89">
        <f t="shared" si="4"/>
        <v>0</v>
      </c>
      <c r="G29" s="89"/>
      <c r="H29" s="89"/>
      <c r="I29" s="89">
        <f t="shared" si="4"/>
        <v>0</v>
      </c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5"/>
    </row>
    <row r="31" spans="1:9" s="285" customFormat="1" hidden="1" x14ac:dyDescent="0.25">
      <c r="A31" s="118">
        <v>16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</row>
    <row r="32" spans="1:9" s="285" customFormat="1" hidden="1" x14ac:dyDescent="0.25">
      <c r="A32" s="344"/>
      <c r="B32" s="151"/>
      <c r="C32" s="94"/>
      <c r="D32" s="89">
        <f t="shared" ref="D32:I32" si="5">SUM(D31)</f>
        <v>0</v>
      </c>
      <c r="E32" s="89">
        <f t="shared" si="5"/>
        <v>0</v>
      </c>
      <c r="F32" s="89">
        <f t="shared" si="5"/>
        <v>0</v>
      </c>
      <c r="G32" s="89"/>
      <c r="H32" s="89"/>
      <c r="I32" s="89">
        <f t="shared" si="5"/>
        <v>0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5"/>
    </row>
    <row r="34" spans="1:9" s="285" customFormat="1" hidden="1" x14ac:dyDescent="0.25">
      <c r="A34" s="118">
        <v>16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I35" si="6">SUM(D34)</f>
        <v>0</v>
      </c>
      <c r="E35" s="89">
        <f t="shared" si="6"/>
        <v>0</v>
      </c>
      <c r="F35" s="89">
        <f t="shared" si="6"/>
        <v>0</v>
      </c>
      <c r="G35" s="89"/>
      <c r="H35" s="89"/>
      <c r="I35" s="89">
        <f t="shared" si="6"/>
        <v>0</v>
      </c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5"/>
    </row>
    <row r="37" spans="1:9" s="285" customFormat="1" hidden="1" x14ac:dyDescent="0.25">
      <c r="A37" s="118">
        <v>16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I38" si="7">D37</f>
        <v>0</v>
      </c>
      <c r="E38" s="89">
        <f t="shared" si="7"/>
        <v>0</v>
      </c>
      <c r="F38" s="89">
        <f t="shared" si="7"/>
        <v>0</v>
      </c>
      <c r="G38" s="89"/>
      <c r="H38" s="89"/>
      <c r="I38" s="89">
        <f t="shared" si="7"/>
        <v>0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5"/>
    </row>
    <row r="40" spans="1:9" s="285" customFormat="1" hidden="1" x14ac:dyDescent="0.25">
      <c r="A40" s="118">
        <v>16</v>
      </c>
      <c r="B40" s="151">
        <v>5200</v>
      </c>
      <c r="C40" s="94" t="s">
        <v>55</v>
      </c>
      <c r="D40" s="85"/>
      <c r="E40" s="108"/>
      <c r="F40" s="85">
        <f t="shared" ref="F40:F58" si="8">0/8*12</f>
        <v>0</v>
      </c>
      <c r="G40" s="85"/>
      <c r="H40" s="85"/>
      <c r="I40" s="85">
        <f>F40*(1+INPUT!C$10)</f>
        <v>0</v>
      </c>
    </row>
    <row r="41" spans="1:9" s="285" customFormat="1" hidden="1" x14ac:dyDescent="0.25">
      <c r="A41" s="118">
        <v>16</v>
      </c>
      <c r="B41" s="151">
        <v>5205</v>
      </c>
      <c r="C41" s="94" t="s">
        <v>56</v>
      </c>
      <c r="D41" s="85"/>
      <c r="E41" s="108"/>
      <c r="F41" s="85">
        <f t="shared" si="8"/>
        <v>0</v>
      </c>
      <c r="G41" s="85"/>
      <c r="H41" s="85"/>
      <c r="I41" s="85">
        <f>F41*(1+INPUT!C$10)</f>
        <v>0</v>
      </c>
    </row>
    <row r="42" spans="1:9" s="285" customFormat="1" x14ac:dyDescent="0.25">
      <c r="A42" s="118">
        <v>16</v>
      </c>
      <c r="B42" s="151">
        <v>5210</v>
      </c>
      <c r="C42" s="94" t="s">
        <v>57</v>
      </c>
      <c r="D42" s="85">
        <v>9232</v>
      </c>
      <c r="E42" s="85">
        <v>9000</v>
      </c>
      <c r="F42" s="85">
        <v>9000</v>
      </c>
      <c r="G42" s="431">
        <v>20000</v>
      </c>
      <c r="H42" s="85">
        <f>+(G42*0.1)+G42</f>
        <v>22000</v>
      </c>
      <c r="I42" s="430">
        <f>+(H42*0.1)+H42</f>
        <v>24200</v>
      </c>
    </row>
    <row r="43" spans="1:9" s="285" customFormat="1" ht="12.75" hidden="1" customHeight="1" x14ac:dyDescent="0.25">
      <c r="A43" s="118">
        <v>16</v>
      </c>
      <c r="B43" s="151">
        <v>5215</v>
      </c>
      <c r="C43" s="94" t="s">
        <v>95</v>
      </c>
      <c r="D43" s="85"/>
      <c r="E43" s="85"/>
      <c r="F43" s="85">
        <v>0</v>
      </c>
      <c r="G43" s="431"/>
      <c r="H43" s="430">
        <f t="shared" ref="H43:I48" si="9">+(G43*0.1)+G43</f>
        <v>0</v>
      </c>
      <c r="I43" s="430">
        <f t="shared" si="9"/>
        <v>0</v>
      </c>
    </row>
    <row r="44" spans="1:9" s="285" customFormat="1" ht="12.75" hidden="1" customHeight="1" x14ac:dyDescent="0.25">
      <c r="A44" s="118">
        <v>16</v>
      </c>
      <c r="B44" s="151">
        <v>5220</v>
      </c>
      <c r="C44" s="94" t="s">
        <v>58</v>
      </c>
      <c r="D44" s="85"/>
      <c r="E44" s="85"/>
      <c r="F44" s="85">
        <v>0</v>
      </c>
      <c r="G44" s="431"/>
      <c r="H44" s="430">
        <f t="shared" si="9"/>
        <v>0</v>
      </c>
      <c r="I44" s="430">
        <f t="shared" si="9"/>
        <v>0</v>
      </c>
    </row>
    <row r="45" spans="1:9" s="285" customFormat="1" ht="12.75" hidden="1" customHeight="1" x14ac:dyDescent="0.25">
      <c r="A45" s="118">
        <v>16</v>
      </c>
      <c r="B45" s="151">
        <v>5225</v>
      </c>
      <c r="C45" s="94" t="s">
        <v>92</v>
      </c>
      <c r="D45" s="85"/>
      <c r="E45" s="85"/>
      <c r="F45" s="85">
        <v>0</v>
      </c>
      <c r="G45" s="431"/>
      <c r="H45" s="430">
        <f t="shared" si="9"/>
        <v>0</v>
      </c>
      <c r="I45" s="430">
        <f t="shared" si="9"/>
        <v>0</v>
      </c>
    </row>
    <row r="46" spans="1:9" s="285" customFormat="1" ht="12.75" hidden="1" customHeight="1" x14ac:dyDescent="0.25">
      <c r="A46" s="118">
        <v>16</v>
      </c>
      <c r="B46" s="151">
        <v>5230</v>
      </c>
      <c r="C46" s="94" t="s">
        <v>86</v>
      </c>
      <c r="D46" s="85"/>
      <c r="E46" s="85"/>
      <c r="F46" s="85">
        <v>0</v>
      </c>
      <c r="G46" s="431"/>
      <c r="H46" s="430">
        <f t="shared" si="9"/>
        <v>0</v>
      </c>
      <c r="I46" s="430">
        <f t="shared" si="9"/>
        <v>0</v>
      </c>
    </row>
    <row r="47" spans="1:9" s="285" customFormat="1" ht="12.75" hidden="1" customHeight="1" x14ac:dyDescent="0.25">
      <c r="A47" s="118">
        <v>16</v>
      </c>
      <c r="B47" s="151">
        <v>5235</v>
      </c>
      <c r="C47" s="94" t="s">
        <v>124</v>
      </c>
      <c r="D47" s="85"/>
      <c r="E47" s="85"/>
      <c r="F47" s="85">
        <v>0</v>
      </c>
      <c r="G47" s="431"/>
      <c r="H47" s="430">
        <f t="shared" si="9"/>
        <v>0</v>
      </c>
      <c r="I47" s="430">
        <f t="shared" si="9"/>
        <v>0</v>
      </c>
    </row>
    <row r="48" spans="1:9" s="285" customFormat="1" x14ac:dyDescent="0.25">
      <c r="A48" s="118">
        <v>16</v>
      </c>
      <c r="B48" s="151">
        <v>5240</v>
      </c>
      <c r="C48" s="94" t="s">
        <v>59</v>
      </c>
      <c r="D48" s="85">
        <v>4812</v>
      </c>
      <c r="E48" s="85">
        <v>25000</v>
      </c>
      <c r="F48" s="85">
        <v>10000</v>
      </c>
      <c r="G48" s="430">
        <v>15000</v>
      </c>
      <c r="H48" s="430">
        <f t="shared" si="9"/>
        <v>16500</v>
      </c>
      <c r="I48" s="430">
        <f t="shared" si="9"/>
        <v>18150</v>
      </c>
    </row>
    <row r="49" spans="1:9" s="285" customFormat="1" hidden="1" x14ac:dyDescent="0.25">
      <c r="A49" s="118">
        <v>16</v>
      </c>
      <c r="B49" s="151">
        <v>5245</v>
      </c>
      <c r="C49" s="94" t="s">
        <v>91</v>
      </c>
      <c r="D49" s="85"/>
      <c r="E49" s="108"/>
      <c r="F49" s="85">
        <f t="shared" si="8"/>
        <v>0</v>
      </c>
      <c r="G49" s="85"/>
      <c r="H49" s="85"/>
      <c r="I49" s="85">
        <f>F49*(1+INPUT!C$10)</f>
        <v>0</v>
      </c>
    </row>
    <row r="50" spans="1:9" s="285" customFormat="1" hidden="1" x14ac:dyDescent="0.25">
      <c r="A50" s="118">
        <v>16</v>
      </c>
      <c r="B50" s="151">
        <v>5250</v>
      </c>
      <c r="C50" s="94" t="s">
        <v>88</v>
      </c>
      <c r="D50" s="85"/>
      <c r="E50" s="108"/>
      <c r="F50" s="85">
        <f t="shared" si="8"/>
        <v>0</v>
      </c>
      <c r="G50" s="85"/>
      <c r="H50" s="85"/>
      <c r="I50" s="85">
        <f>F50*(1+INPUT!C$10)</f>
        <v>0</v>
      </c>
    </row>
    <row r="51" spans="1:9" s="285" customFormat="1" hidden="1" x14ac:dyDescent="0.25">
      <c r="A51" s="118">
        <v>16</v>
      </c>
      <c r="B51" s="151">
        <v>5255</v>
      </c>
      <c r="C51" s="94" t="s">
        <v>125</v>
      </c>
      <c r="D51" s="85"/>
      <c r="E51" s="108"/>
      <c r="F51" s="85">
        <f t="shared" si="8"/>
        <v>0</v>
      </c>
      <c r="G51" s="85"/>
      <c r="H51" s="85"/>
      <c r="I51" s="85">
        <f>F51*(1+INPUT!C$10)</f>
        <v>0</v>
      </c>
    </row>
    <row r="52" spans="1:9" s="285" customFormat="1" hidden="1" x14ac:dyDescent="0.25">
      <c r="A52" s="118">
        <v>16</v>
      </c>
      <c r="B52" s="151">
        <v>5260</v>
      </c>
      <c r="C52" s="94" t="s">
        <v>90</v>
      </c>
      <c r="D52" s="85"/>
      <c r="E52" s="108"/>
      <c r="F52" s="85">
        <f t="shared" si="8"/>
        <v>0</v>
      </c>
      <c r="G52" s="85"/>
      <c r="H52" s="85"/>
      <c r="I52" s="85">
        <f>F52*(1+INPUT!C$10)</f>
        <v>0</v>
      </c>
    </row>
    <row r="53" spans="1:9" s="285" customFormat="1" hidden="1" x14ac:dyDescent="0.25">
      <c r="A53" s="118">
        <v>16</v>
      </c>
      <c r="B53" s="151">
        <v>5265</v>
      </c>
      <c r="C53" s="94" t="s">
        <v>87</v>
      </c>
      <c r="D53" s="85"/>
      <c r="E53" s="108"/>
      <c r="F53" s="85">
        <f t="shared" si="8"/>
        <v>0</v>
      </c>
      <c r="G53" s="85"/>
      <c r="H53" s="85"/>
      <c r="I53" s="85">
        <f>F53*(1+INPUT!C$10)</f>
        <v>0</v>
      </c>
    </row>
    <row r="54" spans="1:9" s="285" customFormat="1" hidden="1" x14ac:dyDescent="0.25">
      <c r="A54" s="118">
        <v>16</v>
      </c>
      <c r="B54" s="151">
        <v>5270</v>
      </c>
      <c r="C54" s="94" t="s">
        <v>89</v>
      </c>
      <c r="D54" s="85"/>
      <c r="E54" s="108"/>
      <c r="F54" s="85">
        <f t="shared" si="8"/>
        <v>0</v>
      </c>
      <c r="G54" s="85"/>
      <c r="H54" s="85"/>
      <c r="I54" s="85">
        <f>F54*(1+INPUT!C$10)</f>
        <v>0</v>
      </c>
    </row>
    <row r="55" spans="1:9" s="285" customFormat="1" hidden="1" x14ac:dyDescent="0.25">
      <c r="A55" s="118">
        <v>16</v>
      </c>
      <c r="B55" s="151">
        <v>5275</v>
      </c>
      <c r="C55" s="94" t="s">
        <v>93</v>
      </c>
      <c r="D55" s="85"/>
      <c r="E55" s="108"/>
      <c r="F55" s="85">
        <f t="shared" si="8"/>
        <v>0</v>
      </c>
      <c r="G55" s="85"/>
      <c r="H55" s="85"/>
      <c r="I55" s="85">
        <f>F55*(1+INPUT!C$10)</f>
        <v>0</v>
      </c>
    </row>
    <row r="56" spans="1:9" s="285" customFormat="1" hidden="1" x14ac:dyDescent="0.25">
      <c r="A56" s="118">
        <v>16</v>
      </c>
      <c r="B56" s="151">
        <v>5280</v>
      </c>
      <c r="C56" s="94" t="s">
        <v>94</v>
      </c>
      <c r="D56" s="85"/>
      <c r="E56" s="108"/>
      <c r="F56" s="85">
        <f t="shared" si="8"/>
        <v>0</v>
      </c>
      <c r="G56" s="85"/>
      <c r="H56" s="85"/>
      <c r="I56" s="85">
        <f>F56*(1+INPUT!C$10)</f>
        <v>0</v>
      </c>
    </row>
    <row r="57" spans="1:9" s="285" customFormat="1" hidden="1" x14ac:dyDescent="0.25">
      <c r="A57" s="118">
        <v>16</v>
      </c>
      <c r="B57" s="151">
        <v>5285</v>
      </c>
      <c r="C57" s="94" t="s">
        <v>60</v>
      </c>
      <c r="D57" s="85"/>
      <c r="E57" s="85"/>
      <c r="F57" s="85">
        <f t="shared" si="8"/>
        <v>0</v>
      </c>
      <c r="G57" s="85"/>
      <c r="H57" s="85"/>
      <c r="I57" s="85">
        <f>F57*(1+INPUT!C$10)</f>
        <v>0</v>
      </c>
    </row>
    <row r="58" spans="1:9" s="285" customFormat="1" hidden="1" x14ac:dyDescent="0.25">
      <c r="A58" s="118">
        <v>16</v>
      </c>
      <c r="B58" s="151">
        <v>5290</v>
      </c>
      <c r="C58" s="94" t="s">
        <v>186</v>
      </c>
      <c r="D58" s="85"/>
      <c r="E58" s="108"/>
      <c r="F58" s="85">
        <f t="shared" si="8"/>
        <v>0</v>
      </c>
      <c r="G58" s="85"/>
      <c r="H58" s="85"/>
      <c r="I58" s="85">
        <f>F58*(1+INPUT!C$10)</f>
        <v>0</v>
      </c>
    </row>
    <row r="59" spans="1:9" s="285" customFormat="1" x14ac:dyDescent="0.25">
      <c r="A59" s="344"/>
      <c r="B59" s="151"/>
      <c r="C59" s="94"/>
      <c r="D59" s="110">
        <f t="shared" ref="D59:I59" si="10">SUM(D40:D58)</f>
        <v>14044</v>
      </c>
      <c r="E59" s="110">
        <f t="shared" si="10"/>
        <v>34000</v>
      </c>
      <c r="F59" s="110">
        <f t="shared" si="10"/>
        <v>19000</v>
      </c>
      <c r="G59" s="446">
        <f t="shared" si="10"/>
        <v>35000</v>
      </c>
      <c r="H59" s="446">
        <f t="shared" si="10"/>
        <v>38500</v>
      </c>
      <c r="I59" s="446">
        <f t="shared" si="10"/>
        <v>42350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08"/>
    </row>
    <row r="61" spans="1:9" s="285" customFormat="1" hidden="1" x14ac:dyDescent="0.25">
      <c r="A61" s="118">
        <v>16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5"/>
    </row>
    <row r="62" spans="1:9" s="285" customFormat="1" hidden="1" x14ac:dyDescent="0.25">
      <c r="A62" s="118">
        <v>16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85"/>
      <c r="H62" s="85"/>
      <c r="I62" s="108"/>
    </row>
    <row r="63" spans="1:9" s="285" customFormat="1" hidden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/>
      <c r="I63" s="89">
        <f>SUM(I61:I62)</f>
        <v>0</v>
      </c>
    </row>
    <row r="64" spans="1:9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5"/>
    </row>
    <row r="65" spans="1:9" s="285" customFormat="1" x14ac:dyDescent="0.25">
      <c r="A65" s="118">
        <v>16</v>
      </c>
      <c r="B65" s="151">
        <v>5450</v>
      </c>
      <c r="C65" s="94" t="s">
        <v>351</v>
      </c>
      <c r="D65" s="85">
        <v>4693</v>
      </c>
      <c r="E65" s="108"/>
      <c r="F65" s="85"/>
      <c r="G65" s="85">
        <v>30000</v>
      </c>
      <c r="H65" s="435">
        <f t="shared" ref="H65:I65" si="11">+(G65*0.1)+G65</f>
        <v>33000</v>
      </c>
      <c r="I65" s="435">
        <f t="shared" si="11"/>
        <v>36300</v>
      </c>
    </row>
    <row r="66" spans="1:9" s="285" customFormat="1" x14ac:dyDescent="0.25">
      <c r="A66" s="344"/>
      <c r="B66" s="151"/>
      <c r="C66" s="94"/>
      <c r="D66" s="89">
        <f t="shared" ref="D66:I66" si="12">D65</f>
        <v>4693</v>
      </c>
      <c r="E66" s="89">
        <f t="shared" si="12"/>
        <v>0</v>
      </c>
      <c r="F66" s="89">
        <f t="shared" si="12"/>
        <v>0</v>
      </c>
      <c r="G66" s="436">
        <f t="shared" si="12"/>
        <v>30000</v>
      </c>
      <c r="H66" s="436">
        <f t="shared" si="12"/>
        <v>33000</v>
      </c>
      <c r="I66" s="436">
        <f t="shared" si="12"/>
        <v>36300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5"/>
    </row>
    <row r="68" spans="1:9" s="285" customFormat="1" hidden="1" x14ac:dyDescent="0.25">
      <c r="A68" s="118">
        <v>16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>
        <f>F68*(1+INPUT!C11)</f>
        <v>0</v>
      </c>
    </row>
    <row r="69" spans="1:9" s="285" customFormat="1" hidden="1" x14ac:dyDescent="0.25">
      <c r="A69" s="118">
        <v>16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hidden="1" x14ac:dyDescent="0.25">
      <c r="A70" s="344"/>
      <c r="B70" s="151"/>
      <c r="C70" s="94"/>
      <c r="D70" s="110">
        <f t="shared" ref="D70:I70" si="13">SUM(D68:D69)</f>
        <v>0</v>
      </c>
      <c r="E70" s="110">
        <f t="shared" si="13"/>
        <v>0</v>
      </c>
      <c r="F70" s="110">
        <f t="shared" si="13"/>
        <v>0</v>
      </c>
      <c r="G70" s="110"/>
      <c r="H70" s="110"/>
      <c r="I70" s="89">
        <f t="shared" si="13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88"/>
    </row>
    <row r="72" spans="1:9" s="285" customFormat="1" x14ac:dyDescent="0.25">
      <c r="A72" s="118">
        <v>16</v>
      </c>
      <c r="B72" s="151">
        <v>5505</v>
      </c>
      <c r="C72" s="94" t="s">
        <v>259</v>
      </c>
      <c r="D72" s="85">
        <v>21448</v>
      </c>
      <c r="E72" s="85"/>
      <c r="F72" s="85">
        <v>40000</v>
      </c>
      <c r="G72" s="432">
        <v>48000</v>
      </c>
      <c r="H72" s="435">
        <f t="shared" ref="H72:I72" si="14">+(G72*0.1)+G72</f>
        <v>52800</v>
      </c>
      <c r="I72" s="435">
        <f t="shared" si="14"/>
        <v>58080</v>
      </c>
    </row>
    <row r="73" spans="1:9" s="285" customFormat="1" x14ac:dyDescent="0.25">
      <c r="A73" s="118">
        <v>16</v>
      </c>
      <c r="B73" s="151">
        <v>5510</v>
      </c>
      <c r="C73" s="94" t="s">
        <v>63</v>
      </c>
      <c r="D73" s="85"/>
      <c r="E73" s="85">
        <v>2706</v>
      </c>
      <c r="F73" s="85">
        <v>2706</v>
      </c>
      <c r="G73" s="432"/>
      <c r="H73" s="435">
        <f t="shared" ref="H73:I73" si="15">+(G73*0.1)+G73</f>
        <v>0</v>
      </c>
      <c r="I73" s="435">
        <f t="shared" si="15"/>
        <v>0</v>
      </c>
    </row>
    <row r="74" spans="1:9" s="285" customFormat="1" ht="12.75" hidden="1" customHeight="1" x14ac:dyDescent="0.25">
      <c r="A74" s="118">
        <v>16</v>
      </c>
      <c r="B74" s="151">
        <v>5520</v>
      </c>
      <c r="C74" s="94" t="s">
        <v>260</v>
      </c>
      <c r="D74" s="85"/>
      <c r="E74" s="85"/>
      <c r="F74" s="85">
        <v>0</v>
      </c>
      <c r="G74" s="432"/>
      <c r="H74" s="435">
        <f t="shared" ref="H74:I74" si="16">+(G74*0.1)+G74</f>
        <v>0</v>
      </c>
      <c r="I74" s="435">
        <f t="shared" si="16"/>
        <v>0</v>
      </c>
    </row>
    <row r="75" spans="1:9" s="285" customFormat="1" x14ac:dyDescent="0.25">
      <c r="A75" s="118">
        <v>16</v>
      </c>
      <c r="B75" s="151">
        <v>5525</v>
      </c>
      <c r="C75" s="94" t="s">
        <v>261</v>
      </c>
      <c r="D75" s="85">
        <v>174214</v>
      </c>
      <c r="E75" s="85">
        <v>230000</v>
      </c>
      <c r="F75" s="85">
        <v>280000</v>
      </c>
      <c r="G75" s="432">
        <v>300000</v>
      </c>
      <c r="H75" s="435">
        <f t="shared" ref="H75:I75" si="17">+(G75*0.1)+G75</f>
        <v>330000</v>
      </c>
      <c r="I75" s="435">
        <f t="shared" si="17"/>
        <v>363000</v>
      </c>
    </row>
    <row r="76" spans="1:9" s="285" customFormat="1" ht="12.75" hidden="1" customHeight="1" x14ac:dyDescent="0.25">
      <c r="A76" s="118">
        <v>16</v>
      </c>
      <c r="B76" s="151">
        <v>5530</v>
      </c>
      <c r="C76" s="94" t="s">
        <v>262</v>
      </c>
      <c r="D76" s="85"/>
      <c r="E76" s="85"/>
      <c r="F76" s="85">
        <v>0</v>
      </c>
      <c r="G76" s="432"/>
      <c r="H76" s="435">
        <f t="shared" ref="H76:I76" si="18">+(G76*0.1)+G76</f>
        <v>0</v>
      </c>
      <c r="I76" s="435">
        <f t="shared" si="18"/>
        <v>0</v>
      </c>
    </row>
    <row r="77" spans="1:9" s="285" customFormat="1" x14ac:dyDescent="0.25">
      <c r="A77" s="118">
        <v>16</v>
      </c>
      <c r="B77" s="151">
        <v>5535</v>
      </c>
      <c r="C77" s="94" t="s">
        <v>263</v>
      </c>
      <c r="D77" s="85">
        <v>34216</v>
      </c>
      <c r="E77" s="85">
        <v>60000</v>
      </c>
      <c r="F77" s="85">
        <v>60000</v>
      </c>
      <c r="G77" s="432">
        <v>60000</v>
      </c>
      <c r="H77" s="435">
        <f t="shared" ref="H77:I77" si="19">+(G77*0.1)+G77</f>
        <v>66000</v>
      </c>
      <c r="I77" s="435">
        <f t="shared" si="19"/>
        <v>72600</v>
      </c>
    </row>
    <row r="78" spans="1:9" s="285" customFormat="1" x14ac:dyDescent="0.25">
      <c r="A78" s="118">
        <v>16</v>
      </c>
      <c r="B78" s="151">
        <v>5540</v>
      </c>
      <c r="C78" s="94" t="s">
        <v>264</v>
      </c>
      <c r="D78" s="85">
        <v>23165</v>
      </c>
      <c r="E78" s="85">
        <v>43626</v>
      </c>
      <c r="F78" s="85">
        <v>43626</v>
      </c>
      <c r="G78" s="432">
        <v>45000</v>
      </c>
      <c r="H78" s="435">
        <f t="shared" ref="H78:I78" si="20">+(G78*0.1)+G78</f>
        <v>49500</v>
      </c>
      <c r="I78" s="435">
        <f t="shared" si="20"/>
        <v>54450</v>
      </c>
    </row>
    <row r="79" spans="1:9" s="285" customFormat="1" ht="13.5" hidden="1" customHeight="1" x14ac:dyDescent="0.25">
      <c r="A79" s="118">
        <v>16</v>
      </c>
      <c r="B79" s="151">
        <v>5545</v>
      </c>
      <c r="C79" s="94" t="s">
        <v>265</v>
      </c>
      <c r="D79" s="85"/>
      <c r="E79" s="85"/>
      <c r="F79" s="85">
        <v>0</v>
      </c>
      <c r="G79" s="432"/>
      <c r="H79" s="435">
        <f t="shared" ref="H79:I79" si="21">+(G79*0.1)+G79</f>
        <v>0</v>
      </c>
      <c r="I79" s="435">
        <f t="shared" si="21"/>
        <v>0</v>
      </c>
    </row>
    <row r="80" spans="1:9" s="285" customFormat="1" ht="12.75" hidden="1" customHeight="1" x14ac:dyDescent="0.25">
      <c r="A80" s="118">
        <v>16</v>
      </c>
      <c r="B80" s="151">
        <v>5550</v>
      </c>
      <c r="C80" s="94" t="s">
        <v>267</v>
      </c>
      <c r="D80" s="85"/>
      <c r="E80" s="85"/>
      <c r="F80" s="85">
        <v>0</v>
      </c>
      <c r="G80" s="432"/>
      <c r="H80" s="435">
        <f t="shared" ref="H80:I80" si="22">+(G80*0.1)+G80</f>
        <v>0</v>
      </c>
      <c r="I80" s="435">
        <f t="shared" si="22"/>
        <v>0</v>
      </c>
    </row>
    <row r="81" spans="1:9" s="285" customFormat="1" ht="12.75" hidden="1" customHeight="1" x14ac:dyDescent="0.25">
      <c r="A81" s="118">
        <v>16</v>
      </c>
      <c r="B81" s="151">
        <v>5555</v>
      </c>
      <c r="C81" s="94" t="s">
        <v>268</v>
      </c>
      <c r="D81" s="85"/>
      <c r="E81" s="85"/>
      <c r="F81" s="85">
        <v>0</v>
      </c>
      <c r="G81" s="432"/>
      <c r="H81" s="435">
        <f t="shared" ref="H81:I81" si="23">+(G81*0.1)+G81</f>
        <v>0</v>
      </c>
      <c r="I81" s="435">
        <f t="shared" si="23"/>
        <v>0</v>
      </c>
    </row>
    <row r="82" spans="1:9" s="285" customFormat="1" x14ac:dyDescent="0.25">
      <c r="A82" s="118">
        <v>16</v>
      </c>
      <c r="B82" s="151">
        <v>5560</v>
      </c>
      <c r="C82" s="94" t="s">
        <v>269</v>
      </c>
      <c r="D82" s="85">
        <v>17603</v>
      </c>
      <c r="E82" s="85">
        <v>27500</v>
      </c>
      <c r="F82" s="85">
        <v>47500</v>
      </c>
      <c r="G82" s="432">
        <v>35000</v>
      </c>
      <c r="H82" s="435">
        <f t="shared" ref="H82:I82" si="24">+(G82*0.1)+G82</f>
        <v>38500</v>
      </c>
      <c r="I82" s="435">
        <f t="shared" si="24"/>
        <v>42350</v>
      </c>
    </row>
    <row r="83" spans="1:9" s="285" customFormat="1" x14ac:dyDescent="0.25">
      <c r="A83" s="118">
        <v>16</v>
      </c>
      <c r="B83" s="151">
        <v>5565</v>
      </c>
      <c r="C83" s="94" t="s">
        <v>246</v>
      </c>
      <c r="D83" s="85">
        <f>2452+71234</f>
        <v>73686</v>
      </c>
      <c r="E83" s="85">
        <v>719866</v>
      </c>
      <c r="F83" s="85">
        <v>719866</v>
      </c>
      <c r="G83" s="432">
        <v>125000</v>
      </c>
      <c r="H83" s="435">
        <f t="shared" ref="H83:I83" si="25">+(G83*0.1)+G83</f>
        <v>137500</v>
      </c>
      <c r="I83" s="435">
        <f t="shared" si="25"/>
        <v>151250</v>
      </c>
    </row>
    <row r="84" spans="1:9" s="285" customFormat="1" x14ac:dyDescent="0.25">
      <c r="A84" s="118">
        <v>16</v>
      </c>
      <c r="B84" s="151">
        <v>5570</v>
      </c>
      <c r="C84" s="94" t="s">
        <v>270</v>
      </c>
      <c r="D84" s="85"/>
      <c r="E84" s="85">
        <v>20000</v>
      </c>
      <c r="F84" s="85">
        <v>0</v>
      </c>
      <c r="G84" s="432"/>
      <c r="H84" s="435">
        <f t="shared" ref="H84:I84" si="26">+(G84*0.1)+G84</f>
        <v>0</v>
      </c>
      <c r="I84" s="435">
        <f t="shared" si="26"/>
        <v>0</v>
      </c>
    </row>
    <row r="85" spans="1:9" s="285" customFormat="1" x14ac:dyDescent="0.25">
      <c r="A85" s="118">
        <v>16</v>
      </c>
      <c r="B85" s="151">
        <v>5575</v>
      </c>
      <c r="C85" s="94" t="s">
        <v>271</v>
      </c>
      <c r="D85" s="85">
        <v>127748</v>
      </c>
      <c r="E85" s="85">
        <v>160000</v>
      </c>
      <c r="F85" s="85">
        <v>220000</v>
      </c>
      <c r="G85" s="432">
        <v>200000</v>
      </c>
      <c r="H85" s="435">
        <f t="shared" ref="H85:I85" si="27">+(G85*0.1)+G85</f>
        <v>220000</v>
      </c>
      <c r="I85" s="435">
        <f t="shared" si="27"/>
        <v>242000</v>
      </c>
    </row>
    <row r="86" spans="1:9" s="285" customFormat="1" x14ac:dyDescent="0.25">
      <c r="A86" s="118">
        <v>16</v>
      </c>
      <c r="B86" s="151">
        <v>5580</v>
      </c>
      <c r="C86" s="94" t="s">
        <v>272</v>
      </c>
      <c r="D86" s="85">
        <v>1600</v>
      </c>
      <c r="E86" s="85">
        <v>30000</v>
      </c>
      <c r="F86" s="85">
        <v>10000</v>
      </c>
      <c r="G86" s="432">
        <v>20000</v>
      </c>
      <c r="H86" s="435">
        <f t="shared" ref="H86:I86" si="28">+(G86*0.1)+G86</f>
        <v>22000</v>
      </c>
      <c r="I86" s="435">
        <f t="shared" si="28"/>
        <v>24200</v>
      </c>
    </row>
    <row r="87" spans="1:9" s="285" customFormat="1" x14ac:dyDescent="0.25">
      <c r="A87" s="118">
        <v>16</v>
      </c>
      <c r="B87" s="151">
        <v>5585</v>
      </c>
      <c r="C87" s="94" t="s">
        <v>273</v>
      </c>
      <c r="D87" s="86">
        <v>33976</v>
      </c>
      <c r="E87" s="85">
        <v>50000</v>
      </c>
      <c r="F87" s="85">
        <v>70000</v>
      </c>
      <c r="G87" s="432">
        <v>70000</v>
      </c>
      <c r="H87" s="435">
        <f t="shared" ref="H87:I87" si="29">+(G87*0.1)+G87</f>
        <v>77000</v>
      </c>
      <c r="I87" s="435">
        <f t="shared" si="29"/>
        <v>84700</v>
      </c>
    </row>
    <row r="88" spans="1:9" s="285" customFormat="1" x14ac:dyDescent="0.25">
      <c r="A88" s="118">
        <v>16</v>
      </c>
      <c r="B88" s="151">
        <v>5590</v>
      </c>
      <c r="C88" s="94" t="s">
        <v>274</v>
      </c>
      <c r="D88" s="86">
        <v>136636</v>
      </c>
      <c r="E88" s="85">
        <v>130000</v>
      </c>
      <c r="F88" s="85">
        <v>230000</v>
      </c>
      <c r="G88" s="432">
        <v>160000</v>
      </c>
      <c r="H88" s="435">
        <f t="shared" ref="H88:I88" si="30">+(G88*0.1)+G88</f>
        <v>176000</v>
      </c>
      <c r="I88" s="435">
        <f t="shared" si="30"/>
        <v>193600</v>
      </c>
    </row>
    <row r="89" spans="1:9" s="285" customFormat="1" x14ac:dyDescent="0.25">
      <c r="A89" s="118">
        <v>16</v>
      </c>
      <c r="B89" s="151">
        <v>5595</v>
      </c>
      <c r="C89" s="94" t="s">
        <v>373</v>
      </c>
      <c r="D89" s="85">
        <f>155285+100000</f>
        <v>255285</v>
      </c>
      <c r="E89" s="85">
        <f>520000-80000</f>
        <v>440000</v>
      </c>
      <c r="F89" s="85">
        <v>440000</v>
      </c>
      <c r="G89" s="432">
        <v>470000</v>
      </c>
      <c r="H89" s="435">
        <f t="shared" ref="H89:I89" si="31">+(G89*0.1)+G89</f>
        <v>517000</v>
      </c>
      <c r="I89" s="435">
        <f t="shared" si="31"/>
        <v>568700</v>
      </c>
    </row>
    <row r="90" spans="1:9" s="285" customFormat="1" x14ac:dyDescent="0.25">
      <c r="A90" s="118">
        <v>16</v>
      </c>
      <c r="B90" s="151">
        <v>5600</v>
      </c>
      <c r="C90" s="159" t="s">
        <v>276</v>
      </c>
      <c r="D90" s="85"/>
      <c r="E90" s="85"/>
      <c r="F90" s="85">
        <v>0</v>
      </c>
      <c r="G90" s="432"/>
      <c r="H90" s="435">
        <f t="shared" ref="H90:I90" si="32">+(G90*0.1)+G90</f>
        <v>0</v>
      </c>
      <c r="I90" s="435">
        <f t="shared" si="32"/>
        <v>0</v>
      </c>
    </row>
    <row r="91" spans="1:9" s="285" customFormat="1" x14ac:dyDescent="0.25">
      <c r="A91" s="118">
        <v>16</v>
      </c>
      <c r="B91" s="151">
        <v>5605</v>
      </c>
      <c r="C91" s="159" t="s">
        <v>277</v>
      </c>
      <c r="D91" s="85"/>
      <c r="E91" s="85"/>
      <c r="F91" s="85">
        <f t="shared" ref="F91:F103" si="33">E91-D91</f>
        <v>0</v>
      </c>
      <c r="G91" s="432"/>
      <c r="H91" s="435">
        <f t="shared" ref="H91:I91" si="34">+(G91*0.1)+G91</f>
        <v>0</v>
      </c>
      <c r="I91" s="435">
        <f t="shared" si="34"/>
        <v>0</v>
      </c>
    </row>
    <row r="92" spans="1:9" s="285" customFormat="1" ht="17.25" customHeight="1" x14ac:dyDescent="0.25">
      <c r="A92" s="118">
        <v>16</v>
      </c>
      <c r="B92" s="151">
        <v>5610</v>
      </c>
      <c r="C92" s="159" t="s">
        <v>278</v>
      </c>
      <c r="D92" s="85"/>
      <c r="E92" s="85"/>
      <c r="F92" s="85">
        <f t="shared" si="33"/>
        <v>0</v>
      </c>
      <c r="G92" s="432"/>
      <c r="H92" s="435">
        <f t="shared" ref="H92:I92" si="35">+(G92*0.1)+G92</f>
        <v>0</v>
      </c>
      <c r="I92" s="435">
        <f t="shared" si="35"/>
        <v>0</v>
      </c>
    </row>
    <row r="93" spans="1:9" s="285" customFormat="1" ht="17.25" customHeight="1" x14ac:dyDescent="0.25">
      <c r="A93" s="118">
        <v>16</v>
      </c>
      <c r="B93" s="151">
        <v>5615</v>
      </c>
      <c r="C93" s="159" t="s">
        <v>279</v>
      </c>
      <c r="D93" s="85"/>
      <c r="E93" s="85"/>
      <c r="F93" s="85">
        <f t="shared" si="33"/>
        <v>0</v>
      </c>
      <c r="G93" s="432"/>
      <c r="H93" s="435">
        <f t="shared" ref="H93:I93" si="36">+(G93*0.1)+G93</f>
        <v>0</v>
      </c>
      <c r="I93" s="435">
        <f t="shared" si="36"/>
        <v>0</v>
      </c>
    </row>
    <row r="94" spans="1:9" s="285" customFormat="1" ht="20.25" customHeight="1" x14ac:dyDescent="0.25">
      <c r="A94" s="118">
        <v>16</v>
      </c>
      <c r="B94" s="151">
        <v>5620</v>
      </c>
      <c r="C94" s="159" t="s">
        <v>280</v>
      </c>
      <c r="D94" s="85"/>
      <c r="E94" s="85"/>
      <c r="F94" s="85">
        <f t="shared" si="33"/>
        <v>0</v>
      </c>
      <c r="G94" s="432"/>
      <c r="H94" s="435">
        <f t="shared" ref="H94:I94" si="37">+(G94*0.1)+G94</f>
        <v>0</v>
      </c>
      <c r="I94" s="435">
        <f t="shared" si="37"/>
        <v>0</v>
      </c>
    </row>
    <row r="95" spans="1:9" s="285" customFormat="1" ht="18" customHeight="1" x14ac:dyDescent="0.25">
      <c r="A95" s="118">
        <v>16</v>
      </c>
      <c r="B95" s="151">
        <v>5625</v>
      </c>
      <c r="C95" s="159" t="s">
        <v>281</v>
      </c>
      <c r="D95" s="85"/>
      <c r="E95" s="85"/>
      <c r="F95" s="85">
        <f t="shared" si="33"/>
        <v>0</v>
      </c>
      <c r="G95" s="432"/>
      <c r="H95" s="435">
        <f t="shared" ref="H95:I95" si="38">+(G95*0.1)+G95</f>
        <v>0</v>
      </c>
      <c r="I95" s="435">
        <f t="shared" si="38"/>
        <v>0</v>
      </c>
    </row>
    <row r="96" spans="1:9" s="285" customFormat="1" ht="15.75" customHeight="1" x14ac:dyDescent="0.25">
      <c r="A96" s="118">
        <v>16</v>
      </c>
      <c r="B96" s="151">
        <v>5630</v>
      </c>
      <c r="C96" s="159" t="s">
        <v>282</v>
      </c>
      <c r="D96" s="85"/>
      <c r="E96" s="85"/>
      <c r="F96" s="85">
        <f t="shared" si="33"/>
        <v>0</v>
      </c>
      <c r="G96" s="432"/>
      <c r="H96" s="435">
        <f t="shared" ref="H96:I96" si="39">+(G96*0.1)+G96</f>
        <v>0</v>
      </c>
      <c r="I96" s="435">
        <f t="shared" si="39"/>
        <v>0</v>
      </c>
    </row>
    <row r="97" spans="1:9" s="285" customFormat="1" ht="17.25" customHeight="1" x14ac:dyDescent="0.25">
      <c r="A97" s="118">
        <v>16</v>
      </c>
      <c r="B97" s="151">
        <v>5635</v>
      </c>
      <c r="C97" s="159" t="s">
        <v>283</v>
      </c>
      <c r="D97" s="85"/>
      <c r="E97" s="85"/>
      <c r="F97" s="85">
        <f t="shared" si="33"/>
        <v>0</v>
      </c>
      <c r="G97" s="432"/>
      <c r="H97" s="435">
        <f t="shared" ref="H97:I97" si="40">+(G97*0.1)+G97</f>
        <v>0</v>
      </c>
      <c r="I97" s="435">
        <f t="shared" si="40"/>
        <v>0</v>
      </c>
    </row>
    <row r="98" spans="1:9" s="285" customFormat="1" ht="16.5" customHeight="1" x14ac:dyDescent="0.25">
      <c r="A98" s="118">
        <v>16</v>
      </c>
      <c r="B98" s="151">
        <v>5640</v>
      </c>
      <c r="C98" s="159" t="s">
        <v>284</v>
      </c>
      <c r="D98" s="85"/>
      <c r="E98" s="85"/>
      <c r="F98" s="85">
        <f t="shared" si="33"/>
        <v>0</v>
      </c>
      <c r="G98" s="432"/>
      <c r="H98" s="435">
        <f t="shared" ref="H98:I98" si="41">+(G98*0.1)+G98</f>
        <v>0</v>
      </c>
      <c r="I98" s="435">
        <f t="shared" si="41"/>
        <v>0</v>
      </c>
    </row>
    <row r="99" spans="1:9" s="285" customFormat="1" ht="17.25" customHeight="1" x14ac:dyDescent="0.25">
      <c r="A99" s="118">
        <v>16</v>
      </c>
      <c r="B99" s="151">
        <v>5645</v>
      </c>
      <c r="C99" s="159" t="s">
        <v>285</v>
      </c>
      <c r="D99" s="85"/>
      <c r="E99" s="85"/>
      <c r="F99" s="85">
        <f t="shared" si="33"/>
        <v>0</v>
      </c>
      <c r="G99" s="432"/>
      <c r="H99" s="435">
        <f t="shared" ref="H99:I99" si="42">+(G99*0.1)+G99</f>
        <v>0</v>
      </c>
      <c r="I99" s="435">
        <f t="shared" si="42"/>
        <v>0</v>
      </c>
    </row>
    <row r="100" spans="1:9" s="285" customFormat="1" ht="15.75" customHeight="1" x14ac:dyDescent="0.25">
      <c r="A100" s="118">
        <v>16</v>
      </c>
      <c r="B100" s="151">
        <v>5650</v>
      </c>
      <c r="C100" s="159" t="s">
        <v>286</v>
      </c>
      <c r="D100" s="85"/>
      <c r="E100" s="85"/>
      <c r="F100" s="85">
        <f t="shared" si="33"/>
        <v>0</v>
      </c>
      <c r="G100" s="432"/>
      <c r="H100" s="435">
        <f t="shared" ref="H100:I100" si="43">+(G100*0.1)+G100</f>
        <v>0</v>
      </c>
      <c r="I100" s="435">
        <f t="shared" si="43"/>
        <v>0</v>
      </c>
    </row>
    <row r="101" spans="1:9" s="285" customFormat="1" ht="16.5" customHeight="1" x14ac:dyDescent="0.25">
      <c r="A101" s="118">
        <v>16</v>
      </c>
      <c r="B101" s="151">
        <v>5655</v>
      </c>
      <c r="C101" s="159" t="s">
        <v>376</v>
      </c>
      <c r="D101" s="85"/>
      <c r="E101" s="85"/>
      <c r="F101" s="85">
        <f t="shared" si="33"/>
        <v>0</v>
      </c>
      <c r="G101" s="432"/>
      <c r="H101" s="435">
        <f t="shared" ref="H101:I101" si="44">+(G101*0.1)+G101</f>
        <v>0</v>
      </c>
      <c r="I101" s="435">
        <f t="shared" si="44"/>
        <v>0</v>
      </c>
    </row>
    <row r="102" spans="1:9" s="285" customFormat="1" ht="17.25" customHeight="1" x14ac:dyDescent="0.25">
      <c r="A102" s="118">
        <v>16</v>
      </c>
      <c r="B102" s="151">
        <v>5660</v>
      </c>
      <c r="C102" s="159" t="s">
        <v>288</v>
      </c>
      <c r="D102" s="85"/>
      <c r="E102" s="85"/>
      <c r="F102" s="85">
        <f t="shared" si="33"/>
        <v>0</v>
      </c>
      <c r="G102" s="432"/>
      <c r="H102" s="435">
        <f t="shared" ref="H102:I102" si="45">+(G102*0.1)+G102</f>
        <v>0</v>
      </c>
      <c r="I102" s="435">
        <f t="shared" si="45"/>
        <v>0</v>
      </c>
    </row>
    <row r="103" spans="1:9" s="285" customFormat="1" ht="15.75" customHeight="1" x14ac:dyDescent="0.25">
      <c r="A103" s="118">
        <v>16</v>
      </c>
      <c r="B103" s="151">
        <v>5665</v>
      </c>
      <c r="C103" s="94" t="s">
        <v>289</v>
      </c>
      <c r="D103" s="85"/>
      <c r="E103" s="85"/>
      <c r="F103" s="85">
        <f t="shared" si="33"/>
        <v>0</v>
      </c>
      <c r="G103" s="432"/>
      <c r="H103" s="435">
        <f t="shared" ref="H103:I103" si="46">+(G103*0.1)+G103</f>
        <v>0</v>
      </c>
      <c r="I103" s="435">
        <f t="shared" si="46"/>
        <v>0</v>
      </c>
    </row>
    <row r="104" spans="1:9" s="285" customFormat="1" ht="15" customHeight="1" x14ac:dyDescent="0.25">
      <c r="A104" s="118">
        <v>16</v>
      </c>
      <c r="B104" s="151">
        <v>5670</v>
      </c>
      <c r="C104" s="94" t="s">
        <v>290</v>
      </c>
      <c r="D104" s="85"/>
      <c r="E104" s="85"/>
      <c r="F104" s="85">
        <f t="shared" ref="F104:F135" si="47">E104-D104</f>
        <v>0</v>
      </c>
      <c r="G104" s="432"/>
      <c r="H104" s="435">
        <f t="shared" ref="H104:I104" si="48">+(G104*0.1)+G104</f>
        <v>0</v>
      </c>
      <c r="I104" s="435">
        <f t="shared" si="48"/>
        <v>0</v>
      </c>
    </row>
    <row r="105" spans="1:9" s="285" customFormat="1" ht="11.25" customHeight="1" x14ac:dyDescent="0.25">
      <c r="A105" s="118">
        <v>16</v>
      </c>
      <c r="B105" s="151">
        <v>5675</v>
      </c>
      <c r="C105" s="94" t="s">
        <v>291</v>
      </c>
      <c r="D105" s="85"/>
      <c r="E105" s="85"/>
      <c r="F105" s="85">
        <f t="shared" si="47"/>
        <v>0</v>
      </c>
      <c r="G105" s="432"/>
      <c r="H105" s="435">
        <f t="shared" ref="H105:I105" si="49">+(G105*0.1)+G105</f>
        <v>0</v>
      </c>
      <c r="I105" s="435">
        <f t="shared" si="49"/>
        <v>0</v>
      </c>
    </row>
    <row r="106" spans="1:9" s="285" customFormat="1" x14ac:dyDescent="0.25">
      <c r="A106" s="118">
        <v>16</v>
      </c>
      <c r="B106" s="151">
        <v>5680</v>
      </c>
      <c r="C106" s="94" t="s">
        <v>292</v>
      </c>
      <c r="D106" s="85"/>
      <c r="E106" s="85"/>
      <c r="F106" s="85">
        <f t="shared" si="47"/>
        <v>0</v>
      </c>
      <c r="G106" s="432"/>
      <c r="H106" s="435">
        <f t="shared" ref="H106:I106" si="50">+(G106*0.1)+G106</f>
        <v>0</v>
      </c>
      <c r="I106" s="435">
        <f t="shared" si="50"/>
        <v>0</v>
      </c>
    </row>
    <row r="107" spans="1:9" s="285" customFormat="1" x14ac:dyDescent="0.25">
      <c r="A107" s="118">
        <v>16</v>
      </c>
      <c r="B107" s="151">
        <v>5685</v>
      </c>
      <c r="C107" s="94" t="s">
        <v>293</v>
      </c>
      <c r="D107" s="85"/>
      <c r="E107" s="85"/>
      <c r="F107" s="85">
        <f t="shared" si="47"/>
        <v>0</v>
      </c>
      <c r="G107" s="432"/>
      <c r="H107" s="435">
        <f t="shared" ref="H107:I107" si="51">+(G107*0.1)+G107</f>
        <v>0</v>
      </c>
      <c r="I107" s="435">
        <f t="shared" si="51"/>
        <v>0</v>
      </c>
    </row>
    <row r="108" spans="1:9" s="285" customFormat="1" x14ac:dyDescent="0.25">
      <c r="A108" s="118">
        <v>16</v>
      </c>
      <c r="B108" s="151">
        <v>5690</v>
      </c>
      <c r="C108" s="94" t="s">
        <v>247</v>
      </c>
      <c r="D108" s="85"/>
      <c r="E108" s="85"/>
      <c r="F108" s="85">
        <f t="shared" si="47"/>
        <v>0</v>
      </c>
      <c r="G108" s="432"/>
      <c r="H108" s="435">
        <f t="shared" ref="H108:I108" si="52">+(G108*0.1)+G108</f>
        <v>0</v>
      </c>
      <c r="I108" s="435">
        <f t="shared" si="52"/>
        <v>0</v>
      </c>
    </row>
    <row r="109" spans="1:9" s="285" customFormat="1" x14ac:dyDescent="0.25">
      <c r="A109" s="118">
        <v>16</v>
      </c>
      <c r="B109" s="151">
        <v>5695</v>
      </c>
      <c r="C109" s="94" t="s">
        <v>294</v>
      </c>
      <c r="D109" s="85"/>
      <c r="E109" s="85"/>
      <c r="F109" s="85">
        <f t="shared" si="47"/>
        <v>0</v>
      </c>
      <c r="G109" s="432"/>
      <c r="H109" s="435">
        <f t="shared" ref="H109:I109" si="53">+(G109*0.1)+G109</f>
        <v>0</v>
      </c>
      <c r="I109" s="435">
        <f t="shared" si="53"/>
        <v>0</v>
      </c>
    </row>
    <row r="110" spans="1:9" s="285" customFormat="1" x14ac:dyDescent="0.25">
      <c r="A110" s="118">
        <v>16</v>
      </c>
      <c r="B110" s="151">
        <v>5700</v>
      </c>
      <c r="C110" s="94" t="s">
        <v>295</v>
      </c>
      <c r="D110" s="85"/>
      <c r="E110" s="85">
        <v>65000</v>
      </c>
      <c r="F110" s="85">
        <v>25000</v>
      </c>
      <c r="G110" s="432">
        <v>50000</v>
      </c>
      <c r="H110" s="435">
        <f t="shared" ref="H110:I110" si="54">+(G110*0.1)+G110</f>
        <v>55000</v>
      </c>
      <c r="I110" s="435">
        <f t="shared" si="54"/>
        <v>60500</v>
      </c>
    </row>
    <row r="111" spans="1:9" s="285" customFormat="1" x14ac:dyDescent="0.25">
      <c r="A111" s="118">
        <v>16</v>
      </c>
      <c r="B111" s="151">
        <v>5710</v>
      </c>
      <c r="C111" s="94" t="s">
        <v>297</v>
      </c>
      <c r="D111" s="85"/>
      <c r="E111" s="85"/>
      <c r="F111" s="85">
        <v>0</v>
      </c>
      <c r="G111" s="432"/>
      <c r="H111" s="435">
        <f t="shared" ref="H111:I111" si="55">+(G111*0.1)+G111</f>
        <v>0</v>
      </c>
      <c r="I111" s="435">
        <f t="shared" si="55"/>
        <v>0</v>
      </c>
    </row>
    <row r="112" spans="1:9" s="285" customFormat="1" x14ac:dyDescent="0.25">
      <c r="A112" s="118">
        <v>16</v>
      </c>
      <c r="B112" s="151">
        <v>5715</v>
      </c>
      <c r="C112" s="94" t="s">
        <v>298</v>
      </c>
      <c r="D112" s="85"/>
      <c r="E112" s="85"/>
      <c r="F112" s="85">
        <v>0</v>
      </c>
      <c r="G112" s="432"/>
      <c r="H112" s="435">
        <f t="shared" ref="H112:I112" si="56">+(G112*0.1)+G112</f>
        <v>0</v>
      </c>
      <c r="I112" s="435">
        <f t="shared" si="56"/>
        <v>0</v>
      </c>
    </row>
    <row r="113" spans="1:9" s="285" customFormat="1" x14ac:dyDescent="0.25">
      <c r="A113" s="118">
        <v>16</v>
      </c>
      <c r="B113" s="151">
        <v>5720</v>
      </c>
      <c r="C113" s="94" t="s">
        <v>299</v>
      </c>
      <c r="D113" s="85"/>
      <c r="E113" s="85">
        <v>180000</v>
      </c>
      <c r="F113" s="85">
        <v>80000</v>
      </c>
      <c r="G113" s="432">
        <v>150000</v>
      </c>
      <c r="H113" s="435">
        <f t="shared" ref="H113:I113" si="57">+(G113*0.1)+G113</f>
        <v>165000</v>
      </c>
      <c r="I113" s="435">
        <f t="shared" si="57"/>
        <v>181500</v>
      </c>
    </row>
    <row r="114" spans="1:9" s="285" customFormat="1" x14ac:dyDescent="0.25">
      <c r="A114" s="118">
        <v>16</v>
      </c>
      <c r="B114" s="151">
        <v>5730</v>
      </c>
      <c r="C114" s="94" t="s">
        <v>300</v>
      </c>
      <c r="D114" s="85"/>
      <c r="E114" s="85"/>
      <c r="F114" s="85">
        <v>0</v>
      </c>
      <c r="G114" s="432"/>
      <c r="H114" s="435">
        <f t="shared" ref="H114:I114" si="58">+(G114*0.1)+G114</f>
        <v>0</v>
      </c>
      <c r="I114" s="435">
        <f t="shared" si="58"/>
        <v>0</v>
      </c>
    </row>
    <row r="115" spans="1:9" s="285" customFormat="1" x14ac:dyDescent="0.25">
      <c r="A115" s="118">
        <v>16</v>
      </c>
      <c r="B115" s="151">
        <v>5735</v>
      </c>
      <c r="C115" s="94" t="s">
        <v>301</v>
      </c>
      <c r="D115" s="85">
        <v>1652410</v>
      </c>
      <c r="E115" s="85">
        <f>1920000*1.055</f>
        <v>2025599.9999999998</v>
      </c>
      <c r="F115" s="85">
        <v>3225600</v>
      </c>
      <c r="G115" s="432">
        <v>2600000</v>
      </c>
      <c r="H115" s="435">
        <f t="shared" ref="H115:I115" si="59">+(G115*0.1)+G115</f>
        <v>2860000</v>
      </c>
      <c r="I115" s="435">
        <f t="shared" si="59"/>
        <v>3146000</v>
      </c>
    </row>
    <row r="116" spans="1:9" s="285" customFormat="1" x14ac:dyDescent="0.25">
      <c r="A116" s="118">
        <v>16</v>
      </c>
      <c r="B116" s="151">
        <v>5740</v>
      </c>
      <c r="C116" s="94" t="s">
        <v>302</v>
      </c>
      <c r="D116" s="85"/>
      <c r="E116" s="85"/>
      <c r="F116" s="85">
        <v>0</v>
      </c>
      <c r="G116" s="85"/>
      <c r="H116" s="435">
        <f t="shared" ref="H116:I116" si="60">+(G116*0.1)+G116</f>
        <v>0</v>
      </c>
      <c r="I116" s="435">
        <f t="shared" si="60"/>
        <v>0</v>
      </c>
    </row>
    <row r="117" spans="1:9" s="285" customFormat="1" x14ac:dyDescent="0.25">
      <c r="A117" s="118">
        <v>16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435">
        <f t="shared" ref="H117:I117" si="61">+(G117*0.1)+G117</f>
        <v>0</v>
      </c>
      <c r="I117" s="435">
        <f t="shared" si="61"/>
        <v>0</v>
      </c>
    </row>
    <row r="118" spans="1:9" s="285" customFormat="1" x14ac:dyDescent="0.25">
      <c r="A118" s="118">
        <v>16</v>
      </c>
      <c r="B118" s="151">
        <v>5750</v>
      </c>
      <c r="C118" s="94" t="s">
        <v>304</v>
      </c>
      <c r="D118" s="85">
        <v>161</v>
      </c>
      <c r="E118" s="85">
        <v>780</v>
      </c>
      <c r="F118" s="85">
        <v>780</v>
      </c>
      <c r="G118" s="85"/>
      <c r="H118" s="435">
        <f t="shared" ref="H118:I118" si="62">+(G118*0.1)+G118</f>
        <v>0</v>
      </c>
      <c r="I118" s="435">
        <f t="shared" si="62"/>
        <v>0</v>
      </c>
    </row>
    <row r="119" spans="1:9" s="285" customFormat="1" x14ac:dyDescent="0.25">
      <c r="A119" s="118">
        <v>16</v>
      </c>
      <c r="B119" s="151">
        <v>5755</v>
      </c>
      <c r="C119" s="94" t="s">
        <v>305</v>
      </c>
      <c r="D119" s="85">
        <v>19990</v>
      </c>
      <c r="E119" s="85">
        <v>31900</v>
      </c>
      <c r="F119" s="85">
        <v>31900</v>
      </c>
      <c r="G119" s="85"/>
      <c r="H119" s="435">
        <f t="shared" ref="H119:I119" si="63">+(G119*0.1)+G119</f>
        <v>0</v>
      </c>
      <c r="I119" s="435">
        <f t="shared" si="63"/>
        <v>0</v>
      </c>
    </row>
    <row r="120" spans="1:9" s="285" customFormat="1" ht="12" customHeight="1" x14ac:dyDescent="0.25">
      <c r="A120" s="118">
        <v>16</v>
      </c>
      <c r="B120" s="151">
        <v>5760</v>
      </c>
      <c r="C120" s="94" t="s">
        <v>306</v>
      </c>
      <c r="D120" s="85"/>
      <c r="E120" s="85"/>
      <c r="F120" s="85">
        <v>0</v>
      </c>
      <c r="G120" s="85"/>
      <c r="H120" s="435">
        <f t="shared" ref="H120:I120" si="64">+(G120*0.1)+G120</f>
        <v>0</v>
      </c>
      <c r="I120" s="435">
        <f t="shared" si="64"/>
        <v>0</v>
      </c>
    </row>
    <row r="121" spans="1:9" s="285" customFormat="1" x14ac:dyDescent="0.25">
      <c r="A121" s="118">
        <v>16</v>
      </c>
      <c r="B121" s="151">
        <v>5765</v>
      </c>
      <c r="C121" s="94" t="s">
        <v>307</v>
      </c>
      <c r="D121" s="85"/>
      <c r="E121" s="85"/>
      <c r="F121" s="85">
        <v>0</v>
      </c>
      <c r="G121" s="85"/>
      <c r="H121" s="435">
        <f t="shared" ref="H121:I121" si="65">+(G121*0.1)+G121</f>
        <v>0</v>
      </c>
      <c r="I121" s="435">
        <f t="shared" si="65"/>
        <v>0</v>
      </c>
    </row>
    <row r="122" spans="1:9" s="285" customFormat="1" x14ac:dyDescent="0.25">
      <c r="A122" s="118">
        <v>16</v>
      </c>
      <c r="B122" s="151">
        <v>5770</v>
      </c>
      <c r="C122" s="94" t="s">
        <v>308</v>
      </c>
      <c r="D122" s="85"/>
      <c r="E122" s="85"/>
      <c r="F122" s="85">
        <v>0</v>
      </c>
      <c r="G122" s="85"/>
      <c r="H122" s="435">
        <f t="shared" ref="H122:I122" si="66">+(G122*0.1)+G122</f>
        <v>0</v>
      </c>
      <c r="I122" s="435">
        <f t="shared" si="66"/>
        <v>0</v>
      </c>
    </row>
    <row r="123" spans="1:9" s="285" customFormat="1" x14ac:dyDescent="0.25">
      <c r="A123" s="118">
        <v>16</v>
      </c>
      <c r="B123" s="151">
        <v>5775</v>
      </c>
      <c r="C123" s="94" t="s">
        <v>309</v>
      </c>
      <c r="D123" s="85"/>
      <c r="E123" s="85"/>
      <c r="F123" s="85">
        <v>0</v>
      </c>
      <c r="G123" s="85"/>
      <c r="H123" s="435">
        <f t="shared" ref="H123:I123" si="67">+(G123*0.1)+G123</f>
        <v>0</v>
      </c>
      <c r="I123" s="435">
        <f t="shared" si="67"/>
        <v>0</v>
      </c>
    </row>
    <row r="124" spans="1:9" s="285" customFormat="1" x14ac:dyDescent="0.25">
      <c r="A124" s="118">
        <v>16</v>
      </c>
      <c r="B124" s="151">
        <v>5780</v>
      </c>
      <c r="C124" s="94" t="s">
        <v>310</v>
      </c>
      <c r="D124" s="85"/>
      <c r="E124" s="85"/>
      <c r="F124" s="85">
        <v>0</v>
      </c>
      <c r="G124" s="85"/>
      <c r="H124" s="435">
        <f t="shared" ref="H124:I124" si="68">+(G124*0.1)+G124</f>
        <v>0</v>
      </c>
      <c r="I124" s="435">
        <f t="shared" si="68"/>
        <v>0</v>
      </c>
    </row>
    <row r="125" spans="1:9" s="285" customFormat="1" x14ac:dyDescent="0.25">
      <c r="A125" s="118">
        <v>16</v>
      </c>
      <c r="B125" s="151">
        <v>5785</v>
      </c>
      <c r="C125" s="94" t="s">
        <v>311</v>
      </c>
      <c r="D125" s="85"/>
      <c r="E125" s="85"/>
      <c r="F125" s="85">
        <v>0</v>
      </c>
      <c r="G125" s="85"/>
      <c r="H125" s="435">
        <f t="shared" ref="H125:I125" si="69">+(G125*0.1)+G125</f>
        <v>0</v>
      </c>
      <c r="I125" s="435">
        <f t="shared" si="69"/>
        <v>0</v>
      </c>
    </row>
    <row r="126" spans="1:9" s="285" customFormat="1" x14ac:dyDescent="0.25">
      <c r="A126" s="118">
        <v>16</v>
      </c>
      <c r="B126" s="151">
        <v>5790</v>
      </c>
      <c r="C126" s="94" t="s">
        <v>312</v>
      </c>
      <c r="D126" s="85"/>
      <c r="E126" s="85"/>
      <c r="F126" s="85">
        <v>0</v>
      </c>
      <c r="G126" s="85"/>
      <c r="H126" s="435">
        <f t="shared" ref="H126:I126" si="70">+(G126*0.1)+G126</f>
        <v>0</v>
      </c>
      <c r="I126" s="435">
        <f t="shared" si="70"/>
        <v>0</v>
      </c>
    </row>
    <row r="127" spans="1:9" s="285" customFormat="1" x14ac:dyDescent="0.25">
      <c r="A127" s="118">
        <v>16</v>
      </c>
      <c r="B127" s="151">
        <v>5795</v>
      </c>
      <c r="C127" s="94" t="s">
        <v>313</v>
      </c>
      <c r="D127" s="85"/>
      <c r="E127" s="85"/>
      <c r="F127" s="85">
        <v>0</v>
      </c>
      <c r="G127" s="85"/>
      <c r="H127" s="435">
        <f t="shared" ref="H127:I127" si="71">+(G127*0.1)+G127</f>
        <v>0</v>
      </c>
      <c r="I127" s="435">
        <f t="shared" si="71"/>
        <v>0</v>
      </c>
    </row>
    <row r="128" spans="1:9" s="285" customFormat="1" x14ac:dyDescent="0.25">
      <c r="A128" s="118">
        <v>16</v>
      </c>
      <c r="B128" s="151">
        <v>5800</v>
      </c>
      <c r="C128" s="94" t="s">
        <v>314</v>
      </c>
      <c r="D128" s="85"/>
      <c r="E128" s="85"/>
      <c r="F128" s="85">
        <v>0</v>
      </c>
      <c r="G128" s="85"/>
      <c r="H128" s="435">
        <f t="shared" ref="H128:I128" si="72">+(G128*0.1)+G128</f>
        <v>0</v>
      </c>
      <c r="I128" s="435">
        <f t="shared" si="72"/>
        <v>0</v>
      </c>
    </row>
    <row r="129" spans="1:9" s="285" customFormat="1" x14ac:dyDescent="0.25">
      <c r="A129" s="118">
        <v>16</v>
      </c>
      <c r="B129" s="151">
        <v>5805</v>
      </c>
      <c r="C129" s="94" t="s">
        <v>315</v>
      </c>
      <c r="D129" s="85"/>
      <c r="E129" s="85"/>
      <c r="F129" s="85">
        <v>0</v>
      </c>
      <c r="G129" s="85"/>
      <c r="H129" s="435">
        <f t="shared" ref="H129:I129" si="73">+(G129*0.1)+G129</f>
        <v>0</v>
      </c>
      <c r="I129" s="435">
        <f t="shared" si="73"/>
        <v>0</v>
      </c>
    </row>
    <row r="130" spans="1:9" s="285" customFormat="1" x14ac:dyDescent="0.25">
      <c r="A130" s="118">
        <v>16</v>
      </c>
      <c r="B130" s="151">
        <v>5810</v>
      </c>
      <c r="C130" s="94" t="s">
        <v>316</v>
      </c>
      <c r="D130" s="85"/>
      <c r="E130" s="85"/>
      <c r="F130" s="85">
        <v>0</v>
      </c>
      <c r="G130" s="85"/>
      <c r="H130" s="435">
        <f t="shared" ref="H130:I130" si="74">+(G130*0.1)+G130</f>
        <v>0</v>
      </c>
      <c r="I130" s="435">
        <f t="shared" si="74"/>
        <v>0</v>
      </c>
    </row>
    <row r="131" spans="1:9" s="285" customFormat="1" x14ac:dyDescent="0.25">
      <c r="A131" s="118">
        <v>16</v>
      </c>
      <c r="B131" s="151">
        <v>5815</v>
      </c>
      <c r="C131" s="94" t="s">
        <v>99</v>
      </c>
      <c r="D131" s="85"/>
      <c r="E131" s="85"/>
      <c r="F131" s="85">
        <v>0</v>
      </c>
      <c r="G131" s="85"/>
      <c r="H131" s="435">
        <f t="shared" ref="H131:I131" si="75">+(G131*0.1)+G131</f>
        <v>0</v>
      </c>
      <c r="I131" s="435">
        <f t="shared" si="75"/>
        <v>0</v>
      </c>
    </row>
    <row r="132" spans="1:9" s="285" customFormat="1" x14ac:dyDescent="0.25">
      <c r="A132" s="118">
        <v>16</v>
      </c>
      <c r="B132" s="151">
        <v>5820</v>
      </c>
      <c r="C132" s="94" t="s">
        <v>114</v>
      </c>
      <c r="D132" s="86"/>
      <c r="E132" s="85"/>
      <c r="F132" s="85">
        <v>0</v>
      </c>
      <c r="G132" s="85"/>
      <c r="H132" s="435">
        <f t="shared" ref="H132:I132" si="76">+(G132*0.1)+G132</f>
        <v>0</v>
      </c>
      <c r="I132" s="435">
        <f t="shared" si="76"/>
        <v>0</v>
      </c>
    </row>
    <row r="133" spans="1:9" s="285" customFormat="1" x14ac:dyDescent="0.25">
      <c r="A133" s="118">
        <v>16</v>
      </c>
      <c r="B133" s="151">
        <v>5825</v>
      </c>
      <c r="C133" s="94" t="s">
        <v>317</v>
      </c>
      <c r="D133" s="86"/>
      <c r="E133" s="85"/>
      <c r="F133" s="85">
        <v>0</v>
      </c>
      <c r="G133" s="85"/>
      <c r="H133" s="435">
        <f t="shared" ref="H133:I133" si="77">+(G133*0.1)+G133</f>
        <v>0</v>
      </c>
      <c r="I133" s="435">
        <f t="shared" si="77"/>
        <v>0</v>
      </c>
    </row>
    <row r="134" spans="1:9" s="285" customFormat="1" x14ac:dyDescent="0.25">
      <c r="A134" s="375">
        <v>16</v>
      </c>
      <c r="B134" s="152">
        <v>5830</v>
      </c>
      <c r="C134" s="106" t="s">
        <v>318</v>
      </c>
      <c r="D134" s="404"/>
      <c r="E134" s="387">
        <v>7667</v>
      </c>
      <c r="F134" s="387">
        <v>7667</v>
      </c>
      <c r="G134" s="387"/>
      <c r="H134" s="435">
        <f t="shared" ref="H134:I134" si="78">+(G134*0.1)+G134</f>
        <v>0</v>
      </c>
      <c r="I134" s="435">
        <f t="shared" si="78"/>
        <v>0</v>
      </c>
    </row>
    <row r="135" spans="1:9" s="285" customFormat="1" x14ac:dyDescent="0.25">
      <c r="A135" s="378">
        <v>16</v>
      </c>
      <c r="B135" s="153">
        <v>5835</v>
      </c>
      <c r="C135" s="97" t="s">
        <v>319</v>
      </c>
      <c r="D135" s="113"/>
      <c r="E135" s="88"/>
      <c r="F135" s="88">
        <f t="shared" si="47"/>
        <v>0</v>
      </c>
      <c r="G135" s="88"/>
      <c r="H135" s="435">
        <f t="shared" ref="H135:I135" si="79">+(G135*0.1)+G135</f>
        <v>0</v>
      </c>
      <c r="I135" s="435">
        <f t="shared" si="79"/>
        <v>0</v>
      </c>
    </row>
    <row r="136" spans="1:9" s="285" customFormat="1" x14ac:dyDescent="0.25">
      <c r="A136" s="118">
        <v>16</v>
      </c>
      <c r="B136" s="151">
        <v>5840</v>
      </c>
      <c r="C136" s="94" t="s">
        <v>332</v>
      </c>
      <c r="D136" s="115"/>
      <c r="E136" s="85"/>
      <c r="F136" s="85">
        <f t="shared" ref="F136" si="80">E136-D136</f>
        <v>0</v>
      </c>
      <c r="G136" s="85"/>
      <c r="H136" s="435">
        <f t="shared" ref="H136:I136" si="81">+(G136*0.1)+G136</f>
        <v>0</v>
      </c>
      <c r="I136" s="435">
        <f t="shared" si="81"/>
        <v>0</v>
      </c>
    </row>
    <row r="137" spans="1:9" s="285" customFormat="1" x14ac:dyDescent="0.25">
      <c r="A137" s="118">
        <v>16</v>
      </c>
      <c r="B137" s="151">
        <v>5845</v>
      </c>
      <c r="C137" s="94" t="s">
        <v>320</v>
      </c>
      <c r="D137" s="86">
        <f>14153+80000</f>
        <v>94153</v>
      </c>
      <c r="E137" s="85">
        <v>163979</v>
      </c>
      <c r="F137" s="85">
        <v>163979</v>
      </c>
      <c r="G137" s="435">
        <v>200000</v>
      </c>
      <c r="H137" s="435">
        <f t="shared" ref="H137:I137" si="82">+(G137*0.1)+G137</f>
        <v>220000</v>
      </c>
      <c r="I137" s="435">
        <f t="shared" si="82"/>
        <v>242000</v>
      </c>
    </row>
    <row r="138" spans="1:9" s="285" customFormat="1" x14ac:dyDescent="0.25">
      <c r="A138" s="118">
        <v>16</v>
      </c>
      <c r="B138" s="151">
        <v>5855</v>
      </c>
      <c r="C138" s="94" t="s">
        <v>321</v>
      </c>
      <c r="D138" s="85"/>
      <c r="E138" s="85"/>
      <c r="F138" s="85">
        <v>0</v>
      </c>
      <c r="G138" s="435"/>
      <c r="H138" s="435">
        <f t="shared" ref="H138:I138" si="83">+(G138*0.1)+G138</f>
        <v>0</v>
      </c>
      <c r="I138" s="435">
        <f t="shared" si="83"/>
        <v>0</v>
      </c>
    </row>
    <row r="139" spans="1:9" s="285" customFormat="1" x14ac:dyDescent="0.25">
      <c r="A139" s="118">
        <v>16</v>
      </c>
      <c r="B139" s="151">
        <v>5860</v>
      </c>
      <c r="C139" s="94" t="s">
        <v>322</v>
      </c>
      <c r="D139" s="85"/>
      <c r="E139" s="85"/>
      <c r="F139" s="85">
        <v>0</v>
      </c>
      <c r="G139" s="435"/>
      <c r="H139" s="435">
        <f t="shared" ref="H139:I139" si="84">+(G139*0.1)+G139</f>
        <v>0</v>
      </c>
      <c r="I139" s="435">
        <f t="shared" si="84"/>
        <v>0</v>
      </c>
    </row>
    <row r="140" spans="1:9" s="285" customFormat="1" x14ac:dyDescent="0.25">
      <c r="A140" s="118">
        <v>16</v>
      </c>
      <c r="B140" s="151">
        <v>5865</v>
      </c>
      <c r="C140" s="94" t="s">
        <v>323</v>
      </c>
      <c r="D140" s="85"/>
      <c r="E140" s="85"/>
      <c r="F140" s="85">
        <v>0</v>
      </c>
      <c r="G140" s="435"/>
      <c r="H140" s="435">
        <f t="shared" ref="H140:I140" si="85">+(G140*0.1)+G140</f>
        <v>0</v>
      </c>
      <c r="I140" s="435">
        <f t="shared" si="85"/>
        <v>0</v>
      </c>
    </row>
    <row r="141" spans="1:9" s="285" customFormat="1" x14ac:dyDescent="0.25">
      <c r="A141" s="118">
        <v>16</v>
      </c>
      <c r="B141" s="151">
        <v>5870</v>
      </c>
      <c r="C141" s="94" t="s">
        <v>324</v>
      </c>
      <c r="D141" s="85"/>
      <c r="E141" s="85"/>
      <c r="F141" s="85">
        <v>0</v>
      </c>
      <c r="G141" s="435"/>
      <c r="H141" s="435">
        <f t="shared" ref="H141:I141" si="86">+(G141*0.1)+G141</f>
        <v>0</v>
      </c>
      <c r="I141" s="435">
        <f t="shared" si="86"/>
        <v>0</v>
      </c>
    </row>
    <row r="142" spans="1:9" s="285" customFormat="1" x14ac:dyDescent="0.25">
      <c r="A142" s="118">
        <v>16</v>
      </c>
      <c r="B142" s="151">
        <v>5875</v>
      </c>
      <c r="C142" s="94" t="s">
        <v>325</v>
      </c>
      <c r="D142" s="85"/>
      <c r="E142" s="85"/>
      <c r="F142" s="85">
        <v>0</v>
      </c>
      <c r="G142" s="435"/>
      <c r="H142" s="435">
        <f t="shared" ref="H142:I142" si="87">+(G142*0.1)+G142</f>
        <v>0</v>
      </c>
      <c r="I142" s="435">
        <f t="shared" si="87"/>
        <v>0</v>
      </c>
    </row>
    <row r="143" spans="1:9" s="285" customFormat="1" x14ac:dyDescent="0.25">
      <c r="A143" s="118">
        <v>16</v>
      </c>
      <c r="B143" s="151">
        <v>5880</v>
      </c>
      <c r="C143" s="94" t="s">
        <v>528</v>
      </c>
      <c r="D143" s="85">
        <v>861474</v>
      </c>
      <c r="E143" s="85">
        <v>400000</v>
      </c>
      <c r="F143" s="85">
        <v>1050000</v>
      </c>
      <c r="G143" s="435">
        <v>1800000</v>
      </c>
      <c r="H143" s="435">
        <f t="shared" ref="H143:I143" si="88">+(G143*0.1)+G143</f>
        <v>1980000</v>
      </c>
      <c r="I143" s="435">
        <f t="shared" si="88"/>
        <v>2178000</v>
      </c>
    </row>
    <row r="144" spans="1:9" s="285" customFormat="1" x14ac:dyDescent="0.25">
      <c r="A144" s="118">
        <v>16</v>
      </c>
      <c r="B144" s="151">
        <v>5885</v>
      </c>
      <c r="C144" s="94" t="s">
        <v>331</v>
      </c>
      <c r="D144" s="85">
        <v>65154</v>
      </c>
      <c r="E144" s="85">
        <v>0</v>
      </c>
      <c r="F144" s="85">
        <v>130000</v>
      </c>
      <c r="G144" s="435">
        <v>100000</v>
      </c>
      <c r="H144" s="435">
        <f t="shared" ref="H144:I144" si="89">+(G144*0.1)+G144</f>
        <v>110000</v>
      </c>
      <c r="I144" s="435">
        <f t="shared" si="89"/>
        <v>121000</v>
      </c>
    </row>
    <row r="145" spans="1:9" s="285" customFormat="1" x14ac:dyDescent="0.25">
      <c r="A145" s="118">
        <v>16</v>
      </c>
      <c r="B145" s="151">
        <v>5890</v>
      </c>
      <c r="C145" s="94" t="s">
        <v>327</v>
      </c>
      <c r="D145" s="85"/>
      <c r="E145" s="85">
        <v>0</v>
      </c>
      <c r="F145" s="85">
        <v>0</v>
      </c>
      <c r="G145" s="85"/>
      <c r="H145" s="435">
        <f t="shared" ref="H145:I145" si="90">+(G145*0.1)+G145</f>
        <v>0</v>
      </c>
      <c r="I145" s="435">
        <f t="shared" si="90"/>
        <v>0</v>
      </c>
    </row>
    <row r="146" spans="1:9" s="285" customFormat="1" x14ac:dyDescent="0.25">
      <c r="A146" s="118">
        <v>16</v>
      </c>
      <c r="B146" s="151">
        <v>5895</v>
      </c>
      <c r="C146" s="94" t="s">
        <v>328</v>
      </c>
      <c r="D146" s="85"/>
      <c r="E146" s="85">
        <v>0</v>
      </c>
      <c r="F146" s="85">
        <v>0</v>
      </c>
      <c r="G146" s="85"/>
      <c r="H146" s="435">
        <f t="shared" ref="H146:I146" si="91">+(G146*0.1)+G146</f>
        <v>0</v>
      </c>
      <c r="I146" s="435">
        <f t="shared" si="91"/>
        <v>0</v>
      </c>
    </row>
    <row r="147" spans="1:9" s="285" customFormat="1" x14ac:dyDescent="0.25">
      <c r="A147" s="118">
        <v>16</v>
      </c>
      <c r="B147" s="151">
        <v>5910</v>
      </c>
      <c r="C147" s="94" t="s">
        <v>330</v>
      </c>
      <c r="D147" s="85"/>
      <c r="E147" s="85">
        <v>0</v>
      </c>
      <c r="F147" s="85">
        <v>0</v>
      </c>
      <c r="G147" s="85"/>
      <c r="H147" s="435">
        <f t="shared" ref="H147:I147" si="92">+(G147*0.1)+G147</f>
        <v>0</v>
      </c>
      <c r="I147" s="435">
        <f t="shared" si="92"/>
        <v>0</v>
      </c>
    </row>
    <row r="148" spans="1:9" s="285" customFormat="1" x14ac:dyDescent="0.25">
      <c r="A148" s="344"/>
      <c r="B148" s="151"/>
      <c r="C148" s="94"/>
      <c r="D148" s="89">
        <f t="shared" ref="D148:I148" si="93">SUM(D72:D147)</f>
        <v>3592919</v>
      </c>
      <c r="E148" s="89">
        <f t="shared" si="93"/>
        <v>4788624</v>
      </c>
      <c r="F148" s="89">
        <f t="shared" si="93"/>
        <v>6878624</v>
      </c>
      <c r="G148" s="436">
        <f t="shared" si="93"/>
        <v>6433000</v>
      </c>
      <c r="H148" s="436">
        <f t="shared" si="93"/>
        <v>7076300</v>
      </c>
      <c r="I148" s="436">
        <f t="shared" si="93"/>
        <v>7783930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16</v>
      </c>
      <c r="B150" s="151">
        <v>6005</v>
      </c>
      <c r="C150" s="94" t="s">
        <v>188</v>
      </c>
      <c r="D150" s="85"/>
      <c r="E150" s="108"/>
      <c r="F150" s="85">
        <f>E150-D150</f>
        <v>0</v>
      </c>
      <c r="G150" s="85"/>
      <c r="H150" s="85">
        <f>0/8*12</f>
        <v>0</v>
      </c>
      <c r="I150" s="108">
        <v>0</v>
      </c>
    </row>
    <row r="151" spans="1:9" s="285" customFormat="1" x14ac:dyDescent="0.25">
      <c r="A151" s="344"/>
      <c r="B151" s="151"/>
      <c r="C151" s="94"/>
      <c r="D151" s="89">
        <f t="shared" ref="D151:I151" si="94">SUM(D150)</f>
        <v>0</v>
      </c>
      <c r="E151" s="89">
        <f t="shared" si="94"/>
        <v>0</v>
      </c>
      <c r="F151" s="89">
        <f t="shared" si="94"/>
        <v>0</v>
      </c>
      <c r="G151" s="436">
        <f t="shared" si="94"/>
        <v>0</v>
      </c>
      <c r="H151" s="436">
        <f t="shared" si="94"/>
        <v>0</v>
      </c>
      <c r="I151" s="89">
        <f t="shared" si="94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88"/>
    </row>
    <row r="153" spans="1:9" s="285" customFormat="1" x14ac:dyDescent="0.25">
      <c r="A153" s="118">
        <v>16</v>
      </c>
      <c r="B153" s="151">
        <v>6105</v>
      </c>
      <c r="C153" s="94" t="s">
        <v>336</v>
      </c>
      <c r="D153" s="85"/>
      <c r="E153" s="108">
        <v>0</v>
      </c>
      <c r="F153" s="85">
        <f>E153-D153</f>
        <v>0</v>
      </c>
      <c r="G153" s="85">
        <v>2829000</v>
      </c>
      <c r="H153" s="85">
        <f t="shared" ref="H153:H155" si="95">0/8*12</f>
        <v>0</v>
      </c>
      <c r="I153" s="85">
        <f>E153+H153</f>
        <v>0</v>
      </c>
    </row>
    <row r="154" spans="1:9" s="285" customFormat="1" x14ac:dyDescent="0.25">
      <c r="A154" s="118">
        <v>16</v>
      </c>
      <c r="B154" s="151">
        <v>6110</v>
      </c>
      <c r="C154" s="94" t="s">
        <v>337</v>
      </c>
      <c r="D154" s="85"/>
      <c r="E154" s="108">
        <v>170000</v>
      </c>
      <c r="F154" s="85">
        <f>E154-D154</f>
        <v>170000</v>
      </c>
      <c r="G154" s="85"/>
      <c r="H154" s="85"/>
      <c r="I154" s="85"/>
    </row>
    <row r="155" spans="1:9" s="285" customFormat="1" x14ac:dyDescent="0.25">
      <c r="A155" s="118">
        <v>16</v>
      </c>
      <c r="B155" s="151">
        <v>6115</v>
      </c>
      <c r="C155" s="94" t="s">
        <v>60</v>
      </c>
      <c r="D155" s="85"/>
      <c r="E155" s="108">
        <v>0</v>
      </c>
      <c r="F155" s="85">
        <f>E155-D155</f>
        <v>0</v>
      </c>
      <c r="G155" s="85"/>
      <c r="H155" s="85">
        <f t="shared" si="95"/>
        <v>0</v>
      </c>
      <c r="I155" s="85">
        <f>E155+H155</f>
        <v>0</v>
      </c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:I156" si="96">SUM(E153:E155)</f>
        <v>170000</v>
      </c>
      <c r="F156" s="89">
        <f t="shared" si="96"/>
        <v>170000</v>
      </c>
      <c r="G156" s="436">
        <f t="shared" si="96"/>
        <v>2829000</v>
      </c>
      <c r="H156" s="436">
        <f t="shared" si="96"/>
        <v>0</v>
      </c>
      <c r="I156" s="436">
        <f t="shared" si="96"/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88"/>
    </row>
    <row r="158" spans="1:9" s="285" customFormat="1" x14ac:dyDescent="0.25">
      <c r="A158" s="118">
        <v>16</v>
      </c>
      <c r="B158" s="151">
        <v>6205</v>
      </c>
      <c r="C158" s="94" t="s">
        <v>338</v>
      </c>
      <c r="D158" s="85"/>
      <c r="E158" s="108"/>
      <c r="F158" s="85">
        <f>E158-D158</f>
        <v>0</v>
      </c>
      <c r="G158" s="85"/>
      <c r="H158" s="85">
        <f>0/8*12</f>
        <v>0</v>
      </c>
      <c r="I158" s="85">
        <f>F158*(1+INPUT!C$10)</f>
        <v>0</v>
      </c>
    </row>
    <row r="159" spans="1:9" s="285" customFormat="1" x14ac:dyDescent="0.25">
      <c r="A159" s="118">
        <v>16</v>
      </c>
      <c r="B159" s="151">
        <v>6210</v>
      </c>
      <c r="C159" s="94" t="s">
        <v>339</v>
      </c>
      <c r="D159" s="85"/>
      <c r="E159" s="85"/>
      <c r="F159" s="85">
        <f>E159-D159</f>
        <v>0</v>
      </c>
      <c r="G159" s="85"/>
      <c r="H159" s="85">
        <f>0/8*12</f>
        <v>0</v>
      </c>
      <c r="I159" s="85">
        <f>F159*(1+INPUT!C$10)</f>
        <v>0</v>
      </c>
    </row>
    <row r="160" spans="1:9" s="285" customFormat="1" x14ac:dyDescent="0.25">
      <c r="A160" s="344"/>
      <c r="B160" s="346"/>
      <c r="C160" s="347"/>
      <c r="D160" s="116">
        <f t="shared" ref="D160:F160" si="97">SUM(D158:D159)</f>
        <v>0</v>
      </c>
      <c r="E160" s="116">
        <f t="shared" si="97"/>
        <v>0</v>
      </c>
      <c r="F160" s="116">
        <f t="shared" si="97"/>
        <v>0</v>
      </c>
      <c r="G160" s="448">
        <f t="shared" ref="G160:I160" si="98">SUM(G158:G159)</f>
        <v>0</v>
      </c>
      <c r="H160" s="448">
        <f t="shared" si="98"/>
        <v>0</v>
      </c>
      <c r="I160" s="448">
        <f t="shared" si="98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F161" si="99">D160+D156+D151+D148+D70+D66+D63+D59+D38+D35+D32+D29+D25+D18</f>
        <v>7021815</v>
      </c>
      <c r="E161" s="116">
        <f t="shared" si="99"/>
        <v>11014324</v>
      </c>
      <c r="F161" s="116">
        <f t="shared" si="99"/>
        <v>13089324</v>
      </c>
      <c r="G161" s="448">
        <f t="shared" ref="G161:I161" si="100">G160+G156+G151+G148+G70+G66+G63+G59+G38+G35+G32+G29+G25+G18</f>
        <v>15758175.6</v>
      </c>
      <c r="H161" s="448">
        <f t="shared" si="100"/>
        <v>14016295.5408</v>
      </c>
      <c r="I161" s="448">
        <f t="shared" si="100"/>
        <v>15198133.2375744</v>
      </c>
    </row>
    <row r="162" spans="1:9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9"/>
      <c r="H162" s="449"/>
      <c r="I162" s="449"/>
    </row>
    <row r="163" spans="1:9" s="285" customFormat="1" hidden="1" x14ac:dyDescent="0.25">
      <c r="A163" s="118">
        <v>16</v>
      </c>
      <c r="B163" s="151">
        <v>6305</v>
      </c>
      <c r="C163" s="94" t="s">
        <v>190</v>
      </c>
      <c r="D163" s="85"/>
      <c r="E163" s="85"/>
      <c r="F163" s="85">
        <f>E163-D163</f>
        <v>0</v>
      </c>
      <c r="G163" s="435">
        <f t="shared" ref="G163:I163" si="101">F163-E163</f>
        <v>0</v>
      </c>
      <c r="H163" s="435">
        <f t="shared" si="101"/>
        <v>0</v>
      </c>
      <c r="I163" s="435">
        <f t="shared" si="101"/>
        <v>0</v>
      </c>
    </row>
    <row r="164" spans="1:9" s="285" customFormat="1" hidden="1" x14ac:dyDescent="0.25">
      <c r="A164" s="344"/>
      <c r="B164" s="151"/>
      <c r="C164" s="94"/>
      <c r="D164" s="116">
        <f t="shared" ref="D164:F164" si="102">D163</f>
        <v>0</v>
      </c>
      <c r="E164" s="116">
        <f t="shared" si="102"/>
        <v>0</v>
      </c>
      <c r="F164" s="116">
        <f t="shared" si="102"/>
        <v>0</v>
      </c>
      <c r="G164" s="448">
        <f t="shared" ref="G164:I164" si="103">G163</f>
        <v>0</v>
      </c>
      <c r="H164" s="448">
        <f t="shared" si="103"/>
        <v>0</v>
      </c>
      <c r="I164" s="448">
        <f t="shared" si="103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F165" si="104">SUM(D161+D164)</f>
        <v>7021815</v>
      </c>
      <c r="E165" s="160">
        <f t="shared" si="104"/>
        <v>11014324</v>
      </c>
      <c r="F165" s="160">
        <f t="shared" si="104"/>
        <v>13089324</v>
      </c>
      <c r="G165" s="463">
        <f t="shared" ref="G165:I165" si="105">SUM(G161+G164)</f>
        <v>15758175.6</v>
      </c>
      <c r="H165" s="463">
        <f t="shared" si="105"/>
        <v>14016295.5408</v>
      </c>
      <c r="I165" s="463">
        <f t="shared" si="105"/>
        <v>15198133.2375744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384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385"/>
    </row>
    <row r="168" spans="1:9" s="285" customFormat="1" x14ac:dyDescent="0.25">
      <c r="A168" s="349"/>
      <c r="B168" s="710" t="s">
        <v>418</v>
      </c>
      <c r="C168" s="710"/>
      <c r="D168" s="711"/>
      <c r="E168" s="341"/>
      <c r="F168" s="341"/>
      <c r="G168" s="425"/>
      <c r="H168" s="341"/>
      <c r="I168" s="342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122"/>
    </row>
    <row r="172" spans="1:9" s="285" customFormat="1" hidden="1" x14ac:dyDescent="0.25">
      <c r="A172" s="118">
        <v>16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08">
        <f>F172*(1+INPUT!C15)</f>
        <v>0</v>
      </c>
    </row>
    <row r="173" spans="1:9" s="285" customFormat="1" hidden="1" x14ac:dyDescent="0.25">
      <c r="A173" s="118">
        <v>16</v>
      </c>
      <c r="B173" s="151">
        <v>5725</v>
      </c>
      <c r="C173" s="94" t="s">
        <v>402</v>
      </c>
      <c r="D173" s="85">
        <v>0</v>
      </c>
      <c r="E173" s="85">
        <v>0</v>
      </c>
      <c r="F173" s="85">
        <v>0</v>
      </c>
      <c r="G173" s="85"/>
      <c r="H173" s="85"/>
      <c r="I173" s="85">
        <f>F173*(1+INPUT!C$10)</f>
        <v>0</v>
      </c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122"/>
    </row>
    <row r="176" spans="1:9" s="285" customFormat="1" hidden="1" x14ac:dyDescent="0.25">
      <c r="A176" s="118">
        <v>16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98"/>
      <c r="H176" s="98"/>
      <c r="I176" s="122">
        <f>F176*(1+INPUT!C18)</f>
        <v>0</v>
      </c>
    </row>
    <row r="177" spans="1:9" s="285" customFormat="1" hidden="1" x14ac:dyDescent="0.25">
      <c r="A177" s="118">
        <v>16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98"/>
      <c r="H177" s="98"/>
      <c r="I177" s="122">
        <f>F177*(1+INPUT!C19)</f>
        <v>0</v>
      </c>
    </row>
    <row r="178" spans="1:9" s="285" customFormat="1" hidden="1" x14ac:dyDescent="0.25">
      <c r="A178" s="118">
        <v>16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98"/>
      <c r="H178" s="98"/>
      <c r="I178" s="122">
        <f>F178*(1+INPUT!C20)</f>
        <v>0</v>
      </c>
    </row>
    <row r="179" spans="1:9" s="285" customFormat="1" hidden="1" x14ac:dyDescent="0.25">
      <c r="A179" s="118">
        <v>16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98"/>
      <c r="H179" s="98"/>
      <c r="I179" s="122">
        <f>F179*(1+INPUT!C21)</f>
        <v>0</v>
      </c>
    </row>
    <row r="180" spans="1:9" s="285" customFormat="1" hidden="1" x14ac:dyDescent="0.25">
      <c r="A180" s="118">
        <v>16</v>
      </c>
      <c r="B180" s="151">
        <v>1143</v>
      </c>
      <c r="C180" s="94" t="s">
        <v>109</v>
      </c>
      <c r="D180" s="122"/>
      <c r="E180" s="98"/>
      <c r="F180" s="98">
        <f>E180/8*12</f>
        <v>0</v>
      </c>
      <c r="G180" s="98"/>
      <c r="H180" s="98"/>
      <c r="I180" s="122">
        <f>F180*(1+INPUT!C22)</f>
        <v>0</v>
      </c>
    </row>
    <row r="181" spans="1:9" s="285" customFormat="1" x14ac:dyDescent="0.25">
      <c r="A181" s="118">
        <v>16</v>
      </c>
      <c r="B181" s="151">
        <v>5500</v>
      </c>
      <c r="C181" s="94" t="s">
        <v>266</v>
      </c>
      <c r="D181" s="85"/>
      <c r="E181" s="85">
        <v>-33969</v>
      </c>
      <c r="F181" s="85">
        <f t="shared" ref="F181:F200" si="106">E181-D181</f>
        <v>-33969</v>
      </c>
      <c r="G181" s="435">
        <f t="shared" ref="G181:I181" si="107">+(F181*0.1)+F181</f>
        <v>-37365.9</v>
      </c>
      <c r="H181" s="435">
        <f t="shared" si="107"/>
        <v>-41102.490000000005</v>
      </c>
      <c r="I181" s="435">
        <f t="shared" si="107"/>
        <v>-45212.739000000009</v>
      </c>
    </row>
    <row r="182" spans="1:9" s="285" customFormat="1" hidden="1" x14ac:dyDescent="0.25">
      <c r="A182" s="118">
        <v>16</v>
      </c>
      <c r="B182" s="151">
        <v>5705</v>
      </c>
      <c r="C182" s="94" t="s">
        <v>296</v>
      </c>
      <c r="D182" s="85"/>
      <c r="E182" s="85"/>
      <c r="F182" s="85">
        <f t="shared" si="106"/>
        <v>0</v>
      </c>
      <c r="G182" s="435">
        <f t="shared" ref="G182:I182" si="108">+(F182*0.1)+F182</f>
        <v>0</v>
      </c>
      <c r="H182" s="435">
        <f t="shared" si="108"/>
        <v>0</v>
      </c>
      <c r="I182" s="435">
        <f t="shared" si="108"/>
        <v>0</v>
      </c>
    </row>
    <row r="183" spans="1:9" s="285" customFormat="1" hidden="1" x14ac:dyDescent="0.25">
      <c r="A183" s="118">
        <v>16</v>
      </c>
      <c r="B183" s="151">
        <v>1140</v>
      </c>
      <c r="C183" s="94" t="s">
        <v>113</v>
      </c>
      <c r="D183" s="122"/>
      <c r="E183" s="98"/>
      <c r="F183" s="85">
        <f t="shared" si="106"/>
        <v>0</v>
      </c>
      <c r="G183" s="435">
        <f t="shared" ref="G183:I183" si="109">+(F183*0.1)+F183</f>
        <v>0</v>
      </c>
      <c r="H183" s="435">
        <f t="shared" si="109"/>
        <v>0</v>
      </c>
      <c r="I183" s="435">
        <f t="shared" si="109"/>
        <v>0</v>
      </c>
    </row>
    <row r="184" spans="1:9" s="285" customFormat="1" hidden="1" x14ac:dyDescent="0.25">
      <c r="A184" s="118">
        <v>16</v>
      </c>
      <c r="B184" s="151">
        <v>1145</v>
      </c>
      <c r="C184" s="94" t="s">
        <v>132</v>
      </c>
      <c r="D184" s="122"/>
      <c r="E184" s="98"/>
      <c r="F184" s="85">
        <f t="shared" si="106"/>
        <v>0</v>
      </c>
      <c r="G184" s="435">
        <f t="shared" ref="G184:I184" si="110">+(F184*0.1)+F184</f>
        <v>0</v>
      </c>
      <c r="H184" s="435">
        <f t="shared" si="110"/>
        <v>0</v>
      </c>
      <c r="I184" s="435">
        <f t="shared" si="110"/>
        <v>0</v>
      </c>
    </row>
    <row r="185" spans="1:9" s="285" customFormat="1" hidden="1" x14ac:dyDescent="0.25">
      <c r="A185" s="118">
        <v>16</v>
      </c>
      <c r="B185" s="151">
        <v>1150</v>
      </c>
      <c r="C185" s="94" t="s">
        <v>120</v>
      </c>
      <c r="D185" s="122"/>
      <c r="E185" s="98"/>
      <c r="F185" s="85">
        <f t="shared" si="106"/>
        <v>0</v>
      </c>
      <c r="G185" s="435">
        <f t="shared" ref="G185:I185" si="111">+(F185*0.1)+F185</f>
        <v>0</v>
      </c>
      <c r="H185" s="435">
        <f t="shared" si="111"/>
        <v>0</v>
      </c>
      <c r="I185" s="435">
        <f t="shared" si="111"/>
        <v>0</v>
      </c>
    </row>
    <row r="186" spans="1:9" s="285" customFormat="1" hidden="1" x14ac:dyDescent="0.25">
      <c r="A186" s="118">
        <v>16</v>
      </c>
      <c r="B186" s="151">
        <v>1155</v>
      </c>
      <c r="C186" s="94" t="s">
        <v>116</v>
      </c>
      <c r="D186" s="122"/>
      <c r="E186" s="98"/>
      <c r="F186" s="85">
        <f t="shared" si="106"/>
        <v>0</v>
      </c>
      <c r="G186" s="435">
        <f t="shared" ref="G186:I186" si="112">+(F186*0.1)+F186</f>
        <v>0</v>
      </c>
      <c r="H186" s="435">
        <f t="shared" si="112"/>
        <v>0</v>
      </c>
      <c r="I186" s="435">
        <f t="shared" si="112"/>
        <v>0</v>
      </c>
    </row>
    <row r="187" spans="1:9" s="285" customFormat="1" hidden="1" x14ac:dyDescent="0.25">
      <c r="A187" s="118">
        <v>16</v>
      </c>
      <c r="B187" s="151">
        <v>1160</v>
      </c>
      <c r="C187" s="94" t="s">
        <v>101</v>
      </c>
      <c r="D187" s="122"/>
      <c r="E187" s="98"/>
      <c r="F187" s="85">
        <f t="shared" si="106"/>
        <v>0</v>
      </c>
      <c r="G187" s="435">
        <f t="shared" ref="G187:I187" si="113">+(F187*0.1)+F187</f>
        <v>0</v>
      </c>
      <c r="H187" s="435">
        <f t="shared" si="113"/>
        <v>0</v>
      </c>
      <c r="I187" s="435">
        <f t="shared" si="113"/>
        <v>0</v>
      </c>
    </row>
    <row r="188" spans="1:9" s="285" customFormat="1" hidden="1" x14ac:dyDescent="0.25">
      <c r="A188" s="118">
        <v>16</v>
      </c>
      <c r="B188" s="151">
        <v>1165</v>
      </c>
      <c r="C188" s="94" t="s">
        <v>114</v>
      </c>
      <c r="D188" s="122"/>
      <c r="E188" s="98"/>
      <c r="F188" s="85">
        <f t="shared" si="106"/>
        <v>0</v>
      </c>
      <c r="G188" s="435">
        <f t="shared" ref="G188:I188" si="114">+(F188*0.1)+F188</f>
        <v>0</v>
      </c>
      <c r="H188" s="435">
        <f t="shared" si="114"/>
        <v>0</v>
      </c>
      <c r="I188" s="435">
        <f t="shared" si="114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85">
        <f t="shared" si="106"/>
        <v>0</v>
      </c>
      <c r="G189" s="435">
        <f t="shared" ref="G189:I189" si="115">+(F189*0.1)+F189</f>
        <v>0</v>
      </c>
      <c r="H189" s="435">
        <f t="shared" si="115"/>
        <v>0</v>
      </c>
      <c r="I189" s="435">
        <f t="shared" si="115"/>
        <v>0</v>
      </c>
    </row>
    <row r="190" spans="1:9" s="285" customFormat="1" hidden="1" x14ac:dyDescent="0.25">
      <c r="A190" s="118">
        <v>16</v>
      </c>
      <c r="B190" s="151">
        <v>1180</v>
      </c>
      <c r="C190" s="94" t="s">
        <v>404</v>
      </c>
      <c r="D190" s="122"/>
      <c r="E190" s="98"/>
      <c r="F190" s="85">
        <f t="shared" si="106"/>
        <v>0</v>
      </c>
      <c r="G190" s="435">
        <f t="shared" ref="G190:I190" si="116">+(F190*0.1)+F190</f>
        <v>0</v>
      </c>
      <c r="H190" s="435">
        <f t="shared" si="116"/>
        <v>0</v>
      </c>
      <c r="I190" s="435">
        <f t="shared" si="116"/>
        <v>0</v>
      </c>
    </row>
    <row r="191" spans="1:9" s="285" customFormat="1" hidden="1" x14ac:dyDescent="0.25">
      <c r="A191" s="118">
        <v>16</v>
      </c>
      <c r="B191" s="151">
        <v>1185</v>
      </c>
      <c r="C191" s="94" t="s">
        <v>405</v>
      </c>
      <c r="D191" s="122"/>
      <c r="E191" s="98"/>
      <c r="F191" s="85">
        <f t="shared" si="106"/>
        <v>0</v>
      </c>
      <c r="G191" s="435">
        <f t="shared" ref="G191:I191" si="117">+(F191*0.1)+F191</f>
        <v>0</v>
      </c>
      <c r="H191" s="435">
        <f t="shared" si="117"/>
        <v>0</v>
      </c>
      <c r="I191" s="435">
        <f t="shared" si="117"/>
        <v>0</v>
      </c>
    </row>
    <row r="192" spans="1:9" s="285" customFormat="1" hidden="1" x14ac:dyDescent="0.25">
      <c r="A192" s="118">
        <v>16</v>
      </c>
      <c r="B192" s="151">
        <v>1190</v>
      </c>
      <c r="C192" s="94" t="s">
        <v>406</v>
      </c>
      <c r="D192" s="122"/>
      <c r="E192" s="98"/>
      <c r="F192" s="85">
        <f t="shared" si="106"/>
        <v>0</v>
      </c>
      <c r="G192" s="435">
        <f t="shared" ref="G192:I192" si="118">+(F192*0.1)+F192</f>
        <v>0</v>
      </c>
      <c r="H192" s="435">
        <f t="shared" si="118"/>
        <v>0</v>
      </c>
      <c r="I192" s="435">
        <f t="shared" si="118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85">
        <f t="shared" si="106"/>
        <v>0</v>
      </c>
      <c r="G193" s="435">
        <f t="shared" ref="G193:I193" si="119">+(F193*0.1)+F193</f>
        <v>0</v>
      </c>
      <c r="H193" s="435">
        <f t="shared" si="119"/>
        <v>0</v>
      </c>
      <c r="I193" s="435">
        <f t="shared" si="119"/>
        <v>0</v>
      </c>
    </row>
    <row r="194" spans="1:9" s="285" customFormat="1" hidden="1" x14ac:dyDescent="0.25">
      <c r="A194" s="118">
        <v>16</v>
      </c>
      <c r="B194" s="151">
        <v>1195</v>
      </c>
      <c r="C194" s="94" t="s">
        <v>199</v>
      </c>
      <c r="D194" s="122"/>
      <c r="E194" s="98"/>
      <c r="F194" s="85">
        <f t="shared" si="106"/>
        <v>0</v>
      </c>
      <c r="G194" s="435">
        <f t="shared" ref="G194:I194" si="120">+(F194*0.1)+F194</f>
        <v>0</v>
      </c>
      <c r="H194" s="435">
        <f t="shared" si="120"/>
        <v>0</v>
      </c>
      <c r="I194" s="435">
        <f t="shared" si="120"/>
        <v>0</v>
      </c>
    </row>
    <row r="195" spans="1:9" s="285" customFormat="1" hidden="1" x14ac:dyDescent="0.25">
      <c r="A195" s="118">
        <v>16</v>
      </c>
      <c r="B195" s="151">
        <v>1200</v>
      </c>
      <c r="C195" s="94" t="s">
        <v>117</v>
      </c>
      <c r="D195" s="122"/>
      <c r="E195" s="98"/>
      <c r="F195" s="85">
        <f t="shared" si="106"/>
        <v>0</v>
      </c>
      <c r="G195" s="435">
        <f t="shared" ref="G195:I195" si="121">+(F195*0.1)+F195</f>
        <v>0</v>
      </c>
      <c r="H195" s="435">
        <f t="shared" si="121"/>
        <v>0</v>
      </c>
      <c r="I195" s="435">
        <f t="shared" si="121"/>
        <v>0</v>
      </c>
    </row>
    <row r="196" spans="1:9" s="285" customFormat="1" hidden="1" x14ac:dyDescent="0.25">
      <c r="A196" s="118">
        <v>16</v>
      </c>
      <c r="B196" s="151">
        <v>1205</v>
      </c>
      <c r="C196" s="115" t="s">
        <v>105</v>
      </c>
      <c r="D196" s="122"/>
      <c r="E196" s="98"/>
      <c r="F196" s="85">
        <f t="shared" si="106"/>
        <v>0</v>
      </c>
      <c r="G196" s="435">
        <f t="shared" ref="G196:I196" si="122">+(F196*0.1)+F196</f>
        <v>0</v>
      </c>
      <c r="H196" s="435">
        <f t="shared" si="122"/>
        <v>0</v>
      </c>
      <c r="I196" s="435">
        <f t="shared" si="122"/>
        <v>0</v>
      </c>
    </row>
    <row r="197" spans="1:9" s="285" customFormat="1" hidden="1" x14ac:dyDescent="0.25">
      <c r="A197" s="118">
        <v>16</v>
      </c>
      <c r="B197" s="151">
        <v>1210</v>
      </c>
      <c r="C197" s="94" t="s">
        <v>118</v>
      </c>
      <c r="D197" s="122"/>
      <c r="E197" s="98"/>
      <c r="F197" s="85">
        <f t="shared" si="106"/>
        <v>0</v>
      </c>
      <c r="G197" s="435">
        <f t="shared" ref="G197:I197" si="123">+(F197*0.1)+F197</f>
        <v>0</v>
      </c>
      <c r="H197" s="435">
        <f t="shared" si="123"/>
        <v>0</v>
      </c>
      <c r="I197" s="435">
        <f t="shared" si="123"/>
        <v>0</v>
      </c>
    </row>
    <row r="198" spans="1:9" s="285" customFormat="1" hidden="1" x14ac:dyDescent="0.25">
      <c r="A198" s="118">
        <v>16</v>
      </c>
      <c r="B198" s="151">
        <v>1215</v>
      </c>
      <c r="C198" s="94" t="s">
        <v>133</v>
      </c>
      <c r="D198" s="122"/>
      <c r="E198" s="98"/>
      <c r="F198" s="85">
        <f t="shared" si="106"/>
        <v>0</v>
      </c>
      <c r="G198" s="435">
        <f t="shared" ref="G198:I198" si="124">+(F198*0.1)+F198</f>
        <v>0</v>
      </c>
      <c r="H198" s="435">
        <f t="shared" si="124"/>
        <v>0</v>
      </c>
      <c r="I198" s="435">
        <f t="shared" si="124"/>
        <v>0</v>
      </c>
    </row>
    <row r="199" spans="1:9" s="285" customFormat="1" hidden="1" x14ac:dyDescent="0.25">
      <c r="A199" s="118">
        <v>16</v>
      </c>
      <c r="B199" s="151">
        <v>5905</v>
      </c>
      <c r="C199" s="94" t="s">
        <v>329</v>
      </c>
      <c r="D199" s="85"/>
      <c r="E199" s="85"/>
      <c r="F199" s="85">
        <f t="shared" si="106"/>
        <v>0</v>
      </c>
      <c r="G199" s="435">
        <f t="shared" ref="G199:I199" si="125">+(F199*0.1)+F199</f>
        <v>0</v>
      </c>
      <c r="H199" s="435">
        <f t="shared" si="125"/>
        <v>0</v>
      </c>
      <c r="I199" s="435">
        <f t="shared" si="125"/>
        <v>0</v>
      </c>
    </row>
    <row r="200" spans="1:9" s="285" customFormat="1" x14ac:dyDescent="0.25">
      <c r="A200" s="118">
        <v>16</v>
      </c>
      <c r="B200" s="151">
        <v>5900</v>
      </c>
      <c r="C200" s="94" t="s">
        <v>333</v>
      </c>
      <c r="D200" s="85">
        <v>0</v>
      </c>
      <c r="E200" s="85">
        <v>-28373</v>
      </c>
      <c r="F200" s="85">
        <f t="shared" si="106"/>
        <v>-28373</v>
      </c>
      <c r="G200" s="435">
        <f t="shared" ref="G200:I200" si="126">+(F200*0.1)+F200</f>
        <v>-31210.3</v>
      </c>
      <c r="H200" s="435">
        <f t="shared" si="126"/>
        <v>-34331.33</v>
      </c>
      <c r="I200" s="435">
        <f t="shared" si="126"/>
        <v>-37764.463000000003</v>
      </c>
    </row>
    <row r="201" spans="1:9" s="285" customFormat="1" hidden="1" x14ac:dyDescent="0.25">
      <c r="A201" s="118">
        <v>16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98"/>
      <c r="H201" s="98"/>
      <c r="I201" s="122"/>
    </row>
    <row r="202" spans="1:9" s="285" customFormat="1" hidden="1" x14ac:dyDescent="0.25">
      <c r="A202" s="118">
        <v>16</v>
      </c>
      <c r="B202" s="151">
        <v>1225</v>
      </c>
      <c r="C202" s="94" t="s">
        <v>372</v>
      </c>
      <c r="D202" s="122"/>
      <c r="E202" s="98"/>
      <c r="F202" s="98">
        <f>E202/8*12</f>
        <v>0</v>
      </c>
      <c r="G202" s="98"/>
      <c r="H202" s="98"/>
      <c r="I202" s="122"/>
    </row>
    <row r="203" spans="1:9" s="285" customFormat="1" hidden="1" x14ac:dyDescent="0.25">
      <c r="A203" s="118">
        <v>16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98"/>
      <c r="H203" s="98"/>
      <c r="I203" s="122"/>
    </row>
    <row r="204" spans="1:9" s="285" customFormat="1" hidden="1" x14ac:dyDescent="0.25">
      <c r="A204" s="118">
        <v>16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98"/>
      <c r="H204" s="98"/>
      <c r="I204" s="122"/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x14ac:dyDescent="0.25">
      <c r="A206" s="344"/>
      <c r="B206" s="151"/>
      <c r="C206" s="94"/>
      <c r="D206" s="100">
        <f t="shared" ref="D206:F206" si="127">SUM(D176:D204)</f>
        <v>0</v>
      </c>
      <c r="E206" s="100">
        <f t="shared" si="127"/>
        <v>-62342</v>
      </c>
      <c r="F206" s="100">
        <f t="shared" si="127"/>
        <v>-62342</v>
      </c>
      <c r="G206" s="444">
        <f t="shared" ref="G206" si="128">SUM(G176:G204)</f>
        <v>-68576.2</v>
      </c>
      <c r="H206" s="100">
        <f t="shared" ref="H206:I206" si="129">SUM(H176:H204)</f>
        <v>-75433.820000000007</v>
      </c>
      <c r="I206" s="444">
        <f t="shared" si="129"/>
        <v>-82977.202000000019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42"/>
      <c r="H207" s="98"/>
      <c r="I207" s="442"/>
    </row>
    <row r="208" spans="1:9" s="285" customFormat="1" hidden="1" x14ac:dyDescent="0.25">
      <c r="A208" s="118">
        <v>16</v>
      </c>
      <c r="B208" s="151">
        <v>1305</v>
      </c>
      <c r="C208" s="94" t="s">
        <v>342</v>
      </c>
      <c r="D208" s="122"/>
      <c r="E208" s="98"/>
      <c r="F208" s="98">
        <f t="shared" ref="F208:G211" si="130">E208/8*12</f>
        <v>0</v>
      </c>
      <c r="G208" s="442">
        <f t="shared" si="130"/>
        <v>0</v>
      </c>
      <c r="H208" s="98">
        <f t="shared" ref="H208:I211" si="131">F208/8*12</f>
        <v>0</v>
      </c>
      <c r="I208" s="442">
        <f t="shared" si="131"/>
        <v>0</v>
      </c>
    </row>
    <row r="209" spans="1:9" s="285" customFormat="1" hidden="1" x14ac:dyDescent="0.25">
      <c r="A209" s="118">
        <v>16</v>
      </c>
      <c r="B209" s="151">
        <v>1310</v>
      </c>
      <c r="C209" s="94" t="s">
        <v>344</v>
      </c>
      <c r="D209" s="122"/>
      <c r="E209" s="98"/>
      <c r="F209" s="98">
        <f t="shared" si="130"/>
        <v>0</v>
      </c>
      <c r="G209" s="442">
        <f t="shared" si="130"/>
        <v>0</v>
      </c>
      <c r="H209" s="98">
        <f t="shared" si="131"/>
        <v>0</v>
      </c>
      <c r="I209" s="442">
        <f t="shared" si="131"/>
        <v>0</v>
      </c>
    </row>
    <row r="210" spans="1:9" s="285" customFormat="1" hidden="1" x14ac:dyDescent="0.25">
      <c r="A210" s="118">
        <v>16</v>
      </c>
      <c r="B210" s="151">
        <v>1320</v>
      </c>
      <c r="C210" s="94" t="s">
        <v>345</v>
      </c>
      <c r="D210" s="122"/>
      <c r="E210" s="98"/>
      <c r="F210" s="98">
        <f t="shared" si="130"/>
        <v>0</v>
      </c>
      <c r="G210" s="442">
        <f t="shared" si="130"/>
        <v>0</v>
      </c>
      <c r="H210" s="98">
        <f t="shared" si="131"/>
        <v>0</v>
      </c>
      <c r="I210" s="442">
        <f t="shared" si="131"/>
        <v>0</v>
      </c>
    </row>
    <row r="211" spans="1:9" s="285" customFormat="1" hidden="1" x14ac:dyDescent="0.25">
      <c r="A211" s="118">
        <v>16</v>
      </c>
      <c r="B211" s="151">
        <v>1315</v>
      </c>
      <c r="C211" s="94" t="s">
        <v>346</v>
      </c>
      <c r="D211" s="122"/>
      <c r="E211" s="108"/>
      <c r="F211" s="98">
        <f t="shared" si="130"/>
        <v>0</v>
      </c>
      <c r="G211" s="442">
        <f t="shared" si="130"/>
        <v>0</v>
      </c>
      <c r="H211" s="98">
        <f t="shared" si="131"/>
        <v>0</v>
      </c>
      <c r="I211" s="442">
        <f t="shared" si="131"/>
        <v>0</v>
      </c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 t="shared" ref="E212:H212" si="132">SUM(E208:E211)</f>
        <v>0</v>
      </c>
      <c r="F212" s="99">
        <f t="shared" si="132"/>
        <v>0</v>
      </c>
      <c r="G212" s="443">
        <f t="shared" ref="G212" si="133">SUM(G208:G211)</f>
        <v>0</v>
      </c>
      <c r="H212" s="99">
        <f t="shared" si="132"/>
        <v>0</v>
      </c>
      <c r="I212" s="443">
        <f t="shared" ref="I212" si="134">SUM(I208:I211)</f>
        <v>0</v>
      </c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42"/>
      <c r="H213" s="98"/>
      <c r="I213" s="442"/>
    </row>
    <row r="214" spans="1:9" s="285" customFormat="1" hidden="1" x14ac:dyDescent="0.25">
      <c r="A214" s="118">
        <v>16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42">
        <f>F214/8*12</f>
        <v>0</v>
      </c>
      <c r="H214" s="98">
        <f>F214/8*12</f>
        <v>0</v>
      </c>
      <c r="I214" s="442">
        <f>G214/8*12</f>
        <v>0</v>
      </c>
    </row>
    <row r="215" spans="1:9" s="285" customFormat="1" hidden="1" x14ac:dyDescent="0.25">
      <c r="A215" s="118">
        <v>16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42">
        <f>F215/8*12</f>
        <v>0</v>
      </c>
      <c r="H215" s="98">
        <f>F215/8*12</f>
        <v>0</v>
      </c>
      <c r="I215" s="442">
        <f>G215/8*12</f>
        <v>0</v>
      </c>
    </row>
    <row r="216" spans="1:9" s="285" customFormat="1" hidden="1" x14ac:dyDescent="0.25">
      <c r="A216" s="344"/>
      <c r="B216" s="151"/>
      <c r="C216" s="94"/>
      <c r="D216" s="99">
        <f t="shared" ref="D216:F216" si="135">SUM(D214:D215)</f>
        <v>0</v>
      </c>
      <c r="E216" s="99">
        <f t="shared" si="135"/>
        <v>0</v>
      </c>
      <c r="F216" s="99">
        <f t="shared" si="135"/>
        <v>0</v>
      </c>
      <c r="G216" s="443">
        <f t="shared" ref="G216" si="136">SUM(G214:G215)</f>
        <v>0</v>
      </c>
      <c r="H216" s="99">
        <f t="shared" ref="H216:I216" si="137">SUM(H214:H215)</f>
        <v>0</v>
      </c>
      <c r="I216" s="443">
        <f t="shared" si="137"/>
        <v>0</v>
      </c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42"/>
      <c r="H217" s="98"/>
      <c r="I217" s="442"/>
    </row>
    <row r="218" spans="1:9" s="285" customFormat="1" hidden="1" x14ac:dyDescent="0.25">
      <c r="A218" s="118">
        <v>16</v>
      </c>
      <c r="B218" s="151">
        <v>1500</v>
      </c>
      <c r="C218" s="94" t="s">
        <v>106</v>
      </c>
      <c r="D218" s="122"/>
      <c r="E218" s="108"/>
      <c r="F218" s="98">
        <f t="shared" ref="F218:G220" si="138">E218/8*12</f>
        <v>0</v>
      </c>
      <c r="G218" s="442">
        <f t="shared" si="138"/>
        <v>0</v>
      </c>
      <c r="H218" s="98">
        <f t="shared" ref="H218:I220" si="139">F218/8*12</f>
        <v>0</v>
      </c>
      <c r="I218" s="442">
        <f t="shared" si="139"/>
        <v>0</v>
      </c>
    </row>
    <row r="219" spans="1:9" s="285" customFormat="1" hidden="1" x14ac:dyDescent="0.25">
      <c r="A219" s="118">
        <v>16</v>
      </c>
      <c r="B219" s="151">
        <v>1505</v>
      </c>
      <c r="C219" s="94" t="s">
        <v>71</v>
      </c>
      <c r="D219" s="122"/>
      <c r="E219" s="108"/>
      <c r="F219" s="98">
        <f t="shared" si="138"/>
        <v>0</v>
      </c>
      <c r="G219" s="442">
        <f t="shared" si="138"/>
        <v>0</v>
      </c>
      <c r="H219" s="98">
        <f t="shared" si="139"/>
        <v>0</v>
      </c>
      <c r="I219" s="442">
        <f t="shared" si="139"/>
        <v>0</v>
      </c>
    </row>
    <row r="220" spans="1:9" s="285" customFormat="1" hidden="1" x14ac:dyDescent="0.25">
      <c r="A220" s="118">
        <v>16</v>
      </c>
      <c r="B220" s="151">
        <v>1510</v>
      </c>
      <c r="C220" s="94" t="s">
        <v>72</v>
      </c>
      <c r="D220" s="122"/>
      <c r="E220" s="108"/>
      <c r="F220" s="98">
        <f t="shared" si="138"/>
        <v>0</v>
      </c>
      <c r="G220" s="442">
        <f t="shared" si="138"/>
        <v>0</v>
      </c>
      <c r="H220" s="98">
        <f t="shared" si="139"/>
        <v>0</v>
      </c>
      <c r="I220" s="442">
        <f t="shared" si="139"/>
        <v>0</v>
      </c>
    </row>
    <row r="221" spans="1:9" s="285" customFormat="1" hidden="1" x14ac:dyDescent="0.25">
      <c r="A221" s="344"/>
      <c r="B221" s="151"/>
      <c r="C221" s="94"/>
      <c r="D221" s="99">
        <f t="shared" ref="D221:F221" si="140">SUM(D218:D220)</f>
        <v>0</v>
      </c>
      <c r="E221" s="99">
        <f t="shared" si="140"/>
        <v>0</v>
      </c>
      <c r="F221" s="99">
        <f t="shared" si="140"/>
        <v>0</v>
      </c>
      <c r="G221" s="443">
        <f t="shared" ref="G221" si="141">SUM(G218:G220)</f>
        <v>0</v>
      </c>
      <c r="H221" s="99">
        <f t="shared" ref="H221:I221" si="142">SUM(H218:H220)</f>
        <v>0</v>
      </c>
      <c r="I221" s="443">
        <f t="shared" si="142"/>
        <v>0</v>
      </c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42"/>
      <c r="H222" s="98"/>
      <c r="I222" s="442"/>
    </row>
    <row r="223" spans="1:9" s="285" customFormat="1" hidden="1" x14ac:dyDescent="0.25">
      <c r="A223" s="118">
        <v>16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42">
        <f>F223/8*12</f>
        <v>0</v>
      </c>
      <c r="H223" s="98">
        <f>F223/8*12</f>
        <v>0</v>
      </c>
      <c r="I223" s="442">
        <f>G223/8*12</f>
        <v>0</v>
      </c>
    </row>
    <row r="224" spans="1:9" s="285" customFormat="1" hidden="1" x14ac:dyDescent="0.25">
      <c r="A224" s="118">
        <v>16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42">
        <f>F224/8*12</f>
        <v>0</v>
      </c>
      <c r="H224" s="98">
        <f>F224/8*12</f>
        <v>0</v>
      </c>
      <c r="I224" s="442">
        <f>G224/8*12</f>
        <v>0</v>
      </c>
    </row>
    <row r="225" spans="1:9" s="285" customFormat="1" hidden="1" x14ac:dyDescent="0.25">
      <c r="A225" s="344"/>
      <c r="B225" s="151"/>
      <c r="C225" s="94"/>
      <c r="D225" s="100">
        <f t="shared" ref="D225:F225" si="143">SUM(D223:D224)</f>
        <v>0</v>
      </c>
      <c r="E225" s="100">
        <f t="shared" si="143"/>
        <v>0</v>
      </c>
      <c r="F225" s="100">
        <f t="shared" si="143"/>
        <v>0</v>
      </c>
      <c r="G225" s="444">
        <f t="shared" ref="G225" si="144">SUM(G223:G224)</f>
        <v>0</v>
      </c>
      <c r="H225" s="100">
        <f t="shared" ref="H225:I225" si="145">SUM(H223:H224)</f>
        <v>0</v>
      </c>
      <c r="I225" s="444">
        <f t="shared" si="145"/>
        <v>0</v>
      </c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42"/>
      <c r="H226" s="98"/>
      <c r="I226" s="442"/>
    </row>
    <row r="227" spans="1:9" s="285" customFormat="1" hidden="1" x14ac:dyDescent="0.25">
      <c r="A227" s="118">
        <v>16</v>
      </c>
      <c r="B227" s="151">
        <v>1605</v>
      </c>
      <c r="C227" s="94" t="s">
        <v>75</v>
      </c>
      <c r="D227" s="122"/>
      <c r="E227" s="98"/>
      <c r="F227" s="98">
        <f t="shared" ref="F227:G239" si="146">E227/8*12</f>
        <v>0</v>
      </c>
      <c r="G227" s="442">
        <f t="shared" si="146"/>
        <v>0</v>
      </c>
      <c r="H227" s="98">
        <f t="shared" ref="H227:I239" si="147">F227/8*12</f>
        <v>0</v>
      </c>
      <c r="I227" s="442">
        <f t="shared" si="147"/>
        <v>0</v>
      </c>
    </row>
    <row r="228" spans="1:9" s="285" customFormat="1" hidden="1" x14ac:dyDescent="0.25">
      <c r="A228" s="118">
        <v>16</v>
      </c>
      <c r="B228" s="151">
        <v>1610</v>
      </c>
      <c r="C228" s="94" t="s">
        <v>131</v>
      </c>
      <c r="D228" s="122"/>
      <c r="E228" s="108"/>
      <c r="F228" s="98">
        <f t="shared" si="146"/>
        <v>0</v>
      </c>
      <c r="G228" s="442">
        <f t="shared" si="146"/>
        <v>0</v>
      </c>
      <c r="H228" s="98">
        <f t="shared" si="147"/>
        <v>0</v>
      </c>
      <c r="I228" s="442">
        <f t="shared" si="147"/>
        <v>0</v>
      </c>
    </row>
    <row r="229" spans="1:9" s="285" customFormat="1" hidden="1" x14ac:dyDescent="0.25">
      <c r="A229" s="118">
        <v>16</v>
      </c>
      <c r="B229" s="151">
        <v>1615</v>
      </c>
      <c r="C229" s="94" t="s">
        <v>182</v>
      </c>
      <c r="D229" s="122"/>
      <c r="E229" s="108"/>
      <c r="F229" s="98">
        <f t="shared" si="146"/>
        <v>0</v>
      </c>
      <c r="G229" s="442">
        <f t="shared" si="146"/>
        <v>0</v>
      </c>
      <c r="H229" s="98">
        <f t="shared" si="147"/>
        <v>0</v>
      </c>
      <c r="I229" s="442">
        <f t="shared" si="147"/>
        <v>0</v>
      </c>
    </row>
    <row r="230" spans="1:9" s="285" customFormat="1" hidden="1" x14ac:dyDescent="0.25">
      <c r="A230" s="118">
        <v>16</v>
      </c>
      <c r="B230" s="151">
        <v>1620</v>
      </c>
      <c r="C230" s="94" t="s">
        <v>255</v>
      </c>
      <c r="D230" s="122"/>
      <c r="E230" s="108"/>
      <c r="F230" s="98">
        <f t="shared" si="146"/>
        <v>0</v>
      </c>
      <c r="G230" s="442">
        <f t="shared" si="146"/>
        <v>0</v>
      </c>
      <c r="H230" s="98">
        <f t="shared" si="147"/>
        <v>0</v>
      </c>
      <c r="I230" s="442">
        <f t="shared" si="147"/>
        <v>0</v>
      </c>
    </row>
    <row r="231" spans="1:9" s="285" customFormat="1" hidden="1" x14ac:dyDescent="0.25">
      <c r="A231" s="118">
        <v>16</v>
      </c>
      <c r="B231" s="151">
        <v>1625</v>
      </c>
      <c r="C231" s="94" t="s">
        <v>108</v>
      </c>
      <c r="D231" s="122"/>
      <c r="E231" s="108"/>
      <c r="F231" s="98">
        <f t="shared" si="146"/>
        <v>0</v>
      </c>
      <c r="G231" s="442">
        <f t="shared" si="146"/>
        <v>0</v>
      </c>
      <c r="H231" s="98">
        <f t="shared" si="147"/>
        <v>0</v>
      </c>
      <c r="I231" s="442">
        <f t="shared" si="147"/>
        <v>0</v>
      </c>
    </row>
    <row r="232" spans="1:9" s="285" customFormat="1" hidden="1" x14ac:dyDescent="0.25">
      <c r="A232" s="118">
        <v>16</v>
      </c>
      <c r="B232" s="151">
        <v>1630</v>
      </c>
      <c r="C232" s="94" t="s">
        <v>76</v>
      </c>
      <c r="D232" s="122"/>
      <c r="E232" s="108"/>
      <c r="F232" s="98">
        <f t="shared" si="146"/>
        <v>0</v>
      </c>
      <c r="G232" s="442">
        <f t="shared" si="146"/>
        <v>0</v>
      </c>
      <c r="H232" s="98">
        <f t="shared" si="147"/>
        <v>0</v>
      </c>
      <c r="I232" s="442">
        <f t="shared" si="147"/>
        <v>0</v>
      </c>
    </row>
    <row r="233" spans="1:9" s="285" customFormat="1" hidden="1" x14ac:dyDescent="0.25">
      <c r="A233" s="118">
        <v>16</v>
      </c>
      <c r="B233" s="151">
        <v>1635</v>
      </c>
      <c r="C233" s="94" t="s">
        <v>180</v>
      </c>
      <c r="D233" s="122"/>
      <c r="E233" s="108"/>
      <c r="F233" s="98">
        <f t="shared" si="146"/>
        <v>0</v>
      </c>
      <c r="G233" s="442">
        <f t="shared" si="146"/>
        <v>0</v>
      </c>
      <c r="H233" s="98">
        <f t="shared" si="147"/>
        <v>0</v>
      </c>
      <c r="I233" s="442">
        <f t="shared" si="147"/>
        <v>0</v>
      </c>
    </row>
    <row r="234" spans="1:9" s="285" customFormat="1" hidden="1" x14ac:dyDescent="0.25">
      <c r="A234" s="118">
        <v>16</v>
      </c>
      <c r="B234" s="151">
        <v>1640</v>
      </c>
      <c r="C234" s="94" t="s">
        <v>184</v>
      </c>
      <c r="D234" s="122"/>
      <c r="E234" s="108"/>
      <c r="F234" s="98">
        <f t="shared" si="146"/>
        <v>0</v>
      </c>
      <c r="G234" s="442">
        <f t="shared" si="146"/>
        <v>0</v>
      </c>
      <c r="H234" s="98">
        <f t="shared" si="147"/>
        <v>0</v>
      </c>
      <c r="I234" s="442">
        <f t="shared" si="147"/>
        <v>0</v>
      </c>
    </row>
    <row r="235" spans="1:9" s="285" customFormat="1" hidden="1" x14ac:dyDescent="0.25">
      <c r="A235" s="118">
        <v>16</v>
      </c>
      <c r="B235" s="151">
        <v>1645</v>
      </c>
      <c r="C235" s="94" t="s">
        <v>77</v>
      </c>
      <c r="D235" s="122"/>
      <c r="E235" s="108"/>
      <c r="F235" s="98">
        <f t="shared" si="146"/>
        <v>0</v>
      </c>
      <c r="G235" s="442">
        <f t="shared" si="146"/>
        <v>0</v>
      </c>
      <c r="H235" s="98">
        <f t="shared" si="147"/>
        <v>0</v>
      </c>
      <c r="I235" s="442">
        <f t="shared" si="147"/>
        <v>0</v>
      </c>
    </row>
    <row r="236" spans="1:9" s="285" customFormat="1" hidden="1" x14ac:dyDescent="0.25">
      <c r="A236" s="118">
        <v>16</v>
      </c>
      <c r="B236" s="151">
        <v>1650</v>
      </c>
      <c r="C236" s="94" t="s">
        <v>78</v>
      </c>
      <c r="D236" s="122"/>
      <c r="E236" s="108"/>
      <c r="F236" s="98">
        <f t="shared" si="146"/>
        <v>0</v>
      </c>
      <c r="G236" s="442">
        <f t="shared" si="146"/>
        <v>0</v>
      </c>
      <c r="H236" s="98">
        <f t="shared" si="147"/>
        <v>0</v>
      </c>
      <c r="I236" s="442">
        <f t="shared" si="147"/>
        <v>0</v>
      </c>
    </row>
    <row r="237" spans="1:9" s="285" customFormat="1" hidden="1" x14ac:dyDescent="0.25">
      <c r="A237" s="118">
        <v>16</v>
      </c>
      <c r="B237" s="151"/>
      <c r="C237" s="94" t="s">
        <v>200</v>
      </c>
      <c r="D237" s="122"/>
      <c r="E237" s="108"/>
      <c r="F237" s="98">
        <f t="shared" si="146"/>
        <v>0</v>
      </c>
      <c r="G237" s="442">
        <f t="shared" si="146"/>
        <v>0</v>
      </c>
      <c r="H237" s="98">
        <f t="shared" si="147"/>
        <v>0</v>
      </c>
      <c r="I237" s="442">
        <f t="shared" si="147"/>
        <v>0</v>
      </c>
    </row>
    <row r="238" spans="1:9" s="285" customFormat="1" hidden="1" x14ac:dyDescent="0.25">
      <c r="A238" s="118">
        <v>16</v>
      </c>
      <c r="B238" s="151">
        <v>1660</v>
      </c>
      <c r="C238" s="94" t="s">
        <v>185</v>
      </c>
      <c r="D238" s="122"/>
      <c r="E238" s="108"/>
      <c r="F238" s="98">
        <f t="shared" si="146"/>
        <v>0</v>
      </c>
      <c r="G238" s="442">
        <f t="shared" si="146"/>
        <v>0</v>
      </c>
      <c r="H238" s="98">
        <f t="shared" si="147"/>
        <v>0</v>
      </c>
      <c r="I238" s="442">
        <f t="shared" si="147"/>
        <v>0</v>
      </c>
    </row>
    <row r="239" spans="1:9" s="285" customFormat="1" hidden="1" x14ac:dyDescent="0.25">
      <c r="A239" s="118">
        <v>16</v>
      </c>
      <c r="B239" s="151">
        <v>1665</v>
      </c>
      <c r="C239" s="94" t="s">
        <v>181</v>
      </c>
      <c r="D239" s="122"/>
      <c r="E239" s="108"/>
      <c r="F239" s="98">
        <f t="shared" si="146"/>
        <v>0</v>
      </c>
      <c r="G239" s="442">
        <f t="shared" si="146"/>
        <v>0</v>
      </c>
      <c r="H239" s="98">
        <f t="shared" si="147"/>
        <v>0</v>
      </c>
      <c r="I239" s="442">
        <f t="shared" si="147"/>
        <v>0</v>
      </c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:H240" si="148">SUM(E227:E239)</f>
        <v>0</v>
      </c>
      <c r="F240" s="99">
        <f t="shared" si="148"/>
        <v>0</v>
      </c>
      <c r="G240" s="443">
        <f t="shared" ref="G240" si="149">SUM(G227:G239)</f>
        <v>0</v>
      </c>
      <c r="H240" s="99">
        <f t="shared" si="148"/>
        <v>0</v>
      </c>
      <c r="I240" s="443">
        <f t="shared" ref="I240" si="150">SUM(I227:I239)</f>
        <v>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42"/>
      <c r="H241" s="98"/>
      <c r="I241" s="442"/>
    </row>
    <row r="242" spans="1:9" s="285" customFormat="1" hidden="1" x14ac:dyDescent="0.25">
      <c r="A242" s="118">
        <v>16</v>
      </c>
      <c r="B242" s="151">
        <v>1705</v>
      </c>
      <c r="C242" s="94" t="s">
        <v>123</v>
      </c>
      <c r="D242" s="122"/>
      <c r="E242" s="98"/>
      <c r="F242" s="98">
        <f t="shared" ref="F242:G247" si="151">E242/8*12</f>
        <v>0</v>
      </c>
      <c r="G242" s="442">
        <f t="shared" si="151"/>
        <v>0</v>
      </c>
      <c r="H242" s="98">
        <f t="shared" ref="H242:I247" si="152">F242/8*12</f>
        <v>0</v>
      </c>
      <c r="I242" s="442">
        <f t="shared" si="152"/>
        <v>0</v>
      </c>
    </row>
    <row r="243" spans="1:9" s="285" customFormat="1" hidden="1" x14ac:dyDescent="0.25">
      <c r="A243" s="118">
        <v>16</v>
      </c>
      <c r="B243" s="151">
        <v>1710</v>
      </c>
      <c r="C243" s="94" t="s">
        <v>242</v>
      </c>
      <c r="D243" s="122"/>
      <c r="E243" s="98"/>
      <c r="F243" s="98">
        <f t="shared" si="151"/>
        <v>0</v>
      </c>
      <c r="G243" s="442">
        <f t="shared" si="151"/>
        <v>0</v>
      </c>
      <c r="H243" s="98">
        <f t="shared" si="152"/>
        <v>0</v>
      </c>
      <c r="I243" s="442">
        <f t="shared" si="152"/>
        <v>0</v>
      </c>
    </row>
    <row r="244" spans="1:9" s="285" customFormat="1" hidden="1" x14ac:dyDescent="0.25">
      <c r="A244" s="118">
        <v>16</v>
      </c>
      <c r="B244" s="151">
        <v>1715</v>
      </c>
      <c r="C244" s="94" t="s">
        <v>183</v>
      </c>
      <c r="D244" s="122"/>
      <c r="E244" s="98"/>
      <c r="F244" s="98">
        <f t="shared" si="151"/>
        <v>0</v>
      </c>
      <c r="G244" s="442">
        <f t="shared" si="151"/>
        <v>0</v>
      </c>
      <c r="H244" s="98">
        <f t="shared" si="152"/>
        <v>0</v>
      </c>
      <c r="I244" s="442">
        <f t="shared" si="152"/>
        <v>0</v>
      </c>
    </row>
    <row r="245" spans="1:9" s="285" customFormat="1" hidden="1" x14ac:dyDescent="0.25">
      <c r="A245" s="118">
        <v>16</v>
      </c>
      <c r="B245" s="151">
        <v>1720</v>
      </c>
      <c r="C245" s="94" t="s">
        <v>103</v>
      </c>
      <c r="D245" s="122"/>
      <c r="E245" s="98"/>
      <c r="F245" s="98">
        <f t="shared" si="151"/>
        <v>0</v>
      </c>
      <c r="G245" s="442">
        <f t="shared" si="151"/>
        <v>0</v>
      </c>
      <c r="H245" s="98">
        <f t="shared" si="152"/>
        <v>0</v>
      </c>
      <c r="I245" s="442">
        <f t="shared" si="152"/>
        <v>0</v>
      </c>
    </row>
    <row r="246" spans="1:9" s="285" customFormat="1" hidden="1" x14ac:dyDescent="0.25">
      <c r="A246" s="118">
        <v>16</v>
      </c>
      <c r="B246" s="151">
        <v>1725</v>
      </c>
      <c r="C246" s="94" t="s">
        <v>107</v>
      </c>
      <c r="D246" s="122"/>
      <c r="E246" s="98"/>
      <c r="F246" s="98">
        <f t="shared" si="151"/>
        <v>0</v>
      </c>
      <c r="G246" s="442">
        <f t="shared" si="151"/>
        <v>0</v>
      </c>
      <c r="H246" s="98">
        <f t="shared" si="152"/>
        <v>0</v>
      </c>
      <c r="I246" s="442">
        <f t="shared" si="152"/>
        <v>0</v>
      </c>
    </row>
    <row r="247" spans="1:9" s="285" customFormat="1" hidden="1" x14ac:dyDescent="0.25">
      <c r="A247" s="118">
        <v>16</v>
      </c>
      <c r="B247" s="151">
        <v>1730</v>
      </c>
      <c r="C247" s="94" t="s">
        <v>256</v>
      </c>
      <c r="D247" s="122"/>
      <c r="E247" s="98"/>
      <c r="F247" s="98">
        <f t="shared" si="151"/>
        <v>0</v>
      </c>
      <c r="G247" s="442">
        <f t="shared" si="151"/>
        <v>0</v>
      </c>
      <c r="H247" s="98">
        <f t="shared" si="152"/>
        <v>0</v>
      </c>
      <c r="I247" s="442">
        <f t="shared" si="152"/>
        <v>0</v>
      </c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:H248" si="153">SUM(E242:E247)</f>
        <v>0</v>
      </c>
      <c r="F248" s="99">
        <f t="shared" si="153"/>
        <v>0</v>
      </c>
      <c r="G248" s="443">
        <f t="shared" ref="G248" si="154">SUM(G242:G247)</f>
        <v>0</v>
      </c>
      <c r="H248" s="99">
        <f t="shared" si="153"/>
        <v>0</v>
      </c>
      <c r="I248" s="443">
        <f t="shared" ref="I248" si="155">SUM(I242:I247)</f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42"/>
      <c r="H249" s="98"/>
      <c r="I249" s="442"/>
    </row>
    <row r="250" spans="1:9" s="285" customFormat="1" hidden="1" x14ac:dyDescent="0.25">
      <c r="A250" s="118">
        <v>16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442">
        <f>F250/8*12</f>
        <v>0</v>
      </c>
      <c r="H250" s="98">
        <f>F250/8*12</f>
        <v>0</v>
      </c>
      <c r="I250" s="442">
        <f>G250/8*12</f>
        <v>0</v>
      </c>
    </row>
    <row r="251" spans="1:9" s="285" customFormat="1" hidden="1" x14ac:dyDescent="0.25">
      <c r="A251" s="344"/>
      <c r="B251" s="151"/>
      <c r="C251" s="94"/>
      <c r="D251" s="99">
        <f t="shared" ref="D251:F251" si="156">D250</f>
        <v>0</v>
      </c>
      <c r="E251" s="99">
        <f t="shared" si="156"/>
        <v>0</v>
      </c>
      <c r="F251" s="99">
        <f t="shared" si="156"/>
        <v>0</v>
      </c>
      <c r="G251" s="443">
        <f t="shared" ref="G251" si="157">G250</f>
        <v>0</v>
      </c>
      <c r="H251" s="99">
        <f t="shared" ref="H251:I251" si="158">H250</f>
        <v>0</v>
      </c>
      <c r="I251" s="443">
        <f t="shared" si="158"/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F252" si="159">SUM(D171:D251)/2</f>
        <v>0</v>
      </c>
      <c r="E252" s="117">
        <f t="shared" si="159"/>
        <v>-62342</v>
      </c>
      <c r="F252" s="117">
        <f t="shared" si="159"/>
        <v>-62342</v>
      </c>
      <c r="G252" s="449">
        <f t="shared" ref="G252" si="160">SUM(G171:G251)/2</f>
        <v>-68576.2</v>
      </c>
      <c r="H252" s="117">
        <f t="shared" ref="H252:I252" si="161">SUM(H171:H251)/2</f>
        <v>-75433.820000000007</v>
      </c>
      <c r="I252" s="449">
        <f t="shared" si="161"/>
        <v>-82977.202000000019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449"/>
      <c r="H253" s="117"/>
      <c r="I253" s="449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52"/>
      <c r="H254" s="124"/>
      <c r="I254" s="452"/>
    </row>
    <row r="255" spans="1:9" s="285" customFormat="1" hidden="1" x14ac:dyDescent="0.25">
      <c r="A255" s="118">
        <v>16</v>
      </c>
      <c r="B255" s="151">
        <v>1905</v>
      </c>
      <c r="C255" s="118" t="s">
        <v>194</v>
      </c>
      <c r="D255" s="127"/>
      <c r="E255" s="147"/>
      <c r="F255" s="98">
        <f>E255/8*12</f>
        <v>0</v>
      </c>
      <c r="G255" s="442">
        <f>F255/8*12</f>
        <v>0</v>
      </c>
      <c r="H255" s="98">
        <f>F255/8*12</f>
        <v>0</v>
      </c>
      <c r="I255" s="442">
        <f>G255/8*12</f>
        <v>0</v>
      </c>
    </row>
    <row r="256" spans="1:9" s="285" customFormat="1" hidden="1" x14ac:dyDescent="0.25">
      <c r="A256" s="344"/>
      <c r="B256" s="151"/>
      <c r="C256" s="94"/>
      <c r="D256" s="117">
        <f t="shared" ref="D256:F256" si="162">SUM(D255)</f>
        <v>0</v>
      </c>
      <c r="E256" s="117">
        <f t="shared" si="162"/>
        <v>0</v>
      </c>
      <c r="F256" s="117">
        <f t="shared" si="162"/>
        <v>0</v>
      </c>
      <c r="G256" s="449">
        <f t="shared" ref="G256" si="163">SUM(G255)</f>
        <v>0</v>
      </c>
      <c r="H256" s="117">
        <f t="shared" ref="H256:I256" si="164">SUM(H255)</f>
        <v>0</v>
      </c>
      <c r="I256" s="449">
        <f t="shared" si="164"/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F257" si="165">D252+D256</f>
        <v>0</v>
      </c>
      <c r="E257" s="117">
        <f t="shared" si="165"/>
        <v>-62342</v>
      </c>
      <c r="F257" s="117">
        <f t="shared" si="165"/>
        <v>-62342</v>
      </c>
      <c r="G257" s="449">
        <f t="shared" ref="G257" si="166">G252+G256</f>
        <v>-68576.2</v>
      </c>
      <c r="H257" s="117">
        <f t="shared" ref="H257:I257" si="167">H252+H256</f>
        <v>-75433.820000000007</v>
      </c>
      <c r="I257" s="449">
        <f t="shared" si="167"/>
        <v>-82977.202000000019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53"/>
      <c r="H258" s="125"/>
      <c r="I258" s="453"/>
    </row>
    <row r="259" spans="1:9" s="285" customFormat="1" hidden="1" x14ac:dyDescent="0.25">
      <c r="A259" s="118">
        <v>16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442">
        <f>F259/8*12</f>
        <v>0</v>
      </c>
      <c r="H259" s="98">
        <f>F259/8*12</f>
        <v>0</v>
      </c>
      <c r="I259" s="442">
        <f>G259/8*12</f>
        <v>0</v>
      </c>
    </row>
    <row r="260" spans="1:9" s="285" customFormat="1" hidden="1" x14ac:dyDescent="0.25">
      <c r="A260" s="344"/>
      <c r="B260" s="346"/>
      <c r="C260" s="94"/>
      <c r="D260" s="124">
        <f t="shared" ref="D260:F260" si="168">D259</f>
        <v>0</v>
      </c>
      <c r="E260" s="124">
        <f t="shared" si="168"/>
        <v>0</v>
      </c>
      <c r="F260" s="124">
        <f t="shared" si="168"/>
        <v>0</v>
      </c>
      <c r="G260" s="452">
        <f t="shared" ref="G260" si="169">G259</f>
        <v>0</v>
      </c>
      <c r="H260" s="124">
        <f t="shared" ref="H260:I260" si="170">H259</f>
        <v>0</v>
      </c>
      <c r="I260" s="452">
        <f t="shared" si="170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F261" si="171">D257+D260</f>
        <v>0</v>
      </c>
      <c r="E261" s="160">
        <f t="shared" si="171"/>
        <v>-62342</v>
      </c>
      <c r="F261" s="160">
        <f t="shared" si="171"/>
        <v>-62342</v>
      </c>
      <c r="G261" s="463">
        <f t="shared" ref="G261" si="172">G257+G260</f>
        <v>-68576.2</v>
      </c>
      <c r="H261" s="160">
        <f t="shared" ref="H261:I261" si="173">H257+H260</f>
        <v>-75433.820000000007</v>
      </c>
      <c r="I261" s="463">
        <f t="shared" si="173"/>
        <v>-82977.202000000019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F262" si="174">D261-D165</f>
        <v>-7021815</v>
      </c>
      <c r="E262" s="161">
        <f t="shared" si="174"/>
        <v>-11076666</v>
      </c>
      <c r="F262" s="161">
        <f t="shared" si="174"/>
        <v>-13151666</v>
      </c>
      <c r="G262" s="464">
        <f t="shared" ref="G262" si="175">G261-G165</f>
        <v>-15826751.799999999</v>
      </c>
      <c r="H262" s="161">
        <f t="shared" ref="H262:I262" si="176">H261-H165</f>
        <v>-14091729.3608</v>
      </c>
      <c r="I262" s="464">
        <f t="shared" si="176"/>
        <v>-15281110.4395744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5" spans="1:9" s="285" customFormat="1" x14ac:dyDescent="0.25">
      <c r="B265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" right="0.7" top="0.75" bottom="0.75" header="0.3" footer="0.3"/>
  <pageSetup paperSize="1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7"/>
  <sheetViews>
    <sheetView view="pageBreakPreview" zoomScaleNormal="100" zoomScaleSheetLayoutView="100" workbookViewId="0">
      <selection activeCell="G17" sqref="G17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9.109375" style="96" customWidth="1"/>
    <col min="4" max="4" width="11.33203125" style="96" customWidth="1"/>
    <col min="5" max="5" width="10.88671875" style="96" customWidth="1"/>
    <col min="6" max="6" width="12" style="96" customWidth="1"/>
    <col min="7" max="7" width="10" style="96" customWidth="1"/>
    <col min="8" max="8" width="9.5546875" style="96" customWidth="1"/>
    <col min="9" max="9" width="10.88671875" style="96" customWidth="1"/>
    <col min="10" max="10" width="0" style="96" hidden="1" customWidth="1"/>
    <col min="11" max="16384" width="9.109375" style="96"/>
  </cols>
  <sheetData>
    <row r="1" spans="1:9" ht="12.75" customHeight="1" x14ac:dyDescent="0.25">
      <c r="A1" s="699" t="s">
        <v>144</v>
      </c>
      <c r="B1" s="700"/>
      <c r="C1" s="700"/>
      <c r="D1" s="700"/>
      <c r="E1" s="700"/>
      <c r="F1" s="700"/>
      <c r="G1" s="700"/>
      <c r="H1" s="700"/>
      <c r="I1" s="715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17"/>
    </row>
    <row r="3" spans="1:9" s="285" customFormat="1" x14ac:dyDescent="0.25">
      <c r="A3" s="703" t="s">
        <v>417</v>
      </c>
      <c r="B3" s="704"/>
      <c r="C3" s="704"/>
      <c r="D3" s="704"/>
      <c r="E3" s="704"/>
      <c r="F3" s="704"/>
      <c r="G3" s="704"/>
      <c r="H3" s="704"/>
      <c r="I3" s="705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18</v>
      </c>
      <c r="B7" s="155">
        <v>5005</v>
      </c>
      <c r="C7" s="94" t="s">
        <v>241</v>
      </c>
      <c r="D7" s="85">
        <v>1800</v>
      </c>
      <c r="E7" s="85">
        <v>8110</v>
      </c>
      <c r="F7" s="85">
        <v>8110</v>
      </c>
      <c r="G7" s="435">
        <f t="shared" ref="G7:I17" si="0">(F7*0.068)+F7</f>
        <v>8661.48</v>
      </c>
      <c r="H7" s="435">
        <f t="shared" si="0"/>
        <v>9250.4606399999993</v>
      </c>
      <c r="I7" s="435">
        <f t="shared" si="0"/>
        <v>9879.4919635199985</v>
      </c>
    </row>
    <row r="8" spans="1:9" s="285" customFormat="1" hidden="1" x14ac:dyDescent="0.25">
      <c r="A8" s="118">
        <v>18</v>
      </c>
      <c r="B8" s="151">
        <v>5010</v>
      </c>
      <c r="C8" s="94" t="s">
        <v>34</v>
      </c>
      <c r="D8" s="85"/>
      <c r="E8" s="85"/>
      <c r="F8" s="85"/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18</v>
      </c>
      <c r="B9" s="151">
        <v>5015</v>
      </c>
      <c r="C9" s="94" t="s">
        <v>35</v>
      </c>
      <c r="D9" s="85"/>
      <c r="E9" s="85">
        <v>15200</v>
      </c>
      <c r="F9" s="85">
        <v>15200</v>
      </c>
      <c r="G9" s="435">
        <f t="shared" si="0"/>
        <v>16233.6</v>
      </c>
      <c r="H9" s="435">
        <f t="shared" si="0"/>
        <v>17337.484800000002</v>
      </c>
      <c r="I9" s="435">
        <f t="shared" si="0"/>
        <v>18516.433766400001</v>
      </c>
    </row>
    <row r="10" spans="1:9" s="285" customFormat="1" x14ac:dyDescent="0.25">
      <c r="A10" s="118">
        <v>18</v>
      </c>
      <c r="B10" s="151">
        <v>5020</v>
      </c>
      <c r="C10" s="94" t="s">
        <v>350</v>
      </c>
      <c r="D10" s="85">
        <f>35000*6</f>
        <v>210000</v>
      </c>
      <c r="E10" s="85">
        <v>257000</v>
      </c>
      <c r="F10" s="85">
        <v>257000</v>
      </c>
      <c r="G10" s="435">
        <f t="shared" si="0"/>
        <v>274476</v>
      </c>
      <c r="H10" s="435">
        <f t="shared" si="0"/>
        <v>293140.36800000002</v>
      </c>
      <c r="I10" s="435">
        <f t="shared" si="0"/>
        <v>313073.91302400001</v>
      </c>
    </row>
    <row r="11" spans="1:9" s="285" customFormat="1" hidden="1" x14ac:dyDescent="0.25">
      <c r="A11" s="118">
        <v>18</v>
      </c>
      <c r="B11" s="151">
        <v>5025</v>
      </c>
      <c r="C11" s="94" t="s">
        <v>36</v>
      </c>
      <c r="D11" s="85"/>
      <c r="E11" s="85"/>
      <c r="F11" s="85"/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hidden="1" x14ac:dyDescent="0.25">
      <c r="A12" s="118">
        <v>18</v>
      </c>
      <c r="B12" s="151">
        <v>5030</v>
      </c>
      <c r="C12" s="94" t="s">
        <v>85</v>
      </c>
      <c r="D12" s="85"/>
      <c r="E12" s="85"/>
      <c r="F12" s="85"/>
      <c r="G12" s="435">
        <f t="shared" si="0"/>
        <v>0</v>
      </c>
      <c r="H12" s="435">
        <f t="shared" si="0"/>
        <v>0</v>
      </c>
      <c r="I12" s="435">
        <f t="shared" si="0"/>
        <v>0</v>
      </c>
    </row>
    <row r="13" spans="1:9" s="285" customFormat="1" hidden="1" x14ac:dyDescent="0.25">
      <c r="A13" s="118">
        <v>18</v>
      </c>
      <c r="B13" s="151">
        <v>5035</v>
      </c>
      <c r="C13" s="94" t="s">
        <v>84</v>
      </c>
      <c r="D13" s="85"/>
      <c r="E13" s="85"/>
      <c r="F13" s="85"/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18</v>
      </c>
      <c r="B14" s="151">
        <v>5040</v>
      </c>
      <c r="C14" s="94" t="s">
        <v>37</v>
      </c>
      <c r="D14" s="85">
        <v>29225</v>
      </c>
      <c r="E14" s="85">
        <v>274000</v>
      </c>
      <c r="F14" s="85">
        <v>274000</v>
      </c>
      <c r="G14" s="435">
        <f t="shared" si="0"/>
        <v>292632</v>
      </c>
      <c r="H14" s="435">
        <f t="shared" si="0"/>
        <v>312530.97600000002</v>
      </c>
      <c r="I14" s="435">
        <f t="shared" si="0"/>
        <v>333783.082368</v>
      </c>
    </row>
    <row r="15" spans="1:9" s="285" customFormat="1" hidden="1" x14ac:dyDescent="0.25">
      <c r="A15" s="118">
        <v>18</v>
      </c>
      <c r="B15" s="151">
        <v>5045</v>
      </c>
      <c r="C15" s="94" t="s">
        <v>38</v>
      </c>
      <c r="D15" s="85"/>
      <c r="E15" s="85"/>
      <c r="F15" s="85"/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18</v>
      </c>
      <c r="B16" s="151">
        <v>5050</v>
      </c>
      <c r="C16" s="94" t="s">
        <v>83</v>
      </c>
      <c r="D16" s="85">
        <v>4784</v>
      </c>
      <c r="E16" s="85"/>
      <c r="F16" s="85"/>
      <c r="G16" s="435">
        <f t="shared" si="0"/>
        <v>0</v>
      </c>
      <c r="H16" s="435">
        <f t="shared" si="0"/>
        <v>0</v>
      </c>
      <c r="I16" s="435">
        <f t="shared" si="0"/>
        <v>0</v>
      </c>
    </row>
    <row r="17" spans="1:9" s="285" customFormat="1" x14ac:dyDescent="0.25">
      <c r="A17" s="118">
        <v>18</v>
      </c>
      <c r="B17" s="151">
        <v>5055</v>
      </c>
      <c r="C17" s="94" t="s">
        <v>39</v>
      </c>
      <c r="D17" s="85">
        <f>(236312+29225+1179+3599)*6</f>
        <v>1621890</v>
      </c>
      <c r="E17" s="85">
        <v>4241000</v>
      </c>
      <c r="F17" s="85">
        <v>4241000</v>
      </c>
      <c r="G17" s="435">
        <f t="shared" si="0"/>
        <v>4529388</v>
      </c>
      <c r="H17" s="435">
        <f t="shared" si="0"/>
        <v>4837386.3839999996</v>
      </c>
      <c r="I17" s="435">
        <f t="shared" si="0"/>
        <v>5166328.6581119997</v>
      </c>
    </row>
    <row r="18" spans="1:9" s="285" customFormat="1" x14ac:dyDescent="0.25">
      <c r="A18" s="344"/>
      <c r="B18" s="151"/>
      <c r="C18" s="94"/>
      <c r="D18" s="89">
        <f t="shared" ref="D18:F18" si="1">SUM(D7:D17)</f>
        <v>1867699</v>
      </c>
      <c r="E18" s="89">
        <f t="shared" si="1"/>
        <v>4795310</v>
      </c>
      <c r="F18" s="89">
        <f t="shared" si="1"/>
        <v>4795310</v>
      </c>
      <c r="G18" s="89"/>
      <c r="H18" s="89"/>
      <c r="I18" s="89"/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18</v>
      </c>
      <c r="B20" s="151">
        <v>5105</v>
      </c>
      <c r="C20" s="94" t="s">
        <v>41</v>
      </c>
      <c r="D20" s="85">
        <f>28490*6</f>
        <v>170940</v>
      </c>
      <c r="E20" s="85">
        <v>409000</v>
      </c>
      <c r="F20" s="85">
        <v>409000</v>
      </c>
      <c r="G20" s="435">
        <f t="shared" ref="G20:I24" si="2">(F20*0.068)+F20</f>
        <v>436812</v>
      </c>
      <c r="H20" s="435">
        <f t="shared" si="2"/>
        <v>466515.21600000001</v>
      </c>
      <c r="I20" s="435">
        <f t="shared" si="2"/>
        <v>498238.250688</v>
      </c>
    </row>
    <row r="21" spans="1:9" s="285" customFormat="1" x14ac:dyDescent="0.25">
      <c r="A21" s="118">
        <v>18</v>
      </c>
      <c r="B21" s="151">
        <v>5115</v>
      </c>
      <c r="C21" s="94" t="s">
        <v>42</v>
      </c>
      <c r="D21" s="85">
        <f>(34454*6)</f>
        <v>206724</v>
      </c>
      <c r="E21" s="85">
        <v>520000</v>
      </c>
      <c r="F21" s="85">
        <v>520000</v>
      </c>
      <c r="G21" s="435">
        <f t="shared" si="2"/>
        <v>555360</v>
      </c>
      <c r="H21" s="435">
        <f t="shared" si="2"/>
        <v>593124.48</v>
      </c>
      <c r="I21" s="435">
        <f t="shared" si="2"/>
        <v>633456.94464</v>
      </c>
    </row>
    <row r="22" spans="1:9" s="285" customFormat="1" x14ac:dyDescent="0.25">
      <c r="A22" s="118">
        <v>18</v>
      </c>
      <c r="B22" s="151">
        <v>5120</v>
      </c>
      <c r="C22" s="94" t="s">
        <v>43</v>
      </c>
      <c r="D22" s="85">
        <f>5180*6</f>
        <v>31080</v>
      </c>
      <c r="E22" s="85">
        <v>62300</v>
      </c>
      <c r="F22" s="85">
        <v>62300</v>
      </c>
      <c r="G22" s="435">
        <f t="shared" si="2"/>
        <v>66536.399999999994</v>
      </c>
      <c r="H22" s="435">
        <f t="shared" si="2"/>
        <v>71060.875199999995</v>
      </c>
      <c r="I22" s="435">
        <f t="shared" si="2"/>
        <v>75893.014713600001</v>
      </c>
    </row>
    <row r="23" spans="1:9" s="285" customFormat="1" hidden="1" x14ac:dyDescent="0.25">
      <c r="A23" s="118">
        <v>18</v>
      </c>
      <c r="B23" s="151">
        <v>5125</v>
      </c>
      <c r="C23" s="94" t="s">
        <v>44</v>
      </c>
      <c r="D23" s="85"/>
      <c r="E23" s="85"/>
      <c r="F23" s="85"/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9" s="285" customFormat="1" x14ac:dyDescent="0.25">
      <c r="A24" s="118">
        <v>18</v>
      </c>
      <c r="B24" s="151">
        <v>5130</v>
      </c>
      <c r="C24" s="94" t="s">
        <v>45</v>
      </c>
      <c r="D24" s="85">
        <f>2176*6</f>
        <v>13056</v>
      </c>
      <c r="E24" s="85">
        <v>30200</v>
      </c>
      <c r="F24" s="85">
        <v>30200</v>
      </c>
      <c r="G24" s="435">
        <f t="shared" si="2"/>
        <v>32253.599999999999</v>
      </c>
      <c r="H24" s="435">
        <f t="shared" si="2"/>
        <v>34446.844799999999</v>
      </c>
      <c r="I24" s="435">
        <f t="shared" si="2"/>
        <v>36789.230246400002</v>
      </c>
    </row>
    <row r="25" spans="1:9" s="285" customFormat="1" x14ac:dyDescent="0.25">
      <c r="A25" s="344"/>
      <c r="B25" s="151"/>
      <c r="C25" s="94"/>
      <c r="D25" s="89">
        <f t="shared" ref="D25:I25" si="3">SUM(D20:D24)</f>
        <v>421800</v>
      </c>
      <c r="E25" s="89">
        <f t="shared" si="3"/>
        <v>1021500</v>
      </c>
      <c r="F25" s="436">
        <f t="shared" si="3"/>
        <v>1021500</v>
      </c>
      <c r="G25" s="89">
        <f t="shared" si="3"/>
        <v>1090962</v>
      </c>
      <c r="H25" s="89">
        <f t="shared" si="3"/>
        <v>1165147.416</v>
      </c>
      <c r="I25" s="89">
        <f t="shared" si="3"/>
        <v>1244377.440288</v>
      </c>
    </row>
    <row r="26" spans="1:9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18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F29" si="4">D28</f>
        <v>0</v>
      </c>
      <c r="E29" s="89">
        <f t="shared" si="4"/>
        <v>0</v>
      </c>
      <c r="F29" s="89">
        <f t="shared" si="4"/>
        <v>0</v>
      </c>
      <c r="G29" s="89"/>
      <c r="H29" s="89"/>
      <c r="I29" s="89"/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hidden="1" x14ac:dyDescent="0.25">
      <c r="A31" s="118">
        <v>18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</row>
    <row r="32" spans="1:9" s="285" customFormat="1" hidden="1" x14ac:dyDescent="0.25">
      <c r="A32" s="344"/>
      <c r="B32" s="151"/>
      <c r="C32" s="94"/>
      <c r="D32" s="89">
        <f t="shared" ref="D32:F32" si="5">SUM(D31)</f>
        <v>0</v>
      </c>
      <c r="E32" s="89">
        <f t="shared" si="5"/>
        <v>0</v>
      </c>
      <c r="F32" s="89">
        <f t="shared" si="5"/>
        <v>0</v>
      </c>
      <c r="G32" s="89"/>
      <c r="H32" s="89"/>
      <c r="I32" s="89"/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18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F35" si="6">SUM(D34)</f>
        <v>0</v>
      </c>
      <c r="E35" s="89">
        <f t="shared" si="6"/>
        <v>0</v>
      </c>
      <c r="F35" s="89">
        <f t="shared" si="6"/>
        <v>0</v>
      </c>
      <c r="G35" s="89"/>
      <c r="H35" s="89"/>
      <c r="I35" s="89"/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18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F38" si="7">D37</f>
        <v>0</v>
      </c>
      <c r="E38" s="89">
        <f t="shared" si="7"/>
        <v>0</v>
      </c>
      <c r="F38" s="89">
        <f t="shared" si="7"/>
        <v>0</v>
      </c>
      <c r="G38" s="89"/>
      <c r="H38" s="89"/>
      <c r="I38" s="89"/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x14ac:dyDescent="0.25">
      <c r="A40" s="118">
        <v>18</v>
      </c>
      <c r="B40" s="151">
        <v>5200</v>
      </c>
      <c r="C40" s="94" t="s">
        <v>55</v>
      </c>
      <c r="D40" s="85"/>
      <c r="E40" s="108"/>
      <c r="F40" s="85">
        <f t="shared" ref="F40" si="8">0/8*12</f>
        <v>0</v>
      </c>
      <c r="G40" s="85"/>
      <c r="H40" s="85"/>
      <c r="I40" s="85"/>
    </row>
    <row r="41" spans="1:9" s="285" customFormat="1" x14ac:dyDescent="0.25">
      <c r="A41" s="118">
        <v>18</v>
      </c>
      <c r="B41" s="151">
        <v>5205</v>
      </c>
      <c r="C41" s="94" t="s">
        <v>56</v>
      </c>
      <c r="D41" s="85"/>
      <c r="E41" s="85">
        <v>35000</v>
      </c>
      <c r="F41" s="85">
        <v>0</v>
      </c>
      <c r="G41" s="85">
        <v>15000</v>
      </c>
      <c r="H41" s="85"/>
      <c r="I41" s="85"/>
    </row>
    <row r="42" spans="1:9" s="285" customFormat="1" hidden="1" x14ac:dyDescent="0.25">
      <c r="A42" s="118">
        <v>18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85"/>
      <c r="H42" s="85"/>
      <c r="I42" s="85"/>
    </row>
    <row r="43" spans="1:9" s="285" customFormat="1" hidden="1" x14ac:dyDescent="0.25">
      <c r="A43" s="118">
        <v>18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85"/>
      <c r="H43" s="85"/>
      <c r="I43" s="85"/>
    </row>
    <row r="44" spans="1:9" s="285" customFormat="1" hidden="1" x14ac:dyDescent="0.25">
      <c r="A44" s="118">
        <v>18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85"/>
      <c r="H44" s="85"/>
      <c r="I44" s="85"/>
    </row>
    <row r="45" spans="1:9" s="285" customFormat="1" hidden="1" x14ac:dyDescent="0.25">
      <c r="A45" s="118">
        <v>18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85"/>
      <c r="H45" s="85"/>
      <c r="I45" s="85"/>
    </row>
    <row r="46" spans="1:9" s="285" customFormat="1" hidden="1" x14ac:dyDescent="0.25">
      <c r="A46" s="118">
        <v>18</v>
      </c>
      <c r="B46" s="151">
        <v>5230</v>
      </c>
      <c r="C46" s="94" t="s">
        <v>86</v>
      </c>
      <c r="D46" s="85"/>
      <c r="E46" s="85"/>
      <c r="F46" s="85">
        <v>0</v>
      </c>
      <c r="G46" s="85"/>
      <c r="H46" s="85"/>
      <c r="I46" s="85"/>
    </row>
    <row r="47" spans="1:9" s="285" customFormat="1" hidden="1" x14ac:dyDescent="0.25">
      <c r="A47" s="118">
        <v>18</v>
      </c>
      <c r="B47" s="151">
        <v>5235</v>
      </c>
      <c r="C47" s="94" t="s">
        <v>124</v>
      </c>
      <c r="D47" s="85"/>
      <c r="E47" s="85"/>
      <c r="F47" s="85">
        <v>0</v>
      </c>
      <c r="G47" s="85"/>
      <c r="H47" s="85"/>
      <c r="I47" s="85"/>
    </row>
    <row r="48" spans="1:9" s="285" customFormat="1" x14ac:dyDescent="0.25">
      <c r="A48" s="118">
        <v>18</v>
      </c>
      <c r="B48" s="151">
        <v>5240</v>
      </c>
      <c r="C48" s="94" t="s">
        <v>59</v>
      </c>
      <c r="D48" s="85">
        <v>91705</v>
      </c>
      <c r="E48" s="85">
        <v>10000</v>
      </c>
      <c r="F48" s="85">
        <v>130000</v>
      </c>
      <c r="G48" s="85">
        <v>30000</v>
      </c>
      <c r="H48" s="85"/>
      <c r="I48" s="85"/>
    </row>
    <row r="49" spans="1:9" s="285" customFormat="1" hidden="1" x14ac:dyDescent="0.25">
      <c r="A49" s="118">
        <v>18</v>
      </c>
      <c r="B49" s="151">
        <v>5245</v>
      </c>
      <c r="C49" s="94" t="s">
        <v>91</v>
      </c>
      <c r="D49" s="85"/>
      <c r="E49" s="85"/>
      <c r="F49" s="85">
        <v>0</v>
      </c>
      <c r="G49" s="85"/>
      <c r="H49" s="85"/>
      <c r="I49" s="85"/>
    </row>
    <row r="50" spans="1:9" s="285" customFormat="1" hidden="1" x14ac:dyDescent="0.25">
      <c r="A50" s="118">
        <v>18</v>
      </c>
      <c r="B50" s="151">
        <v>5250</v>
      </c>
      <c r="C50" s="94" t="s">
        <v>88</v>
      </c>
      <c r="D50" s="85"/>
      <c r="E50" s="85"/>
      <c r="F50" s="85">
        <v>0</v>
      </c>
      <c r="G50" s="85"/>
      <c r="H50" s="85"/>
      <c r="I50" s="85"/>
    </row>
    <row r="51" spans="1:9" s="285" customFormat="1" hidden="1" x14ac:dyDescent="0.25">
      <c r="A51" s="118">
        <v>18</v>
      </c>
      <c r="B51" s="151">
        <v>5255</v>
      </c>
      <c r="C51" s="94" t="s">
        <v>125</v>
      </c>
      <c r="D51" s="85"/>
      <c r="E51" s="85"/>
      <c r="F51" s="85">
        <v>0</v>
      </c>
      <c r="G51" s="85"/>
      <c r="H51" s="85"/>
      <c r="I51" s="85"/>
    </row>
    <row r="52" spans="1:9" s="285" customFormat="1" hidden="1" x14ac:dyDescent="0.25">
      <c r="A52" s="118">
        <v>18</v>
      </c>
      <c r="B52" s="151">
        <v>5260</v>
      </c>
      <c r="C52" s="94" t="s">
        <v>90</v>
      </c>
      <c r="D52" s="85"/>
      <c r="E52" s="85"/>
      <c r="F52" s="85">
        <v>0</v>
      </c>
      <c r="G52" s="85"/>
      <c r="H52" s="85"/>
      <c r="I52" s="85"/>
    </row>
    <row r="53" spans="1:9" s="285" customFormat="1" hidden="1" x14ac:dyDescent="0.25">
      <c r="A53" s="118">
        <v>18</v>
      </c>
      <c r="B53" s="151">
        <v>5265</v>
      </c>
      <c r="C53" s="94" t="s">
        <v>87</v>
      </c>
      <c r="D53" s="85"/>
      <c r="E53" s="85"/>
      <c r="F53" s="85">
        <v>0</v>
      </c>
      <c r="G53" s="85"/>
      <c r="H53" s="85"/>
      <c r="I53" s="85"/>
    </row>
    <row r="54" spans="1:9" s="285" customFormat="1" hidden="1" x14ac:dyDescent="0.25">
      <c r="A54" s="118">
        <v>18</v>
      </c>
      <c r="B54" s="151">
        <v>5270</v>
      </c>
      <c r="C54" s="94" t="s">
        <v>89</v>
      </c>
      <c r="D54" s="85"/>
      <c r="E54" s="85"/>
      <c r="F54" s="85">
        <v>0</v>
      </c>
      <c r="G54" s="85"/>
      <c r="H54" s="85"/>
      <c r="I54" s="85"/>
    </row>
    <row r="55" spans="1:9" s="285" customFormat="1" hidden="1" x14ac:dyDescent="0.25">
      <c r="A55" s="118">
        <v>18</v>
      </c>
      <c r="B55" s="151">
        <v>5275</v>
      </c>
      <c r="C55" s="94" t="s">
        <v>93</v>
      </c>
      <c r="D55" s="85"/>
      <c r="E55" s="85"/>
      <c r="F55" s="85">
        <v>0</v>
      </c>
      <c r="G55" s="85"/>
      <c r="H55" s="85"/>
      <c r="I55" s="85"/>
    </row>
    <row r="56" spans="1:9" s="285" customFormat="1" hidden="1" x14ac:dyDescent="0.25">
      <c r="A56" s="118">
        <v>18</v>
      </c>
      <c r="B56" s="151">
        <v>5280</v>
      </c>
      <c r="C56" s="94" t="s">
        <v>94</v>
      </c>
      <c r="D56" s="85"/>
      <c r="E56" s="85"/>
      <c r="F56" s="85">
        <v>0</v>
      </c>
      <c r="G56" s="85"/>
      <c r="H56" s="85"/>
      <c r="I56" s="85"/>
    </row>
    <row r="57" spans="1:9" s="285" customFormat="1" x14ac:dyDescent="0.25">
      <c r="A57" s="118">
        <v>18</v>
      </c>
      <c r="B57" s="151">
        <v>5285</v>
      </c>
      <c r="C57" s="94" t="s">
        <v>60</v>
      </c>
      <c r="D57" s="85"/>
      <c r="E57" s="85">
        <v>2000</v>
      </c>
      <c r="F57" s="85">
        <v>2000</v>
      </c>
      <c r="G57" s="85"/>
      <c r="H57" s="85"/>
      <c r="I57" s="85"/>
    </row>
    <row r="58" spans="1:9" s="285" customFormat="1" x14ac:dyDescent="0.25">
      <c r="A58" s="118">
        <v>18</v>
      </c>
      <c r="B58" s="151">
        <v>5290</v>
      </c>
      <c r="C58" s="94" t="s">
        <v>186</v>
      </c>
      <c r="D58" s="85"/>
      <c r="E58" s="85">
        <v>0</v>
      </c>
      <c r="F58" s="85">
        <v>0</v>
      </c>
      <c r="G58" s="85"/>
      <c r="H58" s="85"/>
      <c r="I58" s="85">
        <f>E58+H58</f>
        <v>0</v>
      </c>
    </row>
    <row r="59" spans="1:9" s="285" customFormat="1" x14ac:dyDescent="0.25">
      <c r="A59" s="344"/>
      <c r="B59" s="151"/>
      <c r="C59" s="94"/>
      <c r="D59" s="110">
        <f t="shared" ref="D59:I59" si="9">SUM(D40:D58)</f>
        <v>91705</v>
      </c>
      <c r="E59" s="110">
        <f t="shared" si="9"/>
        <v>47000</v>
      </c>
      <c r="F59" s="110">
        <f t="shared" si="9"/>
        <v>132000</v>
      </c>
      <c r="G59" s="110"/>
      <c r="H59" s="110">
        <f t="shared" si="9"/>
        <v>0</v>
      </c>
      <c r="I59" s="110">
        <f t="shared" si="9"/>
        <v>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18</v>
      </c>
      <c r="B61" s="151">
        <v>5400</v>
      </c>
      <c r="C61" s="94" t="s">
        <v>334</v>
      </c>
      <c r="D61" s="85"/>
      <c r="E61" s="86"/>
      <c r="F61" s="86"/>
      <c r="G61" s="86"/>
      <c r="H61" s="86"/>
      <c r="I61" s="86"/>
    </row>
    <row r="62" spans="1:9" s="285" customFormat="1" hidden="1" x14ac:dyDescent="0.25">
      <c r="A62" s="118">
        <v>18</v>
      </c>
      <c r="B62" s="151">
        <v>5405</v>
      </c>
      <c r="C62" s="94" t="s">
        <v>335</v>
      </c>
      <c r="D62" s="85"/>
      <c r="E62" s="108"/>
      <c r="F62" s="108"/>
      <c r="G62" s="108"/>
      <c r="H62" s="85"/>
      <c r="I62" s="108"/>
    </row>
    <row r="63" spans="1:9" s="285" customFormat="1" hidden="1" x14ac:dyDescent="0.25">
      <c r="A63" s="344"/>
      <c r="B63" s="151"/>
      <c r="C63" s="94"/>
      <c r="D63" s="89"/>
      <c r="E63" s="89">
        <f>SUM(E61:E62)</f>
        <v>0</v>
      </c>
      <c r="F63" s="89"/>
      <c r="G63" s="89"/>
      <c r="H63" s="89"/>
      <c r="I63" s="89"/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18</v>
      </c>
      <c r="B65" s="151">
        <v>5450</v>
      </c>
      <c r="C65" s="94" t="s">
        <v>351</v>
      </c>
      <c r="D65" s="85"/>
      <c r="E65" s="108"/>
      <c r="F65" s="108"/>
      <c r="G65" s="108"/>
      <c r="H65" s="85"/>
      <c r="I65" s="108"/>
    </row>
    <row r="66" spans="1:9" s="285" customFormat="1" hidden="1" x14ac:dyDescent="0.25">
      <c r="A66" s="344"/>
      <c r="B66" s="151"/>
      <c r="C66" s="94"/>
      <c r="D66" s="89"/>
      <c r="E66" s="89">
        <f t="shared" ref="E66" si="10">E65</f>
        <v>0</v>
      </c>
      <c r="F66" s="89"/>
      <c r="G66" s="89"/>
      <c r="H66" s="89"/>
      <c r="I66" s="89"/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hidden="1" x14ac:dyDescent="0.25">
      <c r="A68" s="118">
        <v>18</v>
      </c>
      <c r="B68" s="151">
        <v>5470</v>
      </c>
      <c r="C68" s="94" t="s">
        <v>97</v>
      </c>
      <c r="D68" s="85"/>
      <c r="E68" s="85">
        <v>0</v>
      </c>
      <c r="F68" s="85"/>
      <c r="G68" s="85"/>
      <c r="H68" s="85"/>
      <c r="I68" s="85"/>
    </row>
    <row r="69" spans="1:9" s="285" customFormat="1" hidden="1" x14ac:dyDescent="0.25">
      <c r="A69" s="118">
        <v>18</v>
      </c>
      <c r="B69" s="151">
        <v>5475</v>
      </c>
      <c r="C69" s="94" t="s">
        <v>134</v>
      </c>
      <c r="D69" s="85"/>
      <c r="E69" s="85">
        <v>0</v>
      </c>
      <c r="F69" s="85"/>
      <c r="G69" s="85"/>
      <c r="H69" s="85"/>
      <c r="I69" s="85"/>
    </row>
    <row r="70" spans="1:9" s="285" customFormat="1" hidden="1" x14ac:dyDescent="0.25">
      <c r="A70" s="344"/>
      <c r="B70" s="151"/>
      <c r="C70" s="94"/>
      <c r="D70" s="110"/>
      <c r="E70" s="110">
        <f>SUM(E68:E69)</f>
        <v>0</v>
      </c>
      <c r="F70" s="110"/>
      <c r="G70" s="110"/>
      <c r="H70" s="110"/>
      <c r="I70" s="110"/>
    </row>
    <row r="71" spans="1:9" s="285" customFormat="1" ht="14.2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85"/>
    </row>
    <row r="72" spans="1:9" s="285" customFormat="1" x14ac:dyDescent="0.25">
      <c r="A72" s="118">
        <v>18</v>
      </c>
      <c r="B72" s="151">
        <v>5505</v>
      </c>
      <c r="C72" s="94" t="s">
        <v>259</v>
      </c>
      <c r="D72" s="85">
        <v>24187</v>
      </c>
      <c r="E72" s="85">
        <v>50000</v>
      </c>
      <c r="F72" s="85">
        <v>50000</v>
      </c>
      <c r="G72" s="85">
        <v>50000</v>
      </c>
      <c r="H72" s="85"/>
      <c r="I72" s="85"/>
    </row>
    <row r="73" spans="1:9" s="285" customFormat="1" x14ac:dyDescent="0.25">
      <c r="A73" s="118">
        <v>18</v>
      </c>
      <c r="B73" s="151">
        <v>5510</v>
      </c>
      <c r="C73" s="94" t="s">
        <v>63</v>
      </c>
      <c r="D73" s="85">
        <v>2535</v>
      </c>
      <c r="E73" s="85">
        <v>5411</v>
      </c>
      <c r="F73" s="85">
        <v>5411</v>
      </c>
      <c r="G73" s="85">
        <v>5000</v>
      </c>
      <c r="H73" s="85"/>
      <c r="I73" s="85"/>
    </row>
    <row r="74" spans="1:9" s="285" customFormat="1" hidden="1" x14ac:dyDescent="0.25">
      <c r="A74" s="118">
        <v>18</v>
      </c>
      <c r="B74" s="151">
        <v>5520</v>
      </c>
      <c r="C74" s="94" t="s">
        <v>260</v>
      </c>
      <c r="D74" s="85"/>
      <c r="E74" s="85">
        <v>0</v>
      </c>
      <c r="F74" s="85">
        <v>0</v>
      </c>
      <c r="G74" s="85"/>
      <c r="H74" s="85"/>
      <c r="I74" s="85"/>
    </row>
    <row r="75" spans="1:9" s="285" customFormat="1" x14ac:dyDescent="0.25">
      <c r="A75" s="118">
        <v>18</v>
      </c>
      <c r="B75" s="151">
        <v>5525</v>
      </c>
      <c r="C75" s="94" t="s">
        <v>261</v>
      </c>
      <c r="D75" s="85"/>
      <c r="E75" s="85">
        <v>11394</v>
      </c>
      <c r="F75" s="85">
        <v>71394</v>
      </c>
      <c r="G75" s="85">
        <v>270000</v>
      </c>
      <c r="H75" s="85"/>
      <c r="I75" s="85"/>
    </row>
    <row r="76" spans="1:9" s="285" customFormat="1" hidden="1" x14ac:dyDescent="0.25">
      <c r="A76" s="118">
        <v>18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85"/>
      <c r="I76" s="85"/>
    </row>
    <row r="77" spans="1:9" s="285" customFormat="1" x14ac:dyDescent="0.25">
      <c r="A77" s="118">
        <v>18</v>
      </c>
      <c r="B77" s="151">
        <v>5535</v>
      </c>
      <c r="C77" s="94" t="s">
        <v>263</v>
      </c>
      <c r="D77" s="85">
        <v>4409</v>
      </c>
      <c r="E77" s="85">
        <v>15000</v>
      </c>
      <c r="F77" s="85">
        <v>15000</v>
      </c>
      <c r="G77" s="85">
        <v>5000</v>
      </c>
      <c r="H77" s="85"/>
      <c r="I77" s="85"/>
    </row>
    <row r="78" spans="1:9" s="285" customFormat="1" x14ac:dyDescent="0.25">
      <c r="A78" s="118">
        <v>18</v>
      </c>
      <c r="B78" s="151">
        <v>5540</v>
      </c>
      <c r="C78" s="94" t="s">
        <v>264</v>
      </c>
      <c r="D78" s="85">
        <v>152431</v>
      </c>
      <c r="E78" s="85">
        <v>203590</v>
      </c>
      <c r="F78" s="85">
        <v>253590</v>
      </c>
      <c r="G78" s="85">
        <v>250000</v>
      </c>
      <c r="H78" s="85"/>
      <c r="I78" s="85"/>
    </row>
    <row r="79" spans="1:9" s="285" customFormat="1" ht="13.5" customHeight="1" x14ac:dyDescent="0.25">
      <c r="A79" s="118">
        <v>18</v>
      </c>
      <c r="B79" s="151">
        <v>5545</v>
      </c>
      <c r="C79" s="94" t="s">
        <v>265</v>
      </c>
      <c r="D79" s="85"/>
      <c r="E79" s="85">
        <v>295</v>
      </c>
      <c r="F79" s="85">
        <v>295</v>
      </c>
      <c r="G79" s="85"/>
      <c r="H79" s="85"/>
      <c r="I79" s="85"/>
    </row>
    <row r="80" spans="1:9" s="285" customFormat="1" x14ac:dyDescent="0.25">
      <c r="A80" s="118">
        <v>18</v>
      </c>
      <c r="B80" s="151">
        <v>5550</v>
      </c>
      <c r="C80" s="94" t="s">
        <v>267</v>
      </c>
      <c r="D80" s="85"/>
      <c r="E80" s="85"/>
      <c r="F80" s="85">
        <v>0</v>
      </c>
      <c r="G80" s="85"/>
      <c r="H80" s="85"/>
      <c r="I80" s="85"/>
    </row>
    <row r="81" spans="1:9" s="285" customFormat="1" x14ac:dyDescent="0.25">
      <c r="A81" s="118">
        <v>18</v>
      </c>
      <c r="B81" s="151">
        <v>5555</v>
      </c>
      <c r="C81" s="94" t="s">
        <v>268</v>
      </c>
      <c r="D81" s="85"/>
      <c r="E81" s="85">
        <v>10550</v>
      </c>
      <c r="F81" s="85">
        <v>1550</v>
      </c>
      <c r="G81" s="85">
        <v>5000</v>
      </c>
      <c r="H81" s="85"/>
      <c r="I81" s="85"/>
    </row>
    <row r="82" spans="1:9" s="285" customFormat="1" x14ac:dyDescent="0.25">
      <c r="A82" s="118">
        <v>18</v>
      </c>
      <c r="B82" s="151">
        <v>5560</v>
      </c>
      <c r="C82" s="94" t="s">
        <v>269</v>
      </c>
      <c r="D82" s="85">
        <v>193899</v>
      </c>
      <c r="E82" s="85">
        <v>25320</v>
      </c>
      <c r="F82" s="85">
        <v>385320</v>
      </c>
      <c r="G82" s="85">
        <v>40800</v>
      </c>
      <c r="H82" s="85"/>
      <c r="I82" s="85"/>
    </row>
    <row r="83" spans="1:9" s="285" customFormat="1" x14ac:dyDescent="0.25">
      <c r="A83" s="118">
        <v>18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85"/>
      <c r="I83" s="85"/>
    </row>
    <row r="84" spans="1:9" s="285" customFormat="1" x14ac:dyDescent="0.25">
      <c r="A84" s="118">
        <v>18</v>
      </c>
      <c r="B84" s="151">
        <v>5570</v>
      </c>
      <c r="C84" s="94" t="s">
        <v>270</v>
      </c>
      <c r="D84" s="85"/>
      <c r="E84" s="85">
        <v>4500</v>
      </c>
      <c r="F84" s="85">
        <v>4500</v>
      </c>
      <c r="G84" s="85"/>
      <c r="H84" s="85"/>
      <c r="I84" s="85"/>
    </row>
    <row r="85" spans="1:9" s="285" customFormat="1" x14ac:dyDescent="0.25">
      <c r="A85" s="118">
        <v>18</v>
      </c>
      <c r="B85" s="151">
        <v>5575</v>
      </c>
      <c r="C85" s="94" t="s">
        <v>271</v>
      </c>
      <c r="D85" s="85">
        <v>418017</v>
      </c>
      <c r="E85" s="85">
        <v>250000</v>
      </c>
      <c r="F85" s="85">
        <v>700000</v>
      </c>
      <c r="G85" s="85">
        <v>800000</v>
      </c>
      <c r="H85" s="85"/>
      <c r="I85" s="85"/>
    </row>
    <row r="86" spans="1:9" s="285" customFormat="1" x14ac:dyDescent="0.25">
      <c r="A86" s="118">
        <v>18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85">
        <v>5000</v>
      </c>
      <c r="H86" s="85"/>
      <c r="I86" s="85"/>
    </row>
    <row r="87" spans="1:9" s="285" customFormat="1" x14ac:dyDescent="0.25">
      <c r="A87" s="118">
        <v>18</v>
      </c>
      <c r="B87" s="151">
        <v>5585</v>
      </c>
      <c r="C87" s="94" t="s">
        <v>273</v>
      </c>
      <c r="D87" s="86"/>
      <c r="E87" s="85">
        <v>60000</v>
      </c>
      <c r="F87" s="85">
        <v>30000</v>
      </c>
      <c r="G87" s="85">
        <v>50000</v>
      </c>
      <c r="H87" s="85"/>
      <c r="I87" s="85"/>
    </row>
    <row r="88" spans="1:9" s="285" customFormat="1" x14ac:dyDescent="0.25">
      <c r="A88" s="118">
        <v>18</v>
      </c>
      <c r="B88" s="151">
        <v>5590</v>
      </c>
      <c r="C88" s="94" t="s">
        <v>274</v>
      </c>
      <c r="D88" s="86">
        <v>62016</v>
      </c>
      <c r="E88" s="85">
        <v>25200</v>
      </c>
      <c r="F88" s="85">
        <v>125200</v>
      </c>
      <c r="G88" s="85">
        <v>100000</v>
      </c>
      <c r="H88" s="85"/>
      <c r="I88" s="85"/>
    </row>
    <row r="89" spans="1:9" s="285" customFormat="1" x14ac:dyDescent="0.25">
      <c r="A89" s="118">
        <v>18</v>
      </c>
      <c r="B89" s="151">
        <v>5595</v>
      </c>
      <c r="C89" s="94" t="s">
        <v>275</v>
      </c>
      <c r="D89" s="85">
        <v>495262</v>
      </c>
      <c r="E89" s="85">
        <v>500000</v>
      </c>
      <c r="F89" s="85">
        <v>700000</v>
      </c>
      <c r="G89" s="85">
        <v>800000</v>
      </c>
      <c r="H89" s="85"/>
      <c r="I89" s="85"/>
    </row>
    <row r="90" spans="1:9" s="285" customFormat="1" x14ac:dyDescent="0.25">
      <c r="A90" s="118">
        <v>18</v>
      </c>
      <c r="B90" s="151">
        <v>5600</v>
      </c>
      <c r="C90" s="159" t="s">
        <v>276</v>
      </c>
      <c r="D90" s="85"/>
      <c r="E90" s="85"/>
      <c r="F90" s="85">
        <v>0</v>
      </c>
      <c r="G90" s="85"/>
      <c r="H90" s="85"/>
      <c r="I90" s="85"/>
    </row>
    <row r="91" spans="1:9" s="285" customFormat="1" x14ac:dyDescent="0.25">
      <c r="A91" s="118">
        <v>18</v>
      </c>
      <c r="B91" s="151">
        <v>5605</v>
      </c>
      <c r="C91" s="159" t="s">
        <v>277</v>
      </c>
      <c r="D91" s="85"/>
      <c r="E91" s="85"/>
      <c r="F91" s="85">
        <v>0</v>
      </c>
      <c r="G91" s="85"/>
      <c r="H91" s="85"/>
      <c r="I91" s="85"/>
    </row>
    <row r="92" spans="1:9" s="285" customFormat="1" ht="21.75" customHeight="1" x14ac:dyDescent="0.25">
      <c r="A92" s="118">
        <v>18</v>
      </c>
      <c r="B92" s="151">
        <v>5610</v>
      </c>
      <c r="C92" s="159" t="s">
        <v>278</v>
      </c>
      <c r="D92" s="85"/>
      <c r="E92" s="85"/>
      <c r="F92" s="85">
        <v>0</v>
      </c>
      <c r="G92" s="85"/>
      <c r="H92" s="85"/>
      <c r="I92" s="85"/>
    </row>
    <row r="93" spans="1:9" s="285" customFormat="1" x14ac:dyDescent="0.25">
      <c r="A93" s="118">
        <v>18</v>
      </c>
      <c r="B93" s="151">
        <v>5615</v>
      </c>
      <c r="C93" s="159" t="s">
        <v>279</v>
      </c>
      <c r="D93" s="85"/>
      <c r="E93" s="85">
        <v>30000</v>
      </c>
      <c r="F93" s="85">
        <v>30000</v>
      </c>
      <c r="G93" s="85">
        <v>500000</v>
      </c>
      <c r="H93" s="85"/>
      <c r="I93" s="85"/>
    </row>
    <row r="94" spans="1:9" s="285" customFormat="1" x14ac:dyDescent="0.25">
      <c r="A94" s="118">
        <v>18</v>
      </c>
      <c r="B94" s="151">
        <v>5620</v>
      </c>
      <c r="C94" s="159" t="s">
        <v>516</v>
      </c>
      <c r="D94" s="85"/>
      <c r="E94" s="85">
        <v>200000</v>
      </c>
      <c r="F94" s="85">
        <v>200000</v>
      </c>
      <c r="G94" s="85">
        <v>250000</v>
      </c>
      <c r="H94" s="85"/>
      <c r="I94" s="85"/>
    </row>
    <row r="95" spans="1:9" s="285" customFormat="1" x14ac:dyDescent="0.25">
      <c r="A95" s="118"/>
      <c r="B95" s="151">
        <v>5625</v>
      </c>
      <c r="C95" s="159" t="s">
        <v>281</v>
      </c>
      <c r="D95" s="85"/>
      <c r="E95" s="85"/>
      <c r="F95" s="85"/>
      <c r="G95" s="85"/>
      <c r="H95" s="85"/>
      <c r="I95" s="85"/>
    </row>
    <row r="96" spans="1:9" s="285" customFormat="1" x14ac:dyDescent="0.25">
      <c r="A96" s="118"/>
      <c r="B96" s="151">
        <v>5630</v>
      </c>
      <c r="C96" s="159" t="s">
        <v>282</v>
      </c>
      <c r="D96" s="85"/>
      <c r="E96" s="85"/>
      <c r="F96" s="85"/>
      <c r="G96" s="85"/>
      <c r="H96" s="85"/>
      <c r="I96" s="85"/>
    </row>
    <row r="97" spans="1:9" s="285" customFormat="1" x14ac:dyDescent="0.25">
      <c r="A97" s="118"/>
      <c r="B97" s="151">
        <v>5635</v>
      </c>
      <c r="C97" s="159" t="s">
        <v>283</v>
      </c>
      <c r="D97" s="85"/>
      <c r="E97" s="85"/>
      <c r="F97" s="85"/>
      <c r="G97" s="85"/>
      <c r="H97" s="85"/>
      <c r="I97" s="85"/>
    </row>
    <row r="98" spans="1:9" s="285" customFormat="1" x14ac:dyDescent="0.25">
      <c r="A98" s="118"/>
      <c r="B98" s="151">
        <v>5640</v>
      </c>
      <c r="C98" s="159" t="s">
        <v>284</v>
      </c>
      <c r="D98" s="85"/>
      <c r="E98" s="85"/>
      <c r="F98" s="85"/>
      <c r="G98" s="85"/>
      <c r="H98" s="85"/>
      <c r="I98" s="85"/>
    </row>
    <row r="99" spans="1:9" s="285" customFormat="1" ht="12" customHeight="1" x14ac:dyDescent="0.25">
      <c r="A99" s="118"/>
      <c r="B99" s="151">
        <v>5645</v>
      </c>
      <c r="C99" s="159" t="s">
        <v>285</v>
      </c>
      <c r="D99" s="85"/>
      <c r="E99" s="85"/>
      <c r="F99" s="85"/>
      <c r="G99" s="85"/>
      <c r="H99" s="85"/>
      <c r="I99" s="85"/>
    </row>
    <row r="100" spans="1:9" s="285" customFormat="1" x14ac:dyDescent="0.25">
      <c r="A100" s="375">
        <v>18</v>
      </c>
      <c r="B100" s="152">
        <v>5650</v>
      </c>
      <c r="C100" s="386" t="s">
        <v>286</v>
      </c>
      <c r="D100" s="387">
        <v>84002</v>
      </c>
      <c r="E100" s="387"/>
      <c r="F100" s="387">
        <v>100000</v>
      </c>
      <c r="G100" s="387"/>
      <c r="H100" s="387"/>
      <c r="I100" s="387"/>
    </row>
    <row r="101" spans="1:9" s="285" customFormat="1" x14ac:dyDescent="0.25">
      <c r="A101" s="378">
        <v>18</v>
      </c>
      <c r="B101" s="153">
        <v>5655</v>
      </c>
      <c r="C101" s="388" t="s">
        <v>517</v>
      </c>
      <c r="D101" s="88">
        <v>470230</v>
      </c>
      <c r="E101" s="88">
        <v>480000</v>
      </c>
      <c r="F101" s="88">
        <v>510000</v>
      </c>
      <c r="G101" s="88">
        <v>480000</v>
      </c>
      <c r="H101" s="88"/>
      <c r="I101" s="88"/>
    </row>
    <row r="102" spans="1:9" s="285" customFormat="1" x14ac:dyDescent="0.25">
      <c r="A102" s="118">
        <v>18</v>
      </c>
      <c r="B102" s="151">
        <v>5660</v>
      </c>
      <c r="C102" s="159" t="s">
        <v>288</v>
      </c>
      <c r="D102" s="85"/>
      <c r="E102" s="85"/>
      <c r="F102" s="85">
        <v>0</v>
      </c>
      <c r="G102" s="85"/>
      <c r="H102" s="85"/>
      <c r="I102" s="85"/>
    </row>
    <row r="103" spans="1:9" s="285" customFormat="1" x14ac:dyDescent="0.25">
      <c r="A103" s="118">
        <v>18</v>
      </c>
      <c r="B103" s="151">
        <v>5665</v>
      </c>
      <c r="C103" s="94" t="s">
        <v>289</v>
      </c>
      <c r="D103" s="85"/>
      <c r="E103" s="85"/>
      <c r="F103" s="85">
        <v>0</v>
      </c>
      <c r="G103" s="85"/>
      <c r="H103" s="85"/>
      <c r="I103" s="85"/>
    </row>
    <row r="104" spans="1:9" s="285" customFormat="1" x14ac:dyDescent="0.25">
      <c r="A104" s="118">
        <v>18</v>
      </c>
      <c r="B104" s="151">
        <v>5670</v>
      </c>
      <c r="C104" s="94" t="s">
        <v>290</v>
      </c>
      <c r="D104" s="85"/>
      <c r="E104" s="85"/>
      <c r="F104" s="85">
        <v>0</v>
      </c>
      <c r="G104" s="85"/>
      <c r="H104" s="85"/>
      <c r="I104" s="85"/>
    </row>
    <row r="105" spans="1:9" s="285" customFormat="1" x14ac:dyDescent="0.25">
      <c r="A105" s="118">
        <v>18</v>
      </c>
      <c r="B105" s="151">
        <v>5675</v>
      </c>
      <c r="C105" s="94" t="s">
        <v>291</v>
      </c>
      <c r="D105" s="85"/>
      <c r="E105" s="85"/>
      <c r="F105" s="85">
        <v>0</v>
      </c>
      <c r="G105" s="85"/>
      <c r="H105" s="85"/>
      <c r="I105" s="85"/>
    </row>
    <row r="106" spans="1:9" s="285" customFormat="1" x14ac:dyDescent="0.25">
      <c r="A106" s="118">
        <v>18</v>
      </c>
      <c r="B106" s="151">
        <v>5680</v>
      </c>
      <c r="C106" s="94" t="s">
        <v>292</v>
      </c>
      <c r="D106" s="85"/>
      <c r="E106" s="85"/>
      <c r="F106" s="85">
        <v>0</v>
      </c>
      <c r="G106" s="85"/>
      <c r="H106" s="85"/>
      <c r="I106" s="85"/>
    </row>
    <row r="107" spans="1:9" s="285" customFormat="1" x14ac:dyDescent="0.25">
      <c r="A107" s="118">
        <v>18</v>
      </c>
      <c r="B107" s="151">
        <v>5685</v>
      </c>
      <c r="C107" s="94" t="s">
        <v>293</v>
      </c>
      <c r="D107" s="85"/>
      <c r="E107" s="85"/>
      <c r="F107" s="85">
        <v>0</v>
      </c>
      <c r="G107" s="85"/>
      <c r="H107" s="85"/>
      <c r="I107" s="85"/>
    </row>
    <row r="108" spans="1:9" s="285" customFormat="1" x14ac:dyDescent="0.25">
      <c r="A108" s="118">
        <v>18</v>
      </c>
      <c r="B108" s="151">
        <v>5690</v>
      </c>
      <c r="C108" s="94" t="s">
        <v>247</v>
      </c>
      <c r="D108" s="85"/>
      <c r="E108" s="85"/>
      <c r="F108" s="85">
        <v>0</v>
      </c>
      <c r="G108" s="85"/>
      <c r="H108" s="85"/>
      <c r="I108" s="85"/>
    </row>
    <row r="109" spans="1:9" s="285" customFormat="1" x14ac:dyDescent="0.25">
      <c r="A109" s="118">
        <v>18</v>
      </c>
      <c r="B109" s="151">
        <v>5695</v>
      </c>
      <c r="C109" s="94" t="s">
        <v>294</v>
      </c>
      <c r="D109" s="85"/>
      <c r="E109" s="85"/>
      <c r="F109" s="85">
        <v>0</v>
      </c>
      <c r="G109" s="85"/>
      <c r="H109" s="85"/>
      <c r="I109" s="85"/>
    </row>
    <row r="110" spans="1:9" s="285" customFormat="1" x14ac:dyDescent="0.25">
      <c r="A110" s="118">
        <v>18</v>
      </c>
      <c r="B110" s="151">
        <v>5700</v>
      </c>
      <c r="C110" s="94" t="s">
        <v>518</v>
      </c>
      <c r="D110" s="85"/>
      <c r="E110" s="85">
        <v>150000</v>
      </c>
      <c r="F110" s="85">
        <v>20000</v>
      </c>
      <c r="G110" s="85"/>
      <c r="H110" s="85"/>
      <c r="I110" s="85"/>
    </row>
    <row r="111" spans="1:9" s="285" customFormat="1" hidden="1" x14ac:dyDescent="0.25">
      <c r="A111" s="118">
        <v>18</v>
      </c>
      <c r="B111" s="151">
        <v>5710</v>
      </c>
      <c r="C111" s="94" t="s">
        <v>297</v>
      </c>
      <c r="D111" s="85"/>
      <c r="E111" s="85"/>
      <c r="F111" s="85">
        <v>0</v>
      </c>
      <c r="G111" s="85"/>
      <c r="H111" s="85"/>
      <c r="I111" s="85"/>
    </row>
    <row r="112" spans="1:9" s="285" customFormat="1" hidden="1" x14ac:dyDescent="0.25">
      <c r="A112" s="118">
        <v>18</v>
      </c>
      <c r="B112" s="151">
        <v>5715</v>
      </c>
      <c r="C112" s="94" t="s">
        <v>298</v>
      </c>
      <c r="D112" s="85"/>
      <c r="E112" s="85"/>
      <c r="F112" s="85">
        <v>0</v>
      </c>
      <c r="G112" s="85"/>
      <c r="H112" s="85"/>
      <c r="I112" s="85"/>
    </row>
    <row r="113" spans="1:9" s="285" customFormat="1" hidden="1" x14ac:dyDescent="0.25">
      <c r="A113" s="118">
        <v>18</v>
      </c>
      <c r="B113" s="151">
        <v>5720</v>
      </c>
      <c r="C113" s="94" t="s">
        <v>299</v>
      </c>
      <c r="D113" s="85"/>
      <c r="E113" s="85"/>
      <c r="F113" s="85">
        <v>0</v>
      </c>
      <c r="G113" s="85"/>
      <c r="H113" s="85"/>
      <c r="I113" s="85"/>
    </row>
    <row r="114" spans="1:9" s="285" customFormat="1" hidden="1" x14ac:dyDescent="0.25">
      <c r="A114" s="118">
        <v>18</v>
      </c>
      <c r="B114" s="151">
        <v>5730</v>
      </c>
      <c r="C114" s="94" t="s">
        <v>300</v>
      </c>
      <c r="D114" s="85"/>
      <c r="E114" s="85"/>
      <c r="F114" s="85">
        <v>0</v>
      </c>
      <c r="G114" s="85"/>
      <c r="H114" s="85"/>
      <c r="I114" s="85"/>
    </row>
    <row r="115" spans="1:9" s="285" customFormat="1" hidden="1" x14ac:dyDescent="0.25">
      <c r="A115" s="118">
        <v>18</v>
      </c>
      <c r="B115" s="151">
        <v>5735</v>
      </c>
      <c r="C115" s="94" t="s">
        <v>301</v>
      </c>
      <c r="D115" s="85"/>
      <c r="E115" s="85"/>
      <c r="F115" s="85">
        <v>0</v>
      </c>
      <c r="G115" s="85"/>
      <c r="H115" s="85"/>
      <c r="I115" s="85"/>
    </row>
    <row r="116" spans="1:9" s="285" customFormat="1" x14ac:dyDescent="0.25">
      <c r="A116" s="118">
        <v>18</v>
      </c>
      <c r="B116" s="151">
        <v>5740</v>
      </c>
      <c r="C116" s="94" t="s">
        <v>502</v>
      </c>
      <c r="D116" s="85">
        <v>1228821</v>
      </c>
      <c r="E116" s="85">
        <v>350000</v>
      </c>
      <c r="F116" s="85">
        <v>1550000</v>
      </c>
      <c r="G116" s="85">
        <v>800000</v>
      </c>
      <c r="H116" s="85"/>
      <c r="I116" s="85"/>
    </row>
    <row r="117" spans="1:9" s="285" customFormat="1" hidden="1" x14ac:dyDescent="0.25">
      <c r="A117" s="118">
        <v>18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85"/>
      <c r="I117" s="85"/>
    </row>
    <row r="118" spans="1:9" s="285" customFormat="1" x14ac:dyDescent="0.25">
      <c r="A118" s="118">
        <v>18</v>
      </c>
      <c r="B118" s="151">
        <v>5750</v>
      </c>
      <c r="C118" s="94" t="s">
        <v>304</v>
      </c>
      <c r="D118" s="85">
        <v>268</v>
      </c>
      <c r="E118" s="85">
        <v>1500</v>
      </c>
      <c r="F118" s="85">
        <v>1500</v>
      </c>
      <c r="G118" s="85">
        <v>1500</v>
      </c>
      <c r="H118" s="85"/>
      <c r="I118" s="85"/>
    </row>
    <row r="119" spans="1:9" s="285" customFormat="1" x14ac:dyDescent="0.25">
      <c r="A119" s="118">
        <v>18</v>
      </c>
      <c r="B119" s="151">
        <v>5755</v>
      </c>
      <c r="C119" s="94" t="s">
        <v>305</v>
      </c>
      <c r="D119" s="85">
        <v>9476</v>
      </c>
      <c r="E119" s="85">
        <v>53500</v>
      </c>
      <c r="F119" s="85">
        <v>53500</v>
      </c>
      <c r="G119" s="85"/>
      <c r="H119" s="85"/>
      <c r="I119" s="85"/>
    </row>
    <row r="120" spans="1:9" s="285" customFormat="1" ht="12" customHeight="1" x14ac:dyDescent="0.25">
      <c r="A120" s="118">
        <v>18</v>
      </c>
      <c r="B120" s="151">
        <v>5760</v>
      </c>
      <c r="C120" s="94" t="s">
        <v>527</v>
      </c>
      <c r="D120" s="85"/>
      <c r="E120" s="85">
        <v>80000</v>
      </c>
      <c r="F120" s="85">
        <v>80000</v>
      </c>
      <c r="G120" s="85"/>
      <c r="H120" s="85"/>
      <c r="I120" s="85"/>
    </row>
    <row r="121" spans="1:9" s="285" customFormat="1" x14ac:dyDescent="0.25">
      <c r="A121" s="118">
        <v>18</v>
      </c>
      <c r="B121" s="151">
        <v>5765</v>
      </c>
      <c r="C121" s="94" t="s">
        <v>371</v>
      </c>
      <c r="D121" s="85">
        <v>456</v>
      </c>
      <c r="E121" s="85">
        <v>34000</v>
      </c>
      <c r="F121" s="85">
        <v>34000</v>
      </c>
      <c r="G121" s="85"/>
      <c r="H121" s="85"/>
      <c r="I121" s="85"/>
    </row>
    <row r="122" spans="1:9" s="285" customFormat="1" x14ac:dyDescent="0.25">
      <c r="A122" s="118">
        <v>18</v>
      </c>
      <c r="B122" s="151">
        <v>5770</v>
      </c>
      <c r="C122" s="94" t="s">
        <v>308</v>
      </c>
      <c r="D122" s="85"/>
      <c r="E122" s="85"/>
      <c r="F122" s="85">
        <v>0</v>
      </c>
      <c r="G122" s="85"/>
      <c r="H122" s="85"/>
      <c r="I122" s="85"/>
    </row>
    <row r="123" spans="1:9" s="285" customFormat="1" x14ac:dyDescent="0.25">
      <c r="A123" s="118">
        <v>18</v>
      </c>
      <c r="B123" s="151">
        <v>5775</v>
      </c>
      <c r="C123" s="94" t="s">
        <v>309</v>
      </c>
      <c r="D123" s="85"/>
      <c r="E123" s="85"/>
      <c r="F123" s="85">
        <v>0</v>
      </c>
      <c r="G123" s="85"/>
      <c r="H123" s="85"/>
      <c r="I123" s="85"/>
    </row>
    <row r="124" spans="1:9" s="285" customFormat="1" x14ac:dyDescent="0.25">
      <c r="A124" s="118">
        <v>18</v>
      </c>
      <c r="B124" s="151">
        <v>5780</v>
      </c>
      <c r="C124" s="94" t="s">
        <v>310</v>
      </c>
      <c r="D124" s="85"/>
      <c r="E124" s="85"/>
      <c r="F124" s="85">
        <v>0</v>
      </c>
      <c r="G124" s="85"/>
      <c r="H124" s="85"/>
      <c r="I124" s="85"/>
    </row>
    <row r="125" spans="1:9" s="285" customFormat="1" x14ac:dyDescent="0.25">
      <c r="A125" s="118">
        <v>18</v>
      </c>
      <c r="B125" s="151">
        <v>5785</v>
      </c>
      <c r="C125" s="94" t="s">
        <v>311</v>
      </c>
      <c r="D125" s="85"/>
      <c r="E125" s="85"/>
      <c r="F125" s="85">
        <v>0</v>
      </c>
      <c r="G125" s="85"/>
      <c r="H125" s="85"/>
      <c r="I125" s="85"/>
    </row>
    <row r="126" spans="1:9" s="285" customFormat="1" x14ac:dyDescent="0.25">
      <c r="A126" s="118">
        <v>18</v>
      </c>
      <c r="B126" s="151">
        <v>5790</v>
      </c>
      <c r="C126" s="94" t="s">
        <v>312</v>
      </c>
      <c r="D126" s="85"/>
      <c r="E126" s="85">
        <v>338307</v>
      </c>
      <c r="F126" s="85">
        <v>338307</v>
      </c>
      <c r="G126" s="85"/>
      <c r="H126" s="85"/>
      <c r="I126" s="85"/>
    </row>
    <row r="127" spans="1:9" s="285" customFormat="1" x14ac:dyDescent="0.25">
      <c r="A127" s="118">
        <v>18</v>
      </c>
      <c r="B127" s="151">
        <v>5795</v>
      </c>
      <c r="C127" s="94" t="s">
        <v>313</v>
      </c>
      <c r="D127" s="85"/>
      <c r="E127" s="85"/>
      <c r="F127" s="85">
        <v>0</v>
      </c>
      <c r="G127" s="85"/>
      <c r="H127" s="85"/>
      <c r="I127" s="85"/>
    </row>
    <row r="128" spans="1:9" s="285" customFormat="1" x14ac:dyDescent="0.25">
      <c r="A128" s="118">
        <v>18</v>
      </c>
      <c r="B128" s="151">
        <v>5800</v>
      </c>
      <c r="C128" s="94" t="s">
        <v>314</v>
      </c>
      <c r="D128" s="85"/>
      <c r="E128" s="85"/>
      <c r="F128" s="85">
        <v>0</v>
      </c>
      <c r="G128" s="85"/>
      <c r="H128" s="85"/>
      <c r="I128" s="85"/>
    </row>
    <row r="129" spans="1:9" s="285" customFormat="1" x14ac:dyDescent="0.25">
      <c r="A129" s="118">
        <v>18</v>
      </c>
      <c r="B129" s="151">
        <v>5805</v>
      </c>
      <c r="C129" s="94" t="s">
        <v>315</v>
      </c>
      <c r="D129" s="85"/>
      <c r="E129" s="85"/>
      <c r="F129" s="85">
        <f t="shared" ref="F129:F133" si="11">E129-D129</f>
        <v>0</v>
      </c>
      <c r="G129" s="85"/>
      <c r="H129" s="85"/>
      <c r="I129" s="85">
        <f>E129+H129</f>
        <v>0</v>
      </c>
    </row>
    <row r="130" spans="1:9" s="285" customFormat="1" x14ac:dyDescent="0.25">
      <c r="A130" s="118">
        <v>18</v>
      </c>
      <c r="B130" s="151">
        <v>5810</v>
      </c>
      <c r="C130" s="94" t="s">
        <v>316</v>
      </c>
      <c r="D130" s="85"/>
      <c r="E130" s="85"/>
      <c r="F130" s="85">
        <f t="shared" si="11"/>
        <v>0</v>
      </c>
      <c r="G130" s="85"/>
      <c r="H130" s="85"/>
      <c r="I130" s="85">
        <f>E130+H130</f>
        <v>0</v>
      </c>
    </row>
    <row r="131" spans="1:9" s="285" customFormat="1" x14ac:dyDescent="0.25">
      <c r="A131" s="118">
        <v>18</v>
      </c>
      <c r="B131" s="151">
        <v>5815</v>
      </c>
      <c r="C131" s="94" t="s">
        <v>99</v>
      </c>
      <c r="D131" s="85"/>
      <c r="E131" s="85"/>
      <c r="F131" s="85">
        <f t="shared" si="11"/>
        <v>0</v>
      </c>
      <c r="G131" s="85"/>
      <c r="H131" s="85"/>
      <c r="I131" s="85">
        <f>E131+H131</f>
        <v>0</v>
      </c>
    </row>
    <row r="132" spans="1:9" s="285" customFormat="1" x14ac:dyDescent="0.25">
      <c r="A132" s="118">
        <v>18</v>
      </c>
      <c r="B132" s="151">
        <v>5820</v>
      </c>
      <c r="C132" s="94" t="s">
        <v>114</v>
      </c>
      <c r="D132" s="86"/>
      <c r="E132" s="85"/>
      <c r="F132" s="85">
        <f t="shared" si="11"/>
        <v>0</v>
      </c>
      <c r="G132" s="85"/>
      <c r="H132" s="85"/>
      <c r="I132" s="85">
        <f>E132+H132</f>
        <v>0</v>
      </c>
    </row>
    <row r="133" spans="1:9" s="285" customFormat="1" x14ac:dyDescent="0.25">
      <c r="A133" s="118">
        <v>18</v>
      </c>
      <c r="B133" s="151">
        <v>5825</v>
      </c>
      <c r="C133" s="94" t="s">
        <v>317</v>
      </c>
      <c r="D133" s="86"/>
      <c r="E133" s="85"/>
      <c r="F133" s="85">
        <f t="shared" si="11"/>
        <v>0</v>
      </c>
      <c r="G133" s="85"/>
      <c r="H133" s="85"/>
      <c r="I133" s="85">
        <f>E133+H133</f>
        <v>0</v>
      </c>
    </row>
    <row r="134" spans="1:9" s="285" customFormat="1" x14ac:dyDescent="0.25">
      <c r="A134" s="118">
        <v>18</v>
      </c>
      <c r="B134" s="151">
        <v>5830</v>
      </c>
      <c r="C134" s="94" t="s">
        <v>318</v>
      </c>
      <c r="D134" s="86">
        <v>364630</v>
      </c>
      <c r="E134" s="85">
        <f>19166+15333+3833+10222+6389+12778+3833</f>
        <v>71554</v>
      </c>
      <c r="F134" s="85">
        <v>771554</v>
      </c>
      <c r="G134" s="85"/>
      <c r="H134" s="85"/>
      <c r="I134" s="85"/>
    </row>
    <row r="135" spans="1:9" s="285" customFormat="1" x14ac:dyDescent="0.25">
      <c r="A135" s="118">
        <v>18</v>
      </c>
      <c r="B135" s="151">
        <v>5835</v>
      </c>
      <c r="C135" s="94" t="s">
        <v>319</v>
      </c>
      <c r="D135" s="86">
        <v>19421</v>
      </c>
      <c r="E135" s="85">
        <v>141000</v>
      </c>
      <c r="F135" s="85">
        <v>71000</v>
      </c>
      <c r="G135" s="85">
        <v>100000</v>
      </c>
      <c r="H135" s="85"/>
      <c r="I135" s="85"/>
    </row>
    <row r="136" spans="1:9" s="285" customFormat="1" x14ac:dyDescent="0.25">
      <c r="A136" s="118">
        <v>18</v>
      </c>
      <c r="B136" s="151">
        <v>5840</v>
      </c>
      <c r="C136" s="94" t="s">
        <v>332</v>
      </c>
      <c r="D136" s="115"/>
      <c r="E136" s="85"/>
      <c r="F136" s="85">
        <v>0</v>
      </c>
      <c r="G136" s="85"/>
      <c r="H136" s="85"/>
      <c r="I136" s="85"/>
    </row>
    <row r="137" spans="1:9" s="285" customFormat="1" x14ac:dyDescent="0.25">
      <c r="A137" s="118">
        <v>18</v>
      </c>
      <c r="B137" s="151">
        <v>5845</v>
      </c>
      <c r="C137" s="94" t="s">
        <v>320</v>
      </c>
      <c r="D137" s="86"/>
      <c r="E137" s="85"/>
      <c r="F137" s="85">
        <v>0</v>
      </c>
      <c r="G137" s="85"/>
      <c r="H137" s="85"/>
      <c r="I137" s="85"/>
    </row>
    <row r="138" spans="1:9" s="285" customFormat="1" x14ac:dyDescent="0.25">
      <c r="A138" s="118">
        <v>18</v>
      </c>
      <c r="B138" s="151">
        <v>5855</v>
      </c>
      <c r="C138" s="94" t="s">
        <v>321</v>
      </c>
      <c r="D138" s="85"/>
      <c r="E138" s="85"/>
      <c r="F138" s="85">
        <v>0</v>
      </c>
      <c r="G138" s="85"/>
      <c r="H138" s="85"/>
      <c r="I138" s="85"/>
    </row>
    <row r="139" spans="1:9" s="285" customFormat="1" x14ac:dyDescent="0.25">
      <c r="A139" s="118">
        <v>18</v>
      </c>
      <c r="B139" s="151">
        <v>5860</v>
      </c>
      <c r="C139" s="94" t="s">
        <v>322</v>
      </c>
      <c r="D139" s="85"/>
      <c r="E139" s="85"/>
      <c r="F139" s="85">
        <v>0</v>
      </c>
      <c r="G139" s="85"/>
      <c r="H139" s="85"/>
      <c r="I139" s="85"/>
    </row>
    <row r="140" spans="1:9" s="285" customFormat="1" x14ac:dyDescent="0.25">
      <c r="A140" s="118">
        <v>18</v>
      </c>
      <c r="B140" s="151">
        <v>5865</v>
      </c>
      <c r="C140" s="94" t="s">
        <v>323</v>
      </c>
      <c r="D140" s="85"/>
      <c r="E140" s="85"/>
      <c r="F140" s="85">
        <v>0</v>
      </c>
      <c r="G140" s="85"/>
      <c r="H140" s="85"/>
      <c r="I140" s="85"/>
    </row>
    <row r="141" spans="1:9" s="285" customFormat="1" x14ac:dyDescent="0.25">
      <c r="A141" s="118">
        <v>18</v>
      </c>
      <c r="B141" s="151">
        <v>5870</v>
      </c>
      <c r="C141" s="94" t="s">
        <v>324</v>
      </c>
      <c r="D141" s="85"/>
      <c r="E141" s="85"/>
      <c r="F141" s="85">
        <v>0</v>
      </c>
      <c r="G141" s="85"/>
      <c r="H141" s="85"/>
      <c r="I141" s="85"/>
    </row>
    <row r="142" spans="1:9" s="285" customFormat="1" x14ac:dyDescent="0.25">
      <c r="A142" s="118">
        <v>18</v>
      </c>
      <c r="B142" s="151">
        <v>5875</v>
      </c>
      <c r="C142" s="94" t="s">
        <v>325</v>
      </c>
      <c r="D142" s="85"/>
      <c r="E142" s="85"/>
      <c r="F142" s="85">
        <v>0</v>
      </c>
      <c r="G142" s="85"/>
      <c r="H142" s="85"/>
      <c r="I142" s="85"/>
    </row>
    <row r="143" spans="1:9" s="285" customFormat="1" x14ac:dyDescent="0.25">
      <c r="A143" s="118">
        <v>18</v>
      </c>
      <c r="B143" s="151">
        <v>5880</v>
      </c>
      <c r="C143" s="94" t="s">
        <v>326</v>
      </c>
      <c r="D143" s="85"/>
      <c r="E143" s="85"/>
      <c r="F143" s="85">
        <v>0</v>
      </c>
      <c r="G143" s="85"/>
      <c r="H143" s="85"/>
      <c r="I143" s="85"/>
    </row>
    <row r="144" spans="1:9" s="285" customFormat="1" x14ac:dyDescent="0.25">
      <c r="A144" s="118">
        <v>18</v>
      </c>
      <c r="B144" s="151">
        <v>5885</v>
      </c>
      <c r="C144" s="94" t="s">
        <v>331</v>
      </c>
      <c r="D144" s="85">
        <v>71440</v>
      </c>
      <c r="E144" s="85">
        <v>400000</v>
      </c>
      <c r="F144" s="85">
        <v>400000</v>
      </c>
      <c r="G144" s="85">
        <v>500000</v>
      </c>
      <c r="H144" s="85"/>
      <c r="I144" s="85"/>
    </row>
    <row r="145" spans="1:9" s="285" customFormat="1" x14ac:dyDescent="0.25">
      <c r="A145" s="118">
        <v>18</v>
      </c>
      <c r="B145" s="151">
        <v>5890</v>
      </c>
      <c r="C145" s="94" t="s">
        <v>327</v>
      </c>
      <c r="D145" s="85"/>
      <c r="E145" s="85"/>
      <c r="F145" s="85">
        <v>0</v>
      </c>
      <c r="G145" s="85"/>
      <c r="H145" s="85"/>
      <c r="I145" s="85"/>
    </row>
    <row r="146" spans="1:9" s="285" customFormat="1" x14ac:dyDescent="0.25">
      <c r="A146" s="118">
        <v>18</v>
      </c>
      <c r="B146" s="151">
        <v>5895</v>
      </c>
      <c r="C146" s="94" t="s">
        <v>328</v>
      </c>
      <c r="D146" s="85"/>
      <c r="E146" s="85"/>
      <c r="F146" s="85">
        <v>0</v>
      </c>
      <c r="G146" s="85"/>
      <c r="H146" s="85"/>
      <c r="I146" s="85"/>
    </row>
    <row r="147" spans="1:9" s="285" customFormat="1" x14ac:dyDescent="0.25">
      <c r="A147" s="118">
        <v>18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85"/>
      <c r="H147" s="85"/>
      <c r="I147" s="85">
        <f>F147*(1+INPUT!C$10)</f>
        <v>0</v>
      </c>
    </row>
    <row r="148" spans="1:9" s="285" customFormat="1" x14ac:dyDescent="0.25">
      <c r="A148" s="344"/>
      <c r="B148" s="151"/>
      <c r="C148" s="94"/>
      <c r="D148" s="89">
        <f>SUM(D72:D147)</f>
        <v>3601500</v>
      </c>
      <c r="E148" s="89">
        <f t="shared" ref="E148:I148" si="12">SUM(E72:E147)</f>
        <v>3501121</v>
      </c>
      <c r="F148" s="89">
        <f t="shared" si="12"/>
        <v>6502121</v>
      </c>
      <c r="G148" s="89"/>
      <c r="H148" s="89">
        <f t="shared" si="12"/>
        <v>0</v>
      </c>
      <c r="I148" s="89">
        <f t="shared" si="12"/>
        <v>0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18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85"/>
      <c r="H150" s="85"/>
      <c r="I150" s="108">
        <f>F150*(1+INPUT!C$10)</f>
        <v>0</v>
      </c>
    </row>
    <row r="151" spans="1:9" s="285" customFormat="1" x14ac:dyDescent="0.25">
      <c r="A151" s="344"/>
      <c r="B151" s="151"/>
      <c r="C151" s="94"/>
      <c r="D151" s="89">
        <f t="shared" ref="D151:I151" si="13">SUM(D150)</f>
        <v>0</v>
      </c>
      <c r="E151" s="89">
        <f t="shared" si="13"/>
        <v>0</v>
      </c>
      <c r="F151" s="89">
        <f t="shared" si="13"/>
        <v>0</v>
      </c>
      <c r="G151" s="89"/>
      <c r="H151" s="89"/>
      <c r="I151" s="89">
        <f t="shared" si="13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18</v>
      </c>
      <c r="B153" s="151">
        <v>6105</v>
      </c>
      <c r="C153" s="94" t="s">
        <v>336</v>
      </c>
      <c r="D153" s="85"/>
      <c r="E153" s="108">
        <v>100000</v>
      </c>
      <c r="F153" s="85">
        <f>2890000+E153</f>
        <v>2990000</v>
      </c>
      <c r="G153" s="85"/>
      <c r="H153" s="85"/>
      <c r="I153" s="108"/>
    </row>
    <row r="154" spans="1:9" s="285" customFormat="1" x14ac:dyDescent="0.25">
      <c r="A154" s="118">
        <v>18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85"/>
      <c r="H154" s="85"/>
      <c r="I154" s="108"/>
    </row>
    <row r="155" spans="1:9" s="285" customFormat="1" x14ac:dyDescent="0.25">
      <c r="A155" s="118">
        <v>18</v>
      </c>
      <c r="B155" s="151">
        <v>6115</v>
      </c>
      <c r="C155" s="94" t="s">
        <v>515</v>
      </c>
      <c r="D155" s="85"/>
      <c r="E155" s="108">
        <v>145000</v>
      </c>
      <c r="F155" s="85">
        <f>E155-D155</f>
        <v>145000</v>
      </c>
      <c r="G155" s="85"/>
      <c r="H155" s="85"/>
      <c r="I155" s="85"/>
    </row>
    <row r="156" spans="1:9" s="285" customFormat="1" x14ac:dyDescent="0.25">
      <c r="A156" s="344"/>
      <c r="B156" s="151"/>
      <c r="C156" s="94"/>
      <c r="D156" s="89">
        <f t="shared" ref="D156:I156" si="14">SUM(D153:D155)</f>
        <v>0</v>
      </c>
      <c r="E156" s="89">
        <f t="shared" si="14"/>
        <v>245000</v>
      </c>
      <c r="F156" s="89">
        <f t="shared" si="14"/>
        <v>3135000</v>
      </c>
      <c r="G156" s="89"/>
      <c r="H156" s="89">
        <f t="shared" si="14"/>
        <v>0</v>
      </c>
      <c r="I156" s="89">
        <f t="shared" si="14"/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x14ac:dyDescent="0.25">
      <c r="A158" s="118">
        <v>18</v>
      </c>
      <c r="B158" s="151">
        <v>6205</v>
      </c>
      <c r="C158" s="94" t="s">
        <v>338</v>
      </c>
      <c r="D158" s="85"/>
      <c r="E158" s="85">
        <v>38697</v>
      </c>
      <c r="F158" s="85">
        <f>E158-D158</f>
        <v>38697</v>
      </c>
      <c r="G158" s="85"/>
      <c r="H158" s="85"/>
      <c r="I158" s="85"/>
    </row>
    <row r="159" spans="1:9" s="285" customFormat="1" hidden="1" x14ac:dyDescent="0.25">
      <c r="A159" s="118">
        <v>18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/>
      <c r="I159" s="85">
        <f>F159*(1+INPUT!C$10)</f>
        <v>0</v>
      </c>
    </row>
    <row r="160" spans="1:9" s="285" customFormat="1" x14ac:dyDescent="0.25">
      <c r="A160" s="344"/>
      <c r="B160" s="346"/>
      <c r="C160" s="347"/>
      <c r="D160" s="116">
        <f t="shared" ref="D160" si="15">SUM(D158:D159)</f>
        <v>0</v>
      </c>
      <c r="E160" s="116">
        <f t="shared" ref="E160:I160" si="16">SUM(E158:E159)</f>
        <v>38697</v>
      </c>
      <c r="F160" s="116">
        <f t="shared" si="16"/>
        <v>38697</v>
      </c>
      <c r="G160" s="116"/>
      <c r="H160" s="116">
        <f t="shared" si="16"/>
        <v>0</v>
      </c>
      <c r="I160" s="116">
        <f t="shared" si="16"/>
        <v>0</v>
      </c>
    </row>
    <row r="161" spans="1:9" s="285" customFormat="1" x14ac:dyDescent="0.25">
      <c r="A161" s="344"/>
      <c r="B161" s="346"/>
      <c r="C161" s="93" t="s">
        <v>189</v>
      </c>
      <c r="D161" s="116">
        <f>D160+D156+D151+D148+D70+D66+D63+D59+D38+D35+D32+D29+D25+D18</f>
        <v>5982704</v>
      </c>
      <c r="E161" s="116">
        <f t="shared" ref="E161:F161" si="17">E160+E156+E151+E148+E70+E66+E63+E59+E38+E35+E32+E29+E25+E18</f>
        <v>9648628</v>
      </c>
      <c r="F161" s="116">
        <f t="shared" si="17"/>
        <v>15624628</v>
      </c>
      <c r="G161" s="116"/>
      <c r="H161" s="116"/>
      <c r="I161" s="116"/>
    </row>
    <row r="162" spans="1:9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hidden="1" x14ac:dyDescent="0.25">
      <c r="A163" s="118">
        <v>18</v>
      </c>
      <c r="B163" s="151">
        <v>6305</v>
      </c>
      <c r="C163" s="94" t="s">
        <v>190</v>
      </c>
      <c r="D163" s="85"/>
      <c r="E163" s="85"/>
      <c r="F163" s="85"/>
      <c r="G163" s="85"/>
      <c r="H163" s="85"/>
      <c r="I163" s="85"/>
    </row>
    <row r="164" spans="1:9" s="285" customFormat="1" hidden="1" x14ac:dyDescent="0.25">
      <c r="A164" s="344"/>
      <c r="B164" s="151"/>
      <c r="C164" s="94"/>
      <c r="D164" s="116">
        <f t="shared" ref="D164" si="18">D163</f>
        <v>0</v>
      </c>
      <c r="E164" s="116">
        <f t="shared" ref="E164:I164" si="19">E163</f>
        <v>0</v>
      </c>
      <c r="F164" s="116">
        <f t="shared" si="19"/>
        <v>0</v>
      </c>
      <c r="G164" s="116"/>
      <c r="H164" s="116">
        <f t="shared" si="19"/>
        <v>0</v>
      </c>
      <c r="I164" s="116">
        <f t="shared" si="19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" si="20">SUM(D161+D164)</f>
        <v>5982704</v>
      </c>
      <c r="E165" s="160">
        <f t="shared" ref="E165:I165" si="21">SUM(E161+E164)</f>
        <v>9648628</v>
      </c>
      <c r="F165" s="160">
        <f t="shared" si="21"/>
        <v>15624628</v>
      </c>
      <c r="G165" s="160"/>
      <c r="H165" s="160">
        <f t="shared" si="21"/>
        <v>0</v>
      </c>
      <c r="I165" s="160">
        <f t="shared" si="21"/>
        <v>0</v>
      </c>
    </row>
    <row r="166" spans="1:9" s="285" customFormat="1" x14ac:dyDescent="0.25">
      <c r="A166" s="349"/>
      <c r="B166" s="406"/>
      <c r="C166" s="407"/>
      <c r="D166" s="405"/>
      <c r="E166" s="405"/>
      <c r="F166" s="405"/>
      <c r="G166" s="405"/>
      <c r="H166" s="405"/>
      <c r="I166" s="399"/>
    </row>
    <row r="167" spans="1:9" s="285" customFormat="1" x14ac:dyDescent="0.25">
      <c r="A167" s="703" t="s">
        <v>418</v>
      </c>
      <c r="B167" s="704"/>
      <c r="C167" s="704"/>
      <c r="D167" s="704"/>
      <c r="E167" s="704"/>
      <c r="F167" s="704"/>
      <c r="G167" s="704"/>
      <c r="H167" s="704"/>
      <c r="I167" s="705"/>
    </row>
    <row r="168" spans="1:9" s="285" customFormat="1" x14ac:dyDescent="0.25">
      <c r="A168" s="706" t="s">
        <v>21</v>
      </c>
      <c r="B168" s="707"/>
      <c r="C168" s="150" t="s">
        <v>22</v>
      </c>
      <c r="D168" s="103" t="s">
        <v>23</v>
      </c>
      <c r="E168" s="104" t="s">
        <v>24</v>
      </c>
      <c r="F168" s="103" t="s">
        <v>537</v>
      </c>
      <c r="G168" s="104" t="s">
        <v>24</v>
      </c>
      <c r="H168" s="104" t="s">
        <v>24</v>
      </c>
      <c r="I168" s="104" t="s">
        <v>24</v>
      </c>
    </row>
    <row r="169" spans="1:9" s="285" customFormat="1" x14ac:dyDescent="0.25">
      <c r="A169" s="708"/>
      <c r="B169" s="709"/>
      <c r="C169" s="106"/>
      <c r="D169" s="333">
        <v>41639</v>
      </c>
      <c r="E169" s="107" t="s">
        <v>384</v>
      </c>
      <c r="F169" s="107" t="s">
        <v>384</v>
      </c>
      <c r="G169" s="107" t="s">
        <v>409</v>
      </c>
      <c r="H169" s="107" t="s">
        <v>416</v>
      </c>
      <c r="I169" s="107" t="s">
        <v>532</v>
      </c>
    </row>
    <row r="170" spans="1:9" s="285" customFormat="1" hidden="1" x14ac:dyDescent="0.25">
      <c r="A170" s="350"/>
      <c r="B170" s="153"/>
      <c r="C170" s="93" t="s">
        <v>98</v>
      </c>
      <c r="D170" s="122"/>
      <c r="E170" s="98"/>
      <c r="F170" s="98"/>
      <c r="G170" s="98"/>
      <c r="H170" s="98"/>
      <c r="I170" s="98"/>
    </row>
    <row r="171" spans="1:9" s="285" customFormat="1" hidden="1" x14ac:dyDescent="0.25">
      <c r="A171" s="118">
        <v>18</v>
      </c>
      <c r="B171" s="151">
        <v>1237</v>
      </c>
      <c r="C171" s="94" t="s">
        <v>99</v>
      </c>
      <c r="D171" s="122"/>
      <c r="E171" s="108"/>
      <c r="F171" s="98">
        <f>E171/8*12</f>
        <v>0</v>
      </c>
      <c r="G171" s="98"/>
      <c r="H171" s="98"/>
      <c r="I171" s="108">
        <f>F171*(1+INPUT!C15)</f>
        <v>0</v>
      </c>
    </row>
    <row r="172" spans="1:9" s="285" customFormat="1" hidden="1" x14ac:dyDescent="0.25">
      <c r="A172" s="118">
        <v>18</v>
      </c>
      <c r="B172" s="151">
        <v>5725</v>
      </c>
      <c r="C172" s="94" t="s">
        <v>402</v>
      </c>
      <c r="D172" s="85">
        <v>0</v>
      </c>
      <c r="E172" s="85">
        <v>0</v>
      </c>
      <c r="F172" s="85">
        <f>(0/8*12)*-1</f>
        <v>0</v>
      </c>
      <c r="G172" s="85"/>
      <c r="H172" s="85"/>
      <c r="I172" s="85">
        <f>F172*(1+INPUT!C$10)</f>
        <v>0</v>
      </c>
    </row>
    <row r="173" spans="1:9" s="285" customFormat="1" hidden="1" x14ac:dyDescent="0.25">
      <c r="A173" s="344"/>
      <c r="B173" s="151"/>
      <c r="C173" s="94"/>
      <c r="D173" s="99">
        <f>SUM(D171:D171)</f>
        <v>0</v>
      </c>
      <c r="E173" s="99">
        <f>SUM(E171)</f>
        <v>0</v>
      </c>
      <c r="F173" s="99">
        <f>SUM(F171)</f>
        <v>0</v>
      </c>
      <c r="G173" s="99"/>
      <c r="H173" s="99"/>
      <c r="I173" s="99">
        <f>SUM(I171)</f>
        <v>0</v>
      </c>
    </row>
    <row r="174" spans="1:9" s="285" customFormat="1" x14ac:dyDescent="0.25">
      <c r="A174" s="344"/>
      <c r="B174" s="151"/>
      <c r="C174" s="93" t="s">
        <v>100</v>
      </c>
      <c r="D174" s="122"/>
      <c r="E174" s="98"/>
      <c r="F174" s="98"/>
      <c r="G174" s="98"/>
      <c r="H174" s="98"/>
      <c r="I174" s="334"/>
    </row>
    <row r="175" spans="1:9" s="285" customFormat="1" hidden="1" x14ac:dyDescent="0.25">
      <c r="A175" s="118">
        <v>18</v>
      </c>
      <c r="B175" s="151">
        <v>1147</v>
      </c>
      <c r="C175" s="94" t="s">
        <v>102</v>
      </c>
      <c r="D175" s="122"/>
      <c r="E175" s="98"/>
      <c r="F175" s="98">
        <f>E175/8*12</f>
        <v>0</v>
      </c>
      <c r="G175" s="98"/>
      <c r="H175" s="98"/>
      <c r="I175" s="98">
        <f>F175*(1+INPUT!C18)</f>
        <v>0</v>
      </c>
    </row>
    <row r="176" spans="1:9" s="285" customFormat="1" hidden="1" x14ac:dyDescent="0.25">
      <c r="A176" s="118">
        <v>18</v>
      </c>
      <c r="B176" s="151">
        <v>1202</v>
      </c>
      <c r="C176" s="94" t="s">
        <v>343</v>
      </c>
      <c r="D176" s="122"/>
      <c r="E176" s="98"/>
      <c r="F176" s="98">
        <f>E176/8*12</f>
        <v>0</v>
      </c>
      <c r="G176" s="98"/>
      <c r="H176" s="98"/>
      <c r="I176" s="98">
        <f>F176*(1+INPUT!C19)</f>
        <v>0</v>
      </c>
    </row>
    <row r="177" spans="1:9" s="285" customFormat="1" hidden="1" x14ac:dyDescent="0.25">
      <c r="A177" s="118">
        <v>18</v>
      </c>
      <c r="B177" s="151">
        <v>1207</v>
      </c>
      <c r="C177" s="94" t="s">
        <v>104</v>
      </c>
      <c r="D177" s="122"/>
      <c r="E177" s="98"/>
      <c r="F177" s="98">
        <f>E177/8*12</f>
        <v>0</v>
      </c>
      <c r="G177" s="98"/>
      <c r="H177" s="98"/>
      <c r="I177" s="98">
        <f>F177*(1+INPUT!C20)</f>
        <v>0</v>
      </c>
    </row>
    <row r="178" spans="1:9" s="285" customFormat="1" hidden="1" x14ac:dyDescent="0.25">
      <c r="A178" s="118">
        <v>18</v>
      </c>
      <c r="B178" s="151">
        <v>1153</v>
      </c>
      <c r="C178" s="94" t="s">
        <v>115</v>
      </c>
      <c r="D178" s="122"/>
      <c r="E178" s="98"/>
      <c r="F178" s="98">
        <f t="shared" ref="F178:F203" si="22">E178/8*12</f>
        <v>0</v>
      </c>
      <c r="G178" s="98"/>
      <c r="H178" s="98"/>
      <c r="I178" s="98">
        <f>F178*(1+INPUT!C21)</f>
        <v>0</v>
      </c>
    </row>
    <row r="179" spans="1:9" s="285" customFormat="1" hidden="1" x14ac:dyDescent="0.25">
      <c r="A179" s="118">
        <v>18</v>
      </c>
      <c r="B179" s="151">
        <v>1143</v>
      </c>
      <c r="C179" s="94" t="s">
        <v>109</v>
      </c>
      <c r="D179" s="122"/>
      <c r="E179" s="98"/>
      <c r="F179" s="98">
        <f t="shared" si="22"/>
        <v>0</v>
      </c>
      <c r="G179" s="98"/>
      <c r="H179" s="98"/>
      <c r="I179" s="98">
        <f>F179*(1+INPUT!C22)</f>
        <v>0</v>
      </c>
    </row>
    <row r="180" spans="1:9" s="285" customFormat="1" x14ac:dyDescent="0.25">
      <c r="A180" s="118">
        <v>18</v>
      </c>
      <c r="B180" s="151">
        <v>5500</v>
      </c>
      <c r="C180" s="94" t="s">
        <v>266</v>
      </c>
      <c r="D180" s="85"/>
      <c r="E180" s="85">
        <v>-67938</v>
      </c>
      <c r="F180" s="85">
        <f t="shared" ref="F180:F199" si="23">E180-D180</f>
        <v>-67938</v>
      </c>
      <c r="G180" s="85"/>
      <c r="H180" s="85"/>
      <c r="I180" s="85"/>
    </row>
    <row r="181" spans="1:9" s="285" customFormat="1" hidden="1" x14ac:dyDescent="0.25">
      <c r="A181" s="118">
        <v>18</v>
      </c>
      <c r="B181" s="151">
        <v>5705</v>
      </c>
      <c r="C181" s="94" t="s">
        <v>296</v>
      </c>
      <c r="D181" s="85"/>
      <c r="E181" s="85"/>
      <c r="F181" s="85">
        <f t="shared" si="23"/>
        <v>0</v>
      </c>
      <c r="G181" s="85"/>
      <c r="H181" s="85"/>
      <c r="I181" s="85"/>
    </row>
    <row r="182" spans="1:9" s="285" customFormat="1" hidden="1" x14ac:dyDescent="0.25">
      <c r="A182" s="118">
        <v>18</v>
      </c>
      <c r="B182" s="151">
        <v>1140</v>
      </c>
      <c r="C182" s="94" t="s">
        <v>113</v>
      </c>
      <c r="D182" s="122"/>
      <c r="E182" s="98"/>
      <c r="F182" s="85">
        <f t="shared" si="23"/>
        <v>0</v>
      </c>
      <c r="G182" s="86"/>
      <c r="H182" s="98"/>
      <c r="I182" s="98"/>
    </row>
    <row r="183" spans="1:9" s="285" customFormat="1" hidden="1" x14ac:dyDescent="0.25">
      <c r="A183" s="118">
        <v>18</v>
      </c>
      <c r="B183" s="151">
        <v>1145</v>
      </c>
      <c r="C183" s="94" t="s">
        <v>132</v>
      </c>
      <c r="D183" s="122"/>
      <c r="E183" s="98"/>
      <c r="F183" s="85">
        <f t="shared" si="23"/>
        <v>0</v>
      </c>
      <c r="G183" s="86"/>
      <c r="H183" s="98"/>
      <c r="I183" s="98"/>
    </row>
    <row r="184" spans="1:9" s="285" customFormat="1" hidden="1" x14ac:dyDescent="0.25">
      <c r="A184" s="118">
        <v>18</v>
      </c>
      <c r="B184" s="151">
        <v>1150</v>
      </c>
      <c r="C184" s="94" t="s">
        <v>120</v>
      </c>
      <c r="D184" s="122"/>
      <c r="E184" s="98"/>
      <c r="F184" s="85">
        <f t="shared" si="23"/>
        <v>0</v>
      </c>
      <c r="G184" s="86"/>
      <c r="H184" s="98"/>
      <c r="I184" s="98"/>
    </row>
    <row r="185" spans="1:9" s="285" customFormat="1" hidden="1" x14ac:dyDescent="0.25">
      <c r="A185" s="118">
        <v>18</v>
      </c>
      <c r="B185" s="151">
        <v>1155</v>
      </c>
      <c r="C185" s="94" t="s">
        <v>116</v>
      </c>
      <c r="D185" s="122"/>
      <c r="E185" s="98"/>
      <c r="F185" s="85">
        <f t="shared" si="23"/>
        <v>0</v>
      </c>
      <c r="G185" s="86"/>
      <c r="H185" s="98"/>
      <c r="I185" s="98"/>
    </row>
    <row r="186" spans="1:9" s="285" customFormat="1" hidden="1" x14ac:dyDescent="0.25">
      <c r="A186" s="118">
        <v>18</v>
      </c>
      <c r="B186" s="151">
        <v>1160</v>
      </c>
      <c r="C186" s="94" t="s">
        <v>101</v>
      </c>
      <c r="D186" s="122"/>
      <c r="E186" s="98"/>
      <c r="F186" s="85">
        <f t="shared" si="23"/>
        <v>0</v>
      </c>
      <c r="G186" s="86"/>
      <c r="H186" s="98"/>
      <c r="I186" s="98"/>
    </row>
    <row r="187" spans="1:9" s="285" customFormat="1" hidden="1" x14ac:dyDescent="0.25">
      <c r="A187" s="118">
        <v>18</v>
      </c>
      <c r="B187" s="151">
        <v>1165</v>
      </c>
      <c r="C187" s="94" t="s">
        <v>114</v>
      </c>
      <c r="D187" s="122"/>
      <c r="E187" s="98"/>
      <c r="F187" s="85">
        <f t="shared" si="23"/>
        <v>0</v>
      </c>
      <c r="G187" s="86"/>
      <c r="H187" s="98"/>
      <c r="I187" s="98"/>
    </row>
    <row r="188" spans="1:9" s="285" customFormat="1" hidden="1" x14ac:dyDescent="0.25">
      <c r="A188" s="118"/>
      <c r="B188" s="151"/>
      <c r="C188" s="94" t="s">
        <v>403</v>
      </c>
      <c r="D188" s="122"/>
      <c r="E188" s="98"/>
      <c r="F188" s="85">
        <f t="shared" si="23"/>
        <v>0</v>
      </c>
      <c r="G188" s="86"/>
      <c r="H188" s="98"/>
      <c r="I188" s="98"/>
    </row>
    <row r="189" spans="1:9" s="285" customFormat="1" hidden="1" x14ac:dyDescent="0.25">
      <c r="A189" s="118">
        <v>18</v>
      </c>
      <c r="B189" s="151">
        <v>1180</v>
      </c>
      <c r="C189" s="94" t="s">
        <v>404</v>
      </c>
      <c r="D189" s="122"/>
      <c r="E189" s="98"/>
      <c r="F189" s="85">
        <f t="shared" si="23"/>
        <v>0</v>
      </c>
      <c r="G189" s="86"/>
      <c r="H189" s="98"/>
      <c r="I189" s="98"/>
    </row>
    <row r="190" spans="1:9" s="285" customFormat="1" hidden="1" x14ac:dyDescent="0.25">
      <c r="A190" s="118">
        <v>18</v>
      </c>
      <c r="B190" s="151">
        <v>1185</v>
      </c>
      <c r="C190" s="94" t="s">
        <v>405</v>
      </c>
      <c r="D190" s="122"/>
      <c r="E190" s="98"/>
      <c r="F190" s="85">
        <f t="shared" si="23"/>
        <v>0</v>
      </c>
      <c r="G190" s="86"/>
      <c r="H190" s="98"/>
      <c r="I190" s="98"/>
    </row>
    <row r="191" spans="1:9" s="285" customFormat="1" hidden="1" x14ac:dyDescent="0.25">
      <c r="A191" s="118">
        <v>18</v>
      </c>
      <c r="B191" s="151">
        <v>1190</v>
      </c>
      <c r="C191" s="94" t="s">
        <v>406</v>
      </c>
      <c r="D191" s="122"/>
      <c r="E191" s="98"/>
      <c r="F191" s="85">
        <f t="shared" si="23"/>
        <v>0</v>
      </c>
      <c r="G191" s="86"/>
      <c r="H191" s="98"/>
      <c r="I191" s="98"/>
    </row>
    <row r="192" spans="1:9" s="285" customFormat="1" hidden="1" x14ac:dyDescent="0.25">
      <c r="A192" s="118"/>
      <c r="B192" s="151"/>
      <c r="C192" s="94" t="s">
        <v>407</v>
      </c>
      <c r="D192" s="122"/>
      <c r="E192" s="98"/>
      <c r="F192" s="85">
        <f t="shared" si="23"/>
        <v>0</v>
      </c>
      <c r="G192" s="86"/>
      <c r="H192" s="98"/>
      <c r="I192" s="98"/>
    </row>
    <row r="193" spans="1:9" s="285" customFormat="1" hidden="1" x14ac:dyDescent="0.25">
      <c r="A193" s="118">
        <v>18</v>
      </c>
      <c r="B193" s="151">
        <v>1195</v>
      </c>
      <c r="C193" s="94" t="s">
        <v>199</v>
      </c>
      <c r="D193" s="122"/>
      <c r="E193" s="98"/>
      <c r="F193" s="85">
        <f t="shared" si="23"/>
        <v>0</v>
      </c>
      <c r="G193" s="86"/>
      <c r="H193" s="98"/>
      <c r="I193" s="98"/>
    </row>
    <row r="194" spans="1:9" s="285" customFormat="1" hidden="1" x14ac:dyDescent="0.25">
      <c r="A194" s="118">
        <v>18</v>
      </c>
      <c r="B194" s="151">
        <v>1200</v>
      </c>
      <c r="C194" s="94" t="s">
        <v>117</v>
      </c>
      <c r="D194" s="122"/>
      <c r="E194" s="98"/>
      <c r="F194" s="85">
        <f t="shared" si="23"/>
        <v>0</v>
      </c>
      <c r="G194" s="86"/>
      <c r="H194" s="98"/>
      <c r="I194" s="98"/>
    </row>
    <row r="195" spans="1:9" s="285" customFormat="1" hidden="1" x14ac:dyDescent="0.25">
      <c r="A195" s="118">
        <v>18</v>
      </c>
      <c r="B195" s="151">
        <v>1205</v>
      </c>
      <c r="C195" s="115" t="s">
        <v>105</v>
      </c>
      <c r="D195" s="122"/>
      <c r="E195" s="98"/>
      <c r="F195" s="85">
        <f t="shared" si="23"/>
        <v>0</v>
      </c>
      <c r="G195" s="86"/>
      <c r="H195" s="98"/>
      <c r="I195" s="98"/>
    </row>
    <row r="196" spans="1:9" s="285" customFormat="1" hidden="1" x14ac:dyDescent="0.25">
      <c r="A196" s="118">
        <v>18</v>
      </c>
      <c r="B196" s="151">
        <v>1210</v>
      </c>
      <c r="C196" s="94" t="s">
        <v>118</v>
      </c>
      <c r="D196" s="122"/>
      <c r="E196" s="98"/>
      <c r="F196" s="85">
        <f t="shared" si="23"/>
        <v>0</v>
      </c>
      <c r="G196" s="86"/>
      <c r="H196" s="98"/>
      <c r="I196" s="98"/>
    </row>
    <row r="197" spans="1:9" s="285" customFormat="1" hidden="1" x14ac:dyDescent="0.25">
      <c r="A197" s="118">
        <v>18</v>
      </c>
      <c r="B197" s="151">
        <v>1215</v>
      </c>
      <c r="C197" s="94" t="s">
        <v>133</v>
      </c>
      <c r="D197" s="122"/>
      <c r="E197" s="98"/>
      <c r="F197" s="85">
        <f t="shared" si="23"/>
        <v>0</v>
      </c>
      <c r="G197" s="86"/>
      <c r="H197" s="98"/>
      <c r="I197" s="98"/>
    </row>
    <row r="198" spans="1:9" s="285" customFormat="1" ht="4.5" hidden="1" customHeight="1" x14ac:dyDescent="0.25">
      <c r="A198" s="118">
        <v>18</v>
      </c>
      <c r="B198" s="151">
        <v>5905</v>
      </c>
      <c r="C198" s="94" t="s">
        <v>329</v>
      </c>
      <c r="D198" s="85"/>
      <c r="E198" s="85"/>
      <c r="F198" s="85">
        <f t="shared" si="23"/>
        <v>0</v>
      </c>
      <c r="G198" s="85"/>
      <c r="H198" s="85"/>
      <c r="I198" s="85"/>
    </row>
    <row r="199" spans="1:9" s="285" customFormat="1" x14ac:dyDescent="0.25">
      <c r="A199" s="118">
        <v>18</v>
      </c>
      <c r="B199" s="151">
        <v>5900</v>
      </c>
      <c r="C199" s="94" t="s">
        <v>333</v>
      </c>
      <c r="D199" s="85">
        <v>0</v>
      </c>
      <c r="E199" s="85">
        <v>-45397</v>
      </c>
      <c r="F199" s="85">
        <f t="shared" si="23"/>
        <v>-45397</v>
      </c>
      <c r="G199" s="85"/>
      <c r="H199" s="85"/>
      <c r="I199" s="85"/>
    </row>
    <row r="200" spans="1:9" s="285" customFormat="1" hidden="1" x14ac:dyDescent="0.25">
      <c r="A200" s="118">
        <v>18</v>
      </c>
      <c r="B200" s="151">
        <v>1220</v>
      </c>
      <c r="C200" s="94" t="s">
        <v>340</v>
      </c>
      <c r="D200" s="122"/>
      <c r="E200" s="98"/>
      <c r="F200" s="98">
        <f t="shared" si="22"/>
        <v>0</v>
      </c>
      <c r="G200" s="98"/>
      <c r="H200" s="98"/>
      <c r="I200" s="98">
        <f>F200*(1+INPUT!C37)</f>
        <v>0</v>
      </c>
    </row>
    <row r="201" spans="1:9" s="285" customFormat="1" hidden="1" x14ac:dyDescent="0.25">
      <c r="A201" s="118">
        <v>18</v>
      </c>
      <c r="B201" s="151">
        <v>1225</v>
      </c>
      <c r="C201" s="94" t="s">
        <v>372</v>
      </c>
      <c r="D201" s="122"/>
      <c r="E201" s="98"/>
      <c r="F201" s="98">
        <f t="shared" si="22"/>
        <v>0</v>
      </c>
      <c r="G201" s="98"/>
      <c r="H201" s="98"/>
      <c r="I201" s="98">
        <f>F201*(1+INPUT!C38)</f>
        <v>0</v>
      </c>
    </row>
    <row r="202" spans="1:9" s="285" customFormat="1" hidden="1" x14ac:dyDescent="0.25">
      <c r="A202" s="118">
        <v>18</v>
      </c>
      <c r="B202" s="151">
        <v>1230</v>
      </c>
      <c r="C202" s="94" t="s">
        <v>119</v>
      </c>
      <c r="D202" s="122"/>
      <c r="E202" s="98"/>
      <c r="F202" s="98">
        <f t="shared" si="22"/>
        <v>0</v>
      </c>
      <c r="G202" s="98"/>
      <c r="H202" s="98"/>
      <c r="I202" s="98">
        <f>F202*(1+INPUT!C39)</f>
        <v>0</v>
      </c>
    </row>
    <row r="203" spans="1:9" s="285" customFormat="1" hidden="1" x14ac:dyDescent="0.25">
      <c r="A203" s="118">
        <v>18</v>
      </c>
      <c r="B203" s="151">
        <v>1235</v>
      </c>
      <c r="C203" s="94" t="s">
        <v>347</v>
      </c>
      <c r="D203" s="122"/>
      <c r="E203" s="98"/>
      <c r="F203" s="98">
        <f t="shared" si="22"/>
        <v>0</v>
      </c>
      <c r="G203" s="98"/>
      <c r="H203" s="98"/>
      <c r="I203" s="98">
        <f>F203*(1+INPUT!C40)</f>
        <v>0</v>
      </c>
    </row>
    <row r="204" spans="1:9" s="285" customFormat="1" hidden="1" x14ac:dyDescent="0.25">
      <c r="A204" s="118"/>
      <c r="B204" s="151"/>
      <c r="C204" s="94" t="s">
        <v>512</v>
      </c>
      <c r="D204" s="225"/>
      <c r="E204" s="85"/>
      <c r="F204" s="85"/>
      <c r="G204" s="85"/>
      <c r="H204" s="85"/>
      <c r="I204" s="85"/>
    </row>
    <row r="205" spans="1:9" s="285" customFormat="1" x14ac:dyDescent="0.25">
      <c r="A205" s="344"/>
      <c r="B205" s="151"/>
      <c r="C205" s="94"/>
      <c r="D205" s="100">
        <f t="shared" ref="D205:I205" si="24">SUM(D175:D203)</f>
        <v>0</v>
      </c>
      <c r="E205" s="100">
        <f t="shared" si="24"/>
        <v>-113335</v>
      </c>
      <c r="F205" s="100">
        <f t="shared" si="24"/>
        <v>-113335</v>
      </c>
      <c r="G205" s="100"/>
      <c r="H205" s="100">
        <f t="shared" ref="H205" si="25">SUM(H175:H203)</f>
        <v>0</v>
      </c>
      <c r="I205" s="99">
        <f t="shared" si="24"/>
        <v>0</v>
      </c>
    </row>
    <row r="206" spans="1:9" s="285" customFormat="1" hidden="1" x14ac:dyDescent="0.25">
      <c r="A206" s="344"/>
      <c r="B206" s="151"/>
      <c r="C206" s="93" t="s">
        <v>66</v>
      </c>
      <c r="D206" s="122"/>
      <c r="E206" s="98"/>
      <c r="F206" s="98"/>
      <c r="G206" s="98"/>
      <c r="H206" s="98"/>
      <c r="I206" s="98"/>
    </row>
    <row r="207" spans="1:9" s="285" customFormat="1" hidden="1" x14ac:dyDescent="0.25">
      <c r="A207" s="118">
        <v>18</v>
      </c>
      <c r="B207" s="151">
        <v>1305</v>
      </c>
      <c r="C207" s="94" t="s">
        <v>342</v>
      </c>
      <c r="D207" s="122"/>
      <c r="E207" s="98"/>
      <c r="F207" s="98">
        <f t="shared" ref="F207:F210" si="26">E207/8*12</f>
        <v>0</v>
      </c>
      <c r="G207" s="98"/>
      <c r="H207" s="98">
        <f>F207/8*12</f>
        <v>0</v>
      </c>
      <c r="I207" s="98">
        <f>F207*(1+INPUT!C43)</f>
        <v>0</v>
      </c>
    </row>
    <row r="208" spans="1:9" s="285" customFormat="1" hidden="1" x14ac:dyDescent="0.25">
      <c r="A208" s="118">
        <v>18</v>
      </c>
      <c r="B208" s="151">
        <v>1310</v>
      </c>
      <c r="C208" s="94" t="s">
        <v>344</v>
      </c>
      <c r="D208" s="122"/>
      <c r="E208" s="98"/>
      <c r="F208" s="98">
        <f t="shared" si="26"/>
        <v>0</v>
      </c>
      <c r="G208" s="98"/>
      <c r="H208" s="98">
        <f>F208/8*12</f>
        <v>0</v>
      </c>
      <c r="I208" s="98">
        <f>F208*(1+INPUT!C44)</f>
        <v>0</v>
      </c>
    </row>
    <row r="209" spans="1:9" s="285" customFormat="1" hidden="1" x14ac:dyDescent="0.25">
      <c r="A209" s="118">
        <v>18</v>
      </c>
      <c r="B209" s="151">
        <v>1320</v>
      </c>
      <c r="C209" s="94" t="s">
        <v>345</v>
      </c>
      <c r="D209" s="122"/>
      <c r="E209" s="98"/>
      <c r="F209" s="98">
        <f t="shared" si="26"/>
        <v>0</v>
      </c>
      <c r="G209" s="98"/>
      <c r="H209" s="98">
        <f>F209/8*12</f>
        <v>0</v>
      </c>
      <c r="I209" s="98">
        <f>F209*(1+INPUT!C45)</f>
        <v>0</v>
      </c>
    </row>
    <row r="210" spans="1:9" s="285" customFormat="1" hidden="1" x14ac:dyDescent="0.25">
      <c r="A210" s="118">
        <v>18</v>
      </c>
      <c r="B210" s="151">
        <v>1315</v>
      </c>
      <c r="C210" s="94" t="s">
        <v>346</v>
      </c>
      <c r="D210" s="122"/>
      <c r="E210" s="108"/>
      <c r="F210" s="98">
        <f t="shared" si="26"/>
        <v>0</v>
      </c>
      <c r="G210" s="98"/>
      <c r="H210" s="98">
        <f>F210/8*12</f>
        <v>0</v>
      </c>
      <c r="I210" s="108">
        <f>F210*(1+INPUT!C46)</f>
        <v>0</v>
      </c>
    </row>
    <row r="211" spans="1:9" s="285" customFormat="1" hidden="1" x14ac:dyDescent="0.25">
      <c r="A211" s="344"/>
      <c r="B211" s="151"/>
      <c r="C211" s="94"/>
      <c r="D211" s="99">
        <f>D210</f>
        <v>0</v>
      </c>
      <c r="E211" s="99">
        <f t="shared" ref="E211:I211" si="27">SUM(E207:E210)</f>
        <v>0</v>
      </c>
      <c r="F211" s="99">
        <f t="shared" si="27"/>
        <v>0</v>
      </c>
      <c r="G211" s="99"/>
      <c r="H211" s="99">
        <f t="shared" si="27"/>
        <v>0</v>
      </c>
      <c r="I211" s="99">
        <f t="shared" si="27"/>
        <v>0</v>
      </c>
    </row>
    <row r="212" spans="1:9" s="285" customFormat="1" hidden="1" x14ac:dyDescent="0.25">
      <c r="A212" s="344"/>
      <c r="B212" s="151"/>
      <c r="C212" s="93" t="s">
        <v>67</v>
      </c>
      <c r="D212" s="122"/>
      <c r="E212" s="98"/>
      <c r="F212" s="98"/>
      <c r="G212" s="98"/>
      <c r="H212" s="98"/>
      <c r="I212" s="98"/>
    </row>
    <row r="213" spans="1:9" s="285" customFormat="1" hidden="1" x14ac:dyDescent="0.25">
      <c r="A213" s="118">
        <v>18</v>
      </c>
      <c r="B213" s="151">
        <v>1400</v>
      </c>
      <c r="C213" s="94" t="s">
        <v>68</v>
      </c>
      <c r="D213" s="122"/>
      <c r="E213" s="108"/>
      <c r="F213" s="98">
        <f>E213/8*12</f>
        <v>0</v>
      </c>
      <c r="G213" s="98"/>
      <c r="H213" s="98">
        <f>F213/8*12</f>
        <v>0</v>
      </c>
      <c r="I213" s="108"/>
    </row>
    <row r="214" spans="1:9" s="285" customFormat="1" hidden="1" x14ac:dyDescent="0.25">
      <c r="A214" s="118">
        <v>18</v>
      </c>
      <c r="B214" s="151">
        <v>1405</v>
      </c>
      <c r="C214" s="94" t="s">
        <v>69</v>
      </c>
      <c r="D214" s="122"/>
      <c r="E214" s="108"/>
      <c r="F214" s="98">
        <f>E214/8*12</f>
        <v>0</v>
      </c>
      <c r="G214" s="98"/>
      <c r="H214" s="98">
        <f>F214/8*12</f>
        <v>0</v>
      </c>
      <c r="I214" s="108"/>
    </row>
    <row r="215" spans="1:9" s="285" customFormat="1" hidden="1" x14ac:dyDescent="0.25">
      <c r="A215" s="344"/>
      <c r="B215" s="151"/>
      <c r="C215" s="94"/>
      <c r="D215" s="99">
        <f t="shared" ref="D215:I215" si="28">SUM(D213:D214)</f>
        <v>0</v>
      </c>
      <c r="E215" s="99">
        <f t="shared" si="28"/>
        <v>0</v>
      </c>
      <c r="F215" s="99">
        <f t="shared" si="28"/>
        <v>0</v>
      </c>
      <c r="G215" s="99"/>
      <c r="H215" s="99">
        <f t="shared" ref="H215" si="29">SUM(H213:H214)</f>
        <v>0</v>
      </c>
      <c r="I215" s="99">
        <f t="shared" si="28"/>
        <v>0</v>
      </c>
    </row>
    <row r="216" spans="1:9" s="285" customFormat="1" hidden="1" x14ac:dyDescent="0.25">
      <c r="A216" s="344"/>
      <c r="B216" s="151"/>
      <c r="C216" s="93" t="s">
        <v>70</v>
      </c>
      <c r="D216" s="122"/>
      <c r="E216" s="98"/>
      <c r="F216" s="98"/>
      <c r="G216" s="98"/>
      <c r="H216" s="98"/>
      <c r="I216" s="98"/>
    </row>
    <row r="217" spans="1:9" s="285" customFormat="1" hidden="1" x14ac:dyDescent="0.25">
      <c r="A217" s="118">
        <v>18</v>
      </c>
      <c r="B217" s="151">
        <v>1500</v>
      </c>
      <c r="C217" s="94" t="s">
        <v>106</v>
      </c>
      <c r="D217" s="122"/>
      <c r="E217" s="108"/>
      <c r="F217" s="98">
        <f t="shared" ref="F217:F219" si="30">E217/8*12</f>
        <v>0</v>
      </c>
      <c r="G217" s="98"/>
      <c r="H217" s="98">
        <f>F217/8*12</f>
        <v>0</v>
      </c>
      <c r="I217" s="108"/>
    </row>
    <row r="218" spans="1:9" s="285" customFormat="1" hidden="1" x14ac:dyDescent="0.25">
      <c r="A218" s="118">
        <v>18</v>
      </c>
      <c r="B218" s="151">
        <v>1505</v>
      </c>
      <c r="C218" s="94" t="s">
        <v>71</v>
      </c>
      <c r="D218" s="122"/>
      <c r="E218" s="108"/>
      <c r="F218" s="98">
        <f t="shared" si="30"/>
        <v>0</v>
      </c>
      <c r="G218" s="98"/>
      <c r="H218" s="98">
        <f>F218/8*12</f>
        <v>0</v>
      </c>
      <c r="I218" s="108"/>
    </row>
    <row r="219" spans="1:9" s="285" customFormat="1" hidden="1" x14ac:dyDescent="0.25">
      <c r="A219" s="118">
        <v>18</v>
      </c>
      <c r="B219" s="151">
        <v>1510</v>
      </c>
      <c r="C219" s="94" t="s">
        <v>72</v>
      </c>
      <c r="D219" s="122"/>
      <c r="E219" s="108"/>
      <c r="F219" s="98">
        <f t="shared" si="30"/>
        <v>0</v>
      </c>
      <c r="G219" s="98"/>
      <c r="H219" s="98">
        <f>F219/8*12</f>
        <v>0</v>
      </c>
      <c r="I219" s="108"/>
    </row>
    <row r="220" spans="1:9" s="285" customFormat="1" hidden="1" x14ac:dyDescent="0.25">
      <c r="A220" s="344"/>
      <c r="B220" s="151"/>
      <c r="C220" s="94"/>
      <c r="D220" s="99">
        <f t="shared" ref="D220:I220" si="31">SUM(D217:D219)</f>
        <v>0</v>
      </c>
      <c r="E220" s="99">
        <f t="shared" si="31"/>
        <v>0</v>
      </c>
      <c r="F220" s="99">
        <f t="shared" si="31"/>
        <v>0</v>
      </c>
      <c r="G220" s="99"/>
      <c r="H220" s="99">
        <f t="shared" ref="H220" si="32">SUM(H217:H219)</f>
        <v>0</v>
      </c>
      <c r="I220" s="99">
        <f t="shared" si="31"/>
        <v>0</v>
      </c>
    </row>
    <row r="221" spans="1:9" s="285" customFormat="1" hidden="1" x14ac:dyDescent="0.25">
      <c r="A221" s="344"/>
      <c r="B221" s="151"/>
      <c r="C221" s="93" t="s">
        <v>73</v>
      </c>
      <c r="D221" s="122"/>
      <c r="E221" s="98"/>
      <c r="F221" s="98"/>
      <c r="G221" s="98"/>
      <c r="H221" s="98"/>
      <c r="I221" s="98"/>
    </row>
    <row r="222" spans="1:9" s="285" customFormat="1" hidden="1" x14ac:dyDescent="0.25">
      <c r="A222" s="118">
        <v>18</v>
      </c>
      <c r="B222" s="151">
        <v>1550</v>
      </c>
      <c r="C222" s="94" t="s">
        <v>349</v>
      </c>
      <c r="D222" s="122"/>
      <c r="E222" s="98"/>
      <c r="F222" s="98">
        <f>E222/8*12</f>
        <v>0</v>
      </c>
      <c r="G222" s="98"/>
      <c r="H222" s="98">
        <f>F222/8*12</f>
        <v>0</v>
      </c>
      <c r="I222" s="98"/>
    </row>
    <row r="223" spans="1:9" s="285" customFormat="1" hidden="1" x14ac:dyDescent="0.25">
      <c r="A223" s="118">
        <v>18</v>
      </c>
      <c r="B223" s="151">
        <v>1555</v>
      </c>
      <c r="C223" s="94" t="s">
        <v>348</v>
      </c>
      <c r="D223" s="122"/>
      <c r="E223" s="98"/>
      <c r="F223" s="98">
        <f>E223/8*12</f>
        <v>0</v>
      </c>
      <c r="G223" s="98"/>
      <c r="H223" s="98">
        <f>F223/8*12</f>
        <v>0</v>
      </c>
      <c r="I223" s="108"/>
    </row>
    <row r="224" spans="1:9" s="285" customFormat="1" hidden="1" x14ac:dyDescent="0.25">
      <c r="A224" s="344"/>
      <c r="B224" s="151"/>
      <c r="C224" s="94"/>
      <c r="D224" s="100">
        <f t="shared" ref="D224:I224" si="33">SUM(D222:D223)</f>
        <v>0</v>
      </c>
      <c r="E224" s="100">
        <f t="shared" si="33"/>
        <v>0</v>
      </c>
      <c r="F224" s="100">
        <f t="shared" si="33"/>
        <v>0</v>
      </c>
      <c r="G224" s="100"/>
      <c r="H224" s="100">
        <f t="shared" ref="H224" si="34">SUM(H222:H223)</f>
        <v>0</v>
      </c>
      <c r="I224" s="100">
        <f t="shared" si="33"/>
        <v>0</v>
      </c>
    </row>
    <row r="225" spans="1:9" s="285" customFormat="1" ht="13.5" hidden="1" customHeight="1" x14ac:dyDescent="0.25">
      <c r="A225" s="344"/>
      <c r="B225" s="151"/>
      <c r="C225" s="93" t="s">
        <v>74</v>
      </c>
      <c r="D225" s="122"/>
      <c r="E225" s="98"/>
      <c r="F225" s="98"/>
      <c r="G225" s="98"/>
      <c r="H225" s="98"/>
      <c r="I225" s="98"/>
    </row>
    <row r="226" spans="1:9" s="285" customFormat="1" hidden="1" x14ac:dyDescent="0.25">
      <c r="A226" s="118">
        <v>18</v>
      </c>
      <c r="B226" s="151">
        <v>1605</v>
      </c>
      <c r="C226" s="94" t="s">
        <v>75</v>
      </c>
      <c r="D226" s="122"/>
      <c r="E226" s="98"/>
      <c r="F226" s="98">
        <f t="shared" ref="F226:F238" si="35">E226/8*12</f>
        <v>0</v>
      </c>
      <c r="G226" s="98"/>
      <c r="H226" s="98">
        <f t="shared" ref="H226:H238" si="36">F226/8*12</f>
        <v>0</v>
      </c>
      <c r="I226" s="98"/>
    </row>
    <row r="227" spans="1:9" s="285" customFormat="1" hidden="1" x14ac:dyDescent="0.25">
      <c r="A227" s="118">
        <v>18</v>
      </c>
      <c r="B227" s="151">
        <v>1610</v>
      </c>
      <c r="C227" s="94" t="s">
        <v>131</v>
      </c>
      <c r="D227" s="122"/>
      <c r="E227" s="108"/>
      <c r="F227" s="98">
        <f t="shared" si="35"/>
        <v>0</v>
      </c>
      <c r="G227" s="98"/>
      <c r="H227" s="98">
        <f t="shared" si="36"/>
        <v>0</v>
      </c>
      <c r="I227" s="98"/>
    </row>
    <row r="228" spans="1:9" s="285" customFormat="1" hidden="1" x14ac:dyDescent="0.25">
      <c r="A228" s="118">
        <v>18</v>
      </c>
      <c r="B228" s="151">
        <v>1615</v>
      </c>
      <c r="C228" s="94" t="s">
        <v>182</v>
      </c>
      <c r="D228" s="122"/>
      <c r="E228" s="108"/>
      <c r="F228" s="98">
        <f t="shared" si="35"/>
        <v>0</v>
      </c>
      <c r="G228" s="98"/>
      <c r="H228" s="98">
        <f t="shared" si="36"/>
        <v>0</v>
      </c>
      <c r="I228" s="98"/>
    </row>
    <row r="229" spans="1:9" s="285" customFormat="1" hidden="1" x14ac:dyDescent="0.25">
      <c r="A229" s="118">
        <v>18</v>
      </c>
      <c r="B229" s="151">
        <v>1620</v>
      </c>
      <c r="C229" s="94" t="s">
        <v>255</v>
      </c>
      <c r="D229" s="122"/>
      <c r="E229" s="108"/>
      <c r="F229" s="98">
        <f t="shared" si="35"/>
        <v>0</v>
      </c>
      <c r="G229" s="98"/>
      <c r="H229" s="98">
        <f t="shared" si="36"/>
        <v>0</v>
      </c>
      <c r="I229" s="98"/>
    </row>
    <row r="230" spans="1:9" s="285" customFormat="1" hidden="1" x14ac:dyDescent="0.25">
      <c r="A230" s="118">
        <v>18</v>
      </c>
      <c r="B230" s="151">
        <v>1625</v>
      </c>
      <c r="C230" s="94" t="s">
        <v>108</v>
      </c>
      <c r="D230" s="122"/>
      <c r="E230" s="108"/>
      <c r="F230" s="98">
        <f t="shared" si="35"/>
        <v>0</v>
      </c>
      <c r="G230" s="98"/>
      <c r="H230" s="98">
        <f t="shared" si="36"/>
        <v>0</v>
      </c>
      <c r="I230" s="98"/>
    </row>
    <row r="231" spans="1:9" s="285" customFormat="1" hidden="1" x14ac:dyDescent="0.25">
      <c r="A231" s="118">
        <v>18</v>
      </c>
      <c r="B231" s="151">
        <v>1630</v>
      </c>
      <c r="C231" s="94" t="s">
        <v>76</v>
      </c>
      <c r="D231" s="122"/>
      <c r="E231" s="108"/>
      <c r="F231" s="98">
        <f t="shared" si="35"/>
        <v>0</v>
      </c>
      <c r="G231" s="98"/>
      <c r="H231" s="98">
        <f t="shared" si="36"/>
        <v>0</v>
      </c>
      <c r="I231" s="98"/>
    </row>
    <row r="232" spans="1:9" s="285" customFormat="1" hidden="1" x14ac:dyDescent="0.25">
      <c r="A232" s="118">
        <v>18</v>
      </c>
      <c r="B232" s="151">
        <v>1635</v>
      </c>
      <c r="C232" s="94" t="s">
        <v>180</v>
      </c>
      <c r="D232" s="122"/>
      <c r="E232" s="108"/>
      <c r="F232" s="98">
        <f t="shared" si="35"/>
        <v>0</v>
      </c>
      <c r="G232" s="98"/>
      <c r="H232" s="98">
        <f t="shared" si="36"/>
        <v>0</v>
      </c>
      <c r="I232" s="98"/>
    </row>
    <row r="233" spans="1:9" s="285" customFormat="1" hidden="1" x14ac:dyDescent="0.25">
      <c r="A233" s="118">
        <v>18</v>
      </c>
      <c r="B233" s="151">
        <v>1640</v>
      </c>
      <c r="C233" s="94" t="s">
        <v>184</v>
      </c>
      <c r="D233" s="122"/>
      <c r="E233" s="108"/>
      <c r="F233" s="98">
        <f t="shared" si="35"/>
        <v>0</v>
      </c>
      <c r="G233" s="98"/>
      <c r="H233" s="98">
        <f t="shared" si="36"/>
        <v>0</v>
      </c>
      <c r="I233" s="98"/>
    </row>
    <row r="234" spans="1:9" s="285" customFormat="1" hidden="1" x14ac:dyDescent="0.25">
      <c r="A234" s="118">
        <v>18</v>
      </c>
      <c r="B234" s="151">
        <v>1645</v>
      </c>
      <c r="C234" s="94" t="s">
        <v>77</v>
      </c>
      <c r="D234" s="122"/>
      <c r="E234" s="108"/>
      <c r="F234" s="98">
        <f t="shared" si="35"/>
        <v>0</v>
      </c>
      <c r="G234" s="98"/>
      <c r="H234" s="98">
        <f t="shared" si="36"/>
        <v>0</v>
      </c>
      <c r="I234" s="98"/>
    </row>
    <row r="235" spans="1:9" s="285" customFormat="1" hidden="1" x14ac:dyDescent="0.25">
      <c r="A235" s="118">
        <v>18</v>
      </c>
      <c r="B235" s="151">
        <v>1650</v>
      </c>
      <c r="C235" s="94" t="s">
        <v>78</v>
      </c>
      <c r="D235" s="122"/>
      <c r="E235" s="108"/>
      <c r="F235" s="98">
        <f t="shared" si="35"/>
        <v>0</v>
      </c>
      <c r="G235" s="98"/>
      <c r="H235" s="98">
        <f t="shared" si="36"/>
        <v>0</v>
      </c>
      <c r="I235" s="98"/>
    </row>
    <row r="236" spans="1:9" s="285" customFormat="1" hidden="1" x14ac:dyDescent="0.25">
      <c r="A236" s="118">
        <v>18</v>
      </c>
      <c r="B236" s="151"/>
      <c r="C236" s="94" t="s">
        <v>200</v>
      </c>
      <c r="D236" s="122"/>
      <c r="E236" s="108"/>
      <c r="F236" s="98">
        <f t="shared" si="35"/>
        <v>0</v>
      </c>
      <c r="G236" s="98"/>
      <c r="H236" s="98">
        <f t="shared" si="36"/>
        <v>0</v>
      </c>
      <c r="I236" s="98"/>
    </row>
    <row r="237" spans="1:9" s="285" customFormat="1" hidden="1" x14ac:dyDescent="0.25">
      <c r="A237" s="118">
        <v>18</v>
      </c>
      <c r="B237" s="151">
        <v>1660</v>
      </c>
      <c r="C237" s="94" t="s">
        <v>185</v>
      </c>
      <c r="D237" s="122"/>
      <c r="E237" s="108"/>
      <c r="F237" s="98">
        <f t="shared" si="35"/>
        <v>0</v>
      </c>
      <c r="G237" s="98"/>
      <c r="H237" s="98">
        <f t="shared" si="36"/>
        <v>0</v>
      </c>
      <c r="I237" s="98"/>
    </row>
    <row r="238" spans="1:9" s="285" customFormat="1" hidden="1" x14ac:dyDescent="0.25">
      <c r="A238" s="118">
        <v>18</v>
      </c>
      <c r="B238" s="151">
        <v>1665</v>
      </c>
      <c r="C238" s="94" t="s">
        <v>181</v>
      </c>
      <c r="D238" s="122"/>
      <c r="E238" s="108"/>
      <c r="F238" s="98">
        <f t="shared" si="35"/>
        <v>0</v>
      </c>
      <c r="G238" s="98"/>
      <c r="H238" s="98">
        <f t="shared" si="36"/>
        <v>0</v>
      </c>
      <c r="I238" s="98"/>
    </row>
    <row r="239" spans="1:9" s="285" customFormat="1" hidden="1" x14ac:dyDescent="0.25">
      <c r="A239" s="344"/>
      <c r="B239" s="151"/>
      <c r="C239" s="94"/>
      <c r="D239" s="99">
        <f>SUM(D226:D235)</f>
        <v>0</v>
      </c>
      <c r="E239" s="99">
        <f t="shared" ref="E239:I239" si="37">SUM(E226:E238)</f>
        <v>0</v>
      </c>
      <c r="F239" s="99">
        <f t="shared" si="37"/>
        <v>0</v>
      </c>
      <c r="G239" s="99"/>
      <c r="H239" s="99">
        <f t="shared" si="37"/>
        <v>0</v>
      </c>
      <c r="I239" s="99">
        <f t="shared" si="37"/>
        <v>0</v>
      </c>
    </row>
    <row r="240" spans="1:9" s="285" customFormat="1" x14ac:dyDescent="0.25">
      <c r="A240" s="344"/>
      <c r="B240" s="151"/>
      <c r="C240" s="93" t="s">
        <v>79</v>
      </c>
      <c r="D240" s="122"/>
      <c r="E240" s="98"/>
      <c r="F240" s="98"/>
      <c r="G240" s="98"/>
      <c r="H240" s="98"/>
      <c r="I240" s="334"/>
    </row>
    <row r="241" spans="1:9" s="285" customFormat="1" hidden="1" x14ac:dyDescent="0.25">
      <c r="A241" s="118">
        <v>18</v>
      </c>
      <c r="B241" s="151">
        <v>1705</v>
      </c>
      <c r="C241" s="94" t="s">
        <v>123</v>
      </c>
      <c r="D241" s="122"/>
      <c r="E241" s="98"/>
      <c r="F241" s="98">
        <f t="shared" ref="F241:F246" si="38">E241/8*12</f>
        <v>0</v>
      </c>
      <c r="G241" s="98"/>
      <c r="H241" s="98">
        <f>F241/8*12</f>
        <v>0</v>
      </c>
      <c r="I241" s="122"/>
    </row>
    <row r="242" spans="1:9" s="285" customFormat="1" hidden="1" x14ac:dyDescent="0.25">
      <c r="A242" s="118">
        <v>18</v>
      </c>
      <c r="B242" s="151">
        <v>1710</v>
      </c>
      <c r="C242" s="94" t="s">
        <v>242</v>
      </c>
      <c r="D242" s="122"/>
      <c r="E242" s="98"/>
      <c r="F242" s="98">
        <f t="shared" si="38"/>
        <v>0</v>
      </c>
      <c r="G242" s="98"/>
      <c r="H242" s="98">
        <f>F242/8*12</f>
        <v>0</v>
      </c>
      <c r="I242" s="122"/>
    </row>
    <row r="243" spans="1:9" s="285" customFormat="1" x14ac:dyDescent="0.25">
      <c r="A243" s="118">
        <v>18</v>
      </c>
      <c r="B243" s="151">
        <v>1715</v>
      </c>
      <c r="C243" s="94" t="s">
        <v>183</v>
      </c>
      <c r="D243" s="122">
        <v>46200</v>
      </c>
      <c r="E243" s="98">
        <v>509256</v>
      </c>
      <c r="F243" s="98">
        <v>509256</v>
      </c>
      <c r="G243" s="98"/>
      <c r="H243" s="98"/>
      <c r="I243" s="122"/>
    </row>
    <row r="244" spans="1:9" s="285" customFormat="1" hidden="1" x14ac:dyDescent="0.25">
      <c r="A244" s="118">
        <v>18</v>
      </c>
      <c r="B244" s="151">
        <v>1720</v>
      </c>
      <c r="C244" s="94" t="s">
        <v>103</v>
      </c>
      <c r="D244" s="122"/>
      <c r="E244" s="98"/>
      <c r="F244" s="98">
        <f t="shared" si="38"/>
        <v>0</v>
      </c>
      <c r="G244" s="98"/>
      <c r="H244" s="98">
        <f>F244/8*12</f>
        <v>0</v>
      </c>
      <c r="I244" s="122"/>
    </row>
    <row r="245" spans="1:9" s="285" customFormat="1" hidden="1" x14ac:dyDescent="0.25">
      <c r="A245" s="118">
        <v>18</v>
      </c>
      <c r="B245" s="151">
        <v>1725</v>
      </c>
      <c r="C245" s="94" t="s">
        <v>107</v>
      </c>
      <c r="D245" s="122"/>
      <c r="E245" s="98"/>
      <c r="F245" s="98">
        <f t="shared" si="38"/>
        <v>0</v>
      </c>
      <c r="G245" s="98"/>
      <c r="H245" s="98">
        <f>F245/8*12</f>
        <v>0</v>
      </c>
      <c r="I245" s="122"/>
    </row>
    <row r="246" spans="1:9" s="285" customFormat="1" hidden="1" x14ac:dyDescent="0.25">
      <c r="A246" s="118">
        <v>18</v>
      </c>
      <c r="B246" s="151">
        <v>1730</v>
      </c>
      <c r="C246" s="94" t="s">
        <v>256</v>
      </c>
      <c r="D246" s="122"/>
      <c r="E246" s="98"/>
      <c r="F246" s="98">
        <f t="shared" si="38"/>
        <v>0</v>
      </c>
      <c r="G246" s="98"/>
      <c r="H246" s="98">
        <f>F246/8*12</f>
        <v>0</v>
      </c>
      <c r="I246" s="122"/>
    </row>
    <row r="247" spans="1:9" s="285" customFormat="1" x14ac:dyDescent="0.25">
      <c r="A247" s="344"/>
      <c r="B247" s="151"/>
      <c r="C247" s="94"/>
      <c r="D247" s="99">
        <f>D246</f>
        <v>0</v>
      </c>
      <c r="E247" s="99">
        <f>SUM(E241:E246)</f>
        <v>509256</v>
      </c>
      <c r="F247" s="99">
        <f t="shared" ref="F247:I247" si="39">SUM(F241:F246)</f>
        <v>509256</v>
      </c>
      <c r="G247" s="99"/>
      <c r="H247" s="99">
        <f t="shared" si="39"/>
        <v>0</v>
      </c>
      <c r="I247" s="99">
        <f t="shared" si="39"/>
        <v>0</v>
      </c>
    </row>
    <row r="248" spans="1:9" s="285" customFormat="1" hidden="1" x14ac:dyDescent="0.25">
      <c r="A248" s="344"/>
      <c r="B248" s="151"/>
      <c r="C248" s="93" t="s">
        <v>80</v>
      </c>
      <c r="D248" s="122"/>
      <c r="E248" s="98"/>
      <c r="F248" s="98"/>
      <c r="G248" s="98"/>
      <c r="H248" s="98"/>
      <c r="I248" s="98"/>
    </row>
    <row r="249" spans="1:9" s="285" customFormat="1" hidden="1" x14ac:dyDescent="0.25">
      <c r="A249" s="118">
        <v>18</v>
      </c>
      <c r="B249" s="151">
        <v>1805</v>
      </c>
      <c r="C249" s="94" t="s">
        <v>81</v>
      </c>
      <c r="D249" s="122"/>
      <c r="E249" s="108"/>
      <c r="F249" s="98">
        <f>E249/8*12</f>
        <v>0</v>
      </c>
      <c r="G249" s="98"/>
      <c r="H249" s="98">
        <f>F249/8*12</f>
        <v>0</v>
      </c>
      <c r="I249" s="108"/>
    </row>
    <row r="250" spans="1:9" s="285" customFormat="1" hidden="1" x14ac:dyDescent="0.25">
      <c r="A250" s="344"/>
      <c r="B250" s="151"/>
      <c r="C250" s="94"/>
      <c r="D250" s="99">
        <f t="shared" ref="D250:I250" si="40">D249</f>
        <v>0</v>
      </c>
      <c r="E250" s="99">
        <f t="shared" si="40"/>
        <v>0</v>
      </c>
      <c r="F250" s="99">
        <f t="shared" si="40"/>
        <v>0</v>
      </c>
      <c r="G250" s="99"/>
      <c r="H250" s="99">
        <f t="shared" ref="H250" si="41">H249</f>
        <v>0</v>
      </c>
      <c r="I250" s="99">
        <f t="shared" si="40"/>
        <v>0</v>
      </c>
    </row>
    <row r="251" spans="1:9" s="285" customFormat="1" x14ac:dyDescent="0.25">
      <c r="A251" s="344"/>
      <c r="B251" s="346"/>
      <c r="C251" s="93" t="s">
        <v>192</v>
      </c>
      <c r="D251" s="117">
        <f t="shared" ref="D251:I251" si="42">SUM(D170:D250)/2</f>
        <v>23100</v>
      </c>
      <c r="E251" s="117">
        <f t="shared" si="42"/>
        <v>395921</v>
      </c>
      <c r="F251" s="117">
        <f t="shared" si="42"/>
        <v>395921</v>
      </c>
      <c r="G251" s="117"/>
      <c r="H251" s="117">
        <f t="shared" ref="H251" si="43">SUM(H170:H250)/2</f>
        <v>0</v>
      </c>
      <c r="I251" s="117">
        <f t="shared" si="42"/>
        <v>0</v>
      </c>
    </row>
    <row r="252" spans="1:9" s="285" customFormat="1" hidden="1" x14ac:dyDescent="0.25">
      <c r="A252" s="344"/>
      <c r="B252" s="151"/>
      <c r="C252" s="94"/>
      <c r="D252" s="117"/>
      <c r="E252" s="117"/>
      <c r="F252" s="117"/>
      <c r="G252" s="117"/>
      <c r="H252" s="117"/>
      <c r="I252" s="117"/>
    </row>
    <row r="253" spans="1:9" s="285" customFormat="1" hidden="1" x14ac:dyDescent="0.25">
      <c r="A253" s="344"/>
      <c r="B253" s="151"/>
      <c r="C253" s="145" t="s">
        <v>193</v>
      </c>
      <c r="D253" s="124"/>
      <c r="E253" s="146"/>
      <c r="F253" s="124"/>
      <c r="G253" s="124"/>
      <c r="H253" s="124"/>
      <c r="I253" s="124"/>
    </row>
    <row r="254" spans="1:9" s="285" customFormat="1" hidden="1" x14ac:dyDescent="0.25">
      <c r="A254" s="118">
        <v>18</v>
      </c>
      <c r="B254" s="151">
        <v>1905</v>
      </c>
      <c r="C254" s="118" t="s">
        <v>194</v>
      </c>
      <c r="D254" s="127"/>
      <c r="E254" s="147"/>
      <c r="F254" s="98">
        <f>E254/8*12</f>
        <v>0</v>
      </c>
      <c r="G254" s="98"/>
      <c r="H254" s="98">
        <f>F254/8*12</f>
        <v>0</v>
      </c>
      <c r="I254" s="123"/>
    </row>
    <row r="255" spans="1:9" s="285" customFormat="1" hidden="1" x14ac:dyDescent="0.25">
      <c r="A255" s="344"/>
      <c r="B255" s="151"/>
      <c r="C255" s="94"/>
      <c r="D255" s="117">
        <f t="shared" ref="D255:I255" si="44">SUM(D254)</f>
        <v>0</v>
      </c>
      <c r="E255" s="117">
        <f t="shared" si="44"/>
        <v>0</v>
      </c>
      <c r="F255" s="117">
        <f t="shared" si="44"/>
        <v>0</v>
      </c>
      <c r="G255" s="117"/>
      <c r="H255" s="117">
        <f t="shared" ref="H255" si="45">SUM(H254)</f>
        <v>0</v>
      </c>
      <c r="I255" s="117">
        <f t="shared" si="44"/>
        <v>0</v>
      </c>
    </row>
    <row r="256" spans="1:9" s="285" customFormat="1" x14ac:dyDescent="0.25">
      <c r="A256" s="344"/>
      <c r="B256" s="151"/>
      <c r="C256" s="93" t="s">
        <v>189</v>
      </c>
      <c r="D256" s="117">
        <f t="shared" ref="D256:I256" si="46">D251+D255</f>
        <v>23100</v>
      </c>
      <c r="E256" s="117">
        <f t="shared" si="46"/>
        <v>395921</v>
      </c>
      <c r="F256" s="117">
        <f t="shared" si="46"/>
        <v>395921</v>
      </c>
      <c r="G256" s="117"/>
      <c r="H256" s="117">
        <f t="shared" ref="H256" si="47">H251+H255</f>
        <v>0</v>
      </c>
      <c r="I256" s="117">
        <f t="shared" si="46"/>
        <v>0</v>
      </c>
    </row>
    <row r="257" spans="1:9" s="285" customFormat="1" hidden="1" x14ac:dyDescent="0.25">
      <c r="A257" s="344"/>
      <c r="B257" s="151"/>
      <c r="C257" s="145" t="s">
        <v>195</v>
      </c>
      <c r="D257" s="124"/>
      <c r="E257" s="148"/>
      <c r="F257" s="125"/>
      <c r="G257" s="125"/>
      <c r="H257" s="125"/>
      <c r="I257" s="125"/>
    </row>
    <row r="258" spans="1:9" s="285" customFormat="1" hidden="1" x14ac:dyDescent="0.25">
      <c r="A258" s="118">
        <v>18</v>
      </c>
      <c r="B258" s="151">
        <v>1950</v>
      </c>
      <c r="C258" s="118" t="s">
        <v>196</v>
      </c>
      <c r="D258" s="127"/>
      <c r="E258" s="147"/>
      <c r="F258" s="98">
        <f>E258/8*12</f>
        <v>0</v>
      </c>
      <c r="G258" s="98"/>
      <c r="H258" s="98">
        <f>F258/8*12</f>
        <v>0</v>
      </c>
      <c r="I258" s="123"/>
    </row>
    <row r="259" spans="1:9" s="285" customFormat="1" hidden="1" x14ac:dyDescent="0.25">
      <c r="A259" s="344"/>
      <c r="B259" s="346"/>
      <c r="C259" s="94"/>
      <c r="D259" s="124">
        <f t="shared" ref="D259:I259" si="48">D258</f>
        <v>0</v>
      </c>
      <c r="E259" s="124">
        <f t="shared" si="48"/>
        <v>0</v>
      </c>
      <c r="F259" s="124">
        <f t="shared" si="48"/>
        <v>0</v>
      </c>
      <c r="G259" s="124"/>
      <c r="H259" s="124">
        <f t="shared" ref="H259" si="49">H258</f>
        <v>0</v>
      </c>
      <c r="I259" s="124">
        <f t="shared" si="48"/>
        <v>0</v>
      </c>
    </row>
    <row r="260" spans="1:9" s="285" customFormat="1" x14ac:dyDescent="0.25">
      <c r="A260" s="348"/>
      <c r="B260" s="351"/>
      <c r="C260" s="93" t="s">
        <v>197</v>
      </c>
      <c r="D260" s="160">
        <f t="shared" ref="D260:I260" si="50">D256+D259</f>
        <v>23100</v>
      </c>
      <c r="E260" s="160">
        <f t="shared" si="50"/>
        <v>395921</v>
      </c>
      <c r="F260" s="160">
        <f t="shared" si="50"/>
        <v>395921</v>
      </c>
      <c r="G260" s="160"/>
      <c r="H260" s="160">
        <f t="shared" ref="H260" si="51">H256+H259</f>
        <v>0</v>
      </c>
      <c r="I260" s="160">
        <f t="shared" si="50"/>
        <v>0</v>
      </c>
    </row>
    <row r="261" spans="1:9" s="285" customFormat="1" x14ac:dyDescent="0.25">
      <c r="A261" s="349"/>
      <c r="B261" s="154"/>
      <c r="C261" s="126" t="s">
        <v>82</v>
      </c>
      <c r="D261" s="161">
        <f>D260-D165</f>
        <v>-5959604</v>
      </c>
      <c r="E261" s="161">
        <f>E260-E165</f>
        <v>-9252707</v>
      </c>
      <c r="F261" s="161">
        <f>F260-F165</f>
        <v>-15228707</v>
      </c>
      <c r="G261" s="161"/>
      <c r="H261" s="161">
        <f>H260-H165</f>
        <v>0</v>
      </c>
      <c r="I261" s="161">
        <f>I260-I165</f>
        <v>0</v>
      </c>
    </row>
    <row r="262" spans="1:9" s="285" customFormat="1" x14ac:dyDescent="0.25">
      <c r="A262" s="284"/>
      <c r="B262" s="352"/>
    </row>
    <row r="263" spans="1:9" x14ac:dyDescent="0.25">
      <c r="A263" s="101"/>
    </row>
    <row r="265" spans="1:9" x14ac:dyDescent="0.25">
      <c r="E265" s="128"/>
      <c r="F265" s="128"/>
      <c r="G265" s="128"/>
      <c r="H265" s="128"/>
    </row>
    <row r="266" spans="1:9" x14ac:dyDescent="0.25">
      <c r="E266" s="128"/>
      <c r="F266" s="128"/>
      <c r="G266" s="128"/>
      <c r="H266" s="128"/>
      <c r="I266" s="109"/>
    </row>
    <row r="267" spans="1:9" x14ac:dyDescent="0.25">
      <c r="E267" s="128"/>
      <c r="F267" s="128"/>
      <c r="G267" s="128"/>
      <c r="H267" s="128"/>
    </row>
  </sheetData>
  <mergeCells count="5">
    <mergeCell ref="A1:I2"/>
    <mergeCell ref="A4:B5"/>
    <mergeCell ref="A168:B169"/>
    <mergeCell ref="A3:I3"/>
    <mergeCell ref="A167:I167"/>
  </mergeCells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8"/>
  <sheetViews>
    <sheetView view="pageBreakPreview" zoomScaleSheetLayoutView="100" workbookViewId="0">
      <selection activeCell="G20" sqref="G20:I24"/>
    </sheetView>
  </sheetViews>
  <sheetFormatPr defaultColWidth="9.109375" defaultRowHeight="13.2" x14ac:dyDescent="0.25"/>
  <cols>
    <col min="1" max="1" width="3.33203125" style="129" customWidth="1"/>
    <col min="2" max="2" width="9" style="131" customWidth="1"/>
    <col min="3" max="3" width="37.109375" style="96" customWidth="1"/>
    <col min="4" max="4" width="15" style="96" customWidth="1"/>
    <col min="5" max="5" width="14.88671875" style="96" customWidth="1"/>
    <col min="6" max="7" width="14.5546875" style="96" customWidth="1"/>
    <col min="8" max="8" width="11.5546875" style="96" customWidth="1"/>
    <col min="9" max="9" width="12.88671875" style="403" customWidth="1"/>
    <col min="10" max="11" width="11.33203125" style="96" bestFit="1" customWidth="1"/>
    <col min="12" max="12" width="12.109375" style="96" customWidth="1"/>
    <col min="13" max="16384" width="9.109375" style="96"/>
  </cols>
  <sheetData>
    <row r="1" spans="1:9" ht="12.75" customHeight="1" x14ac:dyDescent="0.25">
      <c r="A1" s="699" t="s">
        <v>546</v>
      </c>
      <c r="B1" s="700"/>
      <c r="C1" s="700"/>
      <c r="D1" s="700"/>
      <c r="E1" s="700"/>
      <c r="F1" s="700"/>
      <c r="G1" s="700"/>
      <c r="H1" s="700"/>
      <c r="I1" s="715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17"/>
    </row>
    <row r="3" spans="1:9" s="285" customFormat="1" x14ac:dyDescent="0.25">
      <c r="A3" s="718" t="s">
        <v>548</v>
      </c>
      <c r="B3" s="710"/>
      <c r="C3" s="710"/>
      <c r="D3" s="710"/>
      <c r="E3" s="710"/>
      <c r="F3" s="710"/>
      <c r="G3" s="710"/>
      <c r="H3" s="710"/>
      <c r="I3" s="711"/>
    </row>
    <row r="4" spans="1:9" s="285" customFormat="1" x14ac:dyDescent="0.25">
      <c r="A4" s="706" t="s">
        <v>21</v>
      </c>
      <c r="B4" s="707"/>
      <c r="C4" s="103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20</v>
      </c>
      <c r="B7" s="155">
        <v>5005</v>
      </c>
      <c r="C7" s="94" t="s">
        <v>241</v>
      </c>
      <c r="D7" s="85"/>
      <c r="E7" s="85"/>
      <c r="F7" s="85">
        <f>0/8*12</f>
        <v>0</v>
      </c>
      <c r="G7" s="435">
        <f t="shared" ref="G7:I17" si="0">(F7*0.068)+F7</f>
        <v>0</v>
      </c>
      <c r="H7" s="435">
        <f t="shared" si="0"/>
        <v>0</v>
      </c>
      <c r="I7" s="435">
        <f t="shared" si="0"/>
        <v>0</v>
      </c>
    </row>
    <row r="8" spans="1:9" s="285" customFormat="1" x14ac:dyDescent="0.25">
      <c r="A8" s="118">
        <v>20</v>
      </c>
      <c r="B8" s="151">
        <v>5010</v>
      </c>
      <c r="C8" s="94" t="s">
        <v>34</v>
      </c>
      <c r="D8" s="85"/>
      <c r="E8" s="85"/>
      <c r="F8" s="85">
        <f t="shared" ref="F8:F13" si="1">0/8*12</f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20</v>
      </c>
      <c r="B9" s="151">
        <v>5015</v>
      </c>
      <c r="C9" s="94" t="s">
        <v>35</v>
      </c>
      <c r="D9" s="85"/>
      <c r="E9" s="85"/>
      <c r="F9" s="85">
        <f t="shared" si="1"/>
        <v>0</v>
      </c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x14ac:dyDescent="0.25">
      <c r="A10" s="118">
        <v>20</v>
      </c>
      <c r="B10" s="151">
        <v>5020</v>
      </c>
      <c r="C10" s="94" t="s">
        <v>350</v>
      </c>
      <c r="D10" s="85"/>
      <c r="E10" s="85"/>
      <c r="F10" s="85">
        <f t="shared" si="1"/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x14ac:dyDescent="0.25">
      <c r="A11" s="118">
        <v>20</v>
      </c>
      <c r="B11" s="151">
        <v>5025</v>
      </c>
      <c r="C11" s="94" t="s">
        <v>36</v>
      </c>
      <c r="D11" s="85"/>
      <c r="E11" s="85"/>
      <c r="F11" s="85">
        <f t="shared" si="1"/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20</v>
      </c>
      <c r="B12" s="151">
        <v>5030</v>
      </c>
      <c r="C12" s="94" t="s">
        <v>85</v>
      </c>
      <c r="D12" s="85"/>
      <c r="E12" s="85"/>
      <c r="F12" s="85">
        <f t="shared" si="1"/>
        <v>0</v>
      </c>
      <c r="G12" s="435">
        <f t="shared" si="0"/>
        <v>0</v>
      </c>
      <c r="H12" s="435">
        <f t="shared" si="0"/>
        <v>0</v>
      </c>
      <c r="I12" s="435">
        <f t="shared" si="0"/>
        <v>0</v>
      </c>
    </row>
    <row r="13" spans="1:9" s="285" customFormat="1" x14ac:dyDescent="0.25">
      <c r="A13" s="118">
        <v>20</v>
      </c>
      <c r="B13" s="151">
        <v>5035</v>
      </c>
      <c r="C13" s="94" t="s">
        <v>84</v>
      </c>
      <c r="D13" s="85"/>
      <c r="E13" s="85"/>
      <c r="F13" s="85">
        <f t="shared" si="1"/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20</v>
      </c>
      <c r="B14" s="151">
        <v>5040</v>
      </c>
      <c r="C14" s="94" t="s">
        <v>37</v>
      </c>
      <c r="D14" s="85"/>
      <c r="E14" s="85"/>
      <c r="F14" s="85"/>
      <c r="G14" s="435">
        <f t="shared" si="0"/>
        <v>0</v>
      </c>
      <c r="H14" s="435">
        <f t="shared" si="0"/>
        <v>0</v>
      </c>
      <c r="I14" s="435">
        <f t="shared" si="0"/>
        <v>0</v>
      </c>
    </row>
    <row r="15" spans="1:9" s="285" customFormat="1" x14ac:dyDescent="0.25">
      <c r="A15" s="118">
        <v>20</v>
      </c>
      <c r="B15" s="151">
        <v>5045</v>
      </c>
      <c r="C15" s="94" t="s">
        <v>38</v>
      </c>
      <c r="D15" s="85"/>
      <c r="E15" s="85"/>
      <c r="F15" s="85"/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20</v>
      </c>
      <c r="B16" s="151">
        <v>5050</v>
      </c>
      <c r="C16" s="94" t="s">
        <v>83</v>
      </c>
      <c r="D16" s="85"/>
      <c r="E16" s="85"/>
      <c r="F16" s="85"/>
      <c r="G16" s="435">
        <f t="shared" si="0"/>
        <v>0</v>
      </c>
      <c r="H16" s="435">
        <f t="shared" si="0"/>
        <v>0</v>
      </c>
      <c r="I16" s="435">
        <f t="shared" si="0"/>
        <v>0</v>
      </c>
    </row>
    <row r="17" spans="1:9" s="285" customFormat="1" x14ac:dyDescent="0.25">
      <c r="A17" s="118">
        <v>20</v>
      </c>
      <c r="B17" s="151">
        <v>5055</v>
      </c>
      <c r="C17" s="94" t="s">
        <v>39</v>
      </c>
      <c r="D17" s="85"/>
      <c r="E17" s="85"/>
      <c r="F17" s="85"/>
      <c r="G17" s="435">
        <f t="shared" si="0"/>
        <v>0</v>
      </c>
      <c r="H17" s="435">
        <f t="shared" si="0"/>
        <v>0</v>
      </c>
      <c r="I17" s="435">
        <f t="shared" si="0"/>
        <v>0</v>
      </c>
    </row>
    <row r="18" spans="1:9" s="285" customFormat="1" x14ac:dyDescent="0.25">
      <c r="A18" s="344"/>
      <c r="B18" s="151"/>
      <c r="C18" s="94" t="s">
        <v>511</v>
      </c>
      <c r="D18" s="89">
        <f t="shared" ref="D18:I18" si="2">SUM(D7:D17)</f>
        <v>0</v>
      </c>
      <c r="E18" s="89">
        <f t="shared" si="2"/>
        <v>0</v>
      </c>
      <c r="F18" s="89">
        <f t="shared" si="2"/>
        <v>0</v>
      </c>
      <c r="G18" s="89"/>
      <c r="H18" s="89"/>
      <c r="I18" s="89">
        <f t="shared" si="2"/>
        <v>0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5"/>
    </row>
    <row r="20" spans="1:9" s="285" customFormat="1" x14ac:dyDescent="0.25">
      <c r="A20" s="118">
        <v>20</v>
      </c>
      <c r="B20" s="151">
        <v>5105</v>
      </c>
      <c r="C20" s="94" t="s">
        <v>41</v>
      </c>
      <c r="D20" s="85"/>
      <c r="E20" s="108"/>
      <c r="F20" s="108"/>
      <c r="G20" s="435">
        <f t="shared" ref="G20:I24" si="3">(F20*0.068)+F20</f>
        <v>0</v>
      </c>
      <c r="H20" s="435">
        <f t="shared" si="3"/>
        <v>0</v>
      </c>
      <c r="I20" s="435">
        <f t="shared" si="3"/>
        <v>0</v>
      </c>
    </row>
    <row r="21" spans="1:9" s="285" customFormat="1" x14ac:dyDescent="0.25">
      <c r="A21" s="118">
        <v>20</v>
      </c>
      <c r="B21" s="151">
        <v>5115</v>
      </c>
      <c r="C21" s="94" t="s">
        <v>42</v>
      </c>
      <c r="D21" s="85"/>
      <c r="E21" s="85"/>
      <c r="F21" s="85"/>
      <c r="G21" s="435">
        <f t="shared" si="3"/>
        <v>0</v>
      </c>
      <c r="H21" s="435">
        <f t="shared" si="3"/>
        <v>0</v>
      </c>
      <c r="I21" s="435">
        <f t="shared" si="3"/>
        <v>0</v>
      </c>
    </row>
    <row r="22" spans="1:9" s="285" customFormat="1" x14ac:dyDescent="0.25">
      <c r="A22" s="118">
        <v>20</v>
      </c>
      <c r="B22" s="151">
        <v>5120</v>
      </c>
      <c r="C22" s="94" t="s">
        <v>43</v>
      </c>
      <c r="D22" s="85"/>
      <c r="E22" s="108"/>
      <c r="F22" s="108"/>
      <c r="G22" s="435">
        <f t="shared" si="3"/>
        <v>0</v>
      </c>
      <c r="H22" s="435">
        <f t="shared" si="3"/>
        <v>0</v>
      </c>
      <c r="I22" s="435">
        <f t="shared" si="3"/>
        <v>0</v>
      </c>
    </row>
    <row r="23" spans="1:9" s="285" customFormat="1" x14ac:dyDescent="0.25">
      <c r="A23" s="118">
        <v>20</v>
      </c>
      <c r="B23" s="151">
        <v>5125</v>
      </c>
      <c r="C23" s="94" t="s">
        <v>44</v>
      </c>
      <c r="D23" s="85"/>
      <c r="E23" s="108"/>
      <c r="F23" s="108"/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20</v>
      </c>
      <c r="B24" s="151">
        <v>5130</v>
      </c>
      <c r="C24" s="94" t="s">
        <v>45</v>
      </c>
      <c r="D24" s="85"/>
      <c r="E24" s="108"/>
      <c r="F24" s="108"/>
      <c r="G24" s="435">
        <f t="shared" si="3"/>
        <v>0</v>
      </c>
      <c r="H24" s="435">
        <f t="shared" si="3"/>
        <v>0</v>
      </c>
      <c r="I24" s="435">
        <f t="shared" si="3"/>
        <v>0</v>
      </c>
    </row>
    <row r="25" spans="1:9" s="285" customFormat="1" x14ac:dyDescent="0.25">
      <c r="A25" s="344"/>
      <c r="B25" s="151"/>
      <c r="C25" s="94"/>
      <c r="D25" s="89">
        <f t="shared" ref="D25:I25" si="4">SUM(D20:D24)</f>
        <v>0</v>
      </c>
      <c r="E25" s="89">
        <f t="shared" si="4"/>
        <v>0</v>
      </c>
      <c r="F25" s="89">
        <f t="shared" si="4"/>
        <v>0</v>
      </c>
      <c r="G25" s="89"/>
      <c r="H25" s="89"/>
      <c r="I25" s="89">
        <f t="shared" si="4"/>
        <v>0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5"/>
    </row>
    <row r="27" spans="1:9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5"/>
    </row>
    <row r="28" spans="1:9" s="285" customFormat="1" x14ac:dyDescent="0.25">
      <c r="A28" s="118">
        <v>20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>
        <f>E28*(1+INPUT!C$8)</f>
        <v>0</v>
      </c>
    </row>
    <row r="29" spans="1:9" s="285" customFormat="1" x14ac:dyDescent="0.25">
      <c r="A29" s="344"/>
      <c r="B29" s="151"/>
      <c r="C29" s="94"/>
      <c r="D29" s="89">
        <f t="shared" ref="D29:I29" si="5">D28</f>
        <v>0</v>
      </c>
      <c r="E29" s="89">
        <f t="shared" si="5"/>
        <v>0</v>
      </c>
      <c r="F29" s="89">
        <f t="shared" si="5"/>
        <v>0</v>
      </c>
      <c r="G29" s="89"/>
      <c r="H29" s="89"/>
      <c r="I29" s="89">
        <f t="shared" si="5"/>
        <v>0</v>
      </c>
    </row>
    <row r="30" spans="1:9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5"/>
    </row>
    <row r="31" spans="1:9" s="285" customFormat="1" x14ac:dyDescent="0.25">
      <c r="A31" s="118">
        <v>20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</row>
    <row r="32" spans="1:9" s="285" customFormat="1" x14ac:dyDescent="0.25">
      <c r="A32" s="344"/>
      <c r="B32" s="151"/>
      <c r="C32" s="94"/>
      <c r="D32" s="89">
        <f t="shared" ref="D32:I32" si="6">SUM(D31)</f>
        <v>0</v>
      </c>
      <c r="E32" s="89">
        <f t="shared" si="6"/>
        <v>0</v>
      </c>
      <c r="F32" s="89">
        <f t="shared" si="6"/>
        <v>0</v>
      </c>
      <c r="G32" s="89"/>
      <c r="H32" s="89"/>
      <c r="I32" s="89">
        <f t="shared" si="6"/>
        <v>0</v>
      </c>
    </row>
    <row r="33" spans="1:9" s="285" customFormat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5"/>
    </row>
    <row r="34" spans="1:9" s="285" customFormat="1" x14ac:dyDescent="0.25">
      <c r="A34" s="118">
        <v>20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x14ac:dyDescent="0.25">
      <c r="A35" s="344"/>
      <c r="B35" s="151"/>
      <c r="C35" s="94"/>
      <c r="D35" s="89">
        <f t="shared" ref="D35:I35" si="7">SUM(D34)</f>
        <v>0</v>
      </c>
      <c r="E35" s="89">
        <f t="shared" si="7"/>
        <v>0</v>
      </c>
      <c r="F35" s="89">
        <f t="shared" si="7"/>
        <v>0</v>
      </c>
      <c r="G35" s="89"/>
      <c r="H35" s="89"/>
      <c r="I35" s="89">
        <f t="shared" si="7"/>
        <v>0</v>
      </c>
    </row>
    <row r="36" spans="1:9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5"/>
    </row>
    <row r="37" spans="1:9" s="285" customFormat="1" x14ac:dyDescent="0.25">
      <c r="A37" s="118">
        <v>20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</row>
    <row r="38" spans="1:9" s="285" customFormat="1" x14ac:dyDescent="0.25">
      <c r="A38" s="344"/>
      <c r="B38" s="151"/>
      <c r="C38" s="94"/>
      <c r="D38" s="89">
        <f t="shared" ref="D38:I38" si="8">D37</f>
        <v>0</v>
      </c>
      <c r="E38" s="89">
        <f t="shared" si="8"/>
        <v>0</v>
      </c>
      <c r="F38" s="89">
        <f t="shared" si="8"/>
        <v>0</v>
      </c>
      <c r="G38" s="89"/>
      <c r="H38" s="89"/>
      <c r="I38" s="89">
        <f t="shared" si="8"/>
        <v>0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5"/>
    </row>
    <row r="40" spans="1:9" s="285" customFormat="1" hidden="1" x14ac:dyDescent="0.25">
      <c r="A40" s="118">
        <v>20</v>
      </c>
      <c r="B40" s="151">
        <v>5200</v>
      </c>
      <c r="C40" s="94" t="s">
        <v>55</v>
      </c>
      <c r="D40" s="85"/>
      <c r="E40" s="108"/>
      <c r="F40" s="85">
        <f t="shared" ref="F40:F58" si="9">0/8*12</f>
        <v>0</v>
      </c>
      <c r="G40" s="85"/>
      <c r="H40" s="85"/>
      <c r="I40" s="85">
        <f>F40*(1+INPUT!C$10)</f>
        <v>0</v>
      </c>
    </row>
    <row r="41" spans="1:9" s="285" customFormat="1" hidden="1" x14ac:dyDescent="0.25">
      <c r="A41" s="118">
        <v>20</v>
      </c>
      <c r="B41" s="151">
        <v>5205</v>
      </c>
      <c r="C41" s="94" t="s">
        <v>56</v>
      </c>
      <c r="D41" s="85"/>
      <c r="E41" s="108"/>
      <c r="F41" s="85">
        <f t="shared" si="9"/>
        <v>0</v>
      </c>
      <c r="G41" s="85"/>
      <c r="H41" s="85"/>
      <c r="I41" s="85">
        <f>F41*(1+INPUT!C$10)</f>
        <v>0</v>
      </c>
    </row>
    <row r="42" spans="1:9" s="285" customFormat="1" hidden="1" x14ac:dyDescent="0.25">
      <c r="A42" s="118">
        <v>20</v>
      </c>
      <c r="B42" s="151">
        <v>5210</v>
      </c>
      <c r="C42" s="94" t="s">
        <v>57</v>
      </c>
      <c r="D42" s="85"/>
      <c r="E42" s="108"/>
      <c r="F42" s="85">
        <f t="shared" si="9"/>
        <v>0</v>
      </c>
      <c r="G42" s="85"/>
      <c r="H42" s="85"/>
      <c r="I42" s="85">
        <f>F42*(1+INPUT!C$10)</f>
        <v>0</v>
      </c>
    </row>
    <row r="43" spans="1:9" s="285" customFormat="1" hidden="1" x14ac:dyDescent="0.25">
      <c r="A43" s="118">
        <v>20</v>
      </c>
      <c r="B43" s="151">
        <v>5215</v>
      </c>
      <c r="C43" s="94" t="s">
        <v>95</v>
      </c>
      <c r="D43" s="85"/>
      <c r="E43" s="108"/>
      <c r="F43" s="85">
        <f t="shared" si="9"/>
        <v>0</v>
      </c>
      <c r="G43" s="85"/>
      <c r="H43" s="85"/>
      <c r="I43" s="85">
        <f>F43*(1+INPUT!C$10)</f>
        <v>0</v>
      </c>
    </row>
    <row r="44" spans="1:9" s="285" customFormat="1" hidden="1" x14ac:dyDescent="0.25">
      <c r="A44" s="118">
        <v>20</v>
      </c>
      <c r="B44" s="151">
        <v>5220</v>
      </c>
      <c r="C44" s="94" t="s">
        <v>58</v>
      </c>
      <c r="D44" s="85"/>
      <c r="E44" s="108"/>
      <c r="F44" s="85">
        <f t="shared" si="9"/>
        <v>0</v>
      </c>
      <c r="G44" s="85"/>
      <c r="H44" s="85"/>
      <c r="I44" s="85">
        <f>F44*(1+INPUT!C$10)</f>
        <v>0</v>
      </c>
    </row>
    <row r="45" spans="1:9" s="285" customFormat="1" hidden="1" x14ac:dyDescent="0.25">
      <c r="A45" s="118">
        <v>20</v>
      </c>
      <c r="B45" s="151">
        <v>5225</v>
      </c>
      <c r="C45" s="94" t="s">
        <v>92</v>
      </c>
      <c r="D45" s="85"/>
      <c r="E45" s="108"/>
      <c r="F45" s="85">
        <f t="shared" si="9"/>
        <v>0</v>
      </c>
      <c r="G45" s="85"/>
      <c r="H45" s="85"/>
      <c r="I45" s="85">
        <f>F45*(1+INPUT!C$10)</f>
        <v>0</v>
      </c>
    </row>
    <row r="46" spans="1:9" s="285" customFormat="1" hidden="1" x14ac:dyDescent="0.25">
      <c r="A46" s="118">
        <v>20</v>
      </c>
      <c r="B46" s="151">
        <v>5230</v>
      </c>
      <c r="C46" s="94" t="s">
        <v>86</v>
      </c>
      <c r="D46" s="85"/>
      <c r="E46" s="108"/>
      <c r="F46" s="85">
        <f t="shared" si="9"/>
        <v>0</v>
      </c>
      <c r="G46" s="85"/>
      <c r="H46" s="85"/>
      <c r="I46" s="85">
        <f>F46*(1+INPUT!C$10)</f>
        <v>0</v>
      </c>
    </row>
    <row r="47" spans="1:9" s="285" customFormat="1" hidden="1" x14ac:dyDescent="0.25">
      <c r="A47" s="118">
        <v>20</v>
      </c>
      <c r="B47" s="151">
        <v>5235</v>
      </c>
      <c r="C47" s="94" t="s">
        <v>124</v>
      </c>
      <c r="D47" s="85"/>
      <c r="E47" s="108"/>
      <c r="F47" s="85">
        <f t="shared" si="9"/>
        <v>0</v>
      </c>
      <c r="G47" s="85"/>
      <c r="H47" s="85"/>
      <c r="I47" s="85">
        <f>F47*(1+INPUT!C$10)</f>
        <v>0</v>
      </c>
    </row>
    <row r="48" spans="1:9" s="285" customFormat="1" hidden="1" x14ac:dyDescent="0.25">
      <c r="A48" s="118">
        <v>20</v>
      </c>
      <c r="B48" s="151">
        <v>5240</v>
      </c>
      <c r="C48" s="94" t="s">
        <v>59</v>
      </c>
      <c r="D48" s="85"/>
      <c r="E48" s="108"/>
      <c r="F48" s="85">
        <f t="shared" si="9"/>
        <v>0</v>
      </c>
      <c r="G48" s="85"/>
      <c r="H48" s="85"/>
      <c r="I48" s="85">
        <f>F48*(1+INPUT!C$10)</f>
        <v>0</v>
      </c>
    </row>
    <row r="49" spans="1:9" s="285" customFormat="1" hidden="1" x14ac:dyDescent="0.25">
      <c r="A49" s="118">
        <v>20</v>
      </c>
      <c r="B49" s="151">
        <v>5245</v>
      </c>
      <c r="C49" s="94" t="s">
        <v>91</v>
      </c>
      <c r="D49" s="85"/>
      <c r="E49" s="108"/>
      <c r="F49" s="85">
        <f t="shared" si="9"/>
        <v>0</v>
      </c>
      <c r="G49" s="85"/>
      <c r="H49" s="85"/>
      <c r="I49" s="85">
        <f>F49*(1+INPUT!C$10)</f>
        <v>0</v>
      </c>
    </row>
    <row r="50" spans="1:9" s="285" customFormat="1" x14ac:dyDescent="0.25">
      <c r="A50" s="118">
        <v>20</v>
      </c>
      <c r="B50" s="151">
        <v>5250</v>
      </c>
      <c r="C50" s="94" t="s">
        <v>88</v>
      </c>
      <c r="D50" s="85"/>
      <c r="E50" s="108">
        <v>192000</v>
      </c>
      <c r="F50" s="85">
        <v>22000</v>
      </c>
      <c r="G50" s="108">
        <v>192000</v>
      </c>
      <c r="H50" s="108">
        <v>210000</v>
      </c>
      <c r="I50" s="85">
        <v>230000</v>
      </c>
    </row>
    <row r="51" spans="1:9" s="285" customFormat="1" hidden="1" x14ac:dyDescent="0.25">
      <c r="A51" s="118">
        <v>20</v>
      </c>
      <c r="B51" s="151">
        <v>5255</v>
      </c>
      <c r="C51" s="94" t="s">
        <v>125</v>
      </c>
      <c r="D51" s="85"/>
      <c r="E51" s="108"/>
      <c r="F51" s="85">
        <f t="shared" si="9"/>
        <v>0</v>
      </c>
      <c r="G51" s="85"/>
      <c r="H51" s="85"/>
      <c r="I51" s="85">
        <f>F51*(1+INPUT!C$10)</f>
        <v>0</v>
      </c>
    </row>
    <row r="52" spans="1:9" s="285" customFormat="1" hidden="1" x14ac:dyDescent="0.25">
      <c r="A52" s="118">
        <v>20</v>
      </c>
      <c r="B52" s="151">
        <v>5260</v>
      </c>
      <c r="C52" s="94" t="s">
        <v>90</v>
      </c>
      <c r="D52" s="85"/>
      <c r="E52" s="108"/>
      <c r="F52" s="85">
        <f t="shared" si="9"/>
        <v>0</v>
      </c>
      <c r="G52" s="85"/>
      <c r="H52" s="85"/>
      <c r="I52" s="85">
        <f>F52*(1+INPUT!C$10)</f>
        <v>0</v>
      </c>
    </row>
    <row r="53" spans="1:9" s="285" customFormat="1" hidden="1" x14ac:dyDescent="0.25">
      <c r="A53" s="118">
        <v>20</v>
      </c>
      <c r="B53" s="151">
        <v>5265</v>
      </c>
      <c r="C53" s="94" t="s">
        <v>87</v>
      </c>
      <c r="D53" s="85"/>
      <c r="E53" s="108"/>
      <c r="F53" s="85">
        <f t="shared" si="9"/>
        <v>0</v>
      </c>
      <c r="G53" s="85"/>
      <c r="H53" s="85"/>
      <c r="I53" s="85">
        <f>F53*(1+INPUT!C$10)</f>
        <v>0</v>
      </c>
    </row>
    <row r="54" spans="1:9" s="285" customFormat="1" hidden="1" x14ac:dyDescent="0.25">
      <c r="A54" s="118">
        <v>20</v>
      </c>
      <c r="B54" s="151">
        <v>5270</v>
      </c>
      <c r="C54" s="94" t="s">
        <v>89</v>
      </c>
      <c r="D54" s="85"/>
      <c r="E54" s="108"/>
      <c r="F54" s="85">
        <f t="shared" si="9"/>
        <v>0</v>
      </c>
      <c r="G54" s="85"/>
      <c r="H54" s="85"/>
      <c r="I54" s="85">
        <f>F54*(1+INPUT!C$10)</f>
        <v>0</v>
      </c>
    </row>
    <row r="55" spans="1:9" s="285" customFormat="1" hidden="1" x14ac:dyDescent="0.25">
      <c r="A55" s="118">
        <v>20</v>
      </c>
      <c r="B55" s="151">
        <v>5275</v>
      </c>
      <c r="C55" s="94" t="s">
        <v>93</v>
      </c>
      <c r="D55" s="85"/>
      <c r="E55" s="108"/>
      <c r="F55" s="85">
        <f t="shared" si="9"/>
        <v>0</v>
      </c>
      <c r="G55" s="85"/>
      <c r="H55" s="85"/>
      <c r="I55" s="85">
        <f>F55*(1+INPUT!C$10)</f>
        <v>0</v>
      </c>
    </row>
    <row r="56" spans="1:9" s="285" customFormat="1" hidden="1" x14ac:dyDescent="0.25">
      <c r="A56" s="118">
        <v>20</v>
      </c>
      <c r="B56" s="151">
        <v>5280</v>
      </c>
      <c r="C56" s="94" t="s">
        <v>94</v>
      </c>
      <c r="D56" s="85"/>
      <c r="E56" s="108"/>
      <c r="F56" s="85">
        <f t="shared" si="9"/>
        <v>0</v>
      </c>
      <c r="G56" s="85"/>
      <c r="H56" s="85"/>
      <c r="I56" s="85">
        <f>F56*(1+INPUT!C$10)</f>
        <v>0</v>
      </c>
    </row>
    <row r="57" spans="1:9" s="285" customFormat="1" hidden="1" x14ac:dyDescent="0.25">
      <c r="A57" s="118">
        <v>20</v>
      </c>
      <c r="B57" s="151">
        <v>5285</v>
      </c>
      <c r="C57" s="94" t="s">
        <v>60</v>
      </c>
      <c r="D57" s="85"/>
      <c r="E57" s="85"/>
      <c r="F57" s="85">
        <f t="shared" si="9"/>
        <v>0</v>
      </c>
      <c r="G57" s="85"/>
      <c r="H57" s="85"/>
      <c r="I57" s="85">
        <f>F57*(1+INPUT!C$10)</f>
        <v>0</v>
      </c>
    </row>
    <row r="58" spans="1:9" s="285" customFormat="1" hidden="1" x14ac:dyDescent="0.25">
      <c r="A58" s="118">
        <v>20</v>
      </c>
      <c r="B58" s="151">
        <v>5290</v>
      </c>
      <c r="C58" s="94" t="s">
        <v>186</v>
      </c>
      <c r="D58" s="85"/>
      <c r="E58" s="108"/>
      <c r="F58" s="85">
        <f t="shared" si="9"/>
        <v>0</v>
      </c>
      <c r="G58" s="85"/>
      <c r="H58" s="85"/>
      <c r="I58" s="85">
        <f>F58*(1+INPUT!C$10)</f>
        <v>0</v>
      </c>
    </row>
    <row r="59" spans="1:9" s="285" customFormat="1" x14ac:dyDescent="0.25">
      <c r="A59" s="344"/>
      <c r="B59" s="151"/>
      <c r="C59" s="94"/>
      <c r="D59" s="89">
        <f t="shared" ref="D59:I59" si="10">SUM(D40:D58)</f>
        <v>0</v>
      </c>
      <c r="E59" s="110">
        <f t="shared" si="10"/>
        <v>192000</v>
      </c>
      <c r="F59" s="110">
        <f t="shared" si="10"/>
        <v>22000</v>
      </c>
      <c r="G59" s="110">
        <f t="shared" si="10"/>
        <v>192000</v>
      </c>
      <c r="H59" s="110">
        <f t="shared" si="10"/>
        <v>210000</v>
      </c>
      <c r="I59" s="89">
        <f t="shared" si="10"/>
        <v>230000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08"/>
    </row>
    <row r="61" spans="1:9" s="285" customFormat="1" x14ac:dyDescent="0.25">
      <c r="A61" s="118">
        <v>20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5">
        <f>E61+H61</f>
        <v>0</v>
      </c>
    </row>
    <row r="62" spans="1:9" s="285" customFormat="1" x14ac:dyDescent="0.25">
      <c r="A62" s="118">
        <v>20</v>
      </c>
      <c r="B62" s="151">
        <v>5405</v>
      </c>
      <c r="C62" s="94" t="s">
        <v>335</v>
      </c>
      <c r="D62" s="85"/>
      <c r="E62" s="108">
        <v>21210</v>
      </c>
      <c r="F62" s="85">
        <f>E62-D62</f>
        <v>21210</v>
      </c>
      <c r="G62" s="108">
        <v>21210</v>
      </c>
      <c r="H62" s="108">
        <v>21210</v>
      </c>
      <c r="I62" s="108">
        <v>21210</v>
      </c>
    </row>
    <row r="63" spans="1:9" s="285" customFormat="1" x14ac:dyDescent="0.25">
      <c r="A63" s="344"/>
      <c r="B63" s="151"/>
      <c r="C63" s="94"/>
      <c r="D63" s="89">
        <f t="shared" ref="D63:I63" si="11">SUM(D61:D62)</f>
        <v>0</v>
      </c>
      <c r="E63" s="89">
        <f t="shared" si="11"/>
        <v>21210</v>
      </c>
      <c r="F63" s="89">
        <f t="shared" si="11"/>
        <v>21210</v>
      </c>
      <c r="G63" s="89">
        <f t="shared" si="11"/>
        <v>21210</v>
      </c>
      <c r="H63" s="89">
        <f t="shared" si="11"/>
        <v>21210</v>
      </c>
      <c r="I63" s="89">
        <f t="shared" si="11"/>
        <v>21210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5"/>
    </row>
    <row r="65" spans="1:9" s="285" customFormat="1" hidden="1" x14ac:dyDescent="0.25">
      <c r="A65" s="118">
        <v>20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I66" si="12">D65</f>
        <v>0</v>
      </c>
      <c r="E66" s="89">
        <f t="shared" si="12"/>
        <v>0</v>
      </c>
      <c r="F66" s="89">
        <f t="shared" si="12"/>
        <v>0</v>
      </c>
      <c r="G66" s="89"/>
      <c r="H66" s="89"/>
      <c r="I66" s="89">
        <f t="shared" si="12"/>
        <v>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5"/>
    </row>
    <row r="68" spans="1:9" s="285" customFormat="1" hidden="1" x14ac:dyDescent="0.25">
      <c r="A68" s="118">
        <v>20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>
        <f>F68*(1+INPUT!C11)</f>
        <v>0</v>
      </c>
    </row>
    <row r="69" spans="1:9" s="285" customFormat="1" hidden="1" x14ac:dyDescent="0.25">
      <c r="A69" s="118">
        <v>20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hidden="1" x14ac:dyDescent="0.25">
      <c r="A70" s="344"/>
      <c r="B70" s="151"/>
      <c r="C70" s="94"/>
      <c r="D70" s="89">
        <f t="shared" ref="D70:I70" si="13">SUM(D68:D69)</f>
        <v>0</v>
      </c>
      <c r="E70" s="110">
        <f t="shared" si="13"/>
        <v>0</v>
      </c>
      <c r="F70" s="110">
        <f t="shared" si="13"/>
        <v>0</v>
      </c>
      <c r="G70" s="110"/>
      <c r="H70" s="110"/>
      <c r="I70" s="89">
        <f t="shared" si="13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88"/>
    </row>
    <row r="72" spans="1:9" s="285" customFormat="1" hidden="1" x14ac:dyDescent="0.25">
      <c r="A72" s="118">
        <v>20</v>
      </c>
      <c r="B72" s="151">
        <v>5505</v>
      </c>
      <c r="C72" s="94" t="s">
        <v>259</v>
      </c>
      <c r="D72" s="85"/>
      <c r="E72" s="85"/>
      <c r="F72" s="85">
        <f t="shared" ref="F72:F77" si="14">0/8*12</f>
        <v>0</v>
      </c>
      <c r="G72" s="85"/>
      <c r="H72" s="85"/>
      <c r="I72" s="85">
        <f>F72*(1+INPUT!C$10)</f>
        <v>0</v>
      </c>
    </row>
    <row r="73" spans="1:9" s="285" customFormat="1" hidden="1" x14ac:dyDescent="0.25">
      <c r="A73" s="118">
        <v>20</v>
      </c>
      <c r="B73" s="151">
        <v>5510</v>
      </c>
      <c r="C73" s="94" t="s">
        <v>63</v>
      </c>
      <c r="D73" s="85"/>
      <c r="E73" s="85"/>
      <c r="F73" s="85">
        <f t="shared" si="14"/>
        <v>0</v>
      </c>
      <c r="G73" s="85"/>
      <c r="H73" s="85"/>
      <c r="I73" s="85">
        <f>F73*(1+INPUT!C$10)</f>
        <v>0</v>
      </c>
    </row>
    <row r="74" spans="1:9" s="285" customFormat="1" hidden="1" x14ac:dyDescent="0.25">
      <c r="A74" s="118">
        <v>20</v>
      </c>
      <c r="B74" s="151">
        <v>5520</v>
      </c>
      <c r="C74" s="94" t="s">
        <v>260</v>
      </c>
      <c r="D74" s="85"/>
      <c r="E74" s="85"/>
      <c r="F74" s="85">
        <f t="shared" si="14"/>
        <v>0</v>
      </c>
      <c r="G74" s="85"/>
      <c r="H74" s="85"/>
      <c r="I74" s="85">
        <f>F74*(1+INPUT!C$10)</f>
        <v>0</v>
      </c>
    </row>
    <row r="75" spans="1:9" s="285" customFormat="1" hidden="1" x14ac:dyDescent="0.25">
      <c r="A75" s="118">
        <v>20</v>
      </c>
      <c r="B75" s="151">
        <v>5525</v>
      </c>
      <c r="C75" s="94" t="s">
        <v>261</v>
      </c>
      <c r="D75" s="85"/>
      <c r="E75" s="85">
        <v>0</v>
      </c>
      <c r="F75" s="85">
        <f t="shared" si="14"/>
        <v>0</v>
      </c>
      <c r="G75" s="85"/>
      <c r="H75" s="85"/>
      <c r="I75" s="85">
        <f>F75*(1+INPUT!C$10)</f>
        <v>0</v>
      </c>
    </row>
    <row r="76" spans="1:9" s="285" customFormat="1" hidden="1" x14ac:dyDescent="0.25">
      <c r="A76" s="118">
        <v>20</v>
      </c>
      <c r="B76" s="151">
        <v>5530</v>
      </c>
      <c r="C76" s="94" t="s">
        <v>262</v>
      </c>
      <c r="D76" s="85"/>
      <c r="E76" s="85"/>
      <c r="F76" s="85">
        <f t="shared" si="14"/>
        <v>0</v>
      </c>
      <c r="G76" s="85"/>
      <c r="H76" s="85"/>
      <c r="I76" s="85">
        <f>F76*(1+INPUT!C$10)</f>
        <v>0</v>
      </c>
    </row>
    <row r="77" spans="1:9" s="285" customFormat="1" hidden="1" x14ac:dyDescent="0.25">
      <c r="A77" s="118">
        <v>20</v>
      </c>
      <c r="B77" s="151">
        <v>5535</v>
      </c>
      <c r="C77" s="94" t="s">
        <v>263</v>
      </c>
      <c r="D77" s="85"/>
      <c r="E77" s="85"/>
      <c r="F77" s="85">
        <f t="shared" si="14"/>
        <v>0</v>
      </c>
      <c r="G77" s="85"/>
      <c r="H77" s="85"/>
      <c r="I77" s="85">
        <f>F77*(1+INPUT!C$10)</f>
        <v>0</v>
      </c>
    </row>
    <row r="78" spans="1:9" s="285" customFormat="1" x14ac:dyDescent="0.25">
      <c r="A78" s="118">
        <v>20</v>
      </c>
      <c r="B78" s="151">
        <v>5540</v>
      </c>
      <c r="C78" s="94" t="s">
        <v>264</v>
      </c>
      <c r="D78" s="85"/>
      <c r="E78" s="85">
        <v>10000</v>
      </c>
      <c r="F78" s="85">
        <v>10000</v>
      </c>
      <c r="G78" s="85">
        <v>30000</v>
      </c>
      <c r="H78" s="85">
        <v>35000</v>
      </c>
      <c r="I78" s="85">
        <v>38000</v>
      </c>
    </row>
    <row r="79" spans="1:9" s="285" customFormat="1" ht="13.5" hidden="1" customHeight="1" x14ac:dyDescent="0.25">
      <c r="A79" s="118">
        <v>20</v>
      </c>
      <c r="B79" s="151">
        <v>5545</v>
      </c>
      <c r="C79" s="94" t="s">
        <v>265</v>
      </c>
      <c r="D79" s="85"/>
      <c r="E79" s="85">
        <v>0</v>
      </c>
      <c r="F79" s="85">
        <f t="shared" ref="F79:F109" si="15">E79-D79</f>
        <v>0</v>
      </c>
      <c r="G79" s="85"/>
      <c r="H79" s="85"/>
      <c r="I79" s="85"/>
    </row>
    <row r="80" spans="1:9" s="285" customFormat="1" hidden="1" x14ac:dyDescent="0.25">
      <c r="A80" s="118">
        <v>20</v>
      </c>
      <c r="B80" s="151">
        <v>5550</v>
      </c>
      <c r="C80" s="94" t="s">
        <v>267</v>
      </c>
      <c r="D80" s="85"/>
      <c r="E80" s="85">
        <v>0</v>
      </c>
      <c r="F80" s="85">
        <f t="shared" si="15"/>
        <v>0</v>
      </c>
      <c r="G80" s="85"/>
      <c r="H80" s="85"/>
      <c r="I80" s="85"/>
    </row>
    <row r="81" spans="1:9" s="285" customFormat="1" hidden="1" x14ac:dyDescent="0.25">
      <c r="A81" s="118">
        <v>20</v>
      </c>
      <c r="B81" s="151">
        <v>5555</v>
      </c>
      <c r="C81" s="94" t="s">
        <v>268</v>
      </c>
      <c r="D81" s="85"/>
      <c r="E81" s="85">
        <v>0</v>
      </c>
      <c r="F81" s="85">
        <f t="shared" si="15"/>
        <v>0</v>
      </c>
      <c r="G81" s="85"/>
      <c r="H81" s="85"/>
      <c r="I81" s="85"/>
    </row>
    <row r="82" spans="1:9" s="285" customFormat="1" hidden="1" x14ac:dyDescent="0.25">
      <c r="A82" s="118">
        <v>20</v>
      </c>
      <c r="B82" s="151">
        <v>5560</v>
      </c>
      <c r="C82" s="94" t="s">
        <v>269</v>
      </c>
      <c r="D82" s="85"/>
      <c r="E82" s="85">
        <v>0</v>
      </c>
      <c r="F82" s="85">
        <f t="shared" si="15"/>
        <v>0</v>
      </c>
      <c r="G82" s="85"/>
      <c r="H82" s="85"/>
      <c r="I82" s="85"/>
    </row>
    <row r="83" spans="1:9" s="285" customFormat="1" hidden="1" x14ac:dyDescent="0.25">
      <c r="A83" s="118">
        <v>20</v>
      </c>
      <c r="B83" s="151">
        <v>5565</v>
      </c>
      <c r="C83" s="94" t="s">
        <v>246</v>
      </c>
      <c r="D83" s="85"/>
      <c r="E83" s="85">
        <v>0</v>
      </c>
      <c r="F83" s="85">
        <f t="shared" si="15"/>
        <v>0</v>
      </c>
      <c r="G83" s="85"/>
      <c r="H83" s="85"/>
      <c r="I83" s="85"/>
    </row>
    <row r="84" spans="1:9" s="285" customFormat="1" hidden="1" x14ac:dyDescent="0.25">
      <c r="A84" s="118">
        <v>20</v>
      </c>
      <c r="B84" s="151">
        <v>5570</v>
      </c>
      <c r="C84" s="94" t="s">
        <v>270</v>
      </c>
      <c r="D84" s="85"/>
      <c r="E84" s="85">
        <v>0</v>
      </c>
      <c r="F84" s="85">
        <f t="shared" si="15"/>
        <v>0</v>
      </c>
      <c r="G84" s="85"/>
      <c r="H84" s="85"/>
      <c r="I84" s="85"/>
    </row>
    <row r="85" spans="1:9" s="285" customFormat="1" hidden="1" x14ac:dyDescent="0.25">
      <c r="A85" s="118">
        <v>20</v>
      </c>
      <c r="B85" s="151">
        <v>5575</v>
      </c>
      <c r="C85" s="94" t="s">
        <v>271</v>
      </c>
      <c r="D85" s="85"/>
      <c r="E85" s="85">
        <v>0</v>
      </c>
      <c r="F85" s="85">
        <f t="shared" si="15"/>
        <v>0</v>
      </c>
      <c r="G85" s="85"/>
      <c r="H85" s="85"/>
      <c r="I85" s="85"/>
    </row>
    <row r="86" spans="1:9" s="285" customFormat="1" hidden="1" x14ac:dyDescent="0.25">
      <c r="A86" s="118">
        <v>20</v>
      </c>
      <c r="B86" s="151">
        <v>5580</v>
      </c>
      <c r="C86" s="94" t="s">
        <v>272</v>
      </c>
      <c r="D86" s="85"/>
      <c r="E86" s="85">
        <v>0</v>
      </c>
      <c r="F86" s="85">
        <f t="shared" si="15"/>
        <v>0</v>
      </c>
      <c r="G86" s="85"/>
      <c r="H86" s="85"/>
      <c r="I86" s="85"/>
    </row>
    <row r="87" spans="1:9" s="285" customFormat="1" hidden="1" x14ac:dyDescent="0.25">
      <c r="A87" s="118">
        <v>20</v>
      </c>
      <c r="B87" s="151">
        <v>5585</v>
      </c>
      <c r="C87" s="94" t="s">
        <v>273</v>
      </c>
      <c r="D87" s="85"/>
      <c r="E87" s="85">
        <v>0</v>
      </c>
      <c r="F87" s="85">
        <f t="shared" si="15"/>
        <v>0</v>
      </c>
      <c r="G87" s="85"/>
      <c r="H87" s="85"/>
      <c r="I87" s="85"/>
    </row>
    <row r="88" spans="1:9" s="285" customFormat="1" hidden="1" x14ac:dyDescent="0.25">
      <c r="A88" s="118">
        <v>20</v>
      </c>
      <c r="B88" s="151">
        <v>5590</v>
      </c>
      <c r="C88" s="94" t="s">
        <v>274</v>
      </c>
      <c r="D88" s="85"/>
      <c r="E88" s="85">
        <v>0</v>
      </c>
      <c r="F88" s="85">
        <f t="shared" si="15"/>
        <v>0</v>
      </c>
      <c r="G88" s="85"/>
      <c r="H88" s="85"/>
      <c r="I88" s="85"/>
    </row>
    <row r="89" spans="1:9" s="285" customFormat="1" hidden="1" x14ac:dyDescent="0.25">
      <c r="A89" s="118">
        <v>20</v>
      </c>
      <c r="B89" s="151">
        <v>5595</v>
      </c>
      <c r="C89" s="94" t="s">
        <v>275</v>
      </c>
      <c r="D89" s="85"/>
      <c r="E89" s="85">
        <v>0</v>
      </c>
      <c r="F89" s="85">
        <f t="shared" si="15"/>
        <v>0</v>
      </c>
      <c r="G89" s="85"/>
      <c r="H89" s="85"/>
      <c r="I89" s="85"/>
    </row>
    <row r="90" spans="1:9" s="285" customFormat="1" hidden="1" x14ac:dyDescent="0.25">
      <c r="A90" s="118">
        <v>20</v>
      </c>
      <c r="B90" s="151">
        <v>5600</v>
      </c>
      <c r="C90" s="159" t="s">
        <v>276</v>
      </c>
      <c r="D90" s="85"/>
      <c r="E90" s="85">
        <v>0</v>
      </c>
      <c r="F90" s="85">
        <f t="shared" si="15"/>
        <v>0</v>
      </c>
      <c r="G90" s="85"/>
      <c r="H90" s="85"/>
      <c r="I90" s="85"/>
    </row>
    <row r="91" spans="1:9" s="285" customFormat="1" hidden="1" x14ac:dyDescent="0.25">
      <c r="A91" s="118">
        <v>20</v>
      </c>
      <c r="B91" s="151">
        <v>5605</v>
      </c>
      <c r="C91" s="159" t="s">
        <v>277</v>
      </c>
      <c r="D91" s="85"/>
      <c r="E91" s="85">
        <v>0</v>
      </c>
      <c r="F91" s="85">
        <f t="shared" si="15"/>
        <v>0</v>
      </c>
      <c r="G91" s="85"/>
      <c r="H91" s="85"/>
      <c r="I91" s="85"/>
    </row>
    <row r="92" spans="1:9" s="285" customFormat="1" hidden="1" x14ac:dyDescent="0.25">
      <c r="A92" s="118">
        <v>20</v>
      </c>
      <c r="B92" s="151">
        <v>5610</v>
      </c>
      <c r="C92" s="159" t="s">
        <v>278</v>
      </c>
      <c r="D92" s="85"/>
      <c r="E92" s="85">
        <v>0</v>
      </c>
      <c r="F92" s="85">
        <f t="shared" si="15"/>
        <v>0</v>
      </c>
      <c r="G92" s="85"/>
      <c r="H92" s="85"/>
      <c r="I92" s="85"/>
    </row>
    <row r="93" spans="1:9" s="285" customFormat="1" hidden="1" x14ac:dyDescent="0.25">
      <c r="A93" s="118">
        <v>20</v>
      </c>
      <c r="B93" s="151">
        <v>5615</v>
      </c>
      <c r="C93" s="159" t="s">
        <v>279</v>
      </c>
      <c r="D93" s="85"/>
      <c r="E93" s="85">
        <v>0</v>
      </c>
      <c r="F93" s="85">
        <f t="shared" si="15"/>
        <v>0</v>
      </c>
      <c r="G93" s="85"/>
      <c r="H93" s="85"/>
      <c r="I93" s="85"/>
    </row>
    <row r="94" spans="1:9" s="285" customFormat="1" hidden="1" x14ac:dyDescent="0.25">
      <c r="A94" s="118">
        <v>20</v>
      </c>
      <c r="B94" s="151">
        <v>5620</v>
      </c>
      <c r="C94" s="159" t="s">
        <v>280</v>
      </c>
      <c r="D94" s="85"/>
      <c r="E94" s="85">
        <v>0</v>
      </c>
      <c r="F94" s="85">
        <f t="shared" si="15"/>
        <v>0</v>
      </c>
      <c r="G94" s="85"/>
      <c r="H94" s="85"/>
      <c r="I94" s="85"/>
    </row>
    <row r="95" spans="1:9" s="285" customFormat="1" hidden="1" x14ac:dyDescent="0.25">
      <c r="A95" s="118">
        <v>20</v>
      </c>
      <c r="B95" s="151">
        <v>5625</v>
      </c>
      <c r="C95" s="159" t="s">
        <v>281</v>
      </c>
      <c r="D95" s="85"/>
      <c r="E95" s="85">
        <v>0</v>
      </c>
      <c r="F95" s="85">
        <f t="shared" si="15"/>
        <v>0</v>
      </c>
      <c r="G95" s="85"/>
      <c r="H95" s="85"/>
      <c r="I95" s="85"/>
    </row>
    <row r="96" spans="1:9" s="285" customFormat="1" hidden="1" x14ac:dyDescent="0.25">
      <c r="A96" s="118">
        <v>20</v>
      </c>
      <c r="B96" s="151">
        <v>5630</v>
      </c>
      <c r="C96" s="159" t="s">
        <v>282</v>
      </c>
      <c r="D96" s="85"/>
      <c r="E96" s="85">
        <v>0</v>
      </c>
      <c r="F96" s="85">
        <f t="shared" si="15"/>
        <v>0</v>
      </c>
      <c r="G96" s="85"/>
      <c r="H96" s="85"/>
      <c r="I96" s="85"/>
    </row>
    <row r="97" spans="1:9" s="285" customFormat="1" hidden="1" x14ac:dyDescent="0.25">
      <c r="A97" s="118">
        <v>20</v>
      </c>
      <c r="B97" s="151">
        <v>5635</v>
      </c>
      <c r="C97" s="159" t="s">
        <v>283</v>
      </c>
      <c r="D97" s="85"/>
      <c r="E97" s="85">
        <v>0</v>
      </c>
      <c r="F97" s="85">
        <f t="shared" si="15"/>
        <v>0</v>
      </c>
      <c r="G97" s="85"/>
      <c r="H97" s="85"/>
      <c r="I97" s="85"/>
    </row>
    <row r="98" spans="1:9" s="285" customFormat="1" hidden="1" x14ac:dyDescent="0.25">
      <c r="A98" s="118">
        <v>20</v>
      </c>
      <c r="B98" s="151">
        <v>5640</v>
      </c>
      <c r="C98" s="159" t="s">
        <v>284</v>
      </c>
      <c r="D98" s="85"/>
      <c r="E98" s="85">
        <v>0</v>
      </c>
      <c r="F98" s="85">
        <f t="shared" si="15"/>
        <v>0</v>
      </c>
      <c r="G98" s="85"/>
      <c r="H98" s="85"/>
      <c r="I98" s="85"/>
    </row>
    <row r="99" spans="1:9" s="285" customFormat="1" hidden="1" x14ac:dyDescent="0.25">
      <c r="A99" s="118">
        <v>20</v>
      </c>
      <c r="B99" s="151">
        <v>5645</v>
      </c>
      <c r="C99" s="159" t="s">
        <v>285</v>
      </c>
      <c r="D99" s="85"/>
      <c r="E99" s="85">
        <v>0</v>
      </c>
      <c r="F99" s="85">
        <f t="shared" si="15"/>
        <v>0</v>
      </c>
      <c r="G99" s="85"/>
      <c r="H99" s="85"/>
      <c r="I99" s="85"/>
    </row>
    <row r="100" spans="1:9" s="285" customFormat="1" hidden="1" x14ac:dyDescent="0.25">
      <c r="A100" s="118">
        <v>20</v>
      </c>
      <c r="B100" s="151">
        <v>5650</v>
      </c>
      <c r="C100" s="159" t="s">
        <v>286</v>
      </c>
      <c r="D100" s="85"/>
      <c r="E100" s="85">
        <v>0</v>
      </c>
      <c r="F100" s="85">
        <f t="shared" si="15"/>
        <v>0</v>
      </c>
      <c r="G100" s="85"/>
      <c r="H100" s="85"/>
      <c r="I100" s="85"/>
    </row>
    <row r="101" spans="1:9" s="285" customFormat="1" hidden="1" x14ac:dyDescent="0.25">
      <c r="A101" s="118">
        <v>20</v>
      </c>
      <c r="B101" s="151">
        <v>5655</v>
      </c>
      <c r="C101" s="159" t="s">
        <v>287</v>
      </c>
      <c r="D101" s="85"/>
      <c r="E101" s="85">
        <v>0</v>
      </c>
      <c r="F101" s="85">
        <f t="shared" si="15"/>
        <v>0</v>
      </c>
      <c r="G101" s="85"/>
      <c r="H101" s="85"/>
      <c r="I101" s="85"/>
    </row>
    <row r="102" spans="1:9" s="285" customFormat="1" hidden="1" x14ac:dyDescent="0.25">
      <c r="A102" s="118">
        <v>20</v>
      </c>
      <c r="B102" s="151">
        <v>5660</v>
      </c>
      <c r="C102" s="159" t="s">
        <v>288</v>
      </c>
      <c r="D102" s="85"/>
      <c r="E102" s="85">
        <v>0</v>
      </c>
      <c r="F102" s="85">
        <f t="shared" si="15"/>
        <v>0</v>
      </c>
      <c r="G102" s="85"/>
      <c r="H102" s="85"/>
      <c r="I102" s="85"/>
    </row>
    <row r="103" spans="1:9" s="285" customFormat="1" hidden="1" x14ac:dyDescent="0.25">
      <c r="A103" s="118">
        <v>20</v>
      </c>
      <c r="B103" s="151">
        <v>5665</v>
      </c>
      <c r="C103" s="94" t="s">
        <v>289</v>
      </c>
      <c r="D103" s="85"/>
      <c r="E103" s="85">
        <v>0</v>
      </c>
      <c r="F103" s="85">
        <f t="shared" si="15"/>
        <v>0</v>
      </c>
      <c r="G103" s="85"/>
      <c r="H103" s="85"/>
      <c r="I103" s="85"/>
    </row>
    <row r="104" spans="1:9" s="285" customFormat="1" hidden="1" x14ac:dyDescent="0.25">
      <c r="A104" s="118">
        <v>20</v>
      </c>
      <c r="B104" s="151">
        <v>5670</v>
      </c>
      <c r="C104" s="94" t="s">
        <v>290</v>
      </c>
      <c r="D104" s="85"/>
      <c r="E104" s="85">
        <v>0</v>
      </c>
      <c r="F104" s="85">
        <f t="shared" si="15"/>
        <v>0</v>
      </c>
      <c r="G104" s="85"/>
      <c r="H104" s="85"/>
      <c r="I104" s="85"/>
    </row>
    <row r="105" spans="1:9" s="285" customFormat="1" hidden="1" x14ac:dyDescent="0.25">
      <c r="A105" s="118">
        <v>20</v>
      </c>
      <c r="B105" s="151">
        <v>5675</v>
      </c>
      <c r="C105" s="94" t="s">
        <v>291</v>
      </c>
      <c r="D105" s="85"/>
      <c r="E105" s="85">
        <v>0</v>
      </c>
      <c r="F105" s="85">
        <f t="shared" si="15"/>
        <v>0</v>
      </c>
      <c r="G105" s="85"/>
      <c r="H105" s="85"/>
      <c r="I105" s="85"/>
    </row>
    <row r="106" spans="1:9" s="285" customFormat="1" hidden="1" x14ac:dyDescent="0.25">
      <c r="A106" s="118">
        <v>20</v>
      </c>
      <c r="B106" s="151">
        <v>5680</v>
      </c>
      <c r="C106" s="94" t="s">
        <v>292</v>
      </c>
      <c r="D106" s="85"/>
      <c r="E106" s="85">
        <v>0</v>
      </c>
      <c r="F106" s="85">
        <f t="shared" si="15"/>
        <v>0</v>
      </c>
      <c r="G106" s="85"/>
      <c r="H106" s="85"/>
      <c r="I106" s="85"/>
    </row>
    <row r="107" spans="1:9" s="285" customFormat="1" hidden="1" x14ac:dyDescent="0.25">
      <c r="A107" s="118">
        <v>20</v>
      </c>
      <c r="B107" s="151">
        <v>5685</v>
      </c>
      <c r="C107" s="94" t="s">
        <v>293</v>
      </c>
      <c r="D107" s="85"/>
      <c r="E107" s="85">
        <v>0</v>
      </c>
      <c r="F107" s="85">
        <f t="shared" si="15"/>
        <v>0</v>
      </c>
      <c r="G107" s="85"/>
      <c r="H107" s="85"/>
      <c r="I107" s="85"/>
    </row>
    <row r="108" spans="1:9" s="285" customFormat="1" hidden="1" x14ac:dyDescent="0.25">
      <c r="A108" s="118">
        <v>20</v>
      </c>
      <c r="B108" s="151">
        <v>5690</v>
      </c>
      <c r="C108" s="94" t="s">
        <v>247</v>
      </c>
      <c r="D108" s="85"/>
      <c r="E108" s="85">
        <v>0</v>
      </c>
      <c r="F108" s="85">
        <f t="shared" si="15"/>
        <v>0</v>
      </c>
      <c r="G108" s="85"/>
      <c r="H108" s="85"/>
      <c r="I108" s="85"/>
    </row>
    <row r="109" spans="1:9" s="285" customFormat="1" hidden="1" x14ac:dyDescent="0.25">
      <c r="A109" s="118">
        <v>20</v>
      </c>
      <c r="B109" s="151">
        <v>5695</v>
      </c>
      <c r="C109" s="94" t="s">
        <v>294</v>
      </c>
      <c r="D109" s="85"/>
      <c r="E109" s="85">
        <v>0</v>
      </c>
      <c r="F109" s="85">
        <f t="shared" si="15"/>
        <v>0</v>
      </c>
      <c r="G109" s="85"/>
      <c r="H109" s="85"/>
      <c r="I109" s="85"/>
    </row>
    <row r="110" spans="1:9" s="285" customFormat="1" hidden="1" x14ac:dyDescent="0.25">
      <c r="A110" s="118">
        <v>20</v>
      </c>
      <c r="B110" s="151">
        <v>5700</v>
      </c>
      <c r="C110" s="94" t="s">
        <v>295</v>
      </c>
      <c r="D110" s="85"/>
      <c r="E110" s="85">
        <v>0</v>
      </c>
      <c r="F110" s="85">
        <f t="shared" ref="F110:F141" si="16">E110-D110</f>
        <v>0</v>
      </c>
      <c r="G110" s="85"/>
      <c r="H110" s="85"/>
      <c r="I110" s="85"/>
    </row>
    <row r="111" spans="1:9" s="285" customFormat="1" hidden="1" x14ac:dyDescent="0.25">
      <c r="A111" s="118">
        <v>20</v>
      </c>
      <c r="B111" s="151">
        <v>5710</v>
      </c>
      <c r="C111" s="94" t="s">
        <v>297</v>
      </c>
      <c r="D111" s="85"/>
      <c r="E111" s="85">
        <v>0</v>
      </c>
      <c r="F111" s="85">
        <f t="shared" si="16"/>
        <v>0</v>
      </c>
      <c r="G111" s="85"/>
      <c r="H111" s="85"/>
      <c r="I111" s="85"/>
    </row>
    <row r="112" spans="1:9" s="285" customFormat="1" hidden="1" x14ac:dyDescent="0.25">
      <c r="A112" s="118">
        <v>20</v>
      </c>
      <c r="B112" s="151">
        <v>5715</v>
      </c>
      <c r="C112" s="94" t="s">
        <v>298</v>
      </c>
      <c r="D112" s="85"/>
      <c r="E112" s="85">
        <v>0</v>
      </c>
      <c r="F112" s="85">
        <f t="shared" si="16"/>
        <v>0</v>
      </c>
      <c r="G112" s="85"/>
      <c r="H112" s="85"/>
      <c r="I112" s="85"/>
    </row>
    <row r="113" spans="1:9" s="285" customFormat="1" hidden="1" x14ac:dyDescent="0.25">
      <c r="A113" s="118">
        <v>20</v>
      </c>
      <c r="B113" s="151">
        <v>5720</v>
      </c>
      <c r="C113" s="94" t="s">
        <v>299</v>
      </c>
      <c r="D113" s="85"/>
      <c r="E113" s="85">
        <v>0</v>
      </c>
      <c r="F113" s="85">
        <f t="shared" si="16"/>
        <v>0</v>
      </c>
      <c r="G113" s="85"/>
      <c r="H113" s="85"/>
      <c r="I113" s="85"/>
    </row>
    <row r="114" spans="1:9" s="285" customFormat="1" hidden="1" x14ac:dyDescent="0.25">
      <c r="A114" s="118">
        <v>20</v>
      </c>
      <c r="B114" s="151">
        <v>5730</v>
      </c>
      <c r="C114" s="94" t="s">
        <v>300</v>
      </c>
      <c r="D114" s="85"/>
      <c r="E114" s="85">
        <v>0</v>
      </c>
      <c r="F114" s="85">
        <f t="shared" si="16"/>
        <v>0</v>
      </c>
      <c r="G114" s="85"/>
      <c r="H114" s="85"/>
      <c r="I114" s="85"/>
    </row>
    <row r="115" spans="1:9" s="285" customFormat="1" hidden="1" x14ac:dyDescent="0.25">
      <c r="A115" s="118">
        <v>20</v>
      </c>
      <c r="B115" s="151">
        <v>5735</v>
      </c>
      <c r="C115" s="94" t="s">
        <v>301</v>
      </c>
      <c r="D115" s="85"/>
      <c r="E115" s="85">
        <v>0</v>
      </c>
      <c r="F115" s="85">
        <f t="shared" si="16"/>
        <v>0</v>
      </c>
      <c r="G115" s="85"/>
      <c r="H115" s="85"/>
      <c r="I115" s="85"/>
    </row>
    <row r="116" spans="1:9" s="285" customFormat="1" hidden="1" x14ac:dyDescent="0.25">
      <c r="A116" s="118">
        <v>20</v>
      </c>
      <c r="B116" s="151">
        <v>5740</v>
      </c>
      <c r="C116" s="94" t="s">
        <v>302</v>
      </c>
      <c r="D116" s="85"/>
      <c r="E116" s="85">
        <v>0</v>
      </c>
      <c r="F116" s="85">
        <f t="shared" si="16"/>
        <v>0</v>
      </c>
      <c r="G116" s="85"/>
      <c r="H116" s="85"/>
      <c r="I116" s="85"/>
    </row>
    <row r="117" spans="1:9" s="285" customFormat="1" hidden="1" x14ac:dyDescent="0.25">
      <c r="A117" s="118">
        <v>20</v>
      </c>
      <c r="B117" s="151">
        <v>5745</v>
      </c>
      <c r="C117" s="94" t="s">
        <v>303</v>
      </c>
      <c r="D117" s="85"/>
      <c r="E117" s="85">
        <v>0</v>
      </c>
      <c r="F117" s="85">
        <f t="shared" si="16"/>
        <v>0</v>
      </c>
      <c r="G117" s="85"/>
      <c r="H117" s="85"/>
      <c r="I117" s="85"/>
    </row>
    <row r="118" spans="1:9" s="285" customFormat="1" hidden="1" x14ac:dyDescent="0.25">
      <c r="A118" s="118">
        <v>20</v>
      </c>
      <c r="B118" s="151">
        <v>5750</v>
      </c>
      <c r="C118" s="94" t="s">
        <v>304</v>
      </c>
      <c r="D118" s="85"/>
      <c r="E118" s="85">
        <v>0</v>
      </c>
      <c r="F118" s="85">
        <f t="shared" si="16"/>
        <v>0</v>
      </c>
      <c r="G118" s="85"/>
      <c r="H118" s="85"/>
      <c r="I118" s="85"/>
    </row>
    <row r="119" spans="1:9" s="285" customFormat="1" hidden="1" x14ac:dyDescent="0.25">
      <c r="A119" s="118">
        <v>20</v>
      </c>
      <c r="B119" s="151">
        <v>5755</v>
      </c>
      <c r="C119" s="94" t="s">
        <v>305</v>
      </c>
      <c r="D119" s="85"/>
      <c r="E119" s="85">
        <v>0</v>
      </c>
      <c r="F119" s="85">
        <f t="shared" si="16"/>
        <v>0</v>
      </c>
      <c r="G119" s="85"/>
      <c r="H119" s="85"/>
      <c r="I119" s="85"/>
    </row>
    <row r="120" spans="1:9" s="285" customFormat="1" ht="12" hidden="1" customHeight="1" x14ac:dyDescent="0.25">
      <c r="A120" s="118">
        <v>20</v>
      </c>
      <c r="B120" s="151">
        <v>5760</v>
      </c>
      <c r="C120" s="94" t="s">
        <v>306</v>
      </c>
      <c r="D120" s="85"/>
      <c r="E120" s="85">
        <v>0</v>
      </c>
      <c r="F120" s="85">
        <f t="shared" si="16"/>
        <v>0</v>
      </c>
      <c r="G120" s="85"/>
      <c r="H120" s="85"/>
      <c r="I120" s="85"/>
    </row>
    <row r="121" spans="1:9" s="285" customFormat="1" hidden="1" x14ac:dyDescent="0.25">
      <c r="A121" s="118">
        <v>20</v>
      </c>
      <c r="B121" s="151">
        <v>5765</v>
      </c>
      <c r="C121" s="94" t="s">
        <v>307</v>
      </c>
      <c r="D121" s="85"/>
      <c r="E121" s="85">
        <v>0</v>
      </c>
      <c r="F121" s="85">
        <f t="shared" si="16"/>
        <v>0</v>
      </c>
      <c r="G121" s="85"/>
      <c r="H121" s="85"/>
      <c r="I121" s="85"/>
    </row>
    <row r="122" spans="1:9" s="285" customFormat="1" hidden="1" x14ac:dyDescent="0.25">
      <c r="A122" s="118">
        <v>20</v>
      </c>
      <c r="B122" s="151">
        <v>5770</v>
      </c>
      <c r="C122" s="94" t="s">
        <v>308</v>
      </c>
      <c r="D122" s="85"/>
      <c r="E122" s="85">
        <v>0</v>
      </c>
      <c r="F122" s="85">
        <f t="shared" si="16"/>
        <v>0</v>
      </c>
      <c r="G122" s="85"/>
      <c r="H122" s="85"/>
      <c r="I122" s="85"/>
    </row>
    <row r="123" spans="1:9" s="285" customFormat="1" hidden="1" x14ac:dyDescent="0.25">
      <c r="A123" s="118">
        <v>20</v>
      </c>
      <c r="B123" s="151">
        <v>5775</v>
      </c>
      <c r="C123" s="94" t="s">
        <v>309</v>
      </c>
      <c r="D123" s="85"/>
      <c r="E123" s="85">
        <v>0</v>
      </c>
      <c r="F123" s="85">
        <f t="shared" si="16"/>
        <v>0</v>
      </c>
      <c r="G123" s="85"/>
      <c r="H123" s="85"/>
      <c r="I123" s="85"/>
    </row>
    <row r="124" spans="1:9" s="285" customFormat="1" hidden="1" x14ac:dyDescent="0.25">
      <c r="A124" s="118">
        <v>20</v>
      </c>
      <c r="B124" s="151">
        <v>5780</v>
      </c>
      <c r="C124" s="94" t="s">
        <v>310</v>
      </c>
      <c r="D124" s="85"/>
      <c r="E124" s="85">
        <v>0</v>
      </c>
      <c r="F124" s="85">
        <f t="shared" si="16"/>
        <v>0</v>
      </c>
      <c r="G124" s="85"/>
      <c r="H124" s="85"/>
      <c r="I124" s="85"/>
    </row>
    <row r="125" spans="1:9" s="285" customFormat="1" hidden="1" x14ac:dyDescent="0.25">
      <c r="A125" s="118">
        <v>20</v>
      </c>
      <c r="B125" s="151">
        <v>5785</v>
      </c>
      <c r="C125" s="94" t="s">
        <v>311</v>
      </c>
      <c r="D125" s="85"/>
      <c r="E125" s="85">
        <v>0</v>
      </c>
      <c r="F125" s="85">
        <f t="shared" si="16"/>
        <v>0</v>
      </c>
      <c r="G125" s="85"/>
      <c r="H125" s="85"/>
      <c r="I125" s="85"/>
    </row>
    <row r="126" spans="1:9" s="285" customFormat="1" hidden="1" x14ac:dyDescent="0.25">
      <c r="A126" s="118">
        <v>20</v>
      </c>
      <c r="B126" s="151">
        <v>5790</v>
      </c>
      <c r="C126" s="94" t="s">
        <v>312</v>
      </c>
      <c r="D126" s="85"/>
      <c r="E126" s="85">
        <v>0</v>
      </c>
      <c r="F126" s="85">
        <f t="shared" si="16"/>
        <v>0</v>
      </c>
      <c r="G126" s="85"/>
      <c r="H126" s="85"/>
      <c r="I126" s="85"/>
    </row>
    <row r="127" spans="1:9" s="285" customFormat="1" hidden="1" x14ac:dyDescent="0.25">
      <c r="A127" s="118">
        <v>20</v>
      </c>
      <c r="B127" s="151">
        <v>5795</v>
      </c>
      <c r="C127" s="94" t="s">
        <v>313</v>
      </c>
      <c r="D127" s="85"/>
      <c r="E127" s="85">
        <v>0</v>
      </c>
      <c r="F127" s="85">
        <f t="shared" si="16"/>
        <v>0</v>
      </c>
      <c r="G127" s="85"/>
      <c r="H127" s="85"/>
      <c r="I127" s="85"/>
    </row>
    <row r="128" spans="1:9" s="285" customFormat="1" hidden="1" x14ac:dyDescent="0.25">
      <c r="A128" s="118">
        <v>20</v>
      </c>
      <c r="B128" s="151">
        <v>5800</v>
      </c>
      <c r="C128" s="94" t="s">
        <v>314</v>
      </c>
      <c r="D128" s="85"/>
      <c r="E128" s="85">
        <v>0</v>
      </c>
      <c r="F128" s="85">
        <f t="shared" si="16"/>
        <v>0</v>
      </c>
      <c r="G128" s="85"/>
      <c r="H128" s="85"/>
      <c r="I128" s="85"/>
    </row>
    <row r="129" spans="1:9" s="285" customFormat="1" hidden="1" x14ac:dyDescent="0.25">
      <c r="A129" s="118">
        <v>20</v>
      </c>
      <c r="B129" s="151">
        <v>5805</v>
      </c>
      <c r="C129" s="94" t="s">
        <v>315</v>
      </c>
      <c r="D129" s="85"/>
      <c r="E129" s="85">
        <v>0</v>
      </c>
      <c r="F129" s="85">
        <f t="shared" si="16"/>
        <v>0</v>
      </c>
      <c r="G129" s="85"/>
      <c r="H129" s="85"/>
      <c r="I129" s="85"/>
    </row>
    <row r="130" spans="1:9" s="285" customFormat="1" hidden="1" x14ac:dyDescent="0.25">
      <c r="A130" s="118">
        <v>20</v>
      </c>
      <c r="B130" s="151">
        <v>5810</v>
      </c>
      <c r="C130" s="94" t="s">
        <v>316</v>
      </c>
      <c r="D130" s="85"/>
      <c r="E130" s="85">
        <v>0</v>
      </c>
      <c r="F130" s="85">
        <f t="shared" si="16"/>
        <v>0</v>
      </c>
      <c r="G130" s="85"/>
      <c r="H130" s="85"/>
      <c r="I130" s="85"/>
    </row>
    <row r="131" spans="1:9" s="285" customFormat="1" hidden="1" x14ac:dyDescent="0.25">
      <c r="A131" s="118">
        <v>20</v>
      </c>
      <c r="B131" s="151">
        <v>5815</v>
      </c>
      <c r="C131" s="94" t="s">
        <v>99</v>
      </c>
      <c r="D131" s="85"/>
      <c r="E131" s="85">
        <v>0</v>
      </c>
      <c r="F131" s="85">
        <f t="shared" si="16"/>
        <v>0</v>
      </c>
      <c r="G131" s="85"/>
      <c r="H131" s="85"/>
      <c r="I131" s="85"/>
    </row>
    <row r="132" spans="1:9" s="285" customFormat="1" hidden="1" x14ac:dyDescent="0.25">
      <c r="A132" s="118">
        <v>20</v>
      </c>
      <c r="B132" s="151">
        <v>5820</v>
      </c>
      <c r="C132" s="94" t="s">
        <v>114</v>
      </c>
      <c r="D132" s="85"/>
      <c r="E132" s="85">
        <v>0</v>
      </c>
      <c r="F132" s="85">
        <f t="shared" si="16"/>
        <v>0</v>
      </c>
      <c r="G132" s="85"/>
      <c r="H132" s="85"/>
      <c r="I132" s="85"/>
    </row>
    <row r="133" spans="1:9" s="285" customFormat="1" hidden="1" x14ac:dyDescent="0.25">
      <c r="A133" s="118">
        <v>20</v>
      </c>
      <c r="B133" s="151">
        <v>5825</v>
      </c>
      <c r="C133" s="94" t="s">
        <v>317</v>
      </c>
      <c r="D133" s="85"/>
      <c r="E133" s="85">
        <v>0</v>
      </c>
      <c r="F133" s="85">
        <f t="shared" si="16"/>
        <v>0</v>
      </c>
      <c r="G133" s="85"/>
      <c r="H133" s="85"/>
      <c r="I133" s="85"/>
    </row>
    <row r="134" spans="1:9" s="285" customFormat="1" hidden="1" x14ac:dyDescent="0.25">
      <c r="A134" s="118">
        <v>20</v>
      </c>
      <c r="B134" s="151">
        <v>5830</v>
      </c>
      <c r="C134" s="94" t="s">
        <v>318</v>
      </c>
      <c r="D134" s="85"/>
      <c r="E134" s="85">
        <v>0</v>
      </c>
      <c r="F134" s="85">
        <f t="shared" si="16"/>
        <v>0</v>
      </c>
      <c r="G134" s="85"/>
      <c r="H134" s="85"/>
      <c r="I134" s="85"/>
    </row>
    <row r="135" spans="1:9" s="285" customFormat="1" hidden="1" x14ac:dyDescent="0.25">
      <c r="A135" s="118">
        <v>20</v>
      </c>
      <c r="B135" s="151">
        <v>5835</v>
      </c>
      <c r="C135" s="94" t="s">
        <v>319</v>
      </c>
      <c r="D135" s="85"/>
      <c r="E135" s="85">
        <v>0</v>
      </c>
      <c r="F135" s="85">
        <f t="shared" si="16"/>
        <v>0</v>
      </c>
      <c r="G135" s="85"/>
      <c r="H135" s="85"/>
      <c r="I135" s="85"/>
    </row>
    <row r="136" spans="1:9" s="285" customFormat="1" hidden="1" x14ac:dyDescent="0.25">
      <c r="A136" s="118">
        <v>20</v>
      </c>
      <c r="B136" s="151">
        <v>5840</v>
      </c>
      <c r="C136" s="94" t="s">
        <v>332</v>
      </c>
      <c r="D136" s="94"/>
      <c r="E136" s="85">
        <v>0</v>
      </c>
      <c r="F136" s="85">
        <f t="shared" si="16"/>
        <v>0</v>
      </c>
      <c r="G136" s="85"/>
      <c r="H136" s="85"/>
      <c r="I136" s="85"/>
    </row>
    <row r="137" spans="1:9" s="285" customFormat="1" hidden="1" x14ac:dyDescent="0.25">
      <c r="A137" s="118">
        <v>20</v>
      </c>
      <c r="B137" s="151">
        <v>5845</v>
      </c>
      <c r="C137" s="94" t="s">
        <v>320</v>
      </c>
      <c r="D137" s="85"/>
      <c r="E137" s="85">
        <v>0</v>
      </c>
      <c r="F137" s="85">
        <f t="shared" si="16"/>
        <v>0</v>
      </c>
      <c r="G137" s="85"/>
      <c r="H137" s="85"/>
      <c r="I137" s="85"/>
    </row>
    <row r="138" spans="1:9" s="285" customFormat="1" hidden="1" x14ac:dyDescent="0.25">
      <c r="A138" s="118">
        <v>20</v>
      </c>
      <c r="B138" s="151">
        <v>5855</v>
      </c>
      <c r="C138" s="94" t="s">
        <v>321</v>
      </c>
      <c r="D138" s="85"/>
      <c r="E138" s="85">
        <v>0</v>
      </c>
      <c r="F138" s="85">
        <f t="shared" si="16"/>
        <v>0</v>
      </c>
      <c r="G138" s="85"/>
      <c r="H138" s="85"/>
      <c r="I138" s="85"/>
    </row>
    <row r="139" spans="1:9" s="285" customFormat="1" hidden="1" x14ac:dyDescent="0.25">
      <c r="A139" s="118">
        <v>20</v>
      </c>
      <c r="B139" s="151">
        <v>5860</v>
      </c>
      <c r="C139" s="94" t="s">
        <v>322</v>
      </c>
      <c r="D139" s="85"/>
      <c r="E139" s="85">
        <v>0</v>
      </c>
      <c r="F139" s="85">
        <f t="shared" si="16"/>
        <v>0</v>
      </c>
      <c r="G139" s="85"/>
      <c r="H139" s="85"/>
      <c r="I139" s="85"/>
    </row>
    <row r="140" spans="1:9" s="285" customFormat="1" hidden="1" x14ac:dyDescent="0.25">
      <c r="A140" s="118">
        <v>20</v>
      </c>
      <c r="B140" s="151">
        <v>5865</v>
      </c>
      <c r="C140" s="94" t="s">
        <v>323</v>
      </c>
      <c r="D140" s="85"/>
      <c r="E140" s="85">
        <v>0</v>
      </c>
      <c r="F140" s="85">
        <f t="shared" si="16"/>
        <v>0</v>
      </c>
      <c r="G140" s="85"/>
      <c r="H140" s="85"/>
      <c r="I140" s="85"/>
    </row>
    <row r="141" spans="1:9" s="285" customFormat="1" hidden="1" x14ac:dyDescent="0.25">
      <c r="A141" s="118">
        <v>20</v>
      </c>
      <c r="B141" s="151">
        <v>5870</v>
      </c>
      <c r="C141" s="94" t="s">
        <v>324</v>
      </c>
      <c r="D141" s="85"/>
      <c r="E141" s="85">
        <v>0</v>
      </c>
      <c r="F141" s="85">
        <f t="shared" si="16"/>
        <v>0</v>
      </c>
      <c r="G141" s="85"/>
      <c r="H141" s="85"/>
      <c r="I141" s="85"/>
    </row>
    <row r="142" spans="1:9" s="285" customFormat="1" hidden="1" x14ac:dyDescent="0.25">
      <c r="A142" s="118">
        <v>20</v>
      </c>
      <c r="B142" s="151">
        <v>5875</v>
      </c>
      <c r="C142" s="94" t="s">
        <v>325</v>
      </c>
      <c r="D142" s="85"/>
      <c r="E142" s="85">
        <v>0</v>
      </c>
      <c r="F142" s="85">
        <f t="shared" ref="F142:F144" si="17">E142-D142</f>
        <v>0</v>
      </c>
      <c r="G142" s="85"/>
      <c r="H142" s="85"/>
      <c r="I142" s="85"/>
    </row>
    <row r="143" spans="1:9" s="285" customFormat="1" hidden="1" x14ac:dyDescent="0.25">
      <c r="A143" s="118">
        <v>20</v>
      </c>
      <c r="B143" s="151">
        <v>5880</v>
      </c>
      <c r="C143" s="94" t="s">
        <v>326</v>
      </c>
      <c r="D143" s="85"/>
      <c r="E143" s="85">
        <v>0</v>
      </c>
      <c r="F143" s="85">
        <f t="shared" si="17"/>
        <v>0</v>
      </c>
      <c r="G143" s="85"/>
      <c r="H143" s="85"/>
      <c r="I143" s="85"/>
    </row>
    <row r="144" spans="1:9" s="285" customFormat="1" x14ac:dyDescent="0.25">
      <c r="A144" s="118">
        <v>20</v>
      </c>
      <c r="B144" s="151">
        <v>5885</v>
      </c>
      <c r="C144" s="94" t="s">
        <v>331</v>
      </c>
      <c r="D144" s="85"/>
      <c r="E144" s="85">
        <v>0</v>
      </c>
      <c r="F144" s="85">
        <f t="shared" si="17"/>
        <v>0</v>
      </c>
      <c r="G144" s="85">
        <v>15000</v>
      </c>
      <c r="H144" s="85">
        <v>17000</v>
      </c>
      <c r="I144" s="85">
        <v>18000</v>
      </c>
    </row>
    <row r="145" spans="1:9" s="285" customFormat="1" hidden="1" x14ac:dyDescent="0.25">
      <c r="A145" s="118">
        <v>20</v>
      </c>
      <c r="B145" s="151">
        <v>5890</v>
      </c>
      <c r="C145" s="94" t="s">
        <v>327</v>
      </c>
      <c r="D145" s="85"/>
      <c r="E145" s="85"/>
      <c r="F145" s="85">
        <f t="shared" ref="F145:F147" si="18">0/8*12</f>
        <v>0</v>
      </c>
      <c r="G145" s="85"/>
      <c r="H145" s="85"/>
      <c r="I145" s="85">
        <f>F145*(1+INPUT!C$10)</f>
        <v>0</v>
      </c>
    </row>
    <row r="146" spans="1:9" s="285" customFormat="1" hidden="1" x14ac:dyDescent="0.25">
      <c r="A146" s="118">
        <v>20</v>
      </c>
      <c r="B146" s="151">
        <v>5895</v>
      </c>
      <c r="C146" s="94" t="s">
        <v>328</v>
      </c>
      <c r="D146" s="85"/>
      <c r="E146" s="85"/>
      <c r="F146" s="85">
        <f t="shared" si="18"/>
        <v>0</v>
      </c>
      <c r="G146" s="85"/>
      <c r="H146" s="85"/>
      <c r="I146" s="85">
        <f>F146*(1+INPUT!C$10)</f>
        <v>0</v>
      </c>
    </row>
    <row r="147" spans="1:9" s="285" customFormat="1" hidden="1" x14ac:dyDescent="0.25">
      <c r="A147" s="118">
        <v>20</v>
      </c>
      <c r="B147" s="151">
        <v>5910</v>
      </c>
      <c r="C147" s="94" t="s">
        <v>330</v>
      </c>
      <c r="D147" s="85"/>
      <c r="E147" s="85"/>
      <c r="F147" s="85">
        <f t="shared" si="18"/>
        <v>0</v>
      </c>
      <c r="G147" s="85"/>
      <c r="H147" s="85"/>
      <c r="I147" s="85">
        <f>F147*(1+INPUT!C$10)</f>
        <v>0</v>
      </c>
    </row>
    <row r="148" spans="1:9" s="285" customFormat="1" x14ac:dyDescent="0.25">
      <c r="A148" s="344"/>
      <c r="B148" s="151"/>
      <c r="C148" s="94"/>
      <c r="D148" s="89">
        <f t="shared" ref="D148:I148" si="19">SUM(D72:D147)</f>
        <v>0</v>
      </c>
      <c r="E148" s="89">
        <f t="shared" si="19"/>
        <v>10000</v>
      </c>
      <c r="F148" s="89">
        <f t="shared" si="19"/>
        <v>10000</v>
      </c>
      <c r="G148" s="89">
        <f t="shared" si="19"/>
        <v>45000</v>
      </c>
      <c r="H148" s="89">
        <f t="shared" si="19"/>
        <v>52000</v>
      </c>
      <c r="I148" s="89">
        <f t="shared" si="19"/>
        <v>56000</v>
      </c>
    </row>
    <row r="149" spans="1:9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hidden="1" x14ac:dyDescent="0.25">
      <c r="A150" s="118">
        <v>20</v>
      </c>
      <c r="B150" s="151">
        <v>6005</v>
      </c>
      <c r="C150" s="94" t="s">
        <v>188</v>
      </c>
      <c r="D150" s="85"/>
      <c r="E150" s="108"/>
      <c r="F150" s="85"/>
      <c r="G150" s="85"/>
      <c r="H150" s="85"/>
      <c r="I150" s="108"/>
    </row>
    <row r="151" spans="1:9" s="285" customFormat="1" hidden="1" x14ac:dyDescent="0.25">
      <c r="A151" s="344"/>
      <c r="B151" s="151"/>
      <c r="C151" s="94"/>
      <c r="D151" s="89">
        <f t="shared" ref="D151:I151" si="20">SUM(D150)</f>
        <v>0</v>
      </c>
      <c r="E151" s="89">
        <f t="shared" si="20"/>
        <v>0</v>
      </c>
      <c r="F151" s="89">
        <f t="shared" si="20"/>
        <v>0</v>
      </c>
      <c r="G151" s="89"/>
      <c r="H151" s="89"/>
      <c r="I151" s="89">
        <f t="shared" si="20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88"/>
    </row>
    <row r="153" spans="1:9" s="285" customFormat="1" hidden="1" x14ac:dyDescent="0.25">
      <c r="A153" s="118">
        <v>20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85"/>
      <c r="H153" s="85"/>
      <c r="I153" s="108"/>
    </row>
    <row r="154" spans="1:9" s="285" customFormat="1" x14ac:dyDescent="0.25">
      <c r="A154" s="118">
        <v>20</v>
      </c>
      <c r="B154" s="151">
        <v>6110</v>
      </c>
      <c r="C154" s="94" t="s">
        <v>337</v>
      </c>
      <c r="D154" s="85"/>
      <c r="E154" s="108">
        <v>1334622</v>
      </c>
      <c r="F154" s="85">
        <f>E154-D154</f>
        <v>1334622</v>
      </c>
      <c r="G154" s="85">
        <v>4360679</v>
      </c>
      <c r="H154" s="85">
        <v>3000000</v>
      </c>
      <c r="I154" s="85">
        <v>3000000</v>
      </c>
    </row>
    <row r="155" spans="1:9" s="285" customFormat="1" hidden="1" x14ac:dyDescent="0.25">
      <c r="A155" s="118">
        <v>20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85"/>
      <c r="H155" s="85"/>
      <c r="I155" s="108"/>
    </row>
    <row r="156" spans="1:9" s="285" customFormat="1" x14ac:dyDescent="0.25">
      <c r="A156" s="344"/>
      <c r="B156" s="151"/>
      <c r="C156" s="94"/>
      <c r="D156" s="89">
        <f t="shared" ref="D156:I156" si="21">SUM(D153:D155)</f>
        <v>0</v>
      </c>
      <c r="E156" s="89">
        <f t="shared" si="21"/>
        <v>1334622</v>
      </c>
      <c r="F156" s="89">
        <f t="shared" si="21"/>
        <v>1334622</v>
      </c>
      <c r="G156" s="89">
        <f t="shared" si="21"/>
        <v>4360679</v>
      </c>
      <c r="H156" s="89">
        <f t="shared" si="21"/>
        <v>3000000</v>
      </c>
      <c r="I156" s="89">
        <f t="shared" si="21"/>
        <v>3000000</v>
      </c>
    </row>
    <row r="157" spans="1:9" s="285" customFormat="1" hidden="1" x14ac:dyDescent="0.25">
      <c r="A157" s="344"/>
      <c r="B157" s="151"/>
      <c r="C157" s="93" t="s">
        <v>65</v>
      </c>
      <c r="D157" s="88"/>
      <c r="E157" s="113"/>
      <c r="F157" s="113"/>
      <c r="G157" s="113"/>
      <c r="H157" s="113"/>
      <c r="I157" s="88"/>
    </row>
    <row r="158" spans="1:9" s="285" customFormat="1" hidden="1" x14ac:dyDescent="0.25">
      <c r="A158" s="118">
        <v>20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/>
      <c r="I158" s="85">
        <f>F158*(1+INPUT!C$10)</f>
        <v>0</v>
      </c>
    </row>
    <row r="159" spans="1:9" s="285" customFormat="1" hidden="1" x14ac:dyDescent="0.25">
      <c r="A159" s="118">
        <v>20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/>
      <c r="I159" s="85">
        <f>F159*(1+INPUT!C$10)</f>
        <v>0</v>
      </c>
    </row>
    <row r="160" spans="1:9" s="285" customFormat="1" hidden="1" x14ac:dyDescent="0.25">
      <c r="A160" s="344"/>
      <c r="B160" s="346"/>
      <c r="C160" s="347"/>
      <c r="D160" s="116">
        <f t="shared" ref="D160:I160" si="22">SUM(D158:D159)</f>
        <v>0</v>
      </c>
      <c r="E160" s="116">
        <f t="shared" si="22"/>
        <v>0</v>
      </c>
      <c r="F160" s="116">
        <f t="shared" si="22"/>
        <v>0</v>
      </c>
      <c r="G160" s="116"/>
      <c r="H160" s="116"/>
      <c r="I160" s="116">
        <f t="shared" si="22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I161" si="23">D160+D156+D151+D148+D70+D66+D63+D59+D38+D35+D32+D29+D25+D18</f>
        <v>0</v>
      </c>
      <c r="E161" s="116">
        <f t="shared" si="23"/>
        <v>1557832</v>
      </c>
      <c r="F161" s="116">
        <f t="shared" si="23"/>
        <v>1387832</v>
      </c>
      <c r="G161" s="116">
        <f t="shared" si="23"/>
        <v>4618889</v>
      </c>
      <c r="H161" s="116">
        <f t="shared" si="23"/>
        <v>3283210</v>
      </c>
      <c r="I161" s="116">
        <f t="shared" si="23"/>
        <v>3307210</v>
      </c>
    </row>
    <row r="162" spans="1:9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hidden="1" x14ac:dyDescent="0.25">
      <c r="A163" s="118">
        <v>20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85"/>
      <c r="H163" s="85">
        <f>0/8*12</f>
        <v>0</v>
      </c>
      <c r="I163" s="85"/>
    </row>
    <row r="164" spans="1:9" s="285" customFormat="1" hidden="1" x14ac:dyDescent="0.25">
      <c r="A164" s="344"/>
      <c r="B164" s="151"/>
      <c r="C164" s="94"/>
      <c r="D164" s="116">
        <f t="shared" ref="D164:I164" si="24">D163</f>
        <v>0</v>
      </c>
      <c r="E164" s="116">
        <f t="shared" si="24"/>
        <v>0</v>
      </c>
      <c r="F164" s="116">
        <f t="shared" si="24"/>
        <v>0</v>
      </c>
      <c r="G164" s="116"/>
      <c r="H164" s="116">
        <f t="shared" ref="H164" si="25">H163</f>
        <v>0</v>
      </c>
      <c r="I164" s="116">
        <f t="shared" si="24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26">SUM(D161+D164)</f>
        <v>0</v>
      </c>
      <c r="E165" s="160">
        <f t="shared" si="26"/>
        <v>1557832</v>
      </c>
      <c r="F165" s="160">
        <f t="shared" si="26"/>
        <v>1387832</v>
      </c>
      <c r="G165" s="160">
        <f t="shared" si="26"/>
        <v>4618889</v>
      </c>
      <c r="H165" s="160">
        <f t="shared" ref="H165" si="27">SUM(H161+H164)</f>
        <v>3283210</v>
      </c>
      <c r="I165" s="160">
        <f t="shared" si="26"/>
        <v>3307210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384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385"/>
    </row>
    <row r="168" spans="1:9" s="285" customFormat="1" x14ac:dyDescent="0.25">
      <c r="A168" s="718" t="s">
        <v>550</v>
      </c>
      <c r="B168" s="710"/>
      <c r="C168" s="710"/>
      <c r="D168" s="710"/>
      <c r="E168" s="710"/>
      <c r="F168" s="710"/>
      <c r="G168" s="710"/>
      <c r="H168" s="710"/>
      <c r="I168" s="711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122"/>
    </row>
    <row r="172" spans="1:9" s="285" customFormat="1" hidden="1" x14ac:dyDescent="0.25">
      <c r="A172" s="118">
        <v>20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08">
        <f>F172*(1+INPUT!C15)</f>
        <v>0</v>
      </c>
    </row>
    <row r="173" spans="1:9" s="285" customFormat="1" hidden="1" x14ac:dyDescent="0.25">
      <c r="A173" s="118">
        <v>20</v>
      </c>
      <c r="B173" s="151">
        <v>5725</v>
      </c>
      <c r="C173" s="94" t="s">
        <v>402</v>
      </c>
      <c r="D173" s="85">
        <v>0</v>
      </c>
      <c r="E173" s="85">
        <v>0</v>
      </c>
      <c r="F173" s="85">
        <f>(0/8*12)*-1</f>
        <v>0</v>
      </c>
      <c r="G173" s="85"/>
      <c r="H173" s="85"/>
      <c r="I173" s="85">
        <f>F173*(1+INPUT!C$10)</f>
        <v>0</v>
      </c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122"/>
    </row>
    <row r="176" spans="1:9" s="285" customFormat="1" x14ac:dyDescent="0.25">
      <c r="A176" s="118">
        <v>20</v>
      </c>
      <c r="B176" s="151">
        <v>1147</v>
      </c>
      <c r="C176" s="94" t="s">
        <v>102</v>
      </c>
      <c r="D176" s="122"/>
      <c r="E176" s="98">
        <v>2215.5</v>
      </c>
      <c r="F176" s="98">
        <v>2215.5</v>
      </c>
      <c r="G176" s="98">
        <f>(F176*0.1)+F176</f>
        <v>2437.0500000000002</v>
      </c>
      <c r="H176" s="98">
        <f t="shared" ref="H176:I176" si="28">(G176*0.1)+G176</f>
        <v>2680.7550000000001</v>
      </c>
      <c r="I176" s="98">
        <f t="shared" si="28"/>
        <v>2948.8305</v>
      </c>
    </row>
    <row r="177" spans="1:9" s="285" customFormat="1" hidden="1" x14ac:dyDescent="0.25">
      <c r="A177" s="118">
        <v>20</v>
      </c>
      <c r="B177" s="151">
        <v>1202</v>
      </c>
      <c r="C177" s="94" t="s">
        <v>343</v>
      </c>
      <c r="D177" s="122"/>
      <c r="E177" s="98"/>
      <c r="F177" s="98"/>
      <c r="G177" s="98">
        <f t="shared" ref="G177:I177" si="29">(F177*0.1)+F177</f>
        <v>0</v>
      </c>
      <c r="H177" s="98">
        <f t="shared" si="29"/>
        <v>0</v>
      </c>
      <c r="I177" s="98">
        <f t="shared" si="29"/>
        <v>0</v>
      </c>
    </row>
    <row r="178" spans="1:9" s="285" customFormat="1" hidden="1" x14ac:dyDescent="0.25">
      <c r="A178" s="118">
        <v>20</v>
      </c>
      <c r="B178" s="151">
        <v>1207</v>
      </c>
      <c r="C178" s="94" t="s">
        <v>104</v>
      </c>
      <c r="D178" s="122"/>
      <c r="E178" s="98"/>
      <c r="F178" s="98"/>
      <c r="G178" s="98">
        <f t="shared" ref="G178:I178" si="30">(F178*0.1)+F178</f>
        <v>0</v>
      </c>
      <c r="H178" s="98">
        <f t="shared" si="30"/>
        <v>0</v>
      </c>
      <c r="I178" s="98">
        <f t="shared" si="30"/>
        <v>0</v>
      </c>
    </row>
    <row r="179" spans="1:9" s="285" customFormat="1" x14ac:dyDescent="0.25">
      <c r="A179" s="118">
        <v>20</v>
      </c>
      <c r="B179" s="151">
        <v>1153</v>
      </c>
      <c r="C179" s="94" t="s">
        <v>115</v>
      </c>
      <c r="D179" s="122">
        <v>35134</v>
      </c>
      <c r="E179" s="98">
        <v>61860.979999999996</v>
      </c>
      <c r="F179" s="98">
        <v>61860.979999999996</v>
      </c>
      <c r="G179" s="98">
        <f t="shared" ref="G179:I179" si="31">(F179*0.1)+F179</f>
        <v>68047.077999999994</v>
      </c>
      <c r="H179" s="98">
        <f t="shared" si="31"/>
        <v>74851.785799999998</v>
      </c>
      <c r="I179" s="98">
        <f t="shared" si="31"/>
        <v>82336.96437999999</v>
      </c>
    </row>
    <row r="180" spans="1:9" s="285" customFormat="1" hidden="1" x14ac:dyDescent="0.25">
      <c r="A180" s="118">
        <v>20</v>
      </c>
      <c r="B180" s="151">
        <v>1143</v>
      </c>
      <c r="C180" s="94" t="s">
        <v>109</v>
      </c>
      <c r="D180" s="122"/>
      <c r="E180" s="98"/>
      <c r="F180" s="98"/>
      <c r="G180" s="98">
        <f t="shared" ref="G180:I180" si="32">(F180*0.1)+F180</f>
        <v>0</v>
      </c>
      <c r="H180" s="98">
        <f t="shared" si="32"/>
        <v>0</v>
      </c>
      <c r="I180" s="98">
        <f t="shared" si="32"/>
        <v>0</v>
      </c>
    </row>
    <row r="181" spans="1:9" s="285" customFormat="1" hidden="1" x14ac:dyDescent="0.25">
      <c r="A181" s="118">
        <v>20</v>
      </c>
      <c r="B181" s="151">
        <v>5500</v>
      </c>
      <c r="C181" s="94" t="s">
        <v>266</v>
      </c>
      <c r="D181" s="85"/>
      <c r="E181" s="85"/>
      <c r="F181" s="85"/>
      <c r="G181" s="98">
        <f t="shared" ref="G181:I181" si="33">(F181*0.1)+F181</f>
        <v>0</v>
      </c>
      <c r="H181" s="98">
        <f t="shared" si="33"/>
        <v>0</v>
      </c>
      <c r="I181" s="98">
        <f t="shared" si="33"/>
        <v>0</v>
      </c>
    </row>
    <row r="182" spans="1:9" s="285" customFormat="1" hidden="1" x14ac:dyDescent="0.25">
      <c r="A182" s="118">
        <v>20</v>
      </c>
      <c r="B182" s="151">
        <v>5705</v>
      </c>
      <c r="C182" s="94" t="s">
        <v>296</v>
      </c>
      <c r="D182" s="85"/>
      <c r="E182" s="85"/>
      <c r="F182" s="85"/>
      <c r="G182" s="98">
        <f t="shared" ref="G182:I182" si="34">(F182*0.1)+F182</f>
        <v>0</v>
      </c>
      <c r="H182" s="98">
        <f t="shared" si="34"/>
        <v>0</v>
      </c>
      <c r="I182" s="98">
        <f t="shared" si="34"/>
        <v>0</v>
      </c>
    </row>
    <row r="183" spans="1:9" s="285" customFormat="1" hidden="1" x14ac:dyDescent="0.25">
      <c r="A183" s="118">
        <v>20</v>
      </c>
      <c r="B183" s="151">
        <v>1140</v>
      </c>
      <c r="C183" s="94" t="s">
        <v>113</v>
      </c>
      <c r="D183" s="122"/>
      <c r="E183" s="98"/>
      <c r="F183" s="98"/>
      <c r="G183" s="98">
        <f t="shared" ref="G183:I183" si="35">(F183*0.1)+F183</f>
        <v>0</v>
      </c>
      <c r="H183" s="98">
        <f t="shared" si="35"/>
        <v>0</v>
      </c>
      <c r="I183" s="98">
        <f t="shared" si="35"/>
        <v>0</v>
      </c>
    </row>
    <row r="184" spans="1:9" s="285" customFormat="1" hidden="1" x14ac:dyDescent="0.25">
      <c r="A184" s="118">
        <v>20</v>
      </c>
      <c r="B184" s="151">
        <v>1145</v>
      </c>
      <c r="C184" s="94" t="s">
        <v>132</v>
      </c>
      <c r="D184" s="122"/>
      <c r="E184" s="98"/>
      <c r="F184" s="98"/>
      <c r="G184" s="98">
        <f t="shared" ref="G184:I184" si="36">(F184*0.1)+F184</f>
        <v>0</v>
      </c>
      <c r="H184" s="98">
        <f t="shared" si="36"/>
        <v>0</v>
      </c>
      <c r="I184" s="98">
        <f t="shared" si="36"/>
        <v>0</v>
      </c>
    </row>
    <row r="185" spans="1:9" s="285" customFormat="1" hidden="1" x14ac:dyDescent="0.25">
      <c r="A185" s="118">
        <v>20</v>
      </c>
      <c r="B185" s="151">
        <v>1150</v>
      </c>
      <c r="C185" s="94" t="s">
        <v>120</v>
      </c>
      <c r="D185" s="122"/>
      <c r="E185" s="98"/>
      <c r="F185" s="98"/>
      <c r="G185" s="98">
        <f t="shared" ref="G185:I185" si="37">(F185*0.1)+F185</f>
        <v>0</v>
      </c>
      <c r="H185" s="98">
        <f t="shared" si="37"/>
        <v>0</v>
      </c>
      <c r="I185" s="98">
        <f t="shared" si="37"/>
        <v>0</v>
      </c>
    </row>
    <row r="186" spans="1:9" s="285" customFormat="1" hidden="1" x14ac:dyDescent="0.25">
      <c r="A186" s="118">
        <v>20</v>
      </c>
      <c r="B186" s="151">
        <v>1155</v>
      </c>
      <c r="C186" s="94" t="s">
        <v>116</v>
      </c>
      <c r="D186" s="122"/>
      <c r="E186" s="98"/>
      <c r="F186" s="98"/>
      <c r="G186" s="98">
        <f t="shared" ref="G186:I186" si="38">(F186*0.1)+F186</f>
        <v>0</v>
      </c>
      <c r="H186" s="98">
        <f t="shared" si="38"/>
        <v>0</v>
      </c>
      <c r="I186" s="98">
        <f t="shared" si="38"/>
        <v>0</v>
      </c>
    </row>
    <row r="187" spans="1:9" s="285" customFormat="1" hidden="1" x14ac:dyDescent="0.25">
      <c r="A187" s="118">
        <v>20</v>
      </c>
      <c r="B187" s="151">
        <v>1160</v>
      </c>
      <c r="C187" s="94" t="s">
        <v>101</v>
      </c>
      <c r="D187" s="122"/>
      <c r="E187" s="98"/>
      <c r="F187" s="98"/>
      <c r="G187" s="98">
        <f t="shared" ref="G187:I187" si="39">(F187*0.1)+F187</f>
        <v>0</v>
      </c>
      <c r="H187" s="98">
        <f t="shared" si="39"/>
        <v>0</v>
      </c>
      <c r="I187" s="98">
        <f t="shared" si="39"/>
        <v>0</v>
      </c>
    </row>
    <row r="188" spans="1:9" s="285" customFormat="1" hidden="1" x14ac:dyDescent="0.25">
      <c r="A188" s="118">
        <v>20</v>
      </c>
      <c r="B188" s="151">
        <v>1165</v>
      </c>
      <c r="C188" s="94" t="s">
        <v>114</v>
      </c>
      <c r="D188" s="122"/>
      <c r="E188" s="98"/>
      <c r="F188" s="98"/>
      <c r="G188" s="98">
        <f t="shared" ref="G188:I188" si="40">(F188*0.1)+F188</f>
        <v>0</v>
      </c>
      <c r="H188" s="98">
        <f t="shared" si="40"/>
        <v>0</v>
      </c>
      <c r="I188" s="98">
        <f t="shared" si="40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98"/>
      <c r="G189" s="98">
        <f t="shared" ref="G189:I189" si="41">(F189*0.1)+F189</f>
        <v>0</v>
      </c>
      <c r="H189" s="98">
        <f t="shared" si="41"/>
        <v>0</v>
      </c>
      <c r="I189" s="98">
        <f t="shared" si="41"/>
        <v>0</v>
      </c>
    </row>
    <row r="190" spans="1:9" s="285" customFormat="1" hidden="1" x14ac:dyDescent="0.25">
      <c r="A190" s="118">
        <v>20</v>
      </c>
      <c r="B190" s="151">
        <v>1180</v>
      </c>
      <c r="C190" s="94" t="s">
        <v>404</v>
      </c>
      <c r="D190" s="122"/>
      <c r="E190" s="98"/>
      <c r="F190" s="98"/>
      <c r="G190" s="98">
        <f t="shared" ref="G190:I190" si="42">(F190*0.1)+F190</f>
        <v>0</v>
      </c>
      <c r="H190" s="98">
        <f t="shared" si="42"/>
        <v>0</v>
      </c>
      <c r="I190" s="98">
        <f t="shared" si="42"/>
        <v>0</v>
      </c>
    </row>
    <row r="191" spans="1:9" s="285" customFormat="1" hidden="1" x14ac:dyDescent="0.25">
      <c r="A191" s="118">
        <v>20</v>
      </c>
      <c r="B191" s="151">
        <v>1185</v>
      </c>
      <c r="C191" s="94" t="s">
        <v>405</v>
      </c>
      <c r="D191" s="122"/>
      <c r="E191" s="98"/>
      <c r="F191" s="98"/>
      <c r="G191" s="98">
        <f t="shared" ref="G191:I191" si="43">(F191*0.1)+F191</f>
        <v>0</v>
      </c>
      <c r="H191" s="98">
        <f t="shared" si="43"/>
        <v>0</v>
      </c>
      <c r="I191" s="98">
        <f t="shared" si="43"/>
        <v>0</v>
      </c>
    </row>
    <row r="192" spans="1:9" s="285" customFormat="1" hidden="1" x14ac:dyDescent="0.25">
      <c r="A192" s="118">
        <v>20</v>
      </c>
      <c r="B192" s="151">
        <v>1190</v>
      </c>
      <c r="C192" s="94" t="s">
        <v>406</v>
      </c>
      <c r="D192" s="122"/>
      <c r="E192" s="98"/>
      <c r="F192" s="98"/>
      <c r="G192" s="98">
        <f t="shared" ref="G192:I192" si="44">(F192*0.1)+F192</f>
        <v>0</v>
      </c>
      <c r="H192" s="98">
        <f t="shared" si="44"/>
        <v>0</v>
      </c>
      <c r="I192" s="98">
        <f t="shared" si="44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98"/>
      <c r="G193" s="98">
        <f t="shared" ref="G193:I193" si="45">(F193*0.1)+F193</f>
        <v>0</v>
      </c>
      <c r="H193" s="98">
        <f t="shared" si="45"/>
        <v>0</v>
      </c>
      <c r="I193" s="98">
        <f t="shared" si="45"/>
        <v>0</v>
      </c>
    </row>
    <row r="194" spans="1:9" s="285" customFormat="1" hidden="1" x14ac:dyDescent="0.25">
      <c r="A194" s="118">
        <v>20</v>
      </c>
      <c r="B194" s="151">
        <v>1195</v>
      </c>
      <c r="C194" s="94" t="s">
        <v>199</v>
      </c>
      <c r="D194" s="122"/>
      <c r="E194" s="98"/>
      <c r="F194" s="98"/>
      <c r="G194" s="98">
        <f t="shared" ref="G194:I194" si="46">(F194*0.1)+F194</f>
        <v>0</v>
      </c>
      <c r="H194" s="98">
        <f t="shared" si="46"/>
        <v>0</v>
      </c>
      <c r="I194" s="98">
        <f t="shared" si="46"/>
        <v>0</v>
      </c>
    </row>
    <row r="195" spans="1:9" s="285" customFormat="1" hidden="1" x14ac:dyDescent="0.25">
      <c r="A195" s="118">
        <v>20</v>
      </c>
      <c r="B195" s="151">
        <v>1200</v>
      </c>
      <c r="C195" s="94" t="s">
        <v>117</v>
      </c>
      <c r="D195" s="122"/>
      <c r="E195" s="98"/>
      <c r="F195" s="98"/>
      <c r="G195" s="98">
        <f t="shared" ref="G195:I195" si="47">(F195*0.1)+F195</f>
        <v>0</v>
      </c>
      <c r="H195" s="98">
        <f t="shared" si="47"/>
        <v>0</v>
      </c>
      <c r="I195" s="98">
        <f t="shared" si="47"/>
        <v>0</v>
      </c>
    </row>
    <row r="196" spans="1:9" s="285" customFormat="1" hidden="1" x14ac:dyDescent="0.25">
      <c r="A196" s="118">
        <v>20</v>
      </c>
      <c r="B196" s="151">
        <v>1205</v>
      </c>
      <c r="C196" s="115" t="s">
        <v>105</v>
      </c>
      <c r="D196" s="122"/>
      <c r="E196" s="98"/>
      <c r="F196" s="98"/>
      <c r="G196" s="98">
        <f t="shared" ref="G196:I196" si="48">(F196*0.1)+F196</f>
        <v>0</v>
      </c>
      <c r="H196" s="98">
        <f t="shared" si="48"/>
        <v>0</v>
      </c>
      <c r="I196" s="98">
        <f t="shared" si="48"/>
        <v>0</v>
      </c>
    </row>
    <row r="197" spans="1:9" s="285" customFormat="1" hidden="1" x14ac:dyDescent="0.25">
      <c r="A197" s="118">
        <v>20</v>
      </c>
      <c r="B197" s="151">
        <v>1210</v>
      </c>
      <c r="C197" s="94" t="s">
        <v>118</v>
      </c>
      <c r="D197" s="122"/>
      <c r="E197" s="98"/>
      <c r="F197" s="98"/>
      <c r="G197" s="98">
        <f t="shared" ref="G197:I197" si="49">(F197*0.1)+F197</f>
        <v>0</v>
      </c>
      <c r="H197" s="98">
        <f t="shared" si="49"/>
        <v>0</v>
      </c>
      <c r="I197" s="98">
        <f t="shared" si="49"/>
        <v>0</v>
      </c>
    </row>
    <row r="198" spans="1:9" s="285" customFormat="1" hidden="1" x14ac:dyDescent="0.25">
      <c r="A198" s="118">
        <v>20</v>
      </c>
      <c r="B198" s="151">
        <v>1215</v>
      </c>
      <c r="C198" s="94" t="s">
        <v>133</v>
      </c>
      <c r="D198" s="122"/>
      <c r="E198" s="98"/>
      <c r="F198" s="98"/>
      <c r="G198" s="98">
        <f t="shared" ref="G198:I198" si="50">(F198*0.1)+F198</f>
        <v>0</v>
      </c>
      <c r="H198" s="98">
        <f t="shared" si="50"/>
        <v>0</v>
      </c>
      <c r="I198" s="98">
        <f t="shared" si="50"/>
        <v>0</v>
      </c>
    </row>
    <row r="199" spans="1:9" s="285" customFormat="1" hidden="1" x14ac:dyDescent="0.25">
      <c r="A199" s="118">
        <v>20</v>
      </c>
      <c r="B199" s="151">
        <v>5905</v>
      </c>
      <c r="C199" s="94" t="s">
        <v>329</v>
      </c>
      <c r="D199" s="85"/>
      <c r="E199" s="85"/>
      <c r="F199" s="85"/>
      <c r="G199" s="98">
        <f t="shared" ref="G199:I199" si="51">(F199*0.1)+F199</f>
        <v>0</v>
      </c>
      <c r="H199" s="98">
        <f t="shared" si="51"/>
        <v>0</v>
      </c>
      <c r="I199" s="98">
        <f t="shared" si="51"/>
        <v>0</v>
      </c>
    </row>
    <row r="200" spans="1:9" s="285" customFormat="1" hidden="1" x14ac:dyDescent="0.25">
      <c r="A200" s="118">
        <v>20</v>
      </c>
      <c r="B200" s="151">
        <v>5900</v>
      </c>
      <c r="C200" s="94" t="s">
        <v>333</v>
      </c>
      <c r="D200" s="85">
        <v>0</v>
      </c>
      <c r="E200" s="85"/>
      <c r="F200" s="85"/>
      <c r="G200" s="98">
        <f t="shared" ref="G200:I200" si="52">(F200*0.1)+F200</f>
        <v>0</v>
      </c>
      <c r="H200" s="98">
        <f t="shared" si="52"/>
        <v>0</v>
      </c>
      <c r="I200" s="98">
        <f t="shared" si="52"/>
        <v>0</v>
      </c>
    </row>
    <row r="201" spans="1:9" s="285" customFormat="1" hidden="1" x14ac:dyDescent="0.25">
      <c r="A201" s="118">
        <v>20</v>
      </c>
      <c r="B201" s="151">
        <v>1220</v>
      </c>
      <c r="C201" s="94" t="s">
        <v>340</v>
      </c>
      <c r="D201" s="122"/>
      <c r="E201" s="98"/>
      <c r="F201" s="98"/>
      <c r="G201" s="98">
        <f t="shared" ref="G201:I201" si="53">(F201*0.1)+F201</f>
        <v>0</v>
      </c>
      <c r="H201" s="98">
        <f t="shared" si="53"/>
        <v>0</v>
      </c>
      <c r="I201" s="98">
        <f t="shared" si="53"/>
        <v>0</v>
      </c>
    </row>
    <row r="202" spans="1:9" s="285" customFormat="1" x14ac:dyDescent="0.25">
      <c r="A202" s="118">
        <v>20</v>
      </c>
      <c r="B202" s="151">
        <v>1225</v>
      </c>
      <c r="C202" s="94" t="s">
        <v>372</v>
      </c>
      <c r="D202" s="122"/>
      <c r="E202" s="98">
        <v>23895.75</v>
      </c>
      <c r="F202" s="98">
        <v>23895.75</v>
      </c>
      <c r="G202" s="98">
        <f t="shared" ref="G202:I202" si="54">(F202*0.1)+F202</f>
        <v>26285.325000000001</v>
      </c>
      <c r="H202" s="98">
        <f t="shared" si="54"/>
        <v>28913.857500000002</v>
      </c>
      <c r="I202" s="98">
        <f t="shared" si="54"/>
        <v>31805.243250000003</v>
      </c>
    </row>
    <row r="203" spans="1:9" s="285" customFormat="1" hidden="1" x14ac:dyDescent="0.25">
      <c r="A203" s="118">
        <v>20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98"/>
      <c r="H203" s="98"/>
      <c r="I203" s="122">
        <f>F203*(1+INPUT!C39)</f>
        <v>0</v>
      </c>
    </row>
    <row r="204" spans="1:9" s="285" customFormat="1" hidden="1" x14ac:dyDescent="0.25">
      <c r="A204" s="118">
        <v>20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98"/>
      <c r="H204" s="98"/>
      <c r="I204" s="122">
        <f>F204*(1+INPUT!C40)</f>
        <v>0</v>
      </c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x14ac:dyDescent="0.25">
      <c r="A206" s="344"/>
      <c r="B206" s="151"/>
      <c r="C206" s="94"/>
      <c r="D206" s="100">
        <f t="shared" ref="D206:I206" si="55">SUM(D176:D204)</f>
        <v>35134</v>
      </c>
      <c r="E206" s="100">
        <f t="shared" si="55"/>
        <v>87972.23</v>
      </c>
      <c r="F206" s="100">
        <f t="shared" si="55"/>
        <v>87972.23</v>
      </c>
      <c r="G206" s="100">
        <f t="shared" si="55"/>
        <v>96769.452999999994</v>
      </c>
      <c r="H206" s="100">
        <f t="shared" si="55"/>
        <v>106446.3983</v>
      </c>
      <c r="I206" s="99">
        <f t="shared" si="55"/>
        <v>117091.03812999999</v>
      </c>
    </row>
    <row r="207" spans="1:9" s="285" customFormat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122"/>
    </row>
    <row r="208" spans="1:9" s="285" customFormat="1" hidden="1" x14ac:dyDescent="0.25">
      <c r="A208" s="118">
        <v>20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98"/>
      <c r="H208" s="98"/>
      <c r="I208" s="122">
        <f>F208*(1+INPUT!C43)</f>
        <v>0</v>
      </c>
    </row>
    <row r="209" spans="1:9" s="285" customFormat="1" hidden="1" x14ac:dyDescent="0.25">
      <c r="A209" s="118">
        <v>20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98"/>
      <c r="H209" s="98"/>
      <c r="I209" s="122">
        <f>F209*(1+INPUT!C44)</f>
        <v>0</v>
      </c>
    </row>
    <row r="210" spans="1:9" s="285" customFormat="1" hidden="1" x14ac:dyDescent="0.25">
      <c r="A210" s="118">
        <v>20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98"/>
      <c r="H210" s="98"/>
      <c r="I210" s="122">
        <f>F210*(1+INPUT!C45)</f>
        <v>0</v>
      </c>
    </row>
    <row r="211" spans="1:9" s="285" customFormat="1" x14ac:dyDescent="0.25">
      <c r="A211" s="118">
        <v>20</v>
      </c>
      <c r="B211" s="151">
        <v>1315</v>
      </c>
      <c r="C211" s="94" t="s">
        <v>346</v>
      </c>
      <c r="D211" s="122">
        <v>535</v>
      </c>
      <c r="E211" s="108">
        <v>4905.75</v>
      </c>
      <c r="F211" s="108">
        <v>4905.75</v>
      </c>
      <c r="G211" s="108">
        <v>4905.75</v>
      </c>
      <c r="H211" s="108">
        <v>4905.75</v>
      </c>
      <c r="I211" s="108">
        <v>4905.75</v>
      </c>
    </row>
    <row r="212" spans="1:9" s="285" customFormat="1" x14ac:dyDescent="0.25">
      <c r="A212" s="344"/>
      <c r="B212" s="151"/>
      <c r="C212" s="94"/>
      <c r="D212" s="99">
        <f t="shared" ref="D212:F212" si="56">SUM(D208:D211)</f>
        <v>535</v>
      </c>
      <c r="E212" s="99">
        <f t="shared" si="56"/>
        <v>4905.75</v>
      </c>
      <c r="F212" s="99">
        <f t="shared" si="56"/>
        <v>4905.75</v>
      </c>
      <c r="G212" s="99">
        <f t="shared" ref="G212:H212" si="57">SUM(G208:G211)</f>
        <v>4905.75</v>
      </c>
      <c r="H212" s="99">
        <f t="shared" si="57"/>
        <v>4905.75</v>
      </c>
      <c r="I212" s="99">
        <f t="shared" ref="I212" si="58">SUM(I208:I211)</f>
        <v>4905.75</v>
      </c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20</v>
      </c>
      <c r="B214" s="151">
        <v>1400</v>
      </c>
      <c r="C214" s="94" t="s">
        <v>68</v>
      </c>
      <c r="D214" s="122"/>
      <c r="E214" s="108"/>
      <c r="F214" s="98">
        <f t="shared" ref="F214:I215" si="59">E214/8*12</f>
        <v>0</v>
      </c>
      <c r="G214" s="98">
        <f t="shared" si="59"/>
        <v>0</v>
      </c>
      <c r="H214" s="98">
        <f t="shared" si="59"/>
        <v>0</v>
      </c>
      <c r="I214" s="98">
        <f t="shared" si="59"/>
        <v>0</v>
      </c>
    </row>
    <row r="215" spans="1:9" s="285" customFormat="1" hidden="1" x14ac:dyDescent="0.25">
      <c r="A215" s="118">
        <v>20</v>
      </c>
      <c r="B215" s="151">
        <v>1405</v>
      </c>
      <c r="C215" s="94" t="s">
        <v>69</v>
      </c>
      <c r="D215" s="122"/>
      <c r="E215" s="108"/>
      <c r="F215" s="98">
        <f t="shared" si="59"/>
        <v>0</v>
      </c>
      <c r="G215" s="98">
        <f t="shared" si="59"/>
        <v>0</v>
      </c>
      <c r="H215" s="98">
        <f t="shared" si="59"/>
        <v>0</v>
      </c>
      <c r="I215" s="98">
        <f t="shared" si="59"/>
        <v>0</v>
      </c>
    </row>
    <row r="216" spans="1:9" s="285" customFormat="1" hidden="1" x14ac:dyDescent="0.25">
      <c r="A216" s="344"/>
      <c r="B216" s="151"/>
      <c r="C216" s="94"/>
      <c r="D216" s="99">
        <f t="shared" ref="D216:F216" si="60">SUM(D214:D215)</f>
        <v>0</v>
      </c>
      <c r="E216" s="99">
        <f t="shared" si="60"/>
        <v>0</v>
      </c>
      <c r="F216" s="99">
        <f t="shared" si="60"/>
        <v>0</v>
      </c>
      <c r="G216" s="99">
        <f t="shared" ref="G216:H216" si="61">SUM(G214:G215)</f>
        <v>0</v>
      </c>
      <c r="H216" s="99">
        <f t="shared" si="61"/>
        <v>0</v>
      </c>
      <c r="I216" s="99">
        <f t="shared" ref="I216" si="62">SUM(I214:I215)</f>
        <v>0</v>
      </c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20</v>
      </c>
      <c r="B218" s="151">
        <v>1500</v>
      </c>
      <c r="C218" s="94" t="s">
        <v>106</v>
      </c>
      <c r="D218" s="122"/>
      <c r="E218" s="108"/>
      <c r="F218" s="98">
        <f t="shared" ref="F218:G220" si="63">E218/8*12</f>
        <v>0</v>
      </c>
      <c r="G218" s="98">
        <f t="shared" si="63"/>
        <v>0</v>
      </c>
      <c r="H218" s="98">
        <f t="shared" ref="H218:H220" si="64">G218/8*12</f>
        <v>0</v>
      </c>
      <c r="I218" s="98">
        <f t="shared" ref="I218:I220" si="65">H218/8*12</f>
        <v>0</v>
      </c>
    </row>
    <row r="219" spans="1:9" s="285" customFormat="1" hidden="1" x14ac:dyDescent="0.25">
      <c r="A219" s="118">
        <v>20</v>
      </c>
      <c r="B219" s="151">
        <v>1505</v>
      </c>
      <c r="C219" s="94" t="s">
        <v>71</v>
      </c>
      <c r="D219" s="122"/>
      <c r="E219" s="108"/>
      <c r="F219" s="98">
        <f t="shared" si="63"/>
        <v>0</v>
      </c>
      <c r="G219" s="98">
        <f t="shared" si="63"/>
        <v>0</v>
      </c>
      <c r="H219" s="98">
        <f t="shared" si="64"/>
        <v>0</v>
      </c>
      <c r="I219" s="98">
        <f t="shared" si="65"/>
        <v>0</v>
      </c>
    </row>
    <row r="220" spans="1:9" s="285" customFormat="1" hidden="1" x14ac:dyDescent="0.25">
      <c r="A220" s="118">
        <v>20</v>
      </c>
      <c r="B220" s="151">
        <v>1510</v>
      </c>
      <c r="C220" s="94" t="s">
        <v>72</v>
      </c>
      <c r="D220" s="122"/>
      <c r="E220" s="108"/>
      <c r="F220" s="98">
        <f t="shared" si="63"/>
        <v>0</v>
      </c>
      <c r="G220" s="98">
        <f t="shared" si="63"/>
        <v>0</v>
      </c>
      <c r="H220" s="98">
        <f t="shared" si="64"/>
        <v>0</v>
      </c>
      <c r="I220" s="98">
        <f t="shared" si="65"/>
        <v>0</v>
      </c>
    </row>
    <row r="221" spans="1:9" s="285" customFormat="1" hidden="1" x14ac:dyDescent="0.25">
      <c r="A221" s="344"/>
      <c r="B221" s="151"/>
      <c r="C221" s="94"/>
      <c r="D221" s="99">
        <f t="shared" ref="D221:F221" si="66">SUM(D218:D220)</f>
        <v>0</v>
      </c>
      <c r="E221" s="99">
        <f t="shared" si="66"/>
        <v>0</v>
      </c>
      <c r="F221" s="99">
        <f t="shared" si="66"/>
        <v>0</v>
      </c>
      <c r="G221" s="99">
        <f t="shared" ref="G221:H221" si="67">SUM(G218:G220)</f>
        <v>0</v>
      </c>
      <c r="H221" s="99">
        <f t="shared" si="67"/>
        <v>0</v>
      </c>
      <c r="I221" s="99">
        <f t="shared" ref="I221" si="68">SUM(I218:I220)</f>
        <v>0</v>
      </c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20</v>
      </c>
      <c r="B223" s="151">
        <v>1550</v>
      </c>
      <c r="C223" s="94" t="s">
        <v>349</v>
      </c>
      <c r="D223" s="122"/>
      <c r="E223" s="98"/>
      <c r="F223" s="98">
        <f t="shared" ref="F223:I224" si="69">E223/8*12</f>
        <v>0</v>
      </c>
      <c r="G223" s="98">
        <f t="shared" si="69"/>
        <v>0</v>
      </c>
      <c r="H223" s="98">
        <f t="shared" si="69"/>
        <v>0</v>
      </c>
      <c r="I223" s="98">
        <f t="shared" si="69"/>
        <v>0</v>
      </c>
    </row>
    <row r="224" spans="1:9" s="285" customFormat="1" hidden="1" x14ac:dyDescent="0.25">
      <c r="A224" s="118">
        <v>20</v>
      </c>
      <c r="B224" s="151">
        <v>1555</v>
      </c>
      <c r="C224" s="94" t="s">
        <v>348</v>
      </c>
      <c r="D224" s="122"/>
      <c r="E224" s="98"/>
      <c r="F224" s="98">
        <f t="shared" si="69"/>
        <v>0</v>
      </c>
      <c r="G224" s="98">
        <f t="shared" si="69"/>
        <v>0</v>
      </c>
      <c r="H224" s="98">
        <f t="shared" si="69"/>
        <v>0</v>
      </c>
      <c r="I224" s="98">
        <f t="shared" si="69"/>
        <v>0</v>
      </c>
    </row>
    <row r="225" spans="1:9" s="285" customFormat="1" hidden="1" x14ac:dyDescent="0.25">
      <c r="A225" s="344"/>
      <c r="B225" s="151"/>
      <c r="C225" s="94"/>
      <c r="D225" s="100">
        <f t="shared" ref="D225:F225" si="70">SUM(D223:D224)</f>
        <v>0</v>
      </c>
      <c r="E225" s="100">
        <f t="shared" si="70"/>
        <v>0</v>
      </c>
      <c r="F225" s="100">
        <f t="shared" si="70"/>
        <v>0</v>
      </c>
      <c r="G225" s="100">
        <f t="shared" ref="G225:H225" si="71">SUM(G223:G224)</f>
        <v>0</v>
      </c>
      <c r="H225" s="100">
        <f t="shared" si="71"/>
        <v>0</v>
      </c>
      <c r="I225" s="100">
        <f t="shared" ref="I225" si="72">SUM(I223:I224)</f>
        <v>0</v>
      </c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20</v>
      </c>
      <c r="B227" s="151">
        <v>1605</v>
      </c>
      <c r="C227" s="94" t="s">
        <v>75</v>
      </c>
      <c r="D227" s="122"/>
      <c r="E227" s="98"/>
      <c r="F227" s="98">
        <f t="shared" ref="F227:G239" si="73">E227/8*12</f>
        <v>0</v>
      </c>
      <c r="G227" s="98">
        <f t="shared" si="73"/>
        <v>0</v>
      </c>
      <c r="H227" s="98">
        <f t="shared" ref="H227:H239" si="74">G227/8*12</f>
        <v>0</v>
      </c>
      <c r="I227" s="98">
        <f t="shared" ref="I227:I239" si="75">H227/8*12</f>
        <v>0</v>
      </c>
    </row>
    <row r="228" spans="1:9" s="285" customFormat="1" hidden="1" x14ac:dyDescent="0.25">
      <c r="A228" s="118">
        <v>20</v>
      </c>
      <c r="B228" s="151">
        <v>1610</v>
      </c>
      <c r="C228" s="94" t="s">
        <v>131</v>
      </c>
      <c r="D228" s="122"/>
      <c r="E228" s="108"/>
      <c r="F228" s="98">
        <f t="shared" si="73"/>
        <v>0</v>
      </c>
      <c r="G228" s="98">
        <f t="shared" si="73"/>
        <v>0</v>
      </c>
      <c r="H228" s="98">
        <f t="shared" si="74"/>
        <v>0</v>
      </c>
      <c r="I228" s="98">
        <f t="shared" si="75"/>
        <v>0</v>
      </c>
    </row>
    <row r="229" spans="1:9" s="285" customFormat="1" hidden="1" x14ac:dyDescent="0.25">
      <c r="A229" s="118">
        <v>20</v>
      </c>
      <c r="B229" s="151">
        <v>1615</v>
      </c>
      <c r="C229" s="94" t="s">
        <v>182</v>
      </c>
      <c r="D229" s="122"/>
      <c r="E229" s="108"/>
      <c r="F229" s="98">
        <f t="shared" si="73"/>
        <v>0</v>
      </c>
      <c r="G229" s="98">
        <f t="shared" si="73"/>
        <v>0</v>
      </c>
      <c r="H229" s="98">
        <f t="shared" si="74"/>
        <v>0</v>
      </c>
      <c r="I229" s="98">
        <f t="shared" si="75"/>
        <v>0</v>
      </c>
    </row>
    <row r="230" spans="1:9" s="285" customFormat="1" hidden="1" x14ac:dyDescent="0.25">
      <c r="A230" s="118">
        <v>20</v>
      </c>
      <c r="B230" s="151">
        <v>1620</v>
      </c>
      <c r="C230" s="94" t="s">
        <v>255</v>
      </c>
      <c r="D230" s="122"/>
      <c r="E230" s="108"/>
      <c r="F230" s="98">
        <f t="shared" si="73"/>
        <v>0</v>
      </c>
      <c r="G230" s="98">
        <f t="shared" si="73"/>
        <v>0</v>
      </c>
      <c r="H230" s="98">
        <f t="shared" si="74"/>
        <v>0</v>
      </c>
      <c r="I230" s="98">
        <f t="shared" si="75"/>
        <v>0</v>
      </c>
    </row>
    <row r="231" spans="1:9" s="285" customFormat="1" hidden="1" x14ac:dyDescent="0.25">
      <c r="A231" s="118">
        <v>20</v>
      </c>
      <c r="B231" s="151">
        <v>1625</v>
      </c>
      <c r="C231" s="94" t="s">
        <v>108</v>
      </c>
      <c r="D231" s="122"/>
      <c r="E231" s="108"/>
      <c r="F231" s="98">
        <f t="shared" si="73"/>
        <v>0</v>
      </c>
      <c r="G231" s="98">
        <f t="shared" si="73"/>
        <v>0</v>
      </c>
      <c r="H231" s="98">
        <f t="shared" si="74"/>
        <v>0</v>
      </c>
      <c r="I231" s="98">
        <f t="shared" si="75"/>
        <v>0</v>
      </c>
    </row>
    <row r="232" spans="1:9" s="285" customFormat="1" hidden="1" x14ac:dyDescent="0.25">
      <c r="A232" s="118">
        <v>20</v>
      </c>
      <c r="B232" s="151">
        <v>1630</v>
      </c>
      <c r="C232" s="94" t="s">
        <v>76</v>
      </c>
      <c r="D232" s="122"/>
      <c r="E232" s="108"/>
      <c r="F232" s="98">
        <f t="shared" si="73"/>
        <v>0</v>
      </c>
      <c r="G232" s="98">
        <f t="shared" si="73"/>
        <v>0</v>
      </c>
      <c r="H232" s="98">
        <f t="shared" si="74"/>
        <v>0</v>
      </c>
      <c r="I232" s="98">
        <f t="shared" si="75"/>
        <v>0</v>
      </c>
    </row>
    <row r="233" spans="1:9" s="285" customFormat="1" hidden="1" x14ac:dyDescent="0.25">
      <c r="A233" s="118">
        <v>20</v>
      </c>
      <c r="B233" s="151">
        <v>1635</v>
      </c>
      <c r="C233" s="94" t="s">
        <v>180</v>
      </c>
      <c r="D233" s="122"/>
      <c r="E233" s="108"/>
      <c r="F233" s="98">
        <f t="shared" si="73"/>
        <v>0</v>
      </c>
      <c r="G233" s="98">
        <f t="shared" si="73"/>
        <v>0</v>
      </c>
      <c r="H233" s="98">
        <f t="shared" si="74"/>
        <v>0</v>
      </c>
      <c r="I233" s="98">
        <f t="shared" si="75"/>
        <v>0</v>
      </c>
    </row>
    <row r="234" spans="1:9" s="285" customFormat="1" hidden="1" x14ac:dyDescent="0.25">
      <c r="A234" s="118">
        <v>20</v>
      </c>
      <c r="B234" s="151">
        <v>1640</v>
      </c>
      <c r="C234" s="94" t="s">
        <v>184</v>
      </c>
      <c r="D234" s="122"/>
      <c r="E234" s="108"/>
      <c r="F234" s="98">
        <f t="shared" si="73"/>
        <v>0</v>
      </c>
      <c r="G234" s="98">
        <f t="shared" si="73"/>
        <v>0</v>
      </c>
      <c r="H234" s="98">
        <f t="shared" si="74"/>
        <v>0</v>
      </c>
      <c r="I234" s="98">
        <f t="shared" si="75"/>
        <v>0</v>
      </c>
    </row>
    <row r="235" spans="1:9" s="285" customFormat="1" hidden="1" x14ac:dyDescent="0.25">
      <c r="A235" s="118">
        <v>20</v>
      </c>
      <c r="B235" s="151">
        <v>1645</v>
      </c>
      <c r="C235" s="94" t="s">
        <v>77</v>
      </c>
      <c r="D235" s="122"/>
      <c r="E235" s="108"/>
      <c r="F235" s="98">
        <f t="shared" si="73"/>
        <v>0</v>
      </c>
      <c r="G235" s="98">
        <f t="shared" si="73"/>
        <v>0</v>
      </c>
      <c r="H235" s="98">
        <f t="shared" si="74"/>
        <v>0</v>
      </c>
      <c r="I235" s="98">
        <f t="shared" si="75"/>
        <v>0</v>
      </c>
    </row>
    <row r="236" spans="1:9" s="285" customFormat="1" hidden="1" x14ac:dyDescent="0.25">
      <c r="A236" s="118">
        <v>20</v>
      </c>
      <c r="B236" s="151">
        <v>1650</v>
      </c>
      <c r="C236" s="94" t="s">
        <v>78</v>
      </c>
      <c r="D236" s="122"/>
      <c r="E236" s="108"/>
      <c r="F236" s="98">
        <f t="shared" si="73"/>
        <v>0</v>
      </c>
      <c r="G236" s="98">
        <f t="shared" si="73"/>
        <v>0</v>
      </c>
      <c r="H236" s="98">
        <f t="shared" si="74"/>
        <v>0</v>
      </c>
      <c r="I236" s="98">
        <f t="shared" si="75"/>
        <v>0</v>
      </c>
    </row>
    <row r="237" spans="1:9" s="285" customFormat="1" hidden="1" x14ac:dyDescent="0.25">
      <c r="A237" s="118">
        <v>20</v>
      </c>
      <c r="B237" s="151"/>
      <c r="C237" s="94" t="s">
        <v>200</v>
      </c>
      <c r="D237" s="122"/>
      <c r="E237" s="108"/>
      <c r="F237" s="98">
        <f t="shared" si="73"/>
        <v>0</v>
      </c>
      <c r="G237" s="98">
        <f t="shared" si="73"/>
        <v>0</v>
      </c>
      <c r="H237" s="98">
        <f t="shared" si="74"/>
        <v>0</v>
      </c>
      <c r="I237" s="98">
        <f t="shared" si="75"/>
        <v>0</v>
      </c>
    </row>
    <row r="238" spans="1:9" s="285" customFormat="1" hidden="1" x14ac:dyDescent="0.25">
      <c r="A238" s="118">
        <v>20</v>
      </c>
      <c r="B238" s="151">
        <v>1660</v>
      </c>
      <c r="C238" s="94" t="s">
        <v>185</v>
      </c>
      <c r="D238" s="122"/>
      <c r="E238" s="108"/>
      <c r="F238" s="98">
        <f t="shared" si="73"/>
        <v>0</v>
      </c>
      <c r="G238" s="98">
        <f t="shared" si="73"/>
        <v>0</v>
      </c>
      <c r="H238" s="98">
        <f t="shared" si="74"/>
        <v>0</v>
      </c>
      <c r="I238" s="98">
        <f t="shared" si="75"/>
        <v>0</v>
      </c>
    </row>
    <row r="239" spans="1:9" s="285" customFormat="1" hidden="1" x14ac:dyDescent="0.25">
      <c r="A239" s="118">
        <v>20</v>
      </c>
      <c r="B239" s="151">
        <v>1665</v>
      </c>
      <c r="C239" s="94" t="s">
        <v>181</v>
      </c>
      <c r="D239" s="122"/>
      <c r="E239" s="108"/>
      <c r="F239" s="98">
        <f t="shared" si="73"/>
        <v>0</v>
      </c>
      <c r="G239" s="98">
        <f t="shared" si="73"/>
        <v>0</v>
      </c>
      <c r="H239" s="98">
        <f t="shared" si="74"/>
        <v>0</v>
      </c>
      <c r="I239" s="98">
        <f t="shared" si="75"/>
        <v>0</v>
      </c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:F240" si="76">SUM(E227:E239)</f>
        <v>0</v>
      </c>
      <c r="F240" s="99">
        <f t="shared" si="76"/>
        <v>0</v>
      </c>
      <c r="G240" s="99">
        <f t="shared" ref="G240:H240" si="77">SUM(G227:G239)</f>
        <v>0</v>
      </c>
      <c r="H240" s="99">
        <f t="shared" si="77"/>
        <v>0</v>
      </c>
      <c r="I240" s="99">
        <f t="shared" ref="I240" si="78">SUM(I227:I239)</f>
        <v>0</v>
      </c>
    </row>
    <row r="241" spans="1:12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12" s="285" customFormat="1" hidden="1" x14ac:dyDescent="0.25">
      <c r="A242" s="118">
        <v>20</v>
      </c>
      <c r="B242" s="151">
        <v>1705</v>
      </c>
      <c r="C242" s="94" t="s">
        <v>123</v>
      </c>
      <c r="D242" s="122"/>
      <c r="E242" s="98"/>
      <c r="F242" s="98">
        <f t="shared" ref="F242:G247" si="79">E242/8*12</f>
        <v>0</v>
      </c>
      <c r="G242" s="98">
        <f t="shared" si="79"/>
        <v>0</v>
      </c>
      <c r="H242" s="98">
        <f t="shared" ref="H242:H247" si="80">G242/8*12</f>
        <v>0</v>
      </c>
      <c r="I242" s="98">
        <f t="shared" ref="I242:I247" si="81">H242/8*12</f>
        <v>0</v>
      </c>
    </row>
    <row r="243" spans="1:12" s="285" customFormat="1" hidden="1" x14ac:dyDescent="0.25">
      <c r="A243" s="118">
        <v>20</v>
      </c>
      <c r="B243" s="151">
        <v>1710</v>
      </c>
      <c r="C243" s="94" t="s">
        <v>242</v>
      </c>
      <c r="D243" s="122"/>
      <c r="E243" s="98"/>
      <c r="F243" s="98">
        <f t="shared" si="79"/>
        <v>0</v>
      </c>
      <c r="G243" s="98">
        <f t="shared" si="79"/>
        <v>0</v>
      </c>
      <c r="H243" s="98">
        <f t="shared" si="80"/>
        <v>0</v>
      </c>
      <c r="I243" s="98">
        <f t="shared" si="81"/>
        <v>0</v>
      </c>
    </row>
    <row r="244" spans="1:12" s="285" customFormat="1" hidden="1" x14ac:dyDescent="0.25">
      <c r="A244" s="118">
        <v>20</v>
      </c>
      <c r="B244" s="151">
        <v>1715</v>
      </c>
      <c r="C244" s="94" t="s">
        <v>183</v>
      </c>
      <c r="D244" s="122"/>
      <c r="E244" s="98"/>
      <c r="F244" s="98">
        <f t="shared" si="79"/>
        <v>0</v>
      </c>
      <c r="G244" s="98">
        <f t="shared" si="79"/>
        <v>0</v>
      </c>
      <c r="H244" s="98">
        <f t="shared" si="80"/>
        <v>0</v>
      </c>
      <c r="I244" s="98">
        <f t="shared" si="81"/>
        <v>0</v>
      </c>
    </row>
    <row r="245" spans="1:12" s="285" customFormat="1" hidden="1" x14ac:dyDescent="0.25">
      <c r="A245" s="118">
        <v>20</v>
      </c>
      <c r="B245" s="151">
        <v>1720</v>
      </c>
      <c r="C245" s="94" t="s">
        <v>103</v>
      </c>
      <c r="D245" s="122"/>
      <c r="E245" s="98"/>
      <c r="F245" s="98">
        <f t="shared" si="79"/>
        <v>0</v>
      </c>
      <c r="G245" s="98">
        <f t="shared" si="79"/>
        <v>0</v>
      </c>
      <c r="H245" s="98">
        <f t="shared" si="80"/>
        <v>0</v>
      </c>
      <c r="I245" s="98">
        <f t="shared" si="81"/>
        <v>0</v>
      </c>
    </row>
    <row r="246" spans="1:12" s="285" customFormat="1" hidden="1" x14ac:dyDescent="0.25">
      <c r="A246" s="118">
        <v>20</v>
      </c>
      <c r="B246" s="151">
        <v>1725</v>
      </c>
      <c r="C246" s="94" t="s">
        <v>107</v>
      </c>
      <c r="D246" s="122"/>
      <c r="E246" s="98"/>
      <c r="F246" s="98">
        <f t="shared" si="79"/>
        <v>0</v>
      </c>
      <c r="G246" s="98">
        <f t="shared" si="79"/>
        <v>0</v>
      </c>
      <c r="H246" s="98">
        <f t="shared" si="80"/>
        <v>0</v>
      </c>
      <c r="I246" s="98">
        <f t="shared" si="81"/>
        <v>0</v>
      </c>
    </row>
    <row r="247" spans="1:12" s="285" customFormat="1" hidden="1" x14ac:dyDescent="0.25">
      <c r="A247" s="118">
        <v>20</v>
      </c>
      <c r="B247" s="151">
        <v>1730</v>
      </c>
      <c r="C247" s="94" t="s">
        <v>256</v>
      </c>
      <c r="D247" s="122"/>
      <c r="E247" s="98"/>
      <c r="F247" s="98">
        <f t="shared" si="79"/>
        <v>0</v>
      </c>
      <c r="G247" s="98">
        <f t="shared" si="79"/>
        <v>0</v>
      </c>
      <c r="H247" s="98">
        <f t="shared" si="80"/>
        <v>0</v>
      </c>
      <c r="I247" s="98">
        <f t="shared" si="81"/>
        <v>0</v>
      </c>
    </row>
    <row r="248" spans="1:12" s="285" customFormat="1" hidden="1" x14ac:dyDescent="0.25">
      <c r="A248" s="344"/>
      <c r="B248" s="151"/>
      <c r="C248" s="94"/>
      <c r="D248" s="99">
        <f>D247</f>
        <v>0</v>
      </c>
      <c r="E248" s="99">
        <f t="shared" ref="E248:F248" si="82">SUM(E242:E247)</f>
        <v>0</v>
      </c>
      <c r="F248" s="99">
        <f t="shared" si="82"/>
        <v>0</v>
      </c>
      <c r="G248" s="99">
        <f t="shared" ref="G248:H248" si="83">SUM(G242:G247)</f>
        <v>0</v>
      </c>
      <c r="H248" s="99">
        <f t="shared" si="83"/>
        <v>0</v>
      </c>
      <c r="I248" s="99">
        <f t="shared" ref="I248" si="84">SUM(I242:I247)</f>
        <v>0</v>
      </c>
    </row>
    <row r="249" spans="1:12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12" s="285" customFormat="1" hidden="1" x14ac:dyDescent="0.25">
      <c r="A250" s="118">
        <v>20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98">
        <f>F250/8*12</f>
        <v>0</v>
      </c>
      <c r="H250" s="98">
        <f>G250/8*12</f>
        <v>0</v>
      </c>
      <c r="I250" s="98">
        <f>H250/8*12</f>
        <v>0</v>
      </c>
    </row>
    <row r="251" spans="1:12" s="285" customFormat="1" hidden="1" x14ac:dyDescent="0.25">
      <c r="A251" s="344"/>
      <c r="B251" s="151"/>
      <c r="C251" s="94"/>
      <c r="D251" s="99">
        <f t="shared" ref="D251:F251" si="85">D250</f>
        <v>0</v>
      </c>
      <c r="E251" s="99">
        <f t="shared" si="85"/>
        <v>0</v>
      </c>
      <c r="F251" s="99">
        <f t="shared" si="85"/>
        <v>0</v>
      </c>
      <c r="G251" s="99">
        <f t="shared" ref="G251:H251" si="86">G250</f>
        <v>0</v>
      </c>
      <c r="H251" s="99">
        <f t="shared" si="86"/>
        <v>0</v>
      </c>
      <c r="I251" s="99">
        <f t="shared" ref="I251" si="87">I250</f>
        <v>0</v>
      </c>
    </row>
    <row r="252" spans="1:12" s="285" customFormat="1" x14ac:dyDescent="0.25">
      <c r="A252" s="344"/>
      <c r="B252" s="346"/>
      <c r="C252" s="93" t="s">
        <v>192</v>
      </c>
      <c r="D252" s="117">
        <f t="shared" ref="D252:F252" si="88">SUM(D171:D251)/2</f>
        <v>35669</v>
      </c>
      <c r="E252" s="117">
        <f t="shared" si="88"/>
        <v>92877.98</v>
      </c>
      <c r="F252" s="117">
        <f t="shared" si="88"/>
        <v>92877.98</v>
      </c>
      <c r="G252" s="117">
        <f t="shared" ref="G252:H252" si="89">SUM(G171:G251)/2</f>
        <v>101675.20299999999</v>
      </c>
      <c r="H252" s="117">
        <f t="shared" si="89"/>
        <v>111352.1483</v>
      </c>
      <c r="I252" s="117">
        <f t="shared" ref="I252" si="90">SUM(I171:I251)/2</f>
        <v>121996.78812999999</v>
      </c>
      <c r="J252" s="357"/>
      <c r="K252" s="357"/>
      <c r="L252" s="357"/>
    </row>
    <row r="253" spans="1:12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12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12" s="285" customFormat="1" hidden="1" x14ac:dyDescent="0.25">
      <c r="A255" s="118">
        <v>20</v>
      </c>
      <c r="B255" s="151">
        <v>1905</v>
      </c>
      <c r="C255" s="118" t="s">
        <v>194</v>
      </c>
      <c r="D255" s="127"/>
      <c r="E255" s="147"/>
      <c r="F255" s="98">
        <f>E255/8*12</f>
        <v>0</v>
      </c>
      <c r="G255" s="98">
        <f>F255/8*12</f>
        <v>0</v>
      </c>
      <c r="H255" s="98">
        <f>G255/8*12</f>
        <v>0</v>
      </c>
      <c r="I255" s="98">
        <f>H255/8*12</f>
        <v>0</v>
      </c>
    </row>
    <row r="256" spans="1:12" s="285" customFormat="1" hidden="1" x14ac:dyDescent="0.25">
      <c r="A256" s="344"/>
      <c r="B256" s="151"/>
      <c r="C256" s="94"/>
      <c r="D256" s="117">
        <f t="shared" ref="D256:F256" si="91">SUM(D255)</f>
        <v>0</v>
      </c>
      <c r="E256" s="117">
        <f t="shared" si="91"/>
        <v>0</v>
      </c>
      <c r="F256" s="117">
        <f t="shared" si="91"/>
        <v>0</v>
      </c>
      <c r="G256" s="117">
        <f t="shared" ref="G256:H256" si="92">SUM(G255)</f>
        <v>0</v>
      </c>
      <c r="H256" s="117">
        <f t="shared" si="92"/>
        <v>0</v>
      </c>
      <c r="I256" s="117">
        <f t="shared" ref="I256" si="93">SUM(I255)</f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F257" si="94">D252+D256</f>
        <v>35669</v>
      </c>
      <c r="E257" s="117">
        <f t="shared" si="94"/>
        <v>92877.98</v>
      </c>
      <c r="F257" s="117">
        <f t="shared" si="94"/>
        <v>92877.98</v>
      </c>
      <c r="G257" s="117">
        <f t="shared" ref="G257:H257" si="95">G252+G256</f>
        <v>101675.20299999999</v>
      </c>
      <c r="H257" s="117">
        <f t="shared" si="95"/>
        <v>111352.1483</v>
      </c>
      <c r="I257" s="117">
        <f t="shared" ref="I257" si="96">I252+I256</f>
        <v>121996.78812999999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9" s="285" customFormat="1" hidden="1" x14ac:dyDescent="0.25">
      <c r="A259" s="118">
        <v>20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98">
        <f>F259/8*12</f>
        <v>0</v>
      </c>
      <c r="H259" s="98">
        <f>G259/8*12</f>
        <v>0</v>
      </c>
      <c r="I259" s="98">
        <f>H259/8*12</f>
        <v>0</v>
      </c>
    </row>
    <row r="260" spans="1:9" s="285" customFormat="1" hidden="1" x14ac:dyDescent="0.25">
      <c r="A260" s="344"/>
      <c r="B260" s="346"/>
      <c r="C260" s="94"/>
      <c r="D260" s="124">
        <f t="shared" ref="D260:F260" si="97">D259</f>
        <v>0</v>
      </c>
      <c r="E260" s="124">
        <f t="shared" si="97"/>
        <v>0</v>
      </c>
      <c r="F260" s="124">
        <f t="shared" si="97"/>
        <v>0</v>
      </c>
      <c r="G260" s="124">
        <f t="shared" ref="G260:H260" si="98">G259</f>
        <v>0</v>
      </c>
      <c r="H260" s="124">
        <f t="shared" si="98"/>
        <v>0</v>
      </c>
      <c r="I260" s="124">
        <f t="shared" ref="I260" si="99">I259</f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F261" si="100">D257+D260</f>
        <v>35669</v>
      </c>
      <c r="E261" s="160">
        <f t="shared" si="100"/>
        <v>92877.98</v>
      </c>
      <c r="F261" s="160">
        <f t="shared" si="100"/>
        <v>92877.98</v>
      </c>
      <c r="G261" s="160">
        <f t="shared" ref="G261:H261" si="101">G257+G260</f>
        <v>101675.20299999999</v>
      </c>
      <c r="H261" s="160">
        <f t="shared" si="101"/>
        <v>111352.1483</v>
      </c>
      <c r="I261" s="160">
        <f t="shared" ref="I261" si="102">I257+I260</f>
        <v>121996.78812999999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F262" si="103">D261-D165</f>
        <v>35669</v>
      </c>
      <c r="E262" s="161">
        <f t="shared" si="103"/>
        <v>-1464954.02</v>
      </c>
      <c r="F262" s="161">
        <f t="shared" si="103"/>
        <v>-1294954.02</v>
      </c>
      <c r="G262" s="161">
        <f t="shared" ref="G262:H262" si="104">G261-G165</f>
        <v>-4517213.7970000003</v>
      </c>
      <c r="H262" s="161">
        <f t="shared" si="104"/>
        <v>-3171857.8517</v>
      </c>
      <c r="I262" s="161">
        <f t="shared" ref="I262" si="105">I261-I165</f>
        <v>-3185213.2118700002</v>
      </c>
    </row>
    <row r="263" spans="1:9" s="285" customFormat="1" x14ac:dyDescent="0.25">
      <c r="A263" s="348"/>
      <c r="B263" s="408"/>
      <c r="C263" s="409"/>
      <c r="D263" s="409"/>
      <c r="E263" s="409"/>
      <c r="F263" s="409"/>
      <c r="G263" s="409"/>
      <c r="H263" s="409"/>
      <c r="I263" s="410"/>
    </row>
    <row r="264" spans="1:9" s="285" customFormat="1" x14ac:dyDescent="0.25">
      <c r="A264" s="412"/>
      <c r="B264" s="411"/>
      <c r="C264" s="412"/>
      <c r="D264" s="412"/>
      <c r="E264" s="412"/>
      <c r="F264" s="412"/>
      <c r="G264" s="412"/>
      <c r="H264" s="412"/>
      <c r="I264" s="412"/>
    </row>
    <row r="265" spans="1:9" s="285" customFormat="1" x14ac:dyDescent="0.25">
      <c r="A265" s="284"/>
      <c r="B265" s="413"/>
      <c r="C265" s="284"/>
      <c r="D265" s="284"/>
      <c r="E265" s="284"/>
      <c r="F265" s="284"/>
      <c r="G265" s="284"/>
      <c r="H265" s="284"/>
      <c r="I265" s="284"/>
    </row>
    <row r="266" spans="1:9" x14ac:dyDescent="0.25">
      <c r="A266" s="101"/>
      <c r="B266" s="414"/>
      <c r="C266" s="101"/>
      <c r="D266" s="101"/>
      <c r="E266" s="111"/>
      <c r="F266" s="111"/>
      <c r="G266" s="111"/>
      <c r="H266" s="111"/>
      <c r="I266" s="101"/>
    </row>
    <row r="267" spans="1:9" x14ac:dyDescent="0.25">
      <c r="A267" s="101"/>
      <c r="B267" s="414"/>
      <c r="C267" s="101"/>
      <c r="D267" s="101"/>
      <c r="E267" s="111"/>
      <c r="F267" s="111"/>
      <c r="G267" s="111"/>
      <c r="H267" s="111"/>
      <c r="I267" s="167"/>
    </row>
    <row r="268" spans="1:9" x14ac:dyDescent="0.25">
      <c r="A268" s="101"/>
      <c r="B268" s="414"/>
      <c r="C268" s="101"/>
      <c r="D268" s="101"/>
      <c r="E268" s="111"/>
      <c r="F268" s="111"/>
      <c r="G268" s="111"/>
      <c r="H268" s="111"/>
      <c r="I268" s="101"/>
    </row>
  </sheetData>
  <mergeCells count="5">
    <mergeCell ref="A1:I2"/>
    <mergeCell ref="A4:B5"/>
    <mergeCell ref="A169:B170"/>
    <mergeCell ref="A3:I3"/>
    <mergeCell ref="A168:I168"/>
  </mergeCells>
  <phoneticPr fontId="0" type="noConversion"/>
  <pageMargins left="0.74803149606299213" right="0.74803149606299213" top="0.98425196850393704" bottom="0.98425196850393704" header="0.51181102362204722" footer="0.51181102362204722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8"/>
  <sheetViews>
    <sheetView view="pageBreakPreview" zoomScaleSheetLayoutView="100" workbookViewId="0">
      <selection activeCell="G7" sqref="G7:I17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2.44140625" style="96" customWidth="1"/>
    <col min="4" max="4" width="11.109375" style="96" customWidth="1"/>
    <col min="5" max="5" width="10.33203125" style="96" customWidth="1"/>
    <col min="6" max="7" width="11.33203125" style="96" customWidth="1"/>
    <col min="8" max="8" width="10" style="96" customWidth="1"/>
    <col min="9" max="9" width="10.44140625" style="96" customWidth="1"/>
    <col min="10" max="16384" width="9.109375" style="96"/>
  </cols>
  <sheetData>
    <row r="1" spans="1:9" ht="12.75" customHeight="1" x14ac:dyDescent="0.25">
      <c r="A1" s="699" t="s">
        <v>355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18" t="s">
        <v>129</v>
      </c>
      <c r="B3" s="710"/>
      <c r="C3" s="710"/>
      <c r="D3" s="710"/>
      <c r="E3" s="710"/>
      <c r="F3" s="710"/>
      <c r="G3" s="710"/>
      <c r="H3" s="710"/>
      <c r="I3" s="710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22</v>
      </c>
      <c r="B7" s="155">
        <v>5005</v>
      </c>
      <c r="C7" s="94" t="s">
        <v>241</v>
      </c>
      <c r="D7" s="85"/>
      <c r="E7" s="85"/>
      <c r="F7" s="85">
        <f>0/8*12</f>
        <v>0</v>
      </c>
      <c r="G7" s="435">
        <f t="shared" ref="G7:I17" si="0">(F7*0.068)+F7</f>
        <v>0</v>
      </c>
      <c r="H7" s="435">
        <f t="shared" si="0"/>
        <v>0</v>
      </c>
      <c r="I7" s="435">
        <f t="shared" si="0"/>
        <v>0</v>
      </c>
    </row>
    <row r="8" spans="1:9" s="285" customFormat="1" x14ac:dyDescent="0.25">
      <c r="A8" s="118">
        <v>22</v>
      </c>
      <c r="B8" s="151">
        <v>5010</v>
      </c>
      <c r="C8" s="94" t="s">
        <v>34</v>
      </c>
      <c r="D8" s="85"/>
      <c r="E8" s="85"/>
      <c r="F8" s="85">
        <f t="shared" ref="F8:F17" si="1">0/8*12</f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22</v>
      </c>
      <c r="B9" s="151">
        <v>5015</v>
      </c>
      <c r="C9" s="94" t="s">
        <v>35</v>
      </c>
      <c r="D9" s="85"/>
      <c r="E9" s="85"/>
      <c r="F9" s="85">
        <f t="shared" si="1"/>
        <v>0</v>
      </c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x14ac:dyDescent="0.25">
      <c r="A10" s="118">
        <v>22</v>
      </c>
      <c r="B10" s="151">
        <v>5020</v>
      </c>
      <c r="C10" s="94" t="s">
        <v>350</v>
      </c>
      <c r="D10" s="85"/>
      <c r="E10" s="85"/>
      <c r="F10" s="85">
        <f t="shared" si="1"/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x14ac:dyDescent="0.25">
      <c r="A11" s="118">
        <v>22</v>
      </c>
      <c r="B11" s="151">
        <v>5025</v>
      </c>
      <c r="C11" s="94" t="s">
        <v>36</v>
      </c>
      <c r="D11" s="85"/>
      <c r="E11" s="85"/>
      <c r="F11" s="85">
        <f t="shared" si="1"/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22</v>
      </c>
      <c r="B12" s="151">
        <v>5030</v>
      </c>
      <c r="C12" s="94" t="s">
        <v>85</v>
      </c>
      <c r="D12" s="85"/>
      <c r="E12" s="85"/>
      <c r="F12" s="85">
        <f t="shared" si="1"/>
        <v>0</v>
      </c>
      <c r="G12" s="435">
        <f t="shared" si="0"/>
        <v>0</v>
      </c>
      <c r="H12" s="435">
        <f t="shared" si="0"/>
        <v>0</v>
      </c>
      <c r="I12" s="435">
        <f t="shared" si="0"/>
        <v>0</v>
      </c>
    </row>
    <row r="13" spans="1:9" s="285" customFormat="1" x14ac:dyDescent="0.25">
      <c r="A13" s="118">
        <v>22</v>
      </c>
      <c r="B13" s="151">
        <v>5035</v>
      </c>
      <c r="C13" s="94" t="s">
        <v>84</v>
      </c>
      <c r="D13" s="85"/>
      <c r="E13" s="85"/>
      <c r="F13" s="85">
        <f t="shared" si="1"/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22</v>
      </c>
      <c r="B14" s="151">
        <v>5040</v>
      </c>
      <c r="C14" s="94" t="s">
        <v>37</v>
      </c>
      <c r="D14" s="85"/>
      <c r="E14" s="85"/>
      <c r="F14" s="85">
        <f t="shared" si="1"/>
        <v>0</v>
      </c>
      <c r="G14" s="435">
        <f t="shared" si="0"/>
        <v>0</v>
      </c>
      <c r="H14" s="435">
        <f t="shared" si="0"/>
        <v>0</v>
      </c>
      <c r="I14" s="435">
        <f t="shared" si="0"/>
        <v>0</v>
      </c>
    </row>
    <row r="15" spans="1:9" s="285" customFormat="1" x14ac:dyDescent="0.25">
      <c r="A15" s="118">
        <v>22</v>
      </c>
      <c r="B15" s="151">
        <v>5045</v>
      </c>
      <c r="C15" s="94" t="s">
        <v>38</v>
      </c>
      <c r="D15" s="85"/>
      <c r="E15" s="85"/>
      <c r="F15" s="85">
        <f t="shared" si="1"/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22</v>
      </c>
      <c r="B16" s="151">
        <v>5050</v>
      </c>
      <c r="C16" s="94" t="s">
        <v>83</v>
      </c>
      <c r="D16" s="85"/>
      <c r="E16" s="85"/>
      <c r="F16" s="85">
        <f t="shared" si="1"/>
        <v>0</v>
      </c>
      <c r="G16" s="435">
        <f t="shared" si="0"/>
        <v>0</v>
      </c>
      <c r="H16" s="435">
        <f t="shared" si="0"/>
        <v>0</v>
      </c>
      <c r="I16" s="435">
        <f t="shared" si="0"/>
        <v>0</v>
      </c>
    </row>
    <row r="17" spans="1:9" s="285" customFormat="1" x14ac:dyDescent="0.25">
      <c r="A17" s="118">
        <v>22</v>
      </c>
      <c r="B17" s="151">
        <v>5055</v>
      </c>
      <c r="C17" s="94" t="s">
        <v>39</v>
      </c>
      <c r="D17" s="85"/>
      <c r="E17" s="85"/>
      <c r="F17" s="85">
        <f t="shared" si="1"/>
        <v>0</v>
      </c>
      <c r="G17" s="435">
        <f t="shared" si="0"/>
        <v>0</v>
      </c>
      <c r="H17" s="435">
        <f t="shared" si="0"/>
        <v>0</v>
      </c>
      <c r="I17" s="435">
        <f t="shared" si="0"/>
        <v>0</v>
      </c>
    </row>
    <row r="18" spans="1:9" s="285" customFormat="1" x14ac:dyDescent="0.25">
      <c r="A18" s="344"/>
      <c r="B18" s="151"/>
      <c r="C18" s="94" t="s">
        <v>511</v>
      </c>
      <c r="D18" s="89">
        <f>SUM(D8:D17)</f>
        <v>0</v>
      </c>
      <c r="E18" s="89">
        <f>SUM(E7:E17)</f>
        <v>0</v>
      </c>
      <c r="F18" s="89">
        <f>SUM(F7:F17)</f>
        <v>0</v>
      </c>
      <c r="G18" s="89"/>
      <c r="H18" s="89"/>
      <c r="I18" s="89">
        <f>SUM(I7:I17)</f>
        <v>0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22</v>
      </c>
      <c r="B20" s="151">
        <v>5105</v>
      </c>
      <c r="C20" s="94" t="s">
        <v>41</v>
      </c>
      <c r="D20" s="85"/>
      <c r="E20" s="108"/>
      <c r="F20" s="85">
        <f>0/8*12</f>
        <v>0</v>
      </c>
      <c r="G20" s="435">
        <f t="shared" ref="G20:I24" si="2">(F20*0.068)+F20</f>
        <v>0</v>
      </c>
      <c r="H20" s="435">
        <f t="shared" si="2"/>
        <v>0</v>
      </c>
      <c r="I20" s="435">
        <f t="shared" si="2"/>
        <v>0</v>
      </c>
    </row>
    <row r="21" spans="1:9" s="285" customFormat="1" x14ac:dyDescent="0.25">
      <c r="A21" s="118">
        <v>22</v>
      </c>
      <c r="B21" s="151">
        <v>5115</v>
      </c>
      <c r="C21" s="94" t="s">
        <v>42</v>
      </c>
      <c r="D21" s="85"/>
      <c r="E21" s="85"/>
      <c r="F21" s="85">
        <f>0/8*12</f>
        <v>0</v>
      </c>
      <c r="G21" s="435">
        <f t="shared" si="2"/>
        <v>0</v>
      </c>
      <c r="H21" s="435">
        <f t="shared" si="2"/>
        <v>0</v>
      </c>
      <c r="I21" s="435">
        <f t="shared" si="2"/>
        <v>0</v>
      </c>
    </row>
    <row r="22" spans="1:9" s="285" customFormat="1" x14ac:dyDescent="0.25">
      <c r="A22" s="118">
        <v>22</v>
      </c>
      <c r="B22" s="151">
        <v>5120</v>
      </c>
      <c r="C22" s="94" t="s">
        <v>43</v>
      </c>
      <c r="D22" s="85"/>
      <c r="E22" s="108"/>
      <c r="F22" s="85">
        <f>0/8*12</f>
        <v>0</v>
      </c>
      <c r="G22" s="435">
        <f t="shared" si="2"/>
        <v>0</v>
      </c>
      <c r="H22" s="435">
        <f t="shared" si="2"/>
        <v>0</v>
      </c>
      <c r="I22" s="435">
        <f t="shared" si="2"/>
        <v>0</v>
      </c>
    </row>
    <row r="23" spans="1:9" s="285" customFormat="1" x14ac:dyDescent="0.25">
      <c r="A23" s="118">
        <v>22</v>
      </c>
      <c r="B23" s="151">
        <v>5125</v>
      </c>
      <c r="C23" s="94" t="s">
        <v>44</v>
      </c>
      <c r="D23" s="85"/>
      <c r="E23" s="108"/>
      <c r="F23" s="85">
        <f>0/8*12</f>
        <v>0</v>
      </c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9" s="285" customFormat="1" x14ac:dyDescent="0.25">
      <c r="A24" s="118">
        <v>22</v>
      </c>
      <c r="B24" s="151">
        <v>5130</v>
      </c>
      <c r="C24" s="94" t="s">
        <v>45</v>
      </c>
      <c r="D24" s="85"/>
      <c r="E24" s="108"/>
      <c r="F24" s="85">
        <f>0/8*12</f>
        <v>0</v>
      </c>
      <c r="G24" s="435">
        <f t="shared" si="2"/>
        <v>0</v>
      </c>
      <c r="H24" s="435">
        <f t="shared" si="2"/>
        <v>0</v>
      </c>
      <c r="I24" s="435">
        <f t="shared" si="2"/>
        <v>0</v>
      </c>
    </row>
    <row r="25" spans="1:9" s="285" customFormat="1" x14ac:dyDescent="0.25">
      <c r="A25" s="344"/>
      <c r="B25" s="151"/>
      <c r="C25" s="94"/>
      <c r="D25" s="89">
        <f t="shared" ref="D25:I25" si="3">SUM(D20:D24)</f>
        <v>0</v>
      </c>
      <c r="E25" s="89">
        <f t="shared" si="3"/>
        <v>0</v>
      </c>
      <c r="F25" s="89">
        <f t="shared" si="3"/>
        <v>0</v>
      </c>
      <c r="G25" s="89"/>
      <c r="H25" s="89"/>
      <c r="I25" s="89">
        <f t="shared" si="3"/>
        <v>0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x14ac:dyDescent="0.25">
      <c r="A28" s="118">
        <v>22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>
        <f>E28*(1+INPUT!C$8)</f>
        <v>0</v>
      </c>
    </row>
    <row r="29" spans="1:9" s="285" customFormat="1" x14ac:dyDescent="0.25">
      <c r="A29" s="344"/>
      <c r="B29" s="151"/>
      <c r="C29" s="94"/>
      <c r="D29" s="89">
        <f t="shared" ref="D29:I29" si="4">D28</f>
        <v>0</v>
      </c>
      <c r="E29" s="89">
        <f t="shared" si="4"/>
        <v>0</v>
      </c>
      <c r="F29" s="89">
        <f t="shared" si="4"/>
        <v>0</v>
      </c>
      <c r="G29" s="89"/>
      <c r="H29" s="89"/>
      <c r="I29" s="89">
        <f t="shared" si="4"/>
        <v>0</v>
      </c>
    </row>
    <row r="30" spans="1:9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x14ac:dyDescent="0.25">
      <c r="A31" s="118">
        <v>22</v>
      </c>
      <c r="B31" s="151">
        <v>5170</v>
      </c>
      <c r="C31" s="94" t="s">
        <v>341</v>
      </c>
      <c r="D31" s="85"/>
      <c r="E31" s="85">
        <v>4371462.13</v>
      </c>
      <c r="F31" s="85">
        <v>71462.129999999903</v>
      </c>
      <c r="G31" s="606">
        <f>+(F31*0.1)+F31</f>
        <v>78608.342999999892</v>
      </c>
      <c r="H31" s="606">
        <f t="shared" ref="H31:I31" si="5">+(G31*0.1)+G31</f>
        <v>86469.177299999879</v>
      </c>
      <c r="I31" s="606">
        <f t="shared" si="5"/>
        <v>95116.095029999866</v>
      </c>
    </row>
    <row r="32" spans="1:9" s="285" customFormat="1" x14ac:dyDescent="0.25">
      <c r="A32" s="344"/>
      <c r="B32" s="151"/>
      <c r="C32" s="94"/>
      <c r="D32" s="89">
        <f t="shared" ref="D32:I32" si="6">SUM(D31)</f>
        <v>0</v>
      </c>
      <c r="E32" s="89">
        <f t="shared" si="6"/>
        <v>4371462.13</v>
      </c>
      <c r="F32" s="89">
        <f t="shared" si="6"/>
        <v>71462.129999999903</v>
      </c>
      <c r="G32" s="89">
        <f t="shared" si="6"/>
        <v>78608.342999999892</v>
      </c>
      <c r="H32" s="89">
        <f t="shared" si="6"/>
        <v>86469.177299999879</v>
      </c>
      <c r="I32" s="89">
        <f t="shared" si="6"/>
        <v>95116.095029999866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22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I35" si="7">SUM(D34)</f>
        <v>0</v>
      </c>
      <c r="E35" s="89">
        <f t="shared" si="7"/>
        <v>0</v>
      </c>
      <c r="F35" s="89">
        <f t="shared" si="7"/>
        <v>0</v>
      </c>
      <c r="G35" s="89"/>
      <c r="H35" s="89"/>
      <c r="I35" s="89">
        <f t="shared" si="7"/>
        <v>0</v>
      </c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22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I38" si="8">D37</f>
        <v>0</v>
      </c>
      <c r="E38" s="89">
        <f t="shared" si="8"/>
        <v>0</v>
      </c>
      <c r="F38" s="89">
        <f t="shared" si="8"/>
        <v>0</v>
      </c>
      <c r="G38" s="89"/>
      <c r="H38" s="89"/>
      <c r="I38" s="89">
        <f t="shared" si="8"/>
        <v>0</v>
      </c>
    </row>
    <row r="39" spans="1:9" s="285" customFormat="1" hidden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hidden="1" x14ac:dyDescent="0.25">
      <c r="A40" s="118">
        <v>22</v>
      </c>
      <c r="B40" s="151">
        <v>5200</v>
      </c>
      <c r="C40" s="94" t="s">
        <v>55</v>
      </c>
      <c r="D40" s="85"/>
      <c r="E40" s="108"/>
      <c r="F40" s="85">
        <f t="shared" ref="F40:F58" si="9">0/8*12</f>
        <v>0</v>
      </c>
      <c r="G40" s="85"/>
      <c r="H40" s="85"/>
      <c r="I40" s="85">
        <f>F40*(1+INPUT!C$10)</f>
        <v>0</v>
      </c>
    </row>
    <row r="41" spans="1:9" s="285" customFormat="1" hidden="1" x14ac:dyDescent="0.25">
      <c r="A41" s="118">
        <v>22</v>
      </c>
      <c r="B41" s="151">
        <v>5205</v>
      </c>
      <c r="C41" s="94" t="s">
        <v>56</v>
      </c>
      <c r="D41" s="85"/>
      <c r="E41" s="108"/>
      <c r="F41" s="85">
        <f t="shared" si="9"/>
        <v>0</v>
      </c>
      <c r="G41" s="85"/>
      <c r="H41" s="85"/>
      <c r="I41" s="85">
        <f>F41*(1+INPUT!C$10)</f>
        <v>0</v>
      </c>
    </row>
    <row r="42" spans="1:9" s="285" customFormat="1" hidden="1" x14ac:dyDescent="0.25">
      <c r="A42" s="118">
        <v>22</v>
      </c>
      <c r="B42" s="151">
        <v>5210</v>
      </c>
      <c r="C42" s="94" t="s">
        <v>57</v>
      </c>
      <c r="D42" s="85"/>
      <c r="E42" s="108"/>
      <c r="F42" s="85">
        <f t="shared" si="9"/>
        <v>0</v>
      </c>
      <c r="G42" s="85"/>
      <c r="H42" s="85"/>
      <c r="I42" s="85">
        <f>F42*(1+INPUT!C$10)</f>
        <v>0</v>
      </c>
    </row>
    <row r="43" spans="1:9" s="285" customFormat="1" hidden="1" x14ac:dyDescent="0.25">
      <c r="A43" s="118">
        <v>22</v>
      </c>
      <c r="B43" s="151">
        <v>5215</v>
      </c>
      <c r="C43" s="94" t="s">
        <v>95</v>
      </c>
      <c r="D43" s="85"/>
      <c r="E43" s="108"/>
      <c r="F43" s="85">
        <f t="shared" si="9"/>
        <v>0</v>
      </c>
      <c r="G43" s="85"/>
      <c r="H43" s="85"/>
      <c r="I43" s="85">
        <f>F43*(1+INPUT!C$10)</f>
        <v>0</v>
      </c>
    </row>
    <row r="44" spans="1:9" s="285" customFormat="1" hidden="1" x14ac:dyDescent="0.25">
      <c r="A44" s="118">
        <v>22</v>
      </c>
      <c r="B44" s="151">
        <v>5220</v>
      </c>
      <c r="C44" s="94" t="s">
        <v>58</v>
      </c>
      <c r="D44" s="85"/>
      <c r="E44" s="108"/>
      <c r="F44" s="85">
        <f t="shared" si="9"/>
        <v>0</v>
      </c>
      <c r="G44" s="85"/>
      <c r="H44" s="85"/>
      <c r="I44" s="85">
        <f>F44*(1+INPUT!C$10)</f>
        <v>0</v>
      </c>
    </row>
    <row r="45" spans="1:9" s="285" customFormat="1" hidden="1" x14ac:dyDescent="0.25">
      <c r="A45" s="118">
        <v>22</v>
      </c>
      <c r="B45" s="151">
        <v>5225</v>
      </c>
      <c r="C45" s="94" t="s">
        <v>92</v>
      </c>
      <c r="D45" s="85"/>
      <c r="E45" s="108"/>
      <c r="F45" s="85">
        <f t="shared" si="9"/>
        <v>0</v>
      </c>
      <c r="G45" s="85"/>
      <c r="H45" s="85"/>
      <c r="I45" s="85">
        <f>F45*(1+INPUT!C$10)</f>
        <v>0</v>
      </c>
    </row>
    <row r="46" spans="1:9" s="285" customFormat="1" hidden="1" x14ac:dyDescent="0.25">
      <c r="A46" s="118">
        <v>22</v>
      </c>
      <c r="B46" s="151">
        <v>5230</v>
      </c>
      <c r="C46" s="94" t="s">
        <v>86</v>
      </c>
      <c r="D46" s="85"/>
      <c r="E46" s="108"/>
      <c r="F46" s="85">
        <f t="shared" si="9"/>
        <v>0</v>
      </c>
      <c r="G46" s="85"/>
      <c r="H46" s="85"/>
      <c r="I46" s="85">
        <f>F46*(1+INPUT!C$10)</f>
        <v>0</v>
      </c>
    </row>
    <row r="47" spans="1:9" s="285" customFormat="1" hidden="1" x14ac:dyDescent="0.25">
      <c r="A47" s="118">
        <v>22</v>
      </c>
      <c r="B47" s="151">
        <v>5235</v>
      </c>
      <c r="C47" s="94" t="s">
        <v>124</v>
      </c>
      <c r="D47" s="85"/>
      <c r="E47" s="108"/>
      <c r="F47" s="85">
        <f t="shared" si="9"/>
        <v>0</v>
      </c>
      <c r="G47" s="85"/>
      <c r="H47" s="85"/>
      <c r="I47" s="85">
        <f>F47*(1+INPUT!C$10)</f>
        <v>0</v>
      </c>
    </row>
    <row r="48" spans="1:9" s="285" customFormat="1" hidden="1" x14ac:dyDescent="0.25">
      <c r="A48" s="118">
        <v>22</v>
      </c>
      <c r="B48" s="151">
        <v>5240</v>
      </c>
      <c r="C48" s="94" t="s">
        <v>59</v>
      </c>
      <c r="D48" s="85"/>
      <c r="E48" s="108"/>
      <c r="F48" s="85">
        <f t="shared" si="9"/>
        <v>0</v>
      </c>
      <c r="G48" s="85"/>
      <c r="H48" s="85"/>
      <c r="I48" s="85">
        <f>F48*(1+INPUT!C$10)</f>
        <v>0</v>
      </c>
    </row>
    <row r="49" spans="1:9" s="285" customFormat="1" hidden="1" x14ac:dyDescent="0.25">
      <c r="A49" s="118">
        <v>22</v>
      </c>
      <c r="B49" s="151">
        <v>5245</v>
      </c>
      <c r="C49" s="94" t="s">
        <v>91</v>
      </c>
      <c r="D49" s="85"/>
      <c r="E49" s="108"/>
      <c r="F49" s="85">
        <f t="shared" si="9"/>
        <v>0</v>
      </c>
      <c r="G49" s="85"/>
      <c r="H49" s="85"/>
      <c r="I49" s="85">
        <f>F49*(1+INPUT!C$10)</f>
        <v>0</v>
      </c>
    </row>
    <row r="50" spans="1:9" s="285" customFormat="1" hidden="1" x14ac:dyDescent="0.25">
      <c r="A50" s="118">
        <v>22</v>
      </c>
      <c r="B50" s="151">
        <v>5250</v>
      </c>
      <c r="C50" s="94" t="s">
        <v>88</v>
      </c>
      <c r="D50" s="85"/>
      <c r="E50" s="108"/>
      <c r="F50" s="85">
        <f t="shared" si="9"/>
        <v>0</v>
      </c>
      <c r="G50" s="85"/>
      <c r="H50" s="85"/>
      <c r="I50" s="85">
        <f>F50*(1+INPUT!C$10)</f>
        <v>0</v>
      </c>
    </row>
    <row r="51" spans="1:9" s="285" customFormat="1" hidden="1" x14ac:dyDescent="0.25">
      <c r="A51" s="118">
        <v>22</v>
      </c>
      <c r="B51" s="151">
        <v>5255</v>
      </c>
      <c r="C51" s="94" t="s">
        <v>125</v>
      </c>
      <c r="D51" s="85"/>
      <c r="E51" s="108"/>
      <c r="F51" s="85">
        <f t="shared" si="9"/>
        <v>0</v>
      </c>
      <c r="G51" s="85"/>
      <c r="H51" s="85"/>
      <c r="I51" s="85">
        <f>F51*(1+INPUT!C$10)</f>
        <v>0</v>
      </c>
    </row>
    <row r="52" spans="1:9" s="285" customFormat="1" hidden="1" x14ac:dyDescent="0.25">
      <c r="A52" s="118">
        <v>22</v>
      </c>
      <c r="B52" s="151">
        <v>5260</v>
      </c>
      <c r="C52" s="94" t="s">
        <v>90</v>
      </c>
      <c r="D52" s="85"/>
      <c r="E52" s="108"/>
      <c r="F52" s="85">
        <f t="shared" si="9"/>
        <v>0</v>
      </c>
      <c r="G52" s="85"/>
      <c r="H52" s="85"/>
      <c r="I52" s="85">
        <f>F52*(1+INPUT!C$10)</f>
        <v>0</v>
      </c>
    </row>
    <row r="53" spans="1:9" s="285" customFormat="1" hidden="1" x14ac:dyDescent="0.25">
      <c r="A53" s="118">
        <v>22</v>
      </c>
      <c r="B53" s="151">
        <v>5265</v>
      </c>
      <c r="C53" s="94" t="s">
        <v>87</v>
      </c>
      <c r="D53" s="85"/>
      <c r="E53" s="108"/>
      <c r="F53" s="85">
        <f t="shared" si="9"/>
        <v>0</v>
      </c>
      <c r="G53" s="85"/>
      <c r="H53" s="85"/>
      <c r="I53" s="85">
        <f>F53*(1+INPUT!C$10)</f>
        <v>0</v>
      </c>
    </row>
    <row r="54" spans="1:9" s="285" customFormat="1" hidden="1" x14ac:dyDescent="0.25">
      <c r="A54" s="118">
        <v>22</v>
      </c>
      <c r="B54" s="151">
        <v>5270</v>
      </c>
      <c r="C54" s="94" t="s">
        <v>89</v>
      </c>
      <c r="D54" s="85"/>
      <c r="E54" s="108"/>
      <c r="F54" s="85">
        <f t="shared" si="9"/>
        <v>0</v>
      </c>
      <c r="G54" s="85"/>
      <c r="H54" s="85"/>
      <c r="I54" s="85">
        <f>F54*(1+INPUT!C$10)</f>
        <v>0</v>
      </c>
    </row>
    <row r="55" spans="1:9" s="285" customFormat="1" hidden="1" x14ac:dyDescent="0.25">
      <c r="A55" s="118">
        <v>22</v>
      </c>
      <c r="B55" s="151">
        <v>5275</v>
      </c>
      <c r="C55" s="94" t="s">
        <v>93</v>
      </c>
      <c r="D55" s="85"/>
      <c r="E55" s="108"/>
      <c r="F55" s="85">
        <f t="shared" si="9"/>
        <v>0</v>
      </c>
      <c r="G55" s="85"/>
      <c r="H55" s="85"/>
      <c r="I55" s="85">
        <f>F55*(1+INPUT!C$10)</f>
        <v>0</v>
      </c>
    </row>
    <row r="56" spans="1:9" s="285" customFormat="1" hidden="1" x14ac:dyDescent="0.25">
      <c r="A56" s="118">
        <v>22</v>
      </c>
      <c r="B56" s="151">
        <v>5280</v>
      </c>
      <c r="C56" s="94" t="s">
        <v>94</v>
      </c>
      <c r="D56" s="85"/>
      <c r="E56" s="108"/>
      <c r="F56" s="85">
        <f t="shared" si="9"/>
        <v>0</v>
      </c>
      <c r="G56" s="85"/>
      <c r="H56" s="85"/>
      <c r="I56" s="85">
        <f>F56*(1+INPUT!C$10)</f>
        <v>0</v>
      </c>
    </row>
    <row r="57" spans="1:9" s="285" customFormat="1" hidden="1" x14ac:dyDescent="0.25">
      <c r="A57" s="118">
        <v>22</v>
      </c>
      <c r="B57" s="151">
        <v>5285</v>
      </c>
      <c r="C57" s="94" t="s">
        <v>60</v>
      </c>
      <c r="D57" s="85"/>
      <c r="E57" s="85"/>
      <c r="F57" s="85">
        <f t="shared" si="9"/>
        <v>0</v>
      </c>
      <c r="G57" s="85"/>
      <c r="H57" s="85"/>
      <c r="I57" s="85">
        <f>F57*(1+INPUT!C$10)</f>
        <v>0</v>
      </c>
    </row>
    <row r="58" spans="1:9" s="285" customFormat="1" hidden="1" x14ac:dyDescent="0.25">
      <c r="A58" s="118">
        <v>22</v>
      </c>
      <c r="B58" s="151">
        <v>5290</v>
      </c>
      <c r="C58" s="94" t="s">
        <v>186</v>
      </c>
      <c r="D58" s="85"/>
      <c r="E58" s="108"/>
      <c r="F58" s="85">
        <f t="shared" si="9"/>
        <v>0</v>
      </c>
      <c r="G58" s="85"/>
      <c r="H58" s="85"/>
      <c r="I58" s="85">
        <f>F58*(1+INPUT!C$10)</f>
        <v>0</v>
      </c>
    </row>
    <row r="59" spans="1:9" s="285" customFormat="1" hidden="1" x14ac:dyDescent="0.25">
      <c r="A59" s="344"/>
      <c r="B59" s="151"/>
      <c r="C59" s="94"/>
      <c r="D59" s="110">
        <f t="shared" ref="D59:I59" si="10">SUM(D40:D58)</f>
        <v>0</v>
      </c>
      <c r="E59" s="110">
        <f t="shared" si="10"/>
        <v>0</v>
      </c>
      <c r="F59" s="110">
        <f t="shared" si="10"/>
        <v>0</v>
      </c>
      <c r="G59" s="110"/>
      <c r="H59" s="110"/>
      <c r="I59" s="110">
        <f t="shared" si="10"/>
        <v>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22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</row>
    <row r="62" spans="1:9" s="285" customFormat="1" hidden="1" x14ac:dyDescent="0.25">
      <c r="A62" s="118">
        <v>22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85"/>
      <c r="H62" s="85"/>
      <c r="I62" s="108"/>
    </row>
    <row r="63" spans="1:9" s="285" customFormat="1" hidden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/>
      <c r="I63" s="89">
        <f>SUM(I61:I62)</f>
        <v>0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22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I66" si="11">D65</f>
        <v>0</v>
      </c>
      <c r="E66" s="89">
        <f t="shared" si="11"/>
        <v>0</v>
      </c>
      <c r="F66" s="89">
        <f t="shared" si="11"/>
        <v>0</v>
      </c>
      <c r="G66" s="89"/>
      <c r="H66" s="89"/>
      <c r="I66" s="89">
        <f t="shared" si="11"/>
        <v>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hidden="1" x14ac:dyDescent="0.25">
      <c r="A68" s="118">
        <v>22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>
        <f>F68*(1+INPUT!C11)</f>
        <v>0</v>
      </c>
    </row>
    <row r="69" spans="1:9" s="285" customFormat="1" hidden="1" x14ac:dyDescent="0.25">
      <c r="A69" s="118">
        <v>22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hidden="1" x14ac:dyDescent="0.25">
      <c r="A70" s="344"/>
      <c r="B70" s="151"/>
      <c r="C70" s="94"/>
      <c r="D70" s="110">
        <f t="shared" ref="D70:I70" si="12">SUM(D68:D69)</f>
        <v>0</v>
      </c>
      <c r="E70" s="110">
        <f t="shared" si="12"/>
        <v>0</v>
      </c>
      <c r="F70" s="110">
        <f t="shared" si="12"/>
        <v>0</v>
      </c>
      <c r="G70" s="110"/>
      <c r="H70" s="110"/>
      <c r="I70" s="110">
        <f t="shared" si="12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hidden="1" x14ac:dyDescent="0.25">
      <c r="A72" s="118">
        <v>22</v>
      </c>
      <c r="B72" s="151">
        <v>5505</v>
      </c>
      <c r="C72" s="94" t="s">
        <v>259</v>
      </c>
      <c r="D72" s="85"/>
      <c r="E72" s="85"/>
      <c r="F72" s="85">
        <f t="shared" ref="F72:H182" si="13">0/8*12</f>
        <v>0</v>
      </c>
      <c r="G72" s="85"/>
      <c r="H72" s="85"/>
      <c r="I72" s="85">
        <f>F72*(1+INPUT!C$10)</f>
        <v>0</v>
      </c>
    </row>
    <row r="73" spans="1:9" s="285" customFormat="1" hidden="1" x14ac:dyDescent="0.25">
      <c r="A73" s="118">
        <v>22</v>
      </c>
      <c r="B73" s="151">
        <v>5510</v>
      </c>
      <c r="C73" s="94" t="s">
        <v>63</v>
      </c>
      <c r="D73" s="85"/>
      <c r="E73" s="85"/>
      <c r="F73" s="85">
        <f t="shared" si="13"/>
        <v>0</v>
      </c>
      <c r="G73" s="85"/>
      <c r="H73" s="85"/>
      <c r="I73" s="85">
        <f>F73*(1+INPUT!C$10)</f>
        <v>0</v>
      </c>
    </row>
    <row r="74" spans="1:9" s="285" customFormat="1" hidden="1" x14ac:dyDescent="0.25">
      <c r="A74" s="118">
        <v>22</v>
      </c>
      <c r="B74" s="151">
        <v>5520</v>
      </c>
      <c r="C74" s="94" t="s">
        <v>260</v>
      </c>
      <c r="D74" s="85"/>
      <c r="E74" s="85"/>
      <c r="F74" s="85">
        <f t="shared" si="13"/>
        <v>0</v>
      </c>
      <c r="G74" s="85"/>
      <c r="H74" s="85"/>
      <c r="I74" s="85">
        <f>F74*(1+INPUT!C$10)</f>
        <v>0</v>
      </c>
    </row>
    <row r="75" spans="1:9" s="285" customFormat="1" hidden="1" x14ac:dyDescent="0.25">
      <c r="A75" s="118">
        <v>22</v>
      </c>
      <c r="B75" s="151">
        <v>5525</v>
      </c>
      <c r="C75" s="94" t="s">
        <v>261</v>
      </c>
      <c r="D75" s="85"/>
      <c r="E75" s="85"/>
      <c r="F75" s="85">
        <f t="shared" si="13"/>
        <v>0</v>
      </c>
      <c r="G75" s="85"/>
      <c r="H75" s="85"/>
      <c r="I75" s="85">
        <f>F75*(1+INPUT!C$10)</f>
        <v>0</v>
      </c>
    </row>
    <row r="76" spans="1:9" s="285" customFormat="1" hidden="1" x14ac:dyDescent="0.25">
      <c r="A76" s="118">
        <v>22</v>
      </c>
      <c r="B76" s="151">
        <v>5530</v>
      </c>
      <c r="C76" s="94" t="s">
        <v>262</v>
      </c>
      <c r="D76" s="85"/>
      <c r="E76" s="85"/>
      <c r="F76" s="85">
        <f t="shared" si="13"/>
        <v>0</v>
      </c>
      <c r="G76" s="85"/>
      <c r="H76" s="85"/>
      <c r="I76" s="85">
        <f>F76*(1+INPUT!C$10)</f>
        <v>0</v>
      </c>
    </row>
    <row r="77" spans="1:9" s="285" customFormat="1" hidden="1" x14ac:dyDescent="0.25">
      <c r="A77" s="118">
        <v>22</v>
      </c>
      <c r="B77" s="151">
        <v>5535</v>
      </c>
      <c r="C77" s="94" t="s">
        <v>263</v>
      </c>
      <c r="D77" s="85"/>
      <c r="E77" s="85"/>
      <c r="F77" s="85">
        <f t="shared" si="13"/>
        <v>0</v>
      </c>
      <c r="G77" s="85"/>
      <c r="H77" s="85"/>
      <c r="I77" s="85">
        <f>F77*(1+INPUT!C$10)</f>
        <v>0</v>
      </c>
    </row>
    <row r="78" spans="1:9" s="285" customFormat="1" hidden="1" x14ac:dyDescent="0.25">
      <c r="A78" s="118">
        <v>22</v>
      </c>
      <c r="B78" s="151">
        <v>5540</v>
      </c>
      <c r="C78" s="94" t="s">
        <v>264</v>
      </c>
      <c r="D78" s="85"/>
      <c r="E78" s="85"/>
      <c r="F78" s="85">
        <f t="shared" si="13"/>
        <v>0</v>
      </c>
      <c r="G78" s="85"/>
      <c r="H78" s="85"/>
      <c r="I78" s="85">
        <f>F78*(1+INPUT!C$10)</f>
        <v>0</v>
      </c>
    </row>
    <row r="79" spans="1:9" s="285" customFormat="1" ht="13.5" hidden="1" customHeight="1" x14ac:dyDescent="0.25">
      <c r="A79" s="118">
        <v>22</v>
      </c>
      <c r="B79" s="151">
        <v>5545</v>
      </c>
      <c r="C79" s="94" t="s">
        <v>265</v>
      </c>
      <c r="D79" s="85"/>
      <c r="E79" s="85"/>
      <c r="F79" s="85">
        <f t="shared" si="13"/>
        <v>0</v>
      </c>
      <c r="G79" s="85"/>
      <c r="H79" s="85"/>
      <c r="I79" s="85">
        <f>F79*(1+INPUT!C$10)</f>
        <v>0</v>
      </c>
    </row>
    <row r="80" spans="1:9" s="285" customFormat="1" hidden="1" x14ac:dyDescent="0.25">
      <c r="A80" s="118">
        <v>22</v>
      </c>
      <c r="B80" s="151">
        <v>5550</v>
      </c>
      <c r="C80" s="94" t="s">
        <v>267</v>
      </c>
      <c r="D80" s="85"/>
      <c r="E80" s="85"/>
      <c r="F80" s="85">
        <f t="shared" si="13"/>
        <v>0</v>
      </c>
      <c r="G80" s="85"/>
      <c r="H80" s="85"/>
      <c r="I80" s="85">
        <f>F80*(1+INPUT!C$10)</f>
        <v>0</v>
      </c>
    </row>
    <row r="81" spans="1:9" s="285" customFormat="1" hidden="1" x14ac:dyDescent="0.25">
      <c r="A81" s="118">
        <v>22</v>
      </c>
      <c r="B81" s="151">
        <v>5555</v>
      </c>
      <c r="C81" s="94" t="s">
        <v>268</v>
      </c>
      <c r="D81" s="85"/>
      <c r="E81" s="85"/>
      <c r="F81" s="85">
        <f t="shared" si="13"/>
        <v>0</v>
      </c>
      <c r="G81" s="85"/>
      <c r="H81" s="85"/>
      <c r="I81" s="85">
        <f>F81*(1+INPUT!C$10)</f>
        <v>0</v>
      </c>
    </row>
    <row r="82" spans="1:9" s="285" customFormat="1" hidden="1" x14ac:dyDescent="0.25">
      <c r="A82" s="118">
        <v>22</v>
      </c>
      <c r="B82" s="151">
        <v>5560</v>
      </c>
      <c r="C82" s="94" t="s">
        <v>269</v>
      </c>
      <c r="D82" s="85"/>
      <c r="E82" s="85"/>
      <c r="F82" s="85">
        <f t="shared" si="13"/>
        <v>0</v>
      </c>
      <c r="G82" s="85"/>
      <c r="H82" s="85"/>
      <c r="I82" s="85">
        <f>F82*(1+INPUT!C$10)</f>
        <v>0</v>
      </c>
    </row>
    <row r="83" spans="1:9" s="285" customFormat="1" hidden="1" x14ac:dyDescent="0.25">
      <c r="A83" s="118">
        <v>22</v>
      </c>
      <c r="B83" s="151">
        <v>5565</v>
      </c>
      <c r="C83" s="94" t="s">
        <v>246</v>
      </c>
      <c r="D83" s="85"/>
      <c r="E83" s="85"/>
      <c r="F83" s="85">
        <f t="shared" si="13"/>
        <v>0</v>
      </c>
      <c r="G83" s="85"/>
      <c r="H83" s="85"/>
      <c r="I83" s="85">
        <f>F83*(1+INPUT!C$10)</f>
        <v>0</v>
      </c>
    </row>
    <row r="84" spans="1:9" s="285" customFormat="1" hidden="1" x14ac:dyDescent="0.25">
      <c r="A84" s="118">
        <v>22</v>
      </c>
      <c r="B84" s="151">
        <v>5570</v>
      </c>
      <c r="C84" s="94" t="s">
        <v>270</v>
      </c>
      <c r="D84" s="85"/>
      <c r="E84" s="85"/>
      <c r="F84" s="85">
        <f t="shared" si="13"/>
        <v>0</v>
      </c>
      <c r="G84" s="85"/>
      <c r="H84" s="85"/>
      <c r="I84" s="85">
        <f>F84*(1+INPUT!C$10)</f>
        <v>0</v>
      </c>
    </row>
    <row r="85" spans="1:9" s="285" customFormat="1" hidden="1" x14ac:dyDescent="0.25">
      <c r="A85" s="118">
        <v>22</v>
      </c>
      <c r="B85" s="151">
        <v>5575</v>
      </c>
      <c r="C85" s="94" t="s">
        <v>271</v>
      </c>
      <c r="D85" s="85"/>
      <c r="E85" s="85"/>
      <c r="F85" s="85">
        <f t="shared" si="13"/>
        <v>0</v>
      </c>
      <c r="G85" s="85"/>
      <c r="H85" s="85"/>
      <c r="I85" s="85">
        <f>F85*(1+INPUT!C$10)</f>
        <v>0</v>
      </c>
    </row>
    <row r="86" spans="1:9" s="285" customFormat="1" hidden="1" x14ac:dyDescent="0.25">
      <c r="A86" s="118">
        <v>22</v>
      </c>
      <c r="B86" s="151">
        <v>5580</v>
      </c>
      <c r="C86" s="94" t="s">
        <v>272</v>
      </c>
      <c r="D86" s="85"/>
      <c r="E86" s="85"/>
      <c r="F86" s="85">
        <f t="shared" si="13"/>
        <v>0</v>
      </c>
      <c r="G86" s="85"/>
      <c r="H86" s="85"/>
      <c r="I86" s="85">
        <f>F86*(1+INPUT!C$10)</f>
        <v>0</v>
      </c>
    </row>
    <row r="87" spans="1:9" s="285" customFormat="1" hidden="1" x14ac:dyDescent="0.25">
      <c r="A87" s="118">
        <v>22</v>
      </c>
      <c r="B87" s="151">
        <v>5585</v>
      </c>
      <c r="C87" s="94" t="s">
        <v>273</v>
      </c>
      <c r="D87" s="86"/>
      <c r="E87" s="85"/>
      <c r="F87" s="85">
        <f t="shared" si="13"/>
        <v>0</v>
      </c>
      <c r="G87" s="85"/>
      <c r="H87" s="85"/>
      <c r="I87" s="85">
        <f>F87*(1+INPUT!C$10)</f>
        <v>0</v>
      </c>
    </row>
    <row r="88" spans="1:9" s="285" customFormat="1" hidden="1" x14ac:dyDescent="0.25">
      <c r="A88" s="118">
        <v>22</v>
      </c>
      <c r="B88" s="151">
        <v>5590</v>
      </c>
      <c r="C88" s="94" t="s">
        <v>274</v>
      </c>
      <c r="D88" s="86"/>
      <c r="E88" s="85"/>
      <c r="F88" s="85">
        <f t="shared" si="13"/>
        <v>0</v>
      </c>
      <c r="G88" s="85"/>
      <c r="H88" s="85"/>
      <c r="I88" s="85">
        <f>F88*(1+INPUT!C$10)</f>
        <v>0</v>
      </c>
    </row>
    <row r="89" spans="1:9" s="285" customFormat="1" hidden="1" x14ac:dyDescent="0.25">
      <c r="A89" s="118">
        <v>22</v>
      </c>
      <c r="B89" s="151">
        <v>5595</v>
      </c>
      <c r="C89" s="94" t="s">
        <v>275</v>
      </c>
      <c r="D89" s="85"/>
      <c r="E89" s="85"/>
      <c r="F89" s="85">
        <f t="shared" si="13"/>
        <v>0</v>
      </c>
      <c r="G89" s="85"/>
      <c r="H89" s="85"/>
      <c r="I89" s="85">
        <f>F89*(1+INPUT!C$10)</f>
        <v>0</v>
      </c>
    </row>
    <row r="90" spans="1:9" s="285" customFormat="1" hidden="1" x14ac:dyDescent="0.25">
      <c r="A90" s="118">
        <v>22</v>
      </c>
      <c r="B90" s="151">
        <v>5600</v>
      </c>
      <c r="C90" s="159" t="s">
        <v>276</v>
      </c>
      <c r="D90" s="85"/>
      <c r="E90" s="85"/>
      <c r="F90" s="85">
        <f t="shared" si="13"/>
        <v>0</v>
      </c>
      <c r="G90" s="85"/>
      <c r="H90" s="85"/>
      <c r="I90" s="85">
        <f>F90*(1+INPUT!C$10)</f>
        <v>0</v>
      </c>
    </row>
    <row r="91" spans="1:9" s="285" customFormat="1" hidden="1" x14ac:dyDescent="0.25">
      <c r="A91" s="118">
        <v>22</v>
      </c>
      <c r="B91" s="151">
        <v>5605</v>
      </c>
      <c r="C91" s="159" t="s">
        <v>277</v>
      </c>
      <c r="D91" s="85"/>
      <c r="E91" s="85"/>
      <c r="F91" s="85">
        <f t="shared" si="13"/>
        <v>0</v>
      </c>
      <c r="G91" s="85"/>
      <c r="H91" s="85"/>
      <c r="I91" s="85">
        <f>F91*(1+INPUT!C$10)</f>
        <v>0</v>
      </c>
    </row>
    <row r="92" spans="1:9" s="285" customFormat="1" hidden="1" x14ac:dyDescent="0.25">
      <c r="A92" s="118">
        <v>22</v>
      </c>
      <c r="B92" s="151">
        <v>5610</v>
      </c>
      <c r="C92" s="159" t="s">
        <v>278</v>
      </c>
      <c r="D92" s="85"/>
      <c r="E92" s="85"/>
      <c r="F92" s="85">
        <f t="shared" si="13"/>
        <v>0</v>
      </c>
      <c r="G92" s="85"/>
      <c r="H92" s="85"/>
      <c r="I92" s="85">
        <f>F92*(1+INPUT!C$10)</f>
        <v>0</v>
      </c>
    </row>
    <row r="93" spans="1:9" s="285" customFormat="1" hidden="1" x14ac:dyDescent="0.25">
      <c r="A93" s="118">
        <v>22</v>
      </c>
      <c r="B93" s="151">
        <v>5615</v>
      </c>
      <c r="C93" s="159" t="s">
        <v>279</v>
      </c>
      <c r="D93" s="85"/>
      <c r="E93" s="85"/>
      <c r="F93" s="85">
        <f t="shared" si="13"/>
        <v>0</v>
      </c>
      <c r="G93" s="85"/>
      <c r="H93" s="85"/>
      <c r="I93" s="85">
        <f>F93*(1+INPUT!C$10)</f>
        <v>0</v>
      </c>
    </row>
    <row r="94" spans="1:9" s="285" customFormat="1" hidden="1" x14ac:dyDescent="0.25">
      <c r="A94" s="118">
        <v>22</v>
      </c>
      <c r="B94" s="151">
        <v>5620</v>
      </c>
      <c r="C94" s="159" t="s">
        <v>280</v>
      </c>
      <c r="D94" s="85"/>
      <c r="E94" s="85"/>
      <c r="F94" s="85">
        <f t="shared" si="13"/>
        <v>0</v>
      </c>
      <c r="G94" s="85"/>
      <c r="H94" s="85"/>
      <c r="I94" s="85">
        <f>F94*(1+INPUT!C$10)</f>
        <v>0</v>
      </c>
    </row>
    <row r="95" spans="1:9" s="285" customFormat="1" hidden="1" x14ac:dyDescent="0.25">
      <c r="A95" s="118">
        <v>22</v>
      </c>
      <c r="B95" s="151">
        <v>5625</v>
      </c>
      <c r="C95" s="159" t="s">
        <v>281</v>
      </c>
      <c r="D95" s="85"/>
      <c r="E95" s="85"/>
      <c r="F95" s="85">
        <f t="shared" si="13"/>
        <v>0</v>
      </c>
      <c r="G95" s="85"/>
      <c r="H95" s="85"/>
      <c r="I95" s="85">
        <f>F95*(1+INPUT!C$10)</f>
        <v>0</v>
      </c>
    </row>
    <row r="96" spans="1:9" s="285" customFormat="1" hidden="1" x14ac:dyDescent="0.25">
      <c r="A96" s="118">
        <v>22</v>
      </c>
      <c r="B96" s="151">
        <v>5630</v>
      </c>
      <c r="C96" s="159" t="s">
        <v>282</v>
      </c>
      <c r="D96" s="85"/>
      <c r="E96" s="85"/>
      <c r="F96" s="85">
        <f t="shared" si="13"/>
        <v>0</v>
      </c>
      <c r="G96" s="85"/>
      <c r="H96" s="85"/>
      <c r="I96" s="85">
        <f>F96*(1+INPUT!C$10)</f>
        <v>0</v>
      </c>
    </row>
    <row r="97" spans="1:9" s="285" customFormat="1" hidden="1" x14ac:dyDescent="0.25">
      <c r="A97" s="118">
        <v>22</v>
      </c>
      <c r="B97" s="151">
        <v>5635</v>
      </c>
      <c r="C97" s="159" t="s">
        <v>283</v>
      </c>
      <c r="D97" s="85"/>
      <c r="E97" s="85"/>
      <c r="F97" s="85">
        <f t="shared" si="13"/>
        <v>0</v>
      </c>
      <c r="G97" s="85"/>
      <c r="H97" s="85"/>
      <c r="I97" s="85">
        <f>F97*(1+INPUT!C$10)</f>
        <v>0</v>
      </c>
    </row>
    <row r="98" spans="1:9" s="285" customFormat="1" hidden="1" x14ac:dyDescent="0.25">
      <c r="A98" s="118">
        <v>22</v>
      </c>
      <c r="B98" s="151">
        <v>5640</v>
      </c>
      <c r="C98" s="159" t="s">
        <v>284</v>
      </c>
      <c r="D98" s="85"/>
      <c r="E98" s="85"/>
      <c r="F98" s="85">
        <f t="shared" si="13"/>
        <v>0</v>
      </c>
      <c r="G98" s="85"/>
      <c r="H98" s="85"/>
      <c r="I98" s="85">
        <f>F98*(1+INPUT!C$10)</f>
        <v>0</v>
      </c>
    </row>
    <row r="99" spans="1:9" s="285" customFormat="1" hidden="1" x14ac:dyDescent="0.25">
      <c r="A99" s="118">
        <v>22</v>
      </c>
      <c r="B99" s="151">
        <v>5645</v>
      </c>
      <c r="C99" s="159" t="s">
        <v>285</v>
      </c>
      <c r="D99" s="85"/>
      <c r="E99" s="85"/>
      <c r="F99" s="85">
        <f t="shared" si="13"/>
        <v>0</v>
      </c>
      <c r="G99" s="85"/>
      <c r="H99" s="85"/>
      <c r="I99" s="85">
        <f>F99*(1+INPUT!C$10)</f>
        <v>0</v>
      </c>
    </row>
    <row r="100" spans="1:9" s="285" customFormat="1" hidden="1" x14ac:dyDescent="0.25">
      <c r="A100" s="118">
        <v>22</v>
      </c>
      <c r="B100" s="151">
        <v>5650</v>
      </c>
      <c r="C100" s="159" t="s">
        <v>286</v>
      </c>
      <c r="D100" s="85"/>
      <c r="E100" s="85"/>
      <c r="F100" s="85">
        <f t="shared" si="13"/>
        <v>0</v>
      </c>
      <c r="G100" s="85"/>
      <c r="H100" s="85"/>
      <c r="I100" s="85">
        <f>F100*(1+INPUT!C$10)</f>
        <v>0</v>
      </c>
    </row>
    <row r="101" spans="1:9" s="285" customFormat="1" hidden="1" x14ac:dyDescent="0.25">
      <c r="A101" s="118">
        <v>22</v>
      </c>
      <c r="B101" s="151">
        <v>5655</v>
      </c>
      <c r="C101" s="159" t="s">
        <v>287</v>
      </c>
      <c r="D101" s="85"/>
      <c r="E101" s="85"/>
      <c r="F101" s="85">
        <f t="shared" si="13"/>
        <v>0</v>
      </c>
      <c r="G101" s="85"/>
      <c r="H101" s="85"/>
      <c r="I101" s="85">
        <f>F101*(1+INPUT!C$10)</f>
        <v>0</v>
      </c>
    </row>
    <row r="102" spans="1:9" s="285" customFormat="1" hidden="1" x14ac:dyDescent="0.25">
      <c r="A102" s="118">
        <v>22</v>
      </c>
      <c r="B102" s="151">
        <v>5660</v>
      </c>
      <c r="C102" s="159" t="s">
        <v>288</v>
      </c>
      <c r="D102" s="85"/>
      <c r="E102" s="85"/>
      <c r="F102" s="85">
        <f t="shared" si="13"/>
        <v>0</v>
      </c>
      <c r="G102" s="85"/>
      <c r="H102" s="85"/>
      <c r="I102" s="85">
        <f>F102*(1+INPUT!C$10)</f>
        <v>0</v>
      </c>
    </row>
    <row r="103" spans="1:9" s="285" customFormat="1" hidden="1" x14ac:dyDescent="0.25">
      <c r="A103" s="118">
        <v>22</v>
      </c>
      <c r="B103" s="151">
        <v>5665</v>
      </c>
      <c r="C103" s="94" t="s">
        <v>289</v>
      </c>
      <c r="D103" s="85"/>
      <c r="E103" s="85"/>
      <c r="F103" s="85">
        <f t="shared" si="13"/>
        <v>0</v>
      </c>
      <c r="G103" s="85"/>
      <c r="H103" s="85"/>
      <c r="I103" s="85">
        <f>F103*(1+INPUT!C$10)</f>
        <v>0</v>
      </c>
    </row>
    <row r="104" spans="1:9" s="285" customFormat="1" hidden="1" x14ac:dyDescent="0.25">
      <c r="A104" s="118">
        <v>22</v>
      </c>
      <c r="B104" s="151">
        <v>5670</v>
      </c>
      <c r="C104" s="94" t="s">
        <v>290</v>
      </c>
      <c r="D104" s="85"/>
      <c r="E104" s="85"/>
      <c r="F104" s="85">
        <f t="shared" si="13"/>
        <v>0</v>
      </c>
      <c r="G104" s="85"/>
      <c r="H104" s="85"/>
      <c r="I104" s="85">
        <f>F104*(1+INPUT!C$10)</f>
        <v>0</v>
      </c>
    </row>
    <row r="105" spans="1:9" s="285" customFormat="1" hidden="1" x14ac:dyDescent="0.25">
      <c r="A105" s="118">
        <v>22</v>
      </c>
      <c r="B105" s="151">
        <v>5675</v>
      </c>
      <c r="C105" s="94" t="s">
        <v>291</v>
      </c>
      <c r="D105" s="85"/>
      <c r="E105" s="85"/>
      <c r="F105" s="85">
        <f t="shared" si="13"/>
        <v>0</v>
      </c>
      <c r="G105" s="85"/>
      <c r="H105" s="85"/>
      <c r="I105" s="85">
        <f>F105*(1+INPUT!C$10)</f>
        <v>0</v>
      </c>
    </row>
    <row r="106" spans="1:9" s="285" customFormat="1" hidden="1" x14ac:dyDescent="0.25">
      <c r="A106" s="118">
        <v>22</v>
      </c>
      <c r="B106" s="151">
        <v>5680</v>
      </c>
      <c r="C106" s="94" t="s">
        <v>292</v>
      </c>
      <c r="D106" s="85"/>
      <c r="E106" s="85"/>
      <c r="F106" s="85">
        <f t="shared" si="13"/>
        <v>0</v>
      </c>
      <c r="G106" s="85"/>
      <c r="H106" s="85"/>
      <c r="I106" s="85">
        <f>F106*(1+INPUT!C$10)</f>
        <v>0</v>
      </c>
    </row>
    <row r="107" spans="1:9" s="285" customFormat="1" hidden="1" x14ac:dyDescent="0.25">
      <c r="A107" s="118">
        <v>22</v>
      </c>
      <c r="B107" s="151">
        <v>5685</v>
      </c>
      <c r="C107" s="94" t="s">
        <v>293</v>
      </c>
      <c r="D107" s="85"/>
      <c r="E107" s="85"/>
      <c r="F107" s="85">
        <f t="shared" si="13"/>
        <v>0</v>
      </c>
      <c r="G107" s="85"/>
      <c r="H107" s="85"/>
      <c r="I107" s="85">
        <f>F107*(1+INPUT!C$10)</f>
        <v>0</v>
      </c>
    </row>
    <row r="108" spans="1:9" s="285" customFormat="1" hidden="1" x14ac:dyDescent="0.25">
      <c r="A108" s="118">
        <v>22</v>
      </c>
      <c r="B108" s="151">
        <v>5690</v>
      </c>
      <c r="C108" s="94" t="s">
        <v>247</v>
      </c>
      <c r="D108" s="85"/>
      <c r="E108" s="85"/>
      <c r="F108" s="85">
        <f t="shared" si="13"/>
        <v>0</v>
      </c>
      <c r="G108" s="85"/>
      <c r="H108" s="85"/>
      <c r="I108" s="85">
        <f>F108*(1+INPUT!C$10)</f>
        <v>0</v>
      </c>
    </row>
    <row r="109" spans="1:9" s="285" customFormat="1" hidden="1" x14ac:dyDescent="0.25">
      <c r="A109" s="118">
        <v>22</v>
      </c>
      <c r="B109" s="151">
        <v>5695</v>
      </c>
      <c r="C109" s="94" t="s">
        <v>294</v>
      </c>
      <c r="D109" s="85"/>
      <c r="E109" s="85"/>
      <c r="F109" s="85">
        <f t="shared" si="13"/>
        <v>0</v>
      </c>
      <c r="G109" s="85"/>
      <c r="H109" s="85"/>
      <c r="I109" s="85">
        <f>F109*(1+INPUT!C$10)</f>
        <v>0</v>
      </c>
    </row>
    <row r="110" spans="1:9" s="285" customFormat="1" hidden="1" x14ac:dyDescent="0.25">
      <c r="A110" s="118">
        <v>22</v>
      </c>
      <c r="B110" s="151">
        <v>5700</v>
      </c>
      <c r="C110" s="94" t="s">
        <v>295</v>
      </c>
      <c r="D110" s="85"/>
      <c r="E110" s="85"/>
      <c r="F110" s="85">
        <f t="shared" si="13"/>
        <v>0</v>
      </c>
      <c r="G110" s="85"/>
      <c r="H110" s="85"/>
      <c r="I110" s="85">
        <f>F110*(1+INPUT!C$10)</f>
        <v>0</v>
      </c>
    </row>
    <row r="111" spans="1:9" s="285" customFormat="1" hidden="1" x14ac:dyDescent="0.25">
      <c r="A111" s="118">
        <v>22</v>
      </c>
      <c r="B111" s="151">
        <v>5710</v>
      </c>
      <c r="C111" s="94" t="s">
        <v>297</v>
      </c>
      <c r="D111" s="85"/>
      <c r="E111" s="85"/>
      <c r="F111" s="85">
        <f t="shared" si="13"/>
        <v>0</v>
      </c>
      <c r="G111" s="85"/>
      <c r="H111" s="85"/>
      <c r="I111" s="85">
        <f>F111*(1+INPUT!C$10)</f>
        <v>0</v>
      </c>
    </row>
    <row r="112" spans="1:9" s="285" customFormat="1" hidden="1" x14ac:dyDescent="0.25">
      <c r="A112" s="118">
        <v>22</v>
      </c>
      <c r="B112" s="151">
        <v>5715</v>
      </c>
      <c r="C112" s="94" t="s">
        <v>298</v>
      </c>
      <c r="D112" s="85"/>
      <c r="E112" s="85"/>
      <c r="F112" s="85">
        <f t="shared" si="13"/>
        <v>0</v>
      </c>
      <c r="G112" s="85"/>
      <c r="H112" s="85"/>
      <c r="I112" s="85">
        <f>F112*(1+INPUT!C$10)</f>
        <v>0</v>
      </c>
    </row>
    <row r="113" spans="1:9" s="285" customFormat="1" hidden="1" x14ac:dyDescent="0.25">
      <c r="A113" s="118">
        <v>22</v>
      </c>
      <c r="B113" s="151">
        <v>5720</v>
      </c>
      <c r="C113" s="94" t="s">
        <v>299</v>
      </c>
      <c r="D113" s="85"/>
      <c r="E113" s="85"/>
      <c r="F113" s="85">
        <f t="shared" si="13"/>
        <v>0</v>
      </c>
      <c r="G113" s="85"/>
      <c r="H113" s="85"/>
      <c r="I113" s="85">
        <f>F113*(1+INPUT!C$10)</f>
        <v>0</v>
      </c>
    </row>
    <row r="114" spans="1:9" s="285" customFormat="1" hidden="1" x14ac:dyDescent="0.25">
      <c r="A114" s="118">
        <v>22</v>
      </c>
      <c r="B114" s="151">
        <v>5730</v>
      </c>
      <c r="C114" s="94" t="s">
        <v>300</v>
      </c>
      <c r="D114" s="85"/>
      <c r="E114" s="85"/>
      <c r="F114" s="85">
        <f t="shared" si="13"/>
        <v>0</v>
      </c>
      <c r="G114" s="85"/>
      <c r="H114" s="85"/>
      <c r="I114" s="85">
        <f>F114*(1+INPUT!C$10)</f>
        <v>0</v>
      </c>
    </row>
    <row r="115" spans="1:9" s="285" customFormat="1" hidden="1" x14ac:dyDescent="0.25">
      <c r="A115" s="118">
        <v>22</v>
      </c>
      <c r="B115" s="151">
        <v>5735</v>
      </c>
      <c r="C115" s="94" t="s">
        <v>301</v>
      </c>
      <c r="D115" s="85"/>
      <c r="E115" s="85"/>
      <c r="F115" s="85">
        <f t="shared" si="13"/>
        <v>0</v>
      </c>
      <c r="G115" s="85"/>
      <c r="H115" s="85"/>
      <c r="I115" s="85">
        <f>F115*(1+INPUT!C$10)</f>
        <v>0</v>
      </c>
    </row>
    <row r="116" spans="1:9" s="285" customFormat="1" hidden="1" x14ac:dyDescent="0.25">
      <c r="A116" s="118">
        <v>22</v>
      </c>
      <c r="B116" s="151">
        <v>5740</v>
      </c>
      <c r="C116" s="94" t="s">
        <v>302</v>
      </c>
      <c r="D116" s="85"/>
      <c r="E116" s="85"/>
      <c r="F116" s="85">
        <f t="shared" si="13"/>
        <v>0</v>
      </c>
      <c r="G116" s="85"/>
      <c r="H116" s="85"/>
      <c r="I116" s="85">
        <f>F116*(1+INPUT!C$10)</f>
        <v>0</v>
      </c>
    </row>
    <row r="117" spans="1:9" s="285" customFormat="1" hidden="1" x14ac:dyDescent="0.25">
      <c r="A117" s="118">
        <v>22</v>
      </c>
      <c r="B117" s="151">
        <v>5745</v>
      </c>
      <c r="C117" s="94" t="s">
        <v>303</v>
      </c>
      <c r="D117" s="85"/>
      <c r="E117" s="85"/>
      <c r="F117" s="85">
        <f t="shared" si="13"/>
        <v>0</v>
      </c>
      <c r="G117" s="85"/>
      <c r="H117" s="85"/>
      <c r="I117" s="85">
        <f>F117*(1+INPUT!C$10)</f>
        <v>0</v>
      </c>
    </row>
    <row r="118" spans="1:9" s="285" customFormat="1" hidden="1" x14ac:dyDescent="0.25">
      <c r="A118" s="118">
        <v>22</v>
      </c>
      <c r="B118" s="151">
        <v>5750</v>
      </c>
      <c r="C118" s="94" t="s">
        <v>304</v>
      </c>
      <c r="D118" s="85"/>
      <c r="E118" s="85"/>
      <c r="F118" s="85">
        <f t="shared" si="13"/>
        <v>0</v>
      </c>
      <c r="G118" s="85"/>
      <c r="H118" s="85"/>
      <c r="I118" s="85">
        <f>F118*(1+INPUT!C$10)</f>
        <v>0</v>
      </c>
    </row>
    <row r="119" spans="1:9" s="285" customFormat="1" hidden="1" x14ac:dyDescent="0.25">
      <c r="A119" s="118">
        <v>22</v>
      </c>
      <c r="B119" s="151">
        <v>5755</v>
      </c>
      <c r="C119" s="94" t="s">
        <v>305</v>
      </c>
      <c r="D119" s="85"/>
      <c r="E119" s="85"/>
      <c r="F119" s="85">
        <f t="shared" si="13"/>
        <v>0</v>
      </c>
      <c r="G119" s="85"/>
      <c r="H119" s="85"/>
      <c r="I119" s="85">
        <f>F119*(1+INPUT!C$10)</f>
        <v>0</v>
      </c>
    </row>
    <row r="120" spans="1:9" s="285" customFormat="1" ht="12" hidden="1" customHeight="1" x14ac:dyDescent="0.25">
      <c r="A120" s="118">
        <v>22</v>
      </c>
      <c r="B120" s="151">
        <v>5760</v>
      </c>
      <c r="C120" s="94" t="s">
        <v>306</v>
      </c>
      <c r="D120" s="85"/>
      <c r="E120" s="85"/>
      <c r="F120" s="85">
        <f t="shared" si="13"/>
        <v>0</v>
      </c>
      <c r="G120" s="85"/>
      <c r="H120" s="85"/>
      <c r="I120" s="85">
        <f>F120*(1+INPUT!C$10)</f>
        <v>0</v>
      </c>
    </row>
    <row r="121" spans="1:9" s="285" customFormat="1" hidden="1" x14ac:dyDescent="0.25">
      <c r="A121" s="118">
        <v>22</v>
      </c>
      <c r="B121" s="151">
        <v>5765</v>
      </c>
      <c r="C121" s="94" t="s">
        <v>307</v>
      </c>
      <c r="D121" s="85"/>
      <c r="E121" s="85"/>
      <c r="F121" s="85">
        <f t="shared" si="13"/>
        <v>0</v>
      </c>
      <c r="G121" s="85"/>
      <c r="H121" s="85"/>
      <c r="I121" s="85">
        <f>F121*(1+INPUT!C$10)</f>
        <v>0</v>
      </c>
    </row>
    <row r="122" spans="1:9" s="285" customFormat="1" hidden="1" x14ac:dyDescent="0.25">
      <c r="A122" s="118">
        <v>22</v>
      </c>
      <c r="B122" s="151">
        <v>5770</v>
      </c>
      <c r="C122" s="94" t="s">
        <v>308</v>
      </c>
      <c r="D122" s="85"/>
      <c r="E122" s="85"/>
      <c r="F122" s="85">
        <f t="shared" si="13"/>
        <v>0</v>
      </c>
      <c r="G122" s="85"/>
      <c r="H122" s="85"/>
      <c r="I122" s="85">
        <f>F122*(1+INPUT!C$10)</f>
        <v>0</v>
      </c>
    </row>
    <row r="123" spans="1:9" s="285" customFormat="1" hidden="1" x14ac:dyDescent="0.25">
      <c r="A123" s="118">
        <v>22</v>
      </c>
      <c r="B123" s="151">
        <v>5775</v>
      </c>
      <c r="C123" s="94" t="s">
        <v>309</v>
      </c>
      <c r="D123" s="85"/>
      <c r="E123" s="85"/>
      <c r="F123" s="85">
        <f t="shared" si="13"/>
        <v>0</v>
      </c>
      <c r="G123" s="85"/>
      <c r="H123" s="85"/>
      <c r="I123" s="85">
        <f>F123*(1+INPUT!C$10)</f>
        <v>0</v>
      </c>
    </row>
    <row r="124" spans="1:9" s="285" customFormat="1" hidden="1" x14ac:dyDescent="0.25">
      <c r="A124" s="118">
        <v>22</v>
      </c>
      <c r="B124" s="151">
        <v>5780</v>
      </c>
      <c r="C124" s="94" t="s">
        <v>310</v>
      </c>
      <c r="D124" s="85"/>
      <c r="E124" s="85"/>
      <c r="F124" s="85">
        <f t="shared" si="13"/>
        <v>0</v>
      </c>
      <c r="G124" s="85"/>
      <c r="H124" s="85"/>
      <c r="I124" s="85">
        <f>F124*(1+INPUT!C$10)</f>
        <v>0</v>
      </c>
    </row>
    <row r="125" spans="1:9" s="285" customFormat="1" hidden="1" x14ac:dyDescent="0.25">
      <c r="A125" s="118">
        <v>22</v>
      </c>
      <c r="B125" s="151">
        <v>5785</v>
      </c>
      <c r="C125" s="94" t="s">
        <v>311</v>
      </c>
      <c r="D125" s="85"/>
      <c r="E125" s="85"/>
      <c r="F125" s="85">
        <f t="shared" si="13"/>
        <v>0</v>
      </c>
      <c r="G125" s="85"/>
      <c r="H125" s="85"/>
      <c r="I125" s="85">
        <f>F125*(1+INPUT!C$10)</f>
        <v>0</v>
      </c>
    </row>
    <row r="126" spans="1:9" s="285" customFormat="1" hidden="1" x14ac:dyDescent="0.25">
      <c r="A126" s="118">
        <v>22</v>
      </c>
      <c r="B126" s="151">
        <v>5790</v>
      </c>
      <c r="C126" s="94" t="s">
        <v>312</v>
      </c>
      <c r="D126" s="85"/>
      <c r="E126" s="85"/>
      <c r="F126" s="85">
        <f t="shared" si="13"/>
        <v>0</v>
      </c>
      <c r="G126" s="85"/>
      <c r="H126" s="85"/>
      <c r="I126" s="85">
        <f>F126*(1+INPUT!C$10)</f>
        <v>0</v>
      </c>
    </row>
    <row r="127" spans="1:9" s="285" customFormat="1" hidden="1" x14ac:dyDescent="0.25">
      <c r="A127" s="118">
        <v>22</v>
      </c>
      <c r="B127" s="151">
        <v>5795</v>
      </c>
      <c r="C127" s="94" t="s">
        <v>313</v>
      </c>
      <c r="D127" s="85"/>
      <c r="E127" s="85"/>
      <c r="F127" s="85">
        <f t="shared" si="13"/>
        <v>0</v>
      </c>
      <c r="G127" s="85"/>
      <c r="H127" s="85"/>
      <c r="I127" s="85">
        <f>F127*(1+INPUT!C$10)</f>
        <v>0</v>
      </c>
    </row>
    <row r="128" spans="1:9" s="285" customFormat="1" hidden="1" x14ac:dyDescent="0.25">
      <c r="A128" s="118">
        <v>22</v>
      </c>
      <c r="B128" s="151">
        <v>5800</v>
      </c>
      <c r="C128" s="94" t="s">
        <v>314</v>
      </c>
      <c r="D128" s="85"/>
      <c r="E128" s="85"/>
      <c r="F128" s="85">
        <f t="shared" si="13"/>
        <v>0</v>
      </c>
      <c r="G128" s="85"/>
      <c r="H128" s="85"/>
      <c r="I128" s="85">
        <f>F128*(1+INPUT!C$10)</f>
        <v>0</v>
      </c>
    </row>
    <row r="129" spans="1:9" s="285" customFormat="1" hidden="1" x14ac:dyDescent="0.25">
      <c r="A129" s="118">
        <v>22</v>
      </c>
      <c r="B129" s="151">
        <v>5805</v>
      </c>
      <c r="C129" s="94" t="s">
        <v>315</v>
      </c>
      <c r="D129" s="85"/>
      <c r="E129" s="85"/>
      <c r="F129" s="85">
        <f t="shared" si="13"/>
        <v>0</v>
      </c>
      <c r="G129" s="85"/>
      <c r="H129" s="85"/>
      <c r="I129" s="85">
        <f>F129*(1+INPUT!C$10)</f>
        <v>0</v>
      </c>
    </row>
    <row r="130" spans="1:9" s="285" customFormat="1" hidden="1" x14ac:dyDescent="0.25">
      <c r="A130" s="118">
        <v>22</v>
      </c>
      <c r="B130" s="151">
        <v>5810</v>
      </c>
      <c r="C130" s="94" t="s">
        <v>316</v>
      </c>
      <c r="D130" s="85"/>
      <c r="E130" s="85"/>
      <c r="F130" s="85">
        <f t="shared" si="13"/>
        <v>0</v>
      </c>
      <c r="G130" s="85"/>
      <c r="H130" s="85"/>
      <c r="I130" s="85">
        <f>F130*(1+INPUT!C$10)</f>
        <v>0</v>
      </c>
    </row>
    <row r="131" spans="1:9" s="285" customFormat="1" hidden="1" x14ac:dyDescent="0.25">
      <c r="A131" s="118">
        <v>22</v>
      </c>
      <c r="B131" s="151">
        <v>5815</v>
      </c>
      <c r="C131" s="94" t="s">
        <v>99</v>
      </c>
      <c r="D131" s="85"/>
      <c r="E131" s="85"/>
      <c r="F131" s="85">
        <f t="shared" si="13"/>
        <v>0</v>
      </c>
      <c r="G131" s="85"/>
      <c r="H131" s="85"/>
      <c r="I131" s="85">
        <f>F131*(1+INPUT!C$10)</f>
        <v>0</v>
      </c>
    </row>
    <row r="132" spans="1:9" s="285" customFormat="1" hidden="1" x14ac:dyDescent="0.25">
      <c r="A132" s="118">
        <v>22</v>
      </c>
      <c r="B132" s="151">
        <v>5820</v>
      </c>
      <c r="C132" s="94" t="s">
        <v>114</v>
      </c>
      <c r="D132" s="86"/>
      <c r="E132" s="85"/>
      <c r="F132" s="85">
        <f t="shared" si="13"/>
        <v>0</v>
      </c>
      <c r="G132" s="85"/>
      <c r="H132" s="85"/>
      <c r="I132" s="85">
        <f>F132*(1+INPUT!C$10)</f>
        <v>0</v>
      </c>
    </row>
    <row r="133" spans="1:9" s="285" customFormat="1" hidden="1" x14ac:dyDescent="0.25">
      <c r="A133" s="118">
        <v>22</v>
      </c>
      <c r="B133" s="151">
        <v>5825</v>
      </c>
      <c r="C133" s="94" t="s">
        <v>317</v>
      </c>
      <c r="D133" s="86"/>
      <c r="E133" s="85"/>
      <c r="F133" s="85">
        <f t="shared" ref="F133:F145" si="14">0/8*12</f>
        <v>0</v>
      </c>
      <c r="G133" s="85"/>
      <c r="H133" s="85"/>
      <c r="I133" s="85">
        <f>F133*(1+INPUT!C$10)</f>
        <v>0</v>
      </c>
    </row>
    <row r="134" spans="1:9" s="285" customFormat="1" hidden="1" x14ac:dyDescent="0.25">
      <c r="A134" s="118">
        <v>22</v>
      </c>
      <c r="B134" s="151">
        <v>5830</v>
      </c>
      <c r="C134" s="94" t="s">
        <v>318</v>
      </c>
      <c r="D134" s="86"/>
      <c r="E134" s="85"/>
      <c r="F134" s="85">
        <f t="shared" si="14"/>
        <v>0</v>
      </c>
      <c r="G134" s="85"/>
      <c r="H134" s="85"/>
      <c r="I134" s="85">
        <f>F134*(1+INPUT!C$10)</f>
        <v>0</v>
      </c>
    </row>
    <row r="135" spans="1:9" s="285" customFormat="1" hidden="1" x14ac:dyDescent="0.25">
      <c r="A135" s="118">
        <v>22</v>
      </c>
      <c r="B135" s="151">
        <v>5835</v>
      </c>
      <c r="C135" s="94" t="s">
        <v>319</v>
      </c>
      <c r="D135" s="86"/>
      <c r="E135" s="85"/>
      <c r="F135" s="85">
        <f t="shared" si="14"/>
        <v>0</v>
      </c>
      <c r="G135" s="85"/>
      <c r="H135" s="85"/>
      <c r="I135" s="85">
        <f>F135*(1+INPUT!C$10)</f>
        <v>0</v>
      </c>
    </row>
    <row r="136" spans="1:9" s="285" customFormat="1" hidden="1" x14ac:dyDescent="0.25">
      <c r="A136" s="118">
        <v>22</v>
      </c>
      <c r="B136" s="151">
        <v>5840</v>
      </c>
      <c r="C136" s="94" t="s">
        <v>332</v>
      </c>
      <c r="D136" s="115"/>
      <c r="E136" s="85"/>
      <c r="F136" s="85">
        <f t="shared" si="14"/>
        <v>0</v>
      </c>
      <c r="G136" s="85"/>
      <c r="H136" s="85"/>
      <c r="I136" s="85">
        <f>F136*(1+INPUT!C$10)</f>
        <v>0</v>
      </c>
    </row>
    <row r="137" spans="1:9" s="285" customFormat="1" hidden="1" x14ac:dyDescent="0.25">
      <c r="A137" s="118">
        <v>22</v>
      </c>
      <c r="B137" s="151">
        <v>5845</v>
      </c>
      <c r="C137" s="94" t="s">
        <v>320</v>
      </c>
      <c r="D137" s="86"/>
      <c r="E137" s="85"/>
      <c r="F137" s="85">
        <f t="shared" si="14"/>
        <v>0</v>
      </c>
      <c r="G137" s="85"/>
      <c r="H137" s="85"/>
      <c r="I137" s="85">
        <f>F137*(1+INPUT!C$10)</f>
        <v>0</v>
      </c>
    </row>
    <row r="138" spans="1:9" s="285" customFormat="1" hidden="1" x14ac:dyDescent="0.25">
      <c r="A138" s="118">
        <v>22</v>
      </c>
      <c r="B138" s="151">
        <v>5855</v>
      </c>
      <c r="C138" s="94" t="s">
        <v>321</v>
      </c>
      <c r="D138" s="85"/>
      <c r="E138" s="85"/>
      <c r="F138" s="85">
        <f t="shared" si="14"/>
        <v>0</v>
      </c>
      <c r="G138" s="85"/>
      <c r="H138" s="85"/>
      <c r="I138" s="85">
        <f>F138*(1+INPUT!C$10)</f>
        <v>0</v>
      </c>
    </row>
    <row r="139" spans="1:9" s="285" customFormat="1" hidden="1" x14ac:dyDescent="0.25">
      <c r="A139" s="118">
        <v>22</v>
      </c>
      <c r="B139" s="151">
        <v>5860</v>
      </c>
      <c r="C139" s="94" t="s">
        <v>322</v>
      </c>
      <c r="D139" s="85"/>
      <c r="E139" s="85"/>
      <c r="F139" s="85">
        <f t="shared" si="14"/>
        <v>0</v>
      </c>
      <c r="G139" s="85"/>
      <c r="H139" s="85"/>
      <c r="I139" s="85">
        <f>F139*(1+INPUT!C$10)</f>
        <v>0</v>
      </c>
    </row>
    <row r="140" spans="1:9" s="285" customFormat="1" hidden="1" x14ac:dyDescent="0.25">
      <c r="A140" s="118">
        <v>22</v>
      </c>
      <c r="B140" s="151">
        <v>5865</v>
      </c>
      <c r="C140" s="94" t="s">
        <v>323</v>
      </c>
      <c r="D140" s="85"/>
      <c r="E140" s="85"/>
      <c r="F140" s="85">
        <f t="shared" si="14"/>
        <v>0</v>
      </c>
      <c r="G140" s="85"/>
      <c r="H140" s="85"/>
      <c r="I140" s="85">
        <f>F140*(1+INPUT!C$10)</f>
        <v>0</v>
      </c>
    </row>
    <row r="141" spans="1:9" s="285" customFormat="1" hidden="1" x14ac:dyDescent="0.25">
      <c r="A141" s="118">
        <v>22</v>
      </c>
      <c r="B141" s="151">
        <v>5870</v>
      </c>
      <c r="C141" s="94" t="s">
        <v>324</v>
      </c>
      <c r="D141" s="85"/>
      <c r="E141" s="85"/>
      <c r="F141" s="85">
        <f t="shared" si="14"/>
        <v>0</v>
      </c>
      <c r="G141" s="85"/>
      <c r="H141" s="85"/>
      <c r="I141" s="85">
        <f>F141*(1+INPUT!C$10)</f>
        <v>0</v>
      </c>
    </row>
    <row r="142" spans="1:9" s="285" customFormat="1" hidden="1" x14ac:dyDescent="0.25">
      <c r="A142" s="118">
        <v>22</v>
      </c>
      <c r="B142" s="151">
        <v>5875</v>
      </c>
      <c r="C142" s="94" t="s">
        <v>325</v>
      </c>
      <c r="D142" s="85"/>
      <c r="E142" s="85"/>
      <c r="F142" s="85">
        <f t="shared" si="14"/>
        <v>0</v>
      </c>
      <c r="G142" s="85"/>
      <c r="H142" s="85"/>
      <c r="I142" s="85">
        <f>F142*(1+INPUT!C$10)</f>
        <v>0</v>
      </c>
    </row>
    <row r="143" spans="1:9" s="285" customFormat="1" hidden="1" x14ac:dyDescent="0.25">
      <c r="A143" s="118">
        <v>22</v>
      </c>
      <c r="B143" s="151">
        <v>5880</v>
      </c>
      <c r="C143" s="94" t="s">
        <v>326</v>
      </c>
      <c r="D143" s="85"/>
      <c r="E143" s="85"/>
      <c r="F143" s="85">
        <f t="shared" si="14"/>
        <v>0</v>
      </c>
      <c r="G143" s="85"/>
      <c r="H143" s="85"/>
      <c r="I143" s="85">
        <f>F143*(1+INPUT!C$10)</f>
        <v>0</v>
      </c>
    </row>
    <row r="144" spans="1:9" s="285" customFormat="1" hidden="1" x14ac:dyDescent="0.25">
      <c r="A144" s="118">
        <v>22</v>
      </c>
      <c r="B144" s="151">
        <v>5885</v>
      </c>
      <c r="C144" s="94" t="s">
        <v>331</v>
      </c>
      <c r="D144" s="85"/>
      <c r="E144" s="85"/>
      <c r="F144" s="85">
        <f t="shared" si="14"/>
        <v>0</v>
      </c>
      <c r="G144" s="85"/>
      <c r="H144" s="85"/>
      <c r="I144" s="85">
        <f>F144*(1+INPUT!C$10)</f>
        <v>0</v>
      </c>
    </row>
    <row r="145" spans="1:9" s="285" customFormat="1" hidden="1" x14ac:dyDescent="0.25">
      <c r="A145" s="118">
        <v>22</v>
      </c>
      <c r="B145" s="151">
        <v>5890</v>
      </c>
      <c r="C145" s="94" t="s">
        <v>327</v>
      </c>
      <c r="D145" s="85"/>
      <c r="E145" s="85"/>
      <c r="F145" s="85">
        <f t="shared" si="14"/>
        <v>0</v>
      </c>
      <c r="G145" s="85"/>
      <c r="H145" s="85"/>
      <c r="I145" s="85">
        <f>F145*(1+INPUT!C$10)</f>
        <v>0</v>
      </c>
    </row>
    <row r="146" spans="1:9" s="285" customFormat="1" x14ac:dyDescent="0.25">
      <c r="A146" s="118">
        <v>22</v>
      </c>
      <c r="B146" s="151">
        <v>5895</v>
      </c>
      <c r="C146" s="94" t="s">
        <v>410</v>
      </c>
      <c r="D146" s="85">
        <v>315789</v>
      </c>
      <c r="E146" s="85">
        <v>2100000</v>
      </c>
      <c r="F146" s="85">
        <v>2100000</v>
      </c>
      <c r="G146" s="85">
        <v>300000</v>
      </c>
      <c r="H146" s="85">
        <f>(G146*0.1)+G146</f>
        <v>330000</v>
      </c>
      <c r="I146" s="85">
        <f>(H146*0.1)+H146</f>
        <v>363000</v>
      </c>
    </row>
    <row r="147" spans="1:9" s="285" customFormat="1" hidden="1" x14ac:dyDescent="0.25">
      <c r="A147" s="118">
        <v>22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85"/>
      <c r="H147" s="85"/>
      <c r="I147" s="85">
        <f>F147*(1+INPUT!C$10)</f>
        <v>0</v>
      </c>
    </row>
    <row r="148" spans="1:9" s="285" customFormat="1" x14ac:dyDescent="0.25">
      <c r="A148" s="344"/>
      <c r="B148" s="151"/>
      <c r="C148" s="94"/>
      <c r="D148" s="89">
        <f t="shared" ref="D148:I148" si="15">SUM(D72:D147)</f>
        <v>315789</v>
      </c>
      <c r="E148" s="89">
        <f t="shared" si="15"/>
        <v>2100000</v>
      </c>
      <c r="F148" s="89">
        <f t="shared" si="15"/>
        <v>2100000</v>
      </c>
      <c r="G148" s="89">
        <f t="shared" si="15"/>
        <v>300000</v>
      </c>
      <c r="H148" s="89">
        <f t="shared" ref="H148" si="16">SUM(H72:H147)</f>
        <v>330000</v>
      </c>
      <c r="I148" s="89">
        <f t="shared" si="15"/>
        <v>363000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22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85"/>
      <c r="H150" s="85">
        <f>0/8*12</f>
        <v>0</v>
      </c>
      <c r="I150" s="108">
        <f>F150*(1+INPUT!C$10)</f>
        <v>0</v>
      </c>
    </row>
    <row r="151" spans="1:9" s="285" customFormat="1" x14ac:dyDescent="0.25">
      <c r="A151" s="344"/>
      <c r="B151" s="151"/>
      <c r="C151" s="94"/>
      <c r="D151" s="89">
        <f t="shared" ref="D151:I151" si="17">SUM(D150)</f>
        <v>0</v>
      </c>
      <c r="E151" s="89">
        <f t="shared" si="17"/>
        <v>0</v>
      </c>
      <c r="F151" s="89">
        <f t="shared" si="17"/>
        <v>0</v>
      </c>
      <c r="G151" s="89"/>
      <c r="H151" s="89">
        <f t="shared" ref="H151" si="18">SUM(H150)</f>
        <v>0</v>
      </c>
      <c r="I151" s="89">
        <f t="shared" si="17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22</v>
      </c>
      <c r="B153" s="151">
        <v>6105</v>
      </c>
      <c r="C153" s="94" t="s">
        <v>336</v>
      </c>
      <c r="D153" s="85"/>
      <c r="E153" s="108"/>
      <c r="F153" s="85">
        <f t="shared" ref="F153:H155" si="19">0/8*12</f>
        <v>0</v>
      </c>
      <c r="G153" s="85"/>
      <c r="H153" s="85">
        <f t="shared" si="19"/>
        <v>0</v>
      </c>
      <c r="I153" s="108">
        <f>F153*(1+INPUT!C$10)</f>
        <v>0</v>
      </c>
    </row>
    <row r="154" spans="1:9" s="285" customFormat="1" x14ac:dyDescent="0.25">
      <c r="A154" s="118">
        <v>22</v>
      </c>
      <c r="B154" s="151">
        <v>6110</v>
      </c>
      <c r="C154" s="94" t="s">
        <v>337</v>
      </c>
      <c r="D154" s="85"/>
      <c r="E154" s="108"/>
      <c r="F154" s="85">
        <f t="shared" si="19"/>
        <v>0</v>
      </c>
      <c r="G154" s="85"/>
      <c r="H154" s="85">
        <f t="shared" si="19"/>
        <v>0</v>
      </c>
      <c r="I154" s="108">
        <f>F154*(1+INPUT!C$10)</f>
        <v>0</v>
      </c>
    </row>
    <row r="155" spans="1:9" s="285" customFormat="1" x14ac:dyDescent="0.25">
      <c r="A155" s="118">
        <v>22</v>
      </c>
      <c r="B155" s="151">
        <v>6115</v>
      </c>
      <c r="C155" s="94" t="s">
        <v>60</v>
      </c>
      <c r="D155" s="85"/>
      <c r="E155" s="108"/>
      <c r="F155" s="85">
        <f t="shared" si="19"/>
        <v>0</v>
      </c>
      <c r="G155" s="85"/>
      <c r="H155" s="85">
        <f t="shared" si="19"/>
        <v>0</v>
      </c>
      <c r="I155" s="108">
        <f>F155*(1+INPUT!C$10)</f>
        <v>0</v>
      </c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:I156" si="20">SUM(E153:E155)</f>
        <v>0</v>
      </c>
      <c r="F156" s="89">
        <f t="shared" si="20"/>
        <v>0</v>
      </c>
      <c r="G156" s="89"/>
      <c r="H156" s="89">
        <f t="shared" si="20"/>
        <v>0</v>
      </c>
      <c r="I156" s="89">
        <f t="shared" si="20"/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x14ac:dyDescent="0.25">
      <c r="A158" s="118">
        <v>22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>
        <f>0/8*12</f>
        <v>0</v>
      </c>
      <c r="I158" s="85">
        <f>F158*(1+INPUT!C$10)</f>
        <v>0</v>
      </c>
    </row>
    <row r="159" spans="1:9" s="285" customFormat="1" x14ac:dyDescent="0.25">
      <c r="A159" s="118">
        <v>22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>
        <f>0/8*12</f>
        <v>0</v>
      </c>
      <c r="I159" s="85">
        <f>F159*(1+INPUT!C$10)</f>
        <v>0</v>
      </c>
    </row>
    <row r="160" spans="1:9" s="285" customFormat="1" x14ac:dyDescent="0.25">
      <c r="A160" s="344"/>
      <c r="B160" s="346"/>
      <c r="C160" s="347"/>
      <c r="D160" s="116">
        <f t="shared" ref="D160:I160" si="21">SUM(D158:D159)</f>
        <v>0</v>
      </c>
      <c r="E160" s="116">
        <f t="shared" si="21"/>
        <v>0</v>
      </c>
      <c r="F160" s="116">
        <f t="shared" si="21"/>
        <v>0</v>
      </c>
      <c r="G160" s="116"/>
      <c r="H160" s="116">
        <f t="shared" ref="H160" si="22">SUM(H158:H159)</f>
        <v>0</v>
      </c>
      <c r="I160" s="116">
        <f t="shared" si="21"/>
        <v>0</v>
      </c>
    </row>
    <row r="161" spans="1:9" s="285" customFormat="1" x14ac:dyDescent="0.25">
      <c r="A161" s="344"/>
      <c r="B161" s="346"/>
      <c r="C161" s="93" t="s">
        <v>189</v>
      </c>
      <c r="D161" s="116">
        <f>+D148+D32</f>
        <v>315789</v>
      </c>
      <c r="E161" s="116">
        <f t="shared" ref="E161:I161" si="23">E160+E156+E151+E148+E70+E66+E63+E59+E38+E35+E32+E29+E25+E18</f>
        <v>6471462.1299999999</v>
      </c>
      <c r="F161" s="116">
        <f t="shared" si="23"/>
        <v>2171462.13</v>
      </c>
      <c r="G161" s="116">
        <f t="shared" si="23"/>
        <v>378608.34299999988</v>
      </c>
      <c r="H161" s="116">
        <f t="shared" si="23"/>
        <v>416469.17729999986</v>
      </c>
      <c r="I161" s="116">
        <f t="shared" si="23"/>
        <v>458116.09502999985</v>
      </c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x14ac:dyDescent="0.25">
      <c r="A163" s="118">
        <v>22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85"/>
      <c r="H163" s="85">
        <f>0/8*12</f>
        <v>0</v>
      </c>
      <c r="I163" s="85"/>
    </row>
    <row r="164" spans="1:9" s="285" customFormat="1" x14ac:dyDescent="0.25">
      <c r="A164" s="344"/>
      <c r="B164" s="151"/>
      <c r="C164" s="94"/>
      <c r="D164" s="116">
        <f t="shared" ref="D164:I164" si="24">D163</f>
        <v>0</v>
      </c>
      <c r="E164" s="116">
        <f t="shared" si="24"/>
        <v>0</v>
      </c>
      <c r="F164" s="116">
        <f t="shared" si="24"/>
        <v>0</v>
      </c>
      <c r="G164" s="116"/>
      <c r="H164" s="116">
        <f t="shared" ref="H164" si="25">H163</f>
        <v>0</v>
      </c>
      <c r="I164" s="116">
        <f t="shared" si="24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26">SUM(D161+D164)</f>
        <v>315789</v>
      </c>
      <c r="E165" s="160">
        <f t="shared" si="26"/>
        <v>6471462.1299999999</v>
      </c>
      <c r="F165" s="160">
        <f t="shared" si="26"/>
        <v>2171462.13</v>
      </c>
      <c r="G165" s="160">
        <f t="shared" si="26"/>
        <v>378608.34299999988</v>
      </c>
      <c r="H165" s="160">
        <f t="shared" si="26"/>
        <v>416469.17729999986</v>
      </c>
      <c r="I165" s="160">
        <f t="shared" si="26"/>
        <v>458116.09502999985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9" t="s">
        <v>549</v>
      </c>
      <c r="C168" s="719"/>
      <c r="D168" s="720"/>
      <c r="E168" s="338"/>
      <c r="F168" s="338"/>
      <c r="G168" s="425"/>
      <c r="H168" s="338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x14ac:dyDescent="0.25">
      <c r="A172" s="118">
        <v>22</v>
      </c>
      <c r="B172" s="151">
        <v>1237</v>
      </c>
      <c r="C172" s="94" t="s">
        <v>99</v>
      </c>
      <c r="D172" s="122">
        <v>9799353</v>
      </c>
      <c r="E172" s="108">
        <v>15629144.962800002</v>
      </c>
      <c r="F172" s="85">
        <v>19629144.962800004</v>
      </c>
      <c r="G172" s="85">
        <f>(F172*0.1)+F172</f>
        <v>21592059.459080003</v>
      </c>
      <c r="H172" s="85">
        <f t="shared" ref="H172:I173" si="27">(G172*0.1)+G172</f>
        <v>23751265.404988002</v>
      </c>
      <c r="I172" s="85">
        <f t="shared" si="27"/>
        <v>26126391.945486803</v>
      </c>
    </row>
    <row r="173" spans="1:9" s="285" customFormat="1" x14ac:dyDescent="0.25">
      <c r="A173" s="118">
        <v>22</v>
      </c>
      <c r="B173" s="151">
        <v>5725</v>
      </c>
      <c r="C173" s="94" t="s">
        <v>402</v>
      </c>
      <c r="D173" s="85">
        <v>-1557928</v>
      </c>
      <c r="E173" s="85">
        <v>-4648694.5370400008</v>
      </c>
      <c r="F173" s="85">
        <v>-3348694.5370400008</v>
      </c>
      <c r="G173" s="85">
        <f>(F173*0.1)+F173</f>
        <v>-3683563.9907440008</v>
      </c>
      <c r="H173" s="85">
        <f t="shared" si="27"/>
        <v>-4051920.3898184011</v>
      </c>
      <c r="I173" s="85">
        <f t="shared" si="27"/>
        <v>-4457112.4288002411</v>
      </c>
    </row>
    <row r="174" spans="1:9" s="285" customFormat="1" x14ac:dyDescent="0.25">
      <c r="A174" s="344"/>
      <c r="B174" s="151"/>
      <c r="C174" s="94"/>
      <c r="D174" s="99">
        <f>SUM(D172:D173)</f>
        <v>8241425</v>
      </c>
      <c r="E174" s="99">
        <f>SUM(E172:E173)</f>
        <v>10980450.425760001</v>
      </c>
      <c r="F174" s="99">
        <f t="shared" ref="F174:I174" si="28">SUM(F172:F173)</f>
        <v>16280450.425760003</v>
      </c>
      <c r="G174" s="99">
        <f t="shared" si="28"/>
        <v>17908495.468336001</v>
      </c>
      <c r="H174" s="99">
        <f t="shared" si="28"/>
        <v>19699345.015169602</v>
      </c>
      <c r="I174" s="99">
        <f t="shared" si="28"/>
        <v>21669279.516686562</v>
      </c>
    </row>
    <row r="175" spans="1:9" s="285" customFormat="1" hidden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22</v>
      </c>
      <c r="B176" s="151">
        <v>1147</v>
      </c>
      <c r="C176" s="94" t="s">
        <v>102</v>
      </c>
      <c r="D176" s="122"/>
      <c r="E176" s="98"/>
      <c r="F176" s="98">
        <f t="shared" ref="F176:F178" si="29">E176/8*12</f>
        <v>0</v>
      </c>
      <c r="G176" s="98"/>
      <c r="H176" s="98">
        <f>F176/8*12</f>
        <v>0</v>
      </c>
      <c r="I176" s="98">
        <f>F176*(1+INPUT!C18)</f>
        <v>0</v>
      </c>
    </row>
    <row r="177" spans="1:9" s="285" customFormat="1" hidden="1" x14ac:dyDescent="0.25">
      <c r="A177" s="118">
        <v>22</v>
      </c>
      <c r="B177" s="151">
        <v>1202</v>
      </c>
      <c r="C177" s="94" t="s">
        <v>343</v>
      </c>
      <c r="D177" s="122"/>
      <c r="E177" s="98"/>
      <c r="F177" s="98">
        <f t="shared" si="29"/>
        <v>0</v>
      </c>
      <c r="G177" s="98"/>
      <c r="H177" s="98">
        <f>F177/8*12</f>
        <v>0</v>
      </c>
      <c r="I177" s="98">
        <f>F177*(1+INPUT!C19)</f>
        <v>0</v>
      </c>
    </row>
    <row r="178" spans="1:9" s="285" customFormat="1" hidden="1" x14ac:dyDescent="0.25">
      <c r="A178" s="118">
        <v>22</v>
      </c>
      <c r="B178" s="151">
        <v>1207</v>
      </c>
      <c r="C178" s="94" t="s">
        <v>104</v>
      </c>
      <c r="D178" s="122"/>
      <c r="E178" s="98"/>
      <c r="F178" s="98">
        <f t="shared" si="29"/>
        <v>0</v>
      </c>
      <c r="G178" s="98"/>
      <c r="H178" s="98">
        <f>F178/8*12</f>
        <v>0</v>
      </c>
      <c r="I178" s="98">
        <f>F178*(1+INPUT!C20)</f>
        <v>0</v>
      </c>
    </row>
    <row r="179" spans="1:9" s="285" customFormat="1" hidden="1" x14ac:dyDescent="0.25">
      <c r="A179" s="118">
        <v>22</v>
      </c>
      <c r="B179" s="151">
        <v>1153</v>
      </c>
      <c r="C179" s="94" t="s">
        <v>115</v>
      </c>
      <c r="D179" s="122"/>
      <c r="E179" s="98"/>
      <c r="F179" s="98">
        <f t="shared" ref="F179:F203" si="30">E179/8*12</f>
        <v>0</v>
      </c>
      <c r="G179" s="98"/>
      <c r="H179" s="98">
        <f>F179/8*12</f>
        <v>0</v>
      </c>
      <c r="I179" s="98">
        <f>F179*(1+INPUT!C21)</f>
        <v>0</v>
      </c>
    </row>
    <row r="180" spans="1:9" s="285" customFormat="1" hidden="1" x14ac:dyDescent="0.25">
      <c r="A180" s="118">
        <v>22</v>
      </c>
      <c r="B180" s="151">
        <v>1143</v>
      </c>
      <c r="C180" s="94" t="s">
        <v>109</v>
      </c>
      <c r="D180" s="122"/>
      <c r="E180" s="98"/>
      <c r="F180" s="98">
        <f t="shared" si="30"/>
        <v>0</v>
      </c>
      <c r="G180" s="98"/>
      <c r="H180" s="98">
        <f>F180/8*12</f>
        <v>0</v>
      </c>
      <c r="I180" s="98">
        <f>F180*(1+INPUT!C22)</f>
        <v>0</v>
      </c>
    </row>
    <row r="181" spans="1:9" s="285" customFormat="1" hidden="1" x14ac:dyDescent="0.25">
      <c r="A181" s="118">
        <v>22</v>
      </c>
      <c r="B181" s="151">
        <v>5500</v>
      </c>
      <c r="C181" s="94" t="s">
        <v>266</v>
      </c>
      <c r="D181" s="85"/>
      <c r="E181" s="85">
        <v>0</v>
      </c>
      <c r="F181" s="85">
        <f>(0/8*12)*-1</f>
        <v>0</v>
      </c>
      <c r="G181" s="85"/>
      <c r="H181" s="85">
        <f>(0/8*12)*-1</f>
        <v>0</v>
      </c>
      <c r="I181" s="85">
        <f>F181*(1+INPUT!C$10)</f>
        <v>0</v>
      </c>
    </row>
    <row r="182" spans="1:9" s="285" customFormat="1" hidden="1" x14ac:dyDescent="0.25">
      <c r="A182" s="118">
        <v>22</v>
      </c>
      <c r="B182" s="151">
        <v>5705</v>
      </c>
      <c r="C182" s="94" t="s">
        <v>296</v>
      </c>
      <c r="D182" s="85"/>
      <c r="E182" s="85"/>
      <c r="F182" s="85">
        <f t="shared" si="13"/>
        <v>0</v>
      </c>
      <c r="G182" s="85"/>
      <c r="H182" s="85">
        <f t="shared" si="13"/>
        <v>0</v>
      </c>
      <c r="I182" s="85">
        <f>F182*(1+INPUT!C$10)</f>
        <v>0</v>
      </c>
    </row>
    <row r="183" spans="1:9" s="285" customFormat="1" hidden="1" x14ac:dyDescent="0.25">
      <c r="A183" s="118">
        <v>22</v>
      </c>
      <c r="B183" s="151">
        <v>1140</v>
      </c>
      <c r="C183" s="94" t="s">
        <v>113</v>
      </c>
      <c r="D183" s="122"/>
      <c r="E183" s="98"/>
      <c r="F183" s="98">
        <f t="shared" si="30"/>
        <v>0</v>
      </c>
      <c r="G183" s="98"/>
      <c r="H183" s="98">
        <f t="shared" ref="H183:H198" si="31">F183/8*12</f>
        <v>0</v>
      </c>
      <c r="I183" s="98">
        <f>F183*(1+INPUT!C23)</f>
        <v>0</v>
      </c>
    </row>
    <row r="184" spans="1:9" s="285" customFormat="1" hidden="1" x14ac:dyDescent="0.25">
      <c r="A184" s="118">
        <v>22</v>
      </c>
      <c r="B184" s="151">
        <v>1145</v>
      </c>
      <c r="C184" s="94" t="s">
        <v>132</v>
      </c>
      <c r="D184" s="122"/>
      <c r="E184" s="98"/>
      <c r="F184" s="98">
        <f t="shared" si="30"/>
        <v>0</v>
      </c>
      <c r="G184" s="98"/>
      <c r="H184" s="98">
        <f t="shared" si="31"/>
        <v>0</v>
      </c>
      <c r="I184" s="98">
        <f>F184*(1+INPUT!C24)</f>
        <v>0</v>
      </c>
    </row>
    <row r="185" spans="1:9" s="285" customFormat="1" hidden="1" x14ac:dyDescent="0.25">
      <c r="A185" s="118">
        <v>22</v>
      </c>
      <c r="B185" s="151">
        <v>1150</v>
      </c>
      <c r="C185" s="94" t="s">
        <v>120</v>
      </c>
      <c r="D185" s="122"/>
      <c r="E185" s="98"/>
      <c r="F185" s="98">
        <f t="shared" si="30"/>
        <v>0</v>
      </c>
      <c r="G185" s="98"/>
      <c r="H185" s="98">
        <f t="shared" si="31"/>
        <v>0</v>
      </c>
      <c r="I185" s="98">
        <f>F185*(1+INPUT!C25)</f>
        <v>0</v>
      </c>
    </row>
    <row r="186" spans="1:9" s="285" customFormat="1" hidden="1" x14ac:dyDescent="0.25">
      <c r="A186" s="118">
        <v>22</v>
      </c>
      <c r="B186" s="151">
        <v>1155</v>
      </c>
      <c r="C186" s="94" t="s">
        <v>116</v>
      </c>
      <c r="D186" s="122"/>
      <c r="E186" s="98"/>
      <c r="F186" s="98">
        <f t="shared" si="30"/>
        <v>0</v>
      </c>
      <c r="G186" s="98"/>
      <c r="H186" s="98">
        <f t="shared" si="31"/>
        <v>0</v>
      </c>
      <c r="I186" s="98">
        <f>F186*(1+INPUT!C26)</f>
        <v>0</v>
      </c>
    </row>
    <row r="187" spans="1:9" s="285" customFormat="1" hidden="1" x14ac:dyDescent="0.25">
      <c r="A187" s="118">
        <v>22</v>
      </c>
      <c r="B187" s="151">
        <v>1160</v>
      </c>
      <c r="C187" s="94" t="s">
        <v>101</v>
      </c>
      <c r="D187" s="122"/>
      <c r="E187" s="98"/>
      <c r="F187" s="98">
        <f t="shared" si="30"/>
        <v>0</v>
      </c>
      <c r="G187" s="98"/>
      <c r="H187" s="98">
        <f t="shared" si="31"/>
        <v>0</v>
      </c>
      <c r="I187" s="98">
        <f>F187*(1+INPUT!C27)</f>
        <v>0</v>
      </c>
    </row>
    <row r="188" spans="1:9" s="285" customFormat="1" hidden="1" x14ac:dyDescent="0.25">
      <c r="A188" s="118">
        <v>22</v>
      </c>
      <c r="B188" s="151">
        <v>1165</v>
      </c>
      <c r="C188" s="94" t="s">
        <v>114</v>
      </c>
      <c r="D188" s="122"/>
      <c r="E188" s="98"/>
      <c r="F188" s="98">
        <f t="shared" si="30"/>
        <v>0</v>
      </c>
      <c r="G188" s="98"/>
      <c r="H188" s="98">
        <f t="shared" si="31"/>
        <v>0</v>
      </c>
      <c r="I188" s="98">
        <f>F188*(1+INPUT!C28)</f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98">
        <f>E189/8*12</f>
        <v>0</v>
      </c>
      <c r="G189" s="98"/>
      <c r="H189" s="98">
        <f t="shared" si="31"/>
        <v>0</v>
      </c>
      <c r="I189" s="98">
        <f>F189*(1+INPUT!C29)</f>
        <v>0</v>
      </c>
    </row>
    <row r="190" spans="1:9" s="285" customFormat="1" hidden="1" x14ac:dyDescent="0.25">
      <c r="A190" s="118">
        <v>22</v>
      </c>
      <c r="B190" s="151">
        <v>1180</v>
      </c>
      <c r="C190" s="94" t="s">
        <v>404</v>
      </c>
      <c r="D190" s="122"/>
      <c r="E190" s="98"/>
      <c r="F190" s="98">
        <f t="shared" si="30"/>
        <v>0</v>
      </c>
      <c r="G190" s="98"/>
      <c r="H190" s="98">
        <f t="shared" si="31"/>
        <v>0</v>
      </c>
      <c r="I190" s="98">
        <f>F190*(1+INPUT!C29)</f>
        <v>0</v>
      </c>
    </row>
    <row r="191" spans="1:9" s="285" customFormat="1" hidden="1" x14ac:dyDescent="0.25">
      <c r="A191" s="118">
        <v>22</v>
      </c>
      <c r="B191" s="151">
        <v>1185</v>
      </c>
      <c r="C191" s="94" t="s">
        <v>405</v>
      </c>
      <c r="D191" s="122"/>
      <c r="E191" s="98"/>
      <c r="F191" s="98">
        <f t="shared" si="30"/>
        <v>0</v>
      </c>
      <c r="G191" s="98"/>
      <c r="H191" s="98">
        <f t="shared" si="31"/>
        <v>0</v>
      </c>
      <c r="I191" s="98">
        <f>F191*(1+INPUT!C30)</f>
        <v>0</v>
      </c>
    </row>
    <row r="192" spans="1:9" s="285" customFormat="1" hidden="1" x14ac:dyDescent="0.25">
      <c r="A192" s="118">
        <v>22</v>
      </c>
      <c r="B192" s="151">
        <v>1190</v>
      </c>
      <c r="C192" s="94" t="s">
        <v>406</v>
      </c>
      <c r="D192" s="122"/>
      <c r="E192" s="98"/>
      <c r="F192" s="98">
        <f t="shared" si="30"/>
        <v>0</v>
      </c>
      <c r="G192" s="98"/>
      <c r="H192" s="98">
        <f t="shared" si="31"/>
        <v>0</v>
      </c>
      <c r="I192" s="98">
        <f>F192*(1+INPUT!C31)</f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98">
        <f>E193/8*12</f>
        <v>0</v>
      </c>
      <c r="G193" s="98"/>
      <c r="H193" s="98">
        <f t="shared" si="31"/>
        <v>0</v>
      </c>
      <c r="I193" s="98">
        <f>F193*(1+INPUT!C32)</f>
        <v>0</v>
      </c>
    </row>
    <row r="194" spans="1:9" s="285" customFormat="1" hidden="1" x14ac:dyDescent="0.25">
      <c r="A194" s="118">
        <v>22</v>
      </c>
      <c r="B194" s="151">
        <v>1195</v>
      </c>
      <c r="C194" s="94" t="s">
        <v>199</v>
      </c>
      <c r="D194" s="122"/>
      <c r="E194" s="98"/>
      <c r="F194" s="98">
        <f t="shared" si="30"/>
        <v>0</v>
      </c>
      <c r="G194" s="98"/>
      <c r="H194" s="98">
        <f t="shared" si="31"/>
        <v>0</v>
      </c>
      <c r="I194" s="98">
        <f>F194*(1+INPUT!C32)</f>
        <v>0</v>
      </c>
    </row>
    <row r="195" spans="1:9" s="285" customFormat="1" hidden="1" x14ac:dyDescent="0.25">
      <c r="A195" s="118">
        <v>22</v>
      </c>
      <c r="B195" s="151">
        <v>1200</v>
      </c>
      <c r="C195" s="94" t="s">
        <v>117</v>
      </c>
      <c r="D195" s="122"/>
      <c r="E195" s="98"/>
      <c r="F195" s="98">
        <f t="shared" si="30"/>
        <v>0</v>
      </c>
      <c r="G195" s="98"/>
      <c r="H195" s="98">
        <f t="shared" si="31"/>
        <v>0</v>
      </c>
      <c r="I195" s="98">
        <f>F195*(1+INPUT!C33)</f>
        <v>0</v>
      </c>
    </row>
    <row r="196" spans="1:9" s="285" customFormat="1" hidden="1" x14ac:dyDescent="0.25">
      <c r="A196" s="118">
        <v>22</v>
      </c>
      <c r="B196" s="151">
        <v>1205</v>
      </c>
      <c r="C196" s="115" t="s">
        <v>105</v>
      </c>
      <c r="D196" s="122"/>
      <c r="E196" s="98"/>
      <c r="F196" s="98">
        <f t="shared" si="30"/>
        <v>0</v>
      </c>
      <c r="G196" s="98"/>
      <c r="H196" s="98">
        <f t="shared" si="31"/>
        <v>0</v>
      </c>
      <c r="I196" s="98">
        <f>F196*(1+INPUT!C34)</f>
        <v>0</v>
      </c>
    </row>
    <row r="197" spans="1:9" s="285" customFormat="1" hidden="1" x14ac:dyDescent="0.25">
      <c r="A197" s="118">
        <v>22</v>
      </c>
      <c r="B197" s="151">
        <v>1210</v>
      </c>
      <c r="C197" s="94" t="s">
        <v>118</v>
      </c>
      <c r="D197" s="122"/>
      <c r="E197" s="98"/>
      <c r="F197" s="98">
        <f t="shared" si="30"/>
        <v>0</v>
      </c>
      <c r="G197" s="98"/>
      <c r="H197" s="98">
        <f t="shared" si="31"/>
        <v>0</v>
      </c>
      <c r="I197" s="98">
        <f>F197*(1+INPUT!C35)</f>
        <v>0</v>
      </c>
    </row>
    <row r="198" spans="1:9" s="285" customFormat="1" hidden="1" x14ac:dyDescent="0.25">
      <c r="A198" s="118">
        <v>22</v>
      </c>
      <c r="B198" s="151">
        <v>1215</v>
      </c>
      <c r="C198" s="94" t="s">
        <v>133</v>
      </c>
      <c r="D198" s="122"/>
      <c r="E198" s="98"/>
      <c r="F198" s="98">
        <f t="shared" si="30"/>
        <v>0</v>
      </c>
      <c r="G198" s="98"/>
      <c r="H198" s="98">
        <f t="shared" si="31"/>
        <v>0</v>
      </c>
      <c r="I198" s="98">
        <f>F198*(1+INPUT!C36)</f>
        <v>0</v>
      </c>
    </row>
    <row r="199" spans="1:9" s="285" customFormat="1" hidden="1" x14ac:dyDescent="0.25">
      <c r="A199" s="118">
        <v>22</v>
      </c>
      <c r="B199" s="151">
        <v>5905</v>
      </c>
      <c r="C199" s="94" t="s">
        <v>329</v>
      </c>
      <c r="D199" s="85"/>
      <c r="E199" s="85"/>
      <c r="F199" s="85">
        <f>0/8*12</f>
        <v>0</v>
      </c>
      <c r="G199" s="85"/>
      <c r="H199" s="85">
        <f>0/8*12</f>
        <v>0</v>
      </c>
      <c r="I199" s="85">
        <f>F199*(1+INPUT!C$10)</f>
        <v>0</v>
      </c>
    </row>
    <row r="200" spans="1:9" s="285" customFormat="1" hidden="1" x14ac:dyDescent="0.25">
      <c r="A200" s="118">
        <v>22</v>
      </c>
      <c r="B200" s="151">
        <v>5900</v>
      </c>
      <c r="C200" s="94" t="s">
        <v>333</v>
      </c>
      <c r="D200" s="85">
        <v>0</v>
      </c>
      <c r="E200" s="85">
        <v>0</v>
      </c>
      <c r="F200" s="85">
        <f>(0/8*12)*-1</f>
        <v>0</v>
      </c>
      <c r="G200" s="85"/>
      <c r="H200" s="85">
        <f>(0/8*12)*-1</f>
        <v>0</v>
      </c>
      <c r="I200" s="85">
        <f>F200*(1+INPUT!C$10)</f>
        <v>0</v>
      </c>
    </row>
    <row r="201" spans="1:9" s="285" customFormat="1" hidden="1" x14ac:dyDescent="0.25">
      <c r="A201" s="118">
        <v>22</v>
      </c>
      <c r="B201" s="151">
        <v>1220</v>
      </c>
      <c r="C201" s="94" t="s">
        <v>340</v>
      </c>
      <c r="D201" s="122"/>
      <c r="E201" s="98"/>
      <c r="F201" s="98">
        <f t="shared" si="30"/>
        <v>0</v>
      </c>
      <c r="G201" s="98"/>
      <c r="H201" s="98">
        <f>F201/8*12</f>
        <v>0</v>
      </c>
      <c r="I201" s="98">
        <f>F201*(1+INPUT!C37)</f>
        <v>0</v>
      </c>
    </row>
    <row r="202" spans="1:9" s="285" customFormat="1" hidden="1" x14ac:dyDescent="0.25">
      <c r="A202" s="118">
        <v>22</v>
      </c>
      <c r="B202" s="151">
        <v>1225</v>
      </c>
      <c r="C202" s="94" t="s">
        <v>372</v>
      </c>
      <c r="D202" s="122"/>
      <c r="E202" s="98"/>
      <c r="F202" s="98">
        <f t="shared" si="30"/>
        <v>0</v>
      </c>
      <c r="G202" s="98"/>
      <c r="H202" s="98">
        <f>F202/8*12</f>
        <v>0</v>
      </c>
      <c r="I202" s="98">
        <f>F202*(1+INPUT!C38)</f>
        <v>0</v>
      </c>
    </row>
    <row r="203" spans="1:9" s="285" customFormat="1" hidden="1" x14ac:dyDescent="0.25">
      <c r="A203" s="118">
        <v>22</v>
      </c>
      <c r="B203" s="151">
        <v>1230</v>
      </c>
      <c r="C203" s="94" t="s">
        <v>119</v>
      </c>
      <c r="D203" s="122"/>
      <c r="E203" s="98"/>
      <c r="F203" s="98">
        <f t="shared" si="30"/>
        <v>0</v>
      </c>
      <c r="G203" s="98"/>
      <c r="H203" s="98">
        <f>F203/8*12</f>
        <v>0</v>
      </c>
      <c r="I203" s="98">
        <f>F203*(1+INPUT!C39)</f>
        <v>0</v>
      </c>
    </row>
    <row r="204" spans="1:9" s="285" customFormat="1" hidden="1" x14ac:dyDescent="0.25">
      <c r="A204" s="118">
        <v>22</v>
      </c>
      <c r="B204" s="151">
        <v>1235</v>
      </c>
      <c r="C204" s="94" t="s">
        <v>347</v>
      </c>
      <c r="D204" s="122">
        <v>0</v>
      </c>
      <c r="E204" s="98"/>
      <c r="F204" s="98">
        <v>0</v>
      </c>
      <c r="G204" s="98"/>
      <c r="H204" s="98">
        <v>0</v>
      </c>
      <c r="I204" s="98">
        <f>F204*(1+INPUT!C40)</f>
        <v>0</v>
      </c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hidden="1" x14ac:dyDescent="0.25">
      <c r="A206" s="344"/>
      <c r="B206" s="151"/>
      <c r="C206" s="94"/>
      <c r="D206" s="100">
        <f t="shared" ref="D206:I206" si="32">SUM(D176:D204)</f>
        <v>0</v>
      </c>
      <c r="E206" s="100">
        <f t="shared" si="32"/>
        <v>0</v>
      </c>
      <c r="F206" s="100">
        <f t="shared" si="32"/>
        <v>0</v>
      </c>
      <c r="G206" s="100"/>
      <c r="H206" s="100">
        <f t="shared" ref="H206" si="33">SUM(H176:H204)</f>
        <v>0</v>
      </c>
      <c r="I206" s="100">
        <f t="shared" si="32"/>
        <v>0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22</v>
      </c>
      <c r="B208" s="151">
        <v>1305</v>
      </c>
      <c r="C208" s="94" t="s">
        <v>342</v>
      </c>
      <c r="D208" s="122"/>
      <c r="E208" s="98"/>
      <c r="F208" s="98">
        <f t="shared" ref="F208:F211" si="34">E208/8*12</f>
        <v>0</v>
      </c>
      <c r="G208" s="98"/>
      <c r="H208" s="98">
        <f>F208/8*12</f>
        <v>0</v>
      </c>
      <c r="I208" s="98">
        <f>F208*(1+INPUT!C43)</f>
        <v>0</v>
      </c>
    </row>
    <row r="209" spans="1:9" s="285" customFormat="1" hidden="1" x14ac:dyDescent="0.25">
      <c r="A209" s="118">
        <v>22</v>
      </c>
      <c r="B209" s="151">
        <v>1310</v>
      </c>
      <c r="C209" s="94" t="s">
        <v>344</v>
      </c>
      <c r="D209" s="122"/>
      <c r="E209" s="98"/>
      <c r="F209" s="98">
        <f t="shared" si="34"/>
        <v>0</v>
      </c>
      <c r="G209" s="98"/>
      <c r="H209" s="98">
        <f>F209/8*12</f>
        <v>0</v>
      </c>
      <c r="I209" s="98">
        <f>F209*(1+INPUT!C44)</f>
        <v>0</v>
      </c>
    </row>
    <row r="210" spans="1:9" s="285" customFormat="1" hidden="1" x14ac:dyDescent="0.25">
      <c r="A210" s="118">
        <v>22</v>
      </c>
      <c r="B210" s="151">
        <v>1320</v>
      </c>
      <c r="C210" s="94" t="s">
        <v>345</v>
      </c>
      <c r="D210" s="122"/>
      <c r="E210" s="98"/>
      <c r="F210" s="98">
        <f t="shared" si="34"/>
        <v>0</v>
      </c>
      <c r="G210" s="98"/>
      <c r="H210" s="98">
        <f>F210/8*12</f>
        <v>0</v>
      </c>
      <c r="I210" s="98">
        <f>F210*(1+INPUT!C45)</f>
        <v>0</v>
      </c>
    </row>
    <row r="211" spans="1:9" s="285" customFormat="1" hidden="1" x14ac:dyDescent="0.25">
      <c r="A211" s="118">
        <v>22</v>
      </c>
      <c r="B211" s="151">
        <v>1315</v>
      </c>
      <c r="C211" s="94" t="s">
        <v>346</v>
      </c>
      <c r="D211" s="122"/>
      <c r="E211" s="108"/>
      <c r="F211" s="98">
        <f t="shared" si="34"/>
        <v>0</v>
      </c>
      <c r="G211" s="98"/>
      <c r="H211" s="98">
        <f>F211/8*12</f>
        <v>0</v>
      </c>
      <c r="I211" s="108">
        <f>F211*(1+INPUT!C46)</f>
        <v>0</v>
      </c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 t="shared" ref="E212:I212" si="35">SUM(E208:E211)</f>
        <v>0</v>
      </c>
      <c r="F212" s="99">
        <f t="shared" si="35"/>
        <v>0</v>
      </c>
      <c r="G212" s="99"/>
      <c r="H212" s="99">
        <f t="shared" si="35"/>
        <v>0</v>
      </c>
      <c r="I212" s="99">
        <f t="shared" si="35"/>
        <v>0</v>
      </c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22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98"/>
      <c r="H214" s="98">
        <f>F214/8*12</f>
        <v>0</v>
      </c>
      <c r="I214" s="108"/>
    </row>
    <row r="215" spans="1:9" s="285" customFormat="1" hidden="1" x14ac:dyDescent="0.25">
      <c r="A215" s="118">
        <v>22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98"/>
      <c r="H215" s="98">
        <f>F215/8*12</f>
        <v>0</v>
      </c>
      <c r="I215" s="108"/>
    </row>
    <row r="216" spans="1:9" s="285" customFormat="1" hidden="1" x14ac:dyDescent="0.25">
      <c r="A216" s="344"/>
      <c r="B216" s="151"/>
      <c r="C216" s="94"/>
      <c r="D216" s="99">
        <f t="shared" ref="D216:I216" si="36">SUM(D214:D215)</f>
        <v>0</v>
      </c>
      <c r="E216" s="99">
        <f t="shared" si="36"/>
        <v>0</v>
      </c>
      <c r="F216" s="99">
        <f t="shared" si="36"/>
        <v>0</v>
      </c>
      <c r="G216" s="99"/>
      <c r="H216" s="99">
        <f t="shared" ref="H216" si="37">SUM(H214:H215)</f>
        <v>0</v>
      </c>
      <c r="I216" s="99">
        <f t="shared" si="36"/>
        <v>0</v>
      </c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22</v>
      </c>
      <c r="B218" s="151">
        <v>1500</v>
      </c>
      <c r="C218" s="94" t="s">
        <v>106</v>
      </c>
      <c r="D218" s="122"/>
      <c r="E218" s="108"/>
      <c r="F218" s="98">
        <f t="shared" ref="F218:F220" si="38">E218/8*12</f>
        <v>0</v>
      </c>
      <c r="G218" s="98"/>
      <c r="H218" s="98">
        <f>F218/8*12</f>
        <v>0</v>
      </c>
      <c r="I218" s="108"/>
    </row>
    <row r="219" spans="1:9" s="285" customFormat="1" hidden="1" x14ac:dyDescent="0.25">
      <c r="A219" s="118">
        <v>22</v>
      </c>
      <c r="B219" s="151">
        <v>1505</v>
      </c>
      <c r="C219" s="94" t="s">
        <v>71</v>
      </c>
      <c r="D219" s="122"/>
      <c r="E219" s="108"/>
      <c r="F219" s="98">
        <f t="shared" si="38"/>
        <v>0</v>
      </c>
      <c r="G219" s="98"/>
      <c r="H219" s="98">
        <f>F219/8*12</f>
        <v>0</v>
      </c>
      <c r="I219" s="108"/>
    </row>
    <row r="220" spans="1:9" s="285" customFormat="1" hidden="1" x14ac:dyDescent="0.25">
      <c r="A220" s="118">
        <v>22</v>
      </c>
      <c r="B220" s="151">
        <v>1510</v>
      </c>
      <c r="C220" s="94" t="s">
        <v>72</v>
      </c>
      <c r="D220" s="122"/>
      <c r="E220" s="108"/>
      <c r="F220" s="98">
        <f t="shared" si="38"/>
        <v>0</v>
      </c>
      <c r="G220" s="98"/>
      <c r="H220" s="98">
        <f>F220/8*12</f>
        <v>0</v>
      </c>
      <c r="I220" s="108"/>
    </row>
    <row r="221" spans="1:9" s="285" customFormat="1" hidden="1" x14ac:dyDescent="0.25">
      <c r="A221" s="344"/>
      <c r="B221" s="151"/>
      <c r="C221" s="94"/>
      <c r="D221" s="99">
        <f t="shared" ref="D221:I221" si="39">SUM(D218:D220)</f>
        <v>0</v>
      </c>
      <c r="E221" s="99">
        <f t="shared" si="39"/>
        <v>0</v>
      </c>
      <c r="F221" s="99">
        <f t="shared" si="39"/>
        <v>0</v>
      </c>
      <c r="G221" s="99"/>
      <c r="H221" s="99">
        <f t="shared" ref="H221" si="40">SUM(H218:H220)</f>
        <v>0</v>
      </c>
      <c r="I221" s="99">
        <f t="shared" si="39"/>
        <v>0</v>
      </c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22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98"/>
      <c r="H223" s="98">
        <f>F223/8*12</f>
        <v>0</v>
      </c>
      <c r="I223" s="98"/>
    </row>
    <row r="224" spans="1:9" s="285" customFormat="1" hidden="1" x14ac:dyDescent="0.25">
      <c r="A224" s="118">
        <v>22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98"/>
      <c r="H224" s="98">
        <f>F224/8*12</f>
        <v>0</v>
      </c>
      <c r="I224" s="108"/>
    </row>
    <row r="225" spans="1:9" s="285" customFormat="1" hidden="1" x14ac:dyDescent="0.25">
      <c r="A225" s="344"/>
      <c r="B225" s="151"/>
      <c r="C225" s="94"/>
      <c r="D225" s="100">
        <f t="shared" ref="D225:I225" si="41">SUM(D223:D224)</f>
        <v>0</v>
      </c>
      <c r="E225" s="100">
        <f t="shared" si="41"/>
        <v>0</v>
      </c>
      <c r="F225" s="100">
        <f t="shared" si="41"/>
        <v>0</v>
      </c>
      <c r="G225" s="100"/>
      <c r="H225" s="100">
        <f t="shared" ref="H225" si="42">SUM(H223:H224)</f>
        <v>0</v>
      </c>
      <c r="I225" s="100">
        <f t="shared" si="41"/>
        <v>0</v>
      </c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22</v>
      </c>
      <c r="B227" s="151">
        <v>1605</v>
      </c>
      <c r="C227" s="94" t="s">
        <v>75</v>
      </c>
      <c r="D227" s="122"/>
      <c r="E227" s="98"/>
      <c r="F227" s="98">
        <f t="shared" ref="F227:F239" si="43">E227/8*12</f>
        <v>0</v>
      </c>
      <c r="G227" s="98"/>
      <c r="H227" s="98">
        <f t="shared" ref="H227:H239" si="44">F227/8*12</f>
        <v>0</v>
      </c>
      <c r="I227" s="98"/>
    </row>
    <row r="228" spans="1:9" s="285" customFormat="1" hidden="1" x14ac:dyDescent="0.25">
      <c r="A228" s="118">
        <v>22</v>
      </c>
      <c r="B228" s="151">
        <v>1610</v>
      </c>
      <c r="C228" s="94" t="s">
        <v>131</v>
      </c>
      <c r="D228" s="122"/>
      <c r="E228" s="108"/>
      <c r="F228" s="98">
        <f t="shared" si="43"/>
        <v>0</v>
      </c>
      <c r="G228" s="98"/>
      <c r="H228" s="98">
        <f t="shared" si="44"/>
        <v>0</v>
      </c>
      <c r="I228" s="98"/>
    </row>
    <row r="229" spans="1:9" s="285" customFormat="1" hidden="1" x14ac:dyDescent="0.25">
      <c r="A229" s="118">
        <v>22</v>
      </c>
      <c r="B229" s="151">
        <v>1615</v>
      </c>
      <c r="C229" s="94" t="s">
        <v>182</v>
      </c>
      <c r="D229" s="122"/>
      <c r="E229" s="108"/>
      <c r="F229" s="98">
        <f t="shared" si="43"/>
        <v>0</v>
      </c>
      <c r="G229" s="98"/>
      <c r="H229" s="98">
        <f t="shared" si="44"/>
        <v>0</v>
      </c>
      <c r="I229" s="98"/>
    </row>
    <row r="230" spans="1:9" s="285" customFormat="1" hidden="1" x14ac:dyDescent="0.25">
      <c r="A230" s="118">
        <v>22</v>
      </c>
      <c r="B230" s="151">
        <v>1620</v>
      </c>
      <c r="C230" s="94" t="s">
        <v>255</v>
      </c>
      <c r="D230" s="122"/>
      <c r="E230" s="108"/>
      <c r="F230" s="98">
        <f t="shared" si="43"/>
        <v>0</v>
      </c>
      <c r="G230" s="98"/>
      <c r="H230" s="98">
        <f t="shared" si="44"/>
        <v>0</v>
      </c>
      <c r="I230" s="98"/>
    </row>
    <row r="231" spans="1:9" s="285" customFormat="1" hidden="1" x14ac:dyDescent="0.25">
      <c r="A231" s="118">
        <v>22</v>
      </c>
      <c r="B231" s="151">
        <v>1625</v>
      </c>
      <c r="C231" s="94" t="s">
        <v>108</v>
      </c>
      <c r="D231" s="122"/>
      <c r="E231" s="108"/>
      <c r="F231" s="98">
        <f t="shared" si="43"/>
        <v>0</v>
      </c>
      <c r="G231" s="98"/>
      <c r="H231" s="98">
        <f t="shared" si="44"/>
        <v>0</v>
      </c>
      <c r="I231" s="98"/>
    </row>
    <row r="232" spans="1:9" s="285" customFormat="1" hidden="1" x14ac:dyDescent="0.25">
      <c r="A232" s="118">
        <v>22</v>
      </c>
      <c r="B232" s="151">
        <v>1630</v>
      </c>
      <c r="C232" s="94" t="s">
        <v>76</v>
      </c>
      <c r="D232" s="122"/>
      <c r="E232" s="108"/>
      <c r="F232" s="98">
        <f t="shared" si="43"/>
        <v>0</v>
      </c>
      <c r="G232" s="98"/>
      <c r="H232" s="98">
        <f t="shared" si="44"/>
        <v>0</v>
      </c>
      <c r="I232" s="98"/>
    </row>
    <row r="233" spans="1:9" s="285" customFormat="1" hidden="1" x14ac:dyDescent="0.25">
      <c r="A233" s="118">
        <v>22</v>
      </c>
      <c r="B233" s="151">
        <v>1635</v>
      </c>
      <c r="C233" s="94" t="s">
        <v>180</v>
      </c>
      <c r="D233" s="122"/>
      <c r="E233" s="108"/>
      <c r="F233" s="98">
        <f t="shared" si="43"/>
        <v>0</v>
      </c>
      <c r="G233" s="98"/>
      <c r="H233" s="98">
        <f t="shared" si="44"/>
        <v>0</v>
      </c>
      <c r="I233" s="98"/>
    </row>
    <row r="234" spans="1:9" s="285" customFormat="1" hidden="1" x14ac:dyDescent="0.25">
      <c r="A234" s="118">
        <v>22</v>
      </c>
      <c r="B234" s="151">
        <v>1640</v>
      </c>
      <c r="C234" s="94" t="s">
        <v>184</v>
      </c>
      <c r="D234" s="122"/>
      <c r="E234" s="108"/>
      <c r="F234" s="98">
        <f t="shared" si="43"/>
        <v>0</v>
      </c>
      <c r="G234" s="98"/>
      <c r="H234" s="98">
        <f t="shared" si="44"/>
        <v>0</v>
      </c>
      <c r="I234" s="98"/>
    </row>
    <row r="235" spans="1:9" s="285" customFormat="1" hidden="1" x14ac:dyDescent="0.25">
      <c r="A235" s="118">
        <v>22</v>
      </c>
      <c r="B235" s="151">
        <v>1645</v>
      </c>
      <c r="C235" s="94" t="s">
        <v>77</v>
      </c>
      <c r="D235" s="122"/>
      <c r="E235" s="108"/>
      <c r="F235" s="98">
        <f t="shared" si="43"/>
        <v>0</v>
      </c>
      <c r="G235" s="98"/>
      <c r="H235" s="98">
        <f t="shared" si="44"/>
        <v>0</v>
      </c>
      <c r="I235" s="98"/>
    </row>
    <row r="236" spans="1:9" s="285" customFormat="1" hidden="1" x14ac:dyDescent="0.25">
      <c r="A236" s="118">
        <v>22</v>
      </c>
      <c r="B236" s="151">
        <v>1650</v>
      </c>
      <c r="C236" s="94" t="s">
        <v>78</v>
      </c>
      <c r="D236" s="122"/>
      <c r="E236" s="108"/>
      <c r="F236" s="98">
        <f t="shared" si="43"/>
        <v>0</v>
      </c>
      <c r="G236" s="98"/>
      <c r="H236" s="98">
        <f t="shared" si="44"/>
        <v>0</v>
      </c>
      <c r="I236" s="98"/>
    </row>
    <row r="237" spans="1:9" s="285" customFormat="1" hidden="1" x14ac:dyDescent="0.25">
      <c r="A237" s="118">
        <v>22</v>
      </c>
      <c r="B237" s="151"/>
      <c r="C237" s="94" t="s">
        <v>200</v>
      </c>
      <c r="D237" s="122"/>
      <c r="E237" s="108"/>
      <c r="F237" s="98">
        <f t="shared" si="43"/>
        <v>0</v>
      </c>
      <c r="G237" s="98"/>
      <c r="H237" s="98">
        <f t="shared" si="44"/>
        <v>0</v>
      </c>
      <c r="I237" s="98"/>
    </row>
    <row r="238" spans="1:9" s="285" customFormat="1" hidden="1" x14ac:dyDescent="0.25">
      <c r="A238" s="118">
        <v>22</v>
      </c>
      <c r="B238" s="151">
        <v>1660</v>
      </c>
      <c r="C238" s="94" t="s">
        <v>185</v>
      </c>
      <c r="D238" s="122"/>
      <c r="E238" s="108"/>
      <c r="F238" s="98">
        <f t="shared" si="43"/>
        <v>0</v>
      </c>
      <c r="G238" s="98"/>
      <c r="H238" s="98">
        <f t="shared" si="44"/>
        <v>0</v>
      </c>
      <c r="I238" s="98"/>
    </row>
    <row r="239" spans="1:9" s="285" customFormat="1" hidden="1" x14ac:dyDescent="0.25">
      <c r="A239" s="118">
        <v>22</v>
      </c>
      <c r="B239" s="151">
        <v>1665</v>
      </c>
      <c r="C239" s="94" t="s">
        <v>181</v>
      </c>
      <c r="D239" s="122"/>
      <c r="E239" s="108"/>
      <c r="F239" s="98">
        <f t="shared" si="43"/>
        <v>0</v>
      </c>
      <c r="G239" s="98"/>
      <c r="H239" s="98">
        <f t="shared" si="44"/>
        <v>0</v>
      </c>
      <c r="I239" s="98"/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:I240" si="45">SUM(E227:E239)</f>
        <v>0</v>
      </c>
      <c r="F240" s="99">
        <f t="shared" si="45"/>
        <v>0</v>
      </c>
      <c r="G240" s="99"/>
      <c r="H240" s="99">
        <f t="shared" si="45"/>
        <v>0</v>
      </c>
      <c r="I240" s="99">
        <f t="shared" si="45"/>
        <v>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22</v>
      </c>
      <c r="B242" s="151">
        <v>1705</v>
      </c>
      <c r="C242" s="94" t="s">
        <v>123</v>
      </c>
      <c r="D242" s="122"/>
      <c r="E242" s="98"/>
      <c r="F242" s="98">
        <f t="shared" ref="F242:F247" si="46">E242/8*12</f>
        <v>0</v>
      </c>
      <c r="G242" s="98"/>
      <c r="H242" s="98">
        <f t="shared" ref="H242:H247" si="47">F242/8*12</f>
        <v>0</v>
      </c>
      <c r="I242" s="98"/>
    </row>
    <row r="243" spans="1:9" s="285" customFormat="1" hidden="1" x14ac:dyDescent="0.25">
      <c r="A243" s="118">
        <v>22</v>
      </c>
      <c r="B243" s="151">
        <v>1710</v>
      </c>
      <c r="C243" s="94" t="s">
        <v>242</v>
      </c>
      <c r="D243" s="122"/>
      <c r="E243" s="98"/>
      <c r="F243" s="98">
        <f t="shared" si="46"/>
        <v>0</v>
      </c>
      <c r="G243" s="98"/>
      <c r="H243" s="98">
        <f t="shared" si="47"/>
        <v>0</v>
      </c>
      <c r="I243" s="98"/>
    </row>
    <row r="244" spans="1:9" s="285" customFormat="1" hidden="1" x14ac:dyDescent="0.25">
      <c r="A244" s="118">
        <v>22</v>
      </c>
      <c r="B244" s="151">
        <v>1715</v>
      </c>
      <c r="C244" s="94" t="s">
        <v>183</v>
      </c>
      <c r="D244" s="122"/>
      <c r="E244" s="98"/>
      <c r="F244" s="98">
        <f t="shared" si="46"/>
        <v>0</v>
      </c>
      <c r="G244" s="98"/>
      <c r="H244" s="98">
        <f t="shared" si="47"/>
        <v>0</v>
      </c>
      <c r="I244" s="98"/>
    </row>
    <row r="245" spans="1:9" s="285" customFormat="1" hidden="1" x14ac:dyDescent="0.25">
      <c r="A245" s="118">
        <v>22</v>
      </c>
      <c r="B245" s="151">
        <v>1720</v>
      </c>
      <c r="C245" s="94" t="s">
        <v>103</v>
      </c>
      <c r="D245" s="122"/>
      <c r="E245" s="98"/>
      <c r="F245" s="98">
        <f t="shared" si="46"/>
        <v>0</v>
      </c>
      <c r="G245" s="98"/>
      <c r="H245" s="98">
        <f t="shared" si="47"/>
        <v>0</v>
      </c>
      <c r="I245" s="98"/>
    </row>
    <row r="246" spans="1:9" s="285" customFormat="1" hidden="1" x14ac:dyDescent="0.25">
      <c r="A246" s="118">
        <v>22</v>
      </c>
      <c r="B246" s="151">
        <v>1725</v>
      </c>
      <c r="C246" s="94" t="s">
        <v>107</v>
      </c>
      <c r="D246" s="122"/>
      <c r="E246" s="98"/>
      <c r="F246" s="98">
        <f t="shared" si="46"/>
        <v>0</v>
      </c>
      <c r="G246" s="98"/>
      <c r="H246" s="98">
        <f t="shared" si="47"/>
        <v>0</v>
      </c>
      <c r="I246" s="98"/>
    </row>
    <row r="247" spans="1:9" s="285" customFormat="1" hidden="1" x14ac:dyDescent="0.25">
      <c r="A247" s="118">
        <v>22</v>
      </c>
      <c r="B247" s="151">
        <v>1730</v>
      </c>
      <c r="C247" s="94" t="s">
        <v>256</v>
      </c>
      <c r="D247" s="122"/>
      <c r="E247" s="98"/>
      <c r="F247" s="98">
        <f t="shared" si="46"/>
        <v>0</v>
      </c>
      <c r="G247" s="98"/>
      <c r="H247" s="98">
        <f t="shared" si="47"/>
        <v>0</v>
      </c>
      <c r="I247" s="98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:I248" si="48">SUM(E242:E247)</f>
        <v>0</v>
      </c>
      <c r="F248" s="99">
        <f t="shared" si="48"/>
        <v>0</v>
      </c>
      <c r="G248" s="99"/>
      <c r="H248" s="99">
        <f t="shared" si="48"/>
        <v>0</v>
      </c>
      <c r="I248" s="99">
        <f t="shared" si="48"/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22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98"/>
      <c r="H250" s="98">
        <f>F250/8*12</f>
        <v>0</v>
      </c>
      <c r="I250" s="108"/>
    </row>
    <row r="251" spans="1:9" s="285" customFormat="1" hidden="1" x14ac:dyDescent="0.25">
      <c r="A251" s="344"/>
      <c r="B251" s="151"/>
      <c r="C251" s="94"/>
      <c r="D251" s="99">
        <f t="shared" ref="D251:I251" si="49">D250</f>
        <v>0</v>
      </c>
      <c r="E251" s="99">
        <f t="shared" si="49"/>
        <v>0</v>
      </c>
      <c r="F251" s="99">
        <f t="shared" si="49"/>
        <v>0</v>
      </c>
      <c r="G251" s="99"/>
      <c r="H251" s="99">
        <f t="shared" ref="H251" si="50">H250</f>
        <v>0</v>
      </c>
      <c r="I251" s="99">
        <f t="shared" si="49"/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E252" si="51">SUM(D171:D251)/2</f>
        <v>8241425</v>
      </c>
      <c r="E252" s="117">
        <f t="shared" si="51"/>
        <v>10980450.425760001</v>
      </c>
      <c r="F252" s="117">
        <f t="shared" ref="F252:I252" si="52">SUM(F171:F251)/2</f>
        <v>16280450.425760003</v>
      </c>
      <c r="G252" s="117">
        <f t="shared" si="52"/>
        <v>17908495.468336001</v>
      </c>
      <c r="H252" s="117">
        <f t="shared" si="52"/>
        <v>19699345.015169602</v>
      </c>
      <c r="I252" s="117">
        <f t="shared" si="52"/>
        <v>21669279.516686562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</row>
    <row r="255" spans="1:9" s="285" customFormat="1" hidden="1" x14ac:dyDescent="0.25">
      <c r="A255" s="118">
        <v>22</v>
      </c>
      <c r="B255" s="151">
        <v>1905</v>
      </c>
      <c r="C255" s="118" t="s">
        <v>194</v>
      </c>
      <c r="D255" s="127"/>
      <c r="E255" s="147"/>
      <c r="F255" s="147"/>
      <c r="G255" s="147"/>
      <c r="H255" s="147"/>
      <c r="I255" s="147"/>
    </row>
    <row r="256" spans="1:9" s="285" customFormat="1" hidden="1" x14ac:dyDescent="0.25">
      <c r="A256" s="344"/>
      <c r="B256" s="151"/>
      <c r="C256" s="94"/>
      <c r="D256" s="117">
        <f t="shared" ref="D256:E256" si="53">SUM(D255)</f>
        <v>0</v>
      </c>
      <c r="E256" s="117">
        <f t="shared" si="53"/>
        <v>0</v>
      </c>
      <c r="F256" s="117">
        <f t="shared" ref="F256:I256" si="54">SUM(F255)</f>
        <v>0</v>
      </c>
      <c r="G256" s="117">
        <f t="shared" si="54"/>
        <v>0</v>
      </c>
      <c r="H256" s="117">
        <f t="shared" si="54"/>
        <v>0</v>
      </c>
      <c r="I256" s="117">
        <f t="shared" si="54"/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E257" si="55">D252+D256</f>
        <v>8241425</v>
      </c>
      <c r="E257" s="117">
        <f t="shared" si="55"/>
        <v>10980450.425760001</v>
      </c>
      <c r="F257" s="117">
        <f t="shared" ref="F257:I257" si="56">F252+F256</f>
        <v>16280450.425760003</v>
      </c>
      <c r="G257" s="117">
        <f t="shared" si="56"/>
        <v>17908495.468336001</v>
      </c>
      <c r="H257" s="117">
        <f t="shared" si="56"/>
        <v>19699345.015169602</v>
      </c>
      <c r="I257" s="117">
        <f t="shared" si="56"/>
        <v>21669279.516686562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</row>
    <row r="259" spans="1:9" s="285" customFormat="1" hidden="1" x14ac:dyDescent="0.25">
      <c r="A259" s="118">
        <v>22</v>
      </c>
      <c r="B259" s="151">
        <v>1950</v>
      </c>
      <c r="C259" s="118" t="s">
        <v>196</v>
      </c>
      <c r="D259" s="127"/>
      <c r="E259" s="147"/>
      <c r="F259" s="147"/>
      <c r="G259" s="147"/>
      <c r="H259" s="147"/>
      <c r="I259" s="147"/>
    </row>
    <row r="260" spans="1:9" s="285" customFormat="1" hidden="1" x14ac:dyDescent="0.25">
      <c r="A260" s="344"/>
      <c r="B260" s="346"/>
      <c r="C260" s="94"/>
      <c r="D260" s="124">
        <f t="shared" ref="D260:E260" si="57">D259</f>
        <v>0</v>
      </c>
      <c r="E260" s="124">
        <f t="shared" si="57"/>
        <v>0</v>
      </c>
      <c r="F260" s="124">
        <f t="shared" ref="F260:I260" si="58">F259</f>
        <v>0</v>
      </c>
      <c r="G260" s="124">
        <f t="shared" si="58"/>
        <v>0</v>
      </c>
      <c r="H260" s="124">
        <f t="shared" si="58"/>
        <v>0</v>
      </c>
      <c r="I260" s="124">
        <f t="shared" si="58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E261" si="59">D257+D260</f>
        <v>8241425</v>
      </c>
      <c r="E261" s="160">
        <f t="shared" si="59"/>
        <v>10980450.425760001</v>
      </c>
      <c r="F261" s="160">
        <f t="shared" ref="F261:I261" si="60">F257+F260</f>
        <v>16280450.425760003</v>
      </c>
      <c r="G261" s="160">
        <f t="shared" si="60"/>
        <v>17908495.468336001</v>
      </c>
      <c r="H261" s="160">
        <f t="shared" si="60"/>
        <v>19699345.015169602</v>
      </c>
      <c r="I261" s="160">
        <f t="shared" si="60"/>
        <v>21669279.516686562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E262" si="61">D261-D165</f>
        <v>7925636</v>
      </c>
      <c r="E262" s="161">
        <f t="shared" si="61"/>
        <v>4508988.2957600011</v>
      </c>
      <c r="F262" s="161">
        <f t="shared" ref="F262:I262" si="62">F261-F165</f>
        <v>14108988.295760002</v>
      </c>
      <c r="G262" s="161">
        <f t="shared" si="62"/>
        <v>17529887.125336003</v>
      </c>
      <c r="H262" s="161">
        <f t="shared" si="62"/>
        <v>19282875.837869603</v>
      </c>
      <c r="I262" s="161">
        <f t="shared" si="62"/>
        <v>21211163.421656564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4:B5"/>
    <mergeCell ref="B168:D168"/>
    <mergeCell ref="A169:B170"/>
    <mergeCell ref="A3:I3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8"/>
  <sheetViews>
    <sheetView view="pageBreakPreview" zoomScaleSheetLayoutView="100" workbookViewId="0">
      <selection activeCell="G20" sqref="G20:I24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1" style="96" customWidth="1"/>
    <col min="4" max="4" width="12" style="96" customWidth="1"/>
    <col min="5" max="5" width="11.44140625" style="96" customWidth="1"/>
    <col min="6" max="7" width="12.88671875" style="96" customWidth="1"/>
    <col min="8" max="8" width="11.6640625" style="96" customWidth="1"/>
    <col min="9" max="9" width="11.5546875" style="96" customWidth="1"/>
    <col min="10" max="10" width="9.109375" style="96" customWidth="1"/>
    <col min="11" max="16384" width="9.109375" style="96"/>
  </cols>
  <sheetData>
    <row r="1" spans="1:9" ht="12.75" customHeight="1" x14ac:dyDescent="0.25">
      <c r="A1" s="699" t="s">
        <v>545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18" t="s">
        <v>548</v>
      </c>
      <c r="B3" s="710"/>
      <c r="C3" s="710"/>
      <c r="D3" s="710"/>
      <c r="E3" s="710"/>
      <c r="F3" s="710"/>
      <c r="G3" s="710"/>
      <c r="H3" s="710"/>
      <c r="I3" s="710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>
        <f t="shared" ref="F6:F13" si="0">E6-D6</f>
        <v>0</v>
      </c>
      <c r="G6" s="85"/>
      <c r="H6" s="85"/>
      <c r="I6" s="85"/>
    </row>
    <row r="7" spans="1:9" s="285" customFormat="1" x14ac:dyDescent="0.25">
      <c r="A7" s="118">
        <v>24</v>
      </c>
      <c r="B7" s="155">
        <v>5005</v>
      </c>
      <c r="C7" s="94" t="s">
        <v>241</v>
      </c>
      <c r="D7" s="85"/>
      <c r="E7" s="85"/>
      <c r="F7" s="85">
        <f t="shared" si="0"/>
        <v>0</v>
      </c>
      <c r="G7" s="435">
        <f t="shared" ref="G7:I17" si="1">(F7*0.068)+F7</f>
        <v>0</v>
      </c>
      <c r="H7" s="435">
        <f t="shared" si="1"/>
        <v>0</v>
      </c>
      <c r="I7" s="435">
        <f t="shared" si="1"/>
        <v>0</v>
      </c>
    </row>
    <row r="8" spans="1:9" s="285" customFormat="1" x14ac:dyDescent="0.25">
      <c r="A8" s="118">
        <v>24</v>
      </c>
      <c r="B8" s="151">
        <v>5010</v>
      </c>
      <c r="C8" s="94" t="s">
        <v>34</v>
      </c>
      <c r="D8" s="85"/>
      <c r="E8" s="85"/>
      <c r="F8" s="85">
        <f t="shared" si="0"/>
        <v>0</v>
      </c>
      <c r="G8" s="435">
        <f t="shared" si="1"/>
        <v>0</v>
      </c>
      <c r="H8" s="435">
        <f t="shared" si="1"/>
        <v>0</v>
      </c>
      <c r="I8" s="435">
        <f t="shared" si="1"/>
        <v>0</v>
      </c>
    </row>
    <row r="9" spans="1:9" s="285" customFormat="1" x14ac:dyDescent="0.25">
      <c r="A9" s="118">
        <v>24</v>
      </c>
      <c r="B9" s="151">
        <v>5015</v>
      </c>
      <c r="C9" s="94" t="s">
        <v>35</v>
      </c>
      <c r="D9" s="85"/>
      <c r="E9" s="85"/>
      <c r="F9" s="85">
        <f t="shared" si="0"/>
        <v>0</v>
      </c>
      <c r="G9" s="435">
        <f t="shared" si="1"/>
        <v>0</v>
      </c>
      <c r="H9" s="435">
        <f t="shared" si="1"/>
        <v>0</v>
      </c>
      <c r="I9" s="435">
        <f t="shared" si="1"/>
        <v>0</v>
      </c>
    </row>
    <row r="10" spans="1:9" s="285" customFormat="1" x14ac:dyDescent="0.25">
      <c r="A10" s="118">
        <v>24</v>
      </c>
      <c r="B10" s="151">
        <v>5020</v>
      </c>
      <c r="C10" s="94" t="s">
        <v>350</v>
      </c>
      <c r="D10" s="85"/>
      <c r="E10" s="85"/>
      <c r="F10" s="85">
        <f t="shared" si="0"/>
        <v>0</v>
      </c>
      <c r="G10" s="435">
        <f t="shared" si="1"/>
        <v>0</v>
      </c>
      <c r="H10" s="435">
        <f t="shared" si="1"/>
        <v>0</v>
      </c>
      <c r="I10" s="435">
        <f t="shared" si="1"/>
        <v>0</v>
      </c>
    </row>
    <row r="11" spans="1:9" s="285" customFormat="1" x14ac:dyDescent="0.25">
      <c r="A11" s="118">
        <v>24</v>
      </c>
      <c r="B11" s="151">
        <v>5025</v>
      </c>
      <c r="C11" s="94" t="s">
        <v>36</v>
      </c>
      <c r="D11" s="85"/>
      <c r="E11" s="85"/>
      <c r="F11" s="85">
        <f t="shared" si="0"/>
        <v>0</v>
      </c>
      <c r="G11" s="435">
        <f t="shared" si="1"/>
        <v>0</v>
      </c>
      <c r="H11" s="435">
        <f t="shared" si="1"/>
        <v>0</v>
      </c>
      <c r="I11" s="435">
        <f t="shared" si="1"/>
        <v>0</v>
      </c>
    </row>
    <row r="12" spans="1:9" s="285" customFormat="1" x14ac:dyDescent="0.25">
      <c r="A12" s="118">
        <v>24</v>
      </c>
      <c r="B12" s="151">
        <v>5030</v>
      </c>
      <c r="C12" s="94" t="s">
        <v>85</v>
      </c>
      <c r="D12" s="85"/>
      <c r="E12" s="85"/>
      <c r="F12" s="85">
        <f t="shared" si="0"/>
        <v>0</v>
      </c>
      <c r="G12" s="435">
        <f t="shared" si="1"/>
        <v>0</v>
      </c>
      <c r="H12" s="435">
        <f t="shared" si="1"/>
        <v>0</v>
      </c>
      <c r="I12" s="435">
        <f t="shared" si="1"/>
        <v>0</v>
      </c>
    </row>
    <row r="13" spans="1:9" s="285" customFormat="1" x14ac:dyDescent="0.25">
      <c r="A13" s="118">
        <v>24</v>
      </c>
      <c r="B13" s="151">
        <v>5035</v>
      </c>
      <c r="C13" s="94" t="s">
        <v>84</v>
      </c>
      <c r="D13" s="85"/>
      <c r="E13" s="85"/>
      <c r="F13" s="85">
        <f t="shared" si="0"/>
        <v>0</v>
      </c>
      <c r="G13" s="435">
        <f t="shared" si="1"/>
        <v>0</v>
      </c>
      <c r="H13" s="435">
        <f t="shared" si="1"/>
        <v>0</v>
      </c>
      <c r="I13" s="435">
        <f t="shared" si="1"/>
        <v>0</v>
      </c>
    </row>
    <row r="14" spans="1:9" s="285" customFormat="1" x14ac:dyDescent="0.25">
      <c r="A14" s="118">
        <v>24</v>
      </c>
      <c r="B14" s="151">
        <v>5040</v>
      </c>
      <c r="C14" s="94" t="s">
        <v>37</v>
      </c>
      <c r="D14" s="85">
        <v>59986</v>
      </c>
      <c r="E14" s="85">
        <v>126000</v>
      </c>
      <c r="F14" s="85">
        <v>126000</v>
      </c>
      <c r="G14" s="435">
        <f t="shared" si="1"/>
        <v>134568</v>
      </c>
      <c r="H14" s="435">
        <f t="shared" si="1"/>
        <v>143718.62400000001</v>
      </c>
      <c r="I14" s="435">
        <f t="shared" si="1"/>
        <v>153491.49043200002</v>
      </c>
    </row>
    <row r="15" spans="1:9" s="285" customFormat="1" hidden="1" x14ac:dyDescent="0.25">
      <c r="A15" s="118">
        <v>24</v>
      </c>
      <c r="B15" s="151">
        <v>5045</v>
      </c>
      <c r="C15" s="94" t="s">
        <v>38</v>
      </c>
      <c r="D15" s="85"/>
      <c r="E15" s="85"/>
      <c r="F15" s="85"/>
      <c r="G15" s="435">
        <f t="shared" si="1"/>
        <v>0</v>
      </c>
      <c r="H15" s="435">
        <f t="shared" si="1"/>
        <v>0</v>
      </c>
      <c r="I15" s="435">
        <f t="shared" si="1"/>
        <v>0</v>
      </c>
    </row>
    <row r="16" spans="1:9" s="285" customFormat="1" x14ac:dyDescent="0.25">
      <c r="A16" s="118">
        <v>24</v>
      </c>
      <c r="B16" s="151">
        <v>5050</v>
      </c>
      <c r="C16" s="94" t="s">
        <v>83</v>
      </c>
      <c r="D16" s="85">
        <f>4513+9403</f>
        <v>13916</v>
      </c>
      <c r="E16" s="85">
        <v>39000</v>
      </c>
      <c r="F16" s="85">
        <v>39000</v>
      </c>
      <c r="G16" s="435">
        <f t="shared" si="1"/>
        <v>41652</v>
      </c>
      <c r="H16" s="435">
        <f t="shared" si="1"/>
        <v>44484.336000000003</v>
      </c>
      <c r="I16" s="435">
        <f t="shared" si="1"/>
        <v>47509.270848</v>
      </c>
    </row>
    <row r="17" spans="1:9" s="285" customFormat="1" x14ac:dyDescent="0.25">
      <c r="A17" s="118">
        <v>24</v>
      </c>
      <c r="B17" s="151">
        <v>5055</v>
      </c>
      <c r="C17" s="94" t="s">
        <v>39</v>
      </c>
      <c r="D17" s="85">
        <f>91065*6</f>
        <v>546390</v>
      </c>
      <c r="E17" s="85">
        <v>1540000</v>
      </c>
      <c r="F17" s="85">
        <v>1540000</v>
      </c>
      <c r="G17" s="435">
        <f t="shared" si="1"/>
        <v>1644720</v>
      </c>
      <c r="H17" s="435">
        <f t="shared" si="1"/>
        <v>1756560.96</v>
      </c>
      <c r="I17" s="435">
        <f t="shared" si="1"/>
        <v>1876007.10528</v>
      </c>
    </row>
    <row r="18" spans="1:9" s="285" customFormat="1" x14ac:dyDescent="0.25">
      <c r="A18" s="344"/>
      <c r="B18" s="151"/>
      <c r="C18" s="94"/>
      <c r="D18" s="89">
        <f t="shared" ref="D18:I18" si="2">SUM(D7:D17)</f>
        <v>620292</v>
      </c>
      <c r="E18" s="89">
        <f t="shared" si="2"/>
        <v>1705000</v>
      </c>
      <c r="F18" s="89">
        <f t="shared" si="2"/>
        <v>1705000</v>
      </c>
      <c r="G18" s="89">
        <f t="shared" si="2"/>
        <v>1820940</v>
      </c>
      <c r="H18" s="89">
        <f t="shared" si="2"/>
        <v>1944763.92</v>
      </c>
      <c r="I18" s="89">
        <f t="shared" si="2"/>
        <v>2077007.86656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8"/>
    </row>
    <row r="20" spans="1:9" s="285" customFormat="1" x14ac:dyDescent="0.25">
      <c r="A20" s="118">
        <v>24</v>
      </c>
      <c r="B20" s="151">
        <v>5105</v>
      </c>
      <c r="C20" s="94" t="s">
        <v>41</v>
      </c>
      <c r="D20" s="85">
        <f>7911*6</f>
        <v>47466</v>
      </c>
      <c r="E20" s="85">
        <v>155000</v>
      </c>
      <c r="F20" s="85">
        <v>155000</v>
      </c>
      <c r="G20" s="435">
        <f t="shared" ref="G20:I24" si="3">(F20*0.068)+F20</f>
        <v>165540</v>
      </c>
      <c r="H20" s="435">
        <f t="shared" si="3"/>
        <v>176796.72</v>
      </c>
      <c r="I20" s="435">
        <f t="shared" si="3"/>
        <v>188818.89696000001</v>
      </c>
    </row>
    <row r="21" spans="1:9" s="285" customFormat="1" x14ac:dyDescent="0.25">
      <c r="A21" s="118">
        <v>24</v>
      </c>
      <c r="B21" s="151">
        <v>5115</v>
      </c>
      <c r="C21" s="94" t="s">
        <v>42</v>
      </c>
      <c r="D21" s="85">
        <f>11813*6</f>
        <v>70878</v>
      </c>
      <c r="E21" s="85">
        <v>224000</v>
      </c>
      <c r="F21" s="85">
        <v>224000</v>
      </c>
      <c r="G21" s="435">
        <f t="shared" si="3"/>
        <v>239232</v>
      </c>
      <c r="H21" s="435">
        <f t="shared" si="3"/>
        <v>255499.77600000001</v>
      </c>
      <c r="I21" s="435">
        <f t="shared" si="3"/>
        <v>272873.76076800004</v>
      </c>
    </row>
    <row r="22" spans="1:9" s="285" customFormat="1" x14ac:dyDescent="0.25">
      <c r="A22" s="118">
        <v>24</v>
      </c>
      <c r="B22" s="151">
        <v>5120</v>
      </c>
      <c r="C22" s="94" t="s">
        <v>43</v>
      </c>
      <c r="D22" s="85">
        <f>5231*6</f>
        <v>31386</v>
      </c>
      <c r="E22" s="85">
        <v>63000</v>
      </c>
      <c r="F22" s="85">
        <v>63000</v>
      </c>
      <c r="G22" s="435">
        <f t="shared" si="3"/>
        <v>67284</v>
      </c>
      <c r="H22" s="435">
        <f t="shared" si="3"/>
        <v>71859.312000000005</v>
      </c>
      <c r="I22" s="435">
        <f t="shared" si="3"/>
        <v>76745.74521600001</v>
      </c>
    </row>
    <row r="23" spans="1:9" s="285" customFormat="1" hidden="1" x14ac:dyDescent="0.25">
      <c r="A23" s="118">
        <v>24</v>
      </c>
      <c r="B23" s="151">
        <v>5125</v>
      </c>
      <c r="C23" s="94" t="s">
        <v>44</v>
      </c>
      <c r="D23" s="85"/>
      <c r="E23" s="85"/>
      <c r="F23" s="85"/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24</v>
      </c>
      <c r="B24" s="151">
        <v>5130</v>
      </c>
      <c r="C24" s="94" t="s">
        <v>45</v>
      </c>
      <c r="D24" s="85">
        <f>1128*6</f>
        <v>6768</v>
      </c>
      <c r="E24" s="85">
        <v>17400</v>
      </c>
      <c r="F24" s="85">
        <v>17400</v>
      </c>
      <c r="G24" s="435">
        <f t="shared" si="3"/>
        <v>18583.2</v>
      </c>
      <c r="H24" s="435">
        <f t="shared" si="3"/>
        <v>19846.857599999999</v>
      </c>
      <c r="I24" s="435">
        <f t="shared" si="3"/>
        <v>21196.443916799999</v>
      </c>
    </row>
    <row r="25" spans="1:9" s="285" customFormat="1" x14ac:dyDescent="0.25">
      <c r="A25" s="344"/>
      <c r="B25" s="151"/>
      <c r="C25" s="94"/>
      <c r="D25" s="89">
        <f t="shared" ref="D25:E25" si="4">SUM(D20:D24)</f>
        <v>156498</v>
      </c>
      <c r="E25" s="89">
        <f t="shared" si="4"/>
        <v>459400</v>
      </c>
      <c r="F25" s="89">
        <f>SUM(F20:F24)</f>
        <v>459400</v>
      </c>
      <c r="G25" s="89">
        <f>SUM(G20:G24)</f>
        <v>490639.2</v>
      </c>
      <c r="H25" s="89">
        <f>SUM(H20:H24)</f>
        <v>524002.66560000007</v>
      </c>
      <c r="I25" s="89">
        <f>SUM(I20:I24)</f>
        <v>559634.84686080005</v>
      </c>
    </row>
    <row r="26" spans="1:9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24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>
        <f>E28*(1+INPUT!C$8)</f>
        <v>0</v>
      </c>
    </row>
    <row r="29" spans="1:9" s="285" customFormat="1" hidden="1" x14ac:dyDescent="0.25">
      <c r="A29" s="344"/>
      <c r="B29" s="151"/>
      <c r="C29" s="94"/>
      <c r="D29" s="89">
        <f t="shared" ref="D29:I29" si="5">D28</f>
        <v>0</v>
      </c>
      <c r="E29" s="89">
        <f t="shared" si="5"/>
        <v>0</v>
      </c>
      <c r="F29" s="89">
        <f t="shared" si="5"/>
        <v>0</v>
      </c>
      <c r="G29" s="89"/>
      <c r="H29" s="89"/>
      <c r="I29" s="89">
        <f t="shared" si="5"/>
        <v>0</v>
      </c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hidden="1" x14ac:dyDescent="0.25">
      <c r="A31" s="118">
        <v>24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</row>
    <row r="32" spans="1:9" s="285" customFormat="1" hidden="1" x14ac:dyDescent="0.25">
      <c r="A32" s="344"/>
      <c r="B32" s="151"/>
      <c r="C32" s="94"/>
      <c r="D32" s="89">
        <f t="shared" ref="D32:I32" si="6">SUM(D31)</f>
        <v>0</v>
      </c>
      <c r="E32" s="89">
        <f t="shared" si="6"/>
        <v>0</v>
      </c>
      <c r="F32" s="89">
        <f t="shared" si="6"/>
        <v>0</v>
      </c>
      <c r="G32" s="89"/>
      <c r="H32" s="89"/>
      <c r="I32" s="89">
        <f t="shared" si="6"/>
        <v>0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24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I35" si="7">SUM(D34)</f>
        <v>0</v>
      </c>
      <c r="E35" s="89">
        <f t="shared" si="7"/>
        <v>0</v>
      </c>
      <c r="F35" s="89">
        <f t="shared" si="7"/>
        <v>0</v>
      </c>
      <c r="G35" s="89"/>
      <c r="H35" s="89"/>
      <c r="I35" s="89">
        <f t="shared" si="7"/>
        <v>0</v>
      </c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24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I38" si="8">D37</f>
        <v>0</v>
      </c>
      <c r="E38" s="89">
        <f t="shared" si="8"/>
        <v>0</v>
      </c>
      <c r="F38" s="89">
        <f t="shared" si="8"/>
        <v>0</v>
      </c>
      <c r="G38" s="89"/>
      <c r="H38" s="89"/>
      <c r="I38" s="89">
        <f t="shared" si="8"/>
        <v>0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8"/>
    </row>
    <row r="40" spans="1:9" s="285" customFormat="1" hidden="1" x14ac:dyDescent="0.25">
      <c r="A40" s="118">
        <v>24</v>
      </c>
      <c r="B40" s="151">
        <v>5200</v>
      </c>
      <c r="C40" s="94" t="s">
        <v>55</v>
      </c>
      <c r="D40" s="85"/>
      <c r="E40" s="108"/>
      <c r="F40" s="85">
        <f t="shared" ref="F40:F58" si="9">0/8*12</f>
        <v>0</v>
      </c>
      <c r="G40" s="85"/>
      <c r="H40" s="85"/>
      <c r="I40" s="85">
        <f>F40*(1+INPUT!C$10)</f>
        <v>0</v>
      </c>
    </row>
    <row r="41" spans="1:9" s="285" customFormat="1" x14ac:dyDescent="0.25">
      <c r="A41" s="118">
        <v>24</v>
      </c>
      <c r="B41" s="151">
        <v>5205</v>
      </c>
      <c r="C41" s="94" t="s">
        <v>56</v>
      </c>
      <c r="D41" s="85">
        <v>18579</v>
      </c>
      <c r="E41" s="85">
        <v>240000</v>
      </c>
      <c r="F41" s="85">
        <v>110000</v>
      </c>
      <c r="G41" s="427">
        <v>440000</v>
      </c>
      <c r="H41" s="174">
        <v>480000</v>
      </c>
      <c r="I41" s="85">
        <v>500000</v>
      </c>
    </row>
    <row r="42" spans="1:9" s="285" customFormat="1" hidden="1" x14ac:dyDescent="0.25">
      <c r="A42" s="118">
        <v>24</v>
      </c>
      <c r="B42" s="151">
        <v>5210</v>
      </c>
      <c r="C42" s="94" t="s">
        <v>57</v>
      </c>
      <c r="D42" s="85"/>
      <c r="E42" s="85"/>
      <c r="F42" s="85">
        <v>0</v>
      </c>
      <c r="G42" s="85"/>
      <c r="H42" s="85"/>
      <c r="I42" s="85"/>
    </row>
    <row r="43" spans="1:9" s="285" customFormat="1" hidden="1" x14ac:dyDescent="0.25">
      <c r="A43" s="118">
        <v>24</v>
      </c>
      <c r="B43" s="151">
        <v>5215</v>
      </c>
      <c r="C43" s="94" t="s">
        <v>95</v>
      </c>
      <c r="D43" s="85"/>
      <c r="E43" s="85"/>
      <c r="F43" s="85">
        <v>0</v>
      </c>
      <c r="G43" s="85"/>
      <c r="H43" s="85"/>
      <c r="I43" s="85"/>
    </row>
    <row r="44" spans="1:9" s="285" customFormat="1" hidden="1" x14ac:dyDescent="0.25">
      <c r="A44" s="118">
        <v>24</v>
      </c>
      <c r="B44" s="151">
        <v>5220</v>
      </c>
      <c r="C44" s="94" t="s">
        <v>58</v>
      </c>
      <c r="D44" s="85"/>
      <c r="E44" s="85"/>
      <c r="F44" s="85">
        <v>0</v>
      </c>
      <c r="G44" s="85"/>
      <c r="H44" s="85"/>
      <c r="I44" s="85"/>
    </row>
    <row r="45" spans="1:9" s="285" customFormat="1" hidden="1" x14ac:dyDescent="0.25">
      <c r="A45" s="118">
        <v>24</v>
      </c>
      <c r="B45" s="151">
        <v>5225</v>
      </c>
      <c r="C45" s="94" t="s">
        <v>92</v>
      </c>
      <c r="D45" s="85"/>
      <c r="E45" s="85"/>
      <c r="F45" s="85">
        <v>0</v>
      </c>
      <c r="G45" s="85"/>
      <c r="H45" s="85"/>
      <c r="I45" s="85"/>
    </row>
    <row r="46" spans="1:9" s="285" customFormat="1" hidden="1" x14ac:dyDescent="0.25">
      <c r="A46" s="118">
        <v>24</v>
      </c>
      <c r="B46" s="151">
        <v>5230</v>
      </c>
      <c r="C46" s="94" t="s">
        <v>86</v>
      </c>
      <c r="D46" s="85"/>
      <c r="E46" s="85"/>
      <c r="F46" s="85">
        <v>0</v>
      </c>
      <c r="G46" s="85"/>
      <c r="H46" s="85"/>
      <c r="I46" s="85"/>
    </row>
    <row r="47" spans="1:9" s="285" customFormat="1" hidden="1" x14ac:dyDescent="0.25">
      <c r="A47" s="118">
        <v>24</v>
      </c>
      <c r="B47" s="151">
        <v>5235</v>
      </c>
      <c r="C47" s="94" t="s">
        <v>124</v>
      </c>
      <c r="D47" s="85"/>
      <c r="E47" s="85"/>
      <c r="F47" s="85">
        <v>0</v>
      </c>
      <c r="G47" s="85"/>
      <c r="H47" s="85"/>
      <c r="I47" s="85"/>
    </row>
    <row r="48" spans="1:9" s="285" customFormat="1" hidden="1" x14ac:dyDescent="0.25">
      <c r="A48" s="118">
        <v>24</v>
      </c>
      <c r="B48" s="151">
        <v>5240</v>
      </c>
      <c r="C48" s="94" t="s">
        <v>59</v>
      </c>
      <c r="D48" s="85"/>
      <c r="E48" s="85"/>
      <c r="F48" s="85">
        <v>0</v>
      </c>
      <c r="G48" s="85"/>
      <c r="H48" s="85"/>
      <c r="I48" s="85"/>
    </row>
    <row r="49" spans="1:9" s="285" customFormat="1" hidden="1" x14ac:dyDescent="0.25">
      <c r="A49" s="118">
        <v>24</v>
      </c>
      <c r="B49" s="151">
        <v>5245</v>
      </c>
      <c r="C49" s="94" t="s">
        <v>91</v>
      </c>
      <c r="D49" s="85"/>
      <c r="E49" s="85"/>
      <c r="F49" s="85">
        <v>0</v>
      </c>
      <c r="G49" s="85"/>
      <c r="H49" s="85"/>
      <c r="I49" s="85"/>
    </row>
    <row r="50" spans="1:9" s="285" customFormat="1" x14ac:dyDescent="0.25">
      <c r="A50" s="118">
        <v>24</v>
      </c>
      <c r="B50" s="151">
        <v>5250</v>
      </c>
      <c r="C50" s="94" t="s">
        <v>88</v>
      </c>
      <c r="D50" s="85"/>
      <c r="E50" s="85">
        <v>12000</v>
      </c>
      <c r="F50" s="85">
        <v>12000</v>
      </c>
      <c r="G50" s="85">
        <v>12000</v>
      </c>
      <c r="H50" s="85">
        <v>14000</v>
      </c>
      <c r="I50" s="85">
        <v>16000</v>
      </c>
    </row>
    <row r="51" spans="1:9" s="285" customFormat="1" hidden="1" x14ac:dyDescent="0.25">
      <c r="A51" s="118">
        <v>24</v>
      </c>
      <c r="B51" s="151">
        <v>5255</v>
      </c>
      <c r="C51" s="94" t="s">
        <v>125</v>
      </c>
      <c r="D51" s="85"/>
      <c r="E51" s="85"/>
      <c r="F51" s="85">
        <v>0</v>
      </c>
      <c r="G51" s="85"/>
      <c r="H51" s="85"/>
      <c r="I51" s="85"/>
    </row>
    <row r="52" spans="1:9" s="285" customFormat="1" hidden="1" x14ac:dyDescent="0.25">
      <c r="A52" s="118">
        <v>24</v>
      </c>
      <c r="B52" s="151">
        <v>5260</v>
      </c>
      <c r="C52" s="94" t="s">
        <v>90</v>
      </c>
      <c r="D52" s="85"/>
      <c r="E52" s="85"/>
      <c r="F52" s="85">
        <v>0</v>
      </c>
      <c r="G52" s="85"/>
      <c r="H52" s="85"/>
      <c r="I52" s="85"/>
    </row>
    <row r="53" spans="1:9" s="285" customFormat="1" hidden="1" x14ac:dyDescent="0.25">
      <c r="A53" s="118">
        <v>24</v>
      </c>
      <c r="B53" s="151">
        <v>5265</v>
      </c>
      <c r="C53" s="94" t="s">
        <v>87</v>
      </c>
      <c r="D53" s="85"/>
      <c r="E53" s="85"/>
      <c r="F53" s="85">
        <v>0</v>
      </c>
      <c r="G53" s="85"/>
      <c r="H53" s="85"/>
      <c r="I53" s="85"/>
    </row>
    <row r="54" spans="1:9" s="285" customFormat="1" hidden="1" x14ac:dyDescent="0.25">
      <c r="A54" s="118">
        <v>24</v>
      </c>
      <c r="B54" s="151">
        <v>5270</v>
      </c>
      <c r="C54" s="94" t="s">
        <v>89</v>
      </c>
      <c r="D54" s="85"/>
      <c r="E54" s="85"/>
      <c r="F54" s="85">
        <v>0</v>
      </c>
      <c r="G54" s="85"/>
      <c r="H54" s="85"/>
      <c r="I54" s="85"/>
    </row>
    <row r="55" spans="1:9" s="285" customFormat="1" hidden="1" x14ac:dyDescent="0.25">
      <c r="A55" s="118">
        <v>24</v>
      </c>
      <c r="B55" s="151">
        <v>5275</v>
      </c>
      <c r="C55" s="94" t="s">
        <v>93</v>
      </c>
      <c r="D55" s="85"/>
      <c r="E55" s="85"/>
      <c r="F55" s="85">
        <v>0</v>
      </c>
      <c r="G55" s="85"/>
      <c r="H55" s="85"/>
      <c r="I55" s="85"/>
    </row>
    <row r="56" spans="1:9" s="285" customFormat="1" hidden="1" x14ac:dyDescent="0.25">
      <c r="A56" s="118">
        <v>24</v>
      </c>
      <c r="B56" s="151">
        <v>5280</v>
      </c>
      <c r="C56" s="94" t="s">
        <v>94</v>
      </c>
      <c r="D56" s="85"/>
      <c r="E56" s="85"/>
      <c r="F56" s="85">
        <v>0</v>
      </c>
      <c r="G56" s="85"/>
      <c r="H56" s="85"/>
      <c r="I56" s="85"/>
    </row>
    <row r="57" spans="1:9" s="285" customFormat="1" x14ac:dyDescent="0.25">
      <c r="A57" s="118">
        <v>24</v>
      </c>
      <c r="B57" s="151">
        <v>5285</v>
      </c>
      <c r="C57" s="94" t="s">
        <v>60</v>
      </c>
      <c r="D57" s="85">
        <v>17555</v>
      </c>
      <c r="E57" s="85">
        <v>45000</v>
      </c>
      <c r="F57" s="85">
        <v>45000</v>
      </c>
      <c r="G57" s="85">
        <v>45000</v>
      </c>
      <c r="H57" s="85">
        <v>50000</v>
      </c>
      <c r="I57" s="85">
        <v>55000</v>
      </c>
    </row>
    <row r="58" spans="1:9" s="285" customFormat="1" hidden="1" x14ac:dyDescent="0.25">
      <c r="A58" s="118">
        <v>24</v>
      </c>
      <c r="B58" s="151">
        <v>5290</v>
      </c>
      <c r="C58" s="94" t="s">
        <v>186</v>
      </c>
      <c r="D58" s="85"/>
      <c r="E58" s="108"/>
      <c r="F58" s="85">
        <f t="shared" si="9"/>
        <v>0</v>
      </c>
      <c r="G58" s="85"/>
      <c r="H58" s="85"/>
      <c r="I58" s="85">
        <f>F58*(1+INPUT!C$10)</f>
        <v>0</v>
      </c>
    </row>
    <row r="59" spans="1:9" s="285" customFormat="1" x14ac:dyDescent="0.25">
      <c r="A59" s="344"/>
      <c r="B59" s="151"/>
      <c r="C59" s="94"/>
      <c r="D59" s="110">
        <f t="shared" ref="D59:I59" si="10">SUM(D40:D58)</f>
        <v>36134</v>
      </c>
      <c r="E59" s="110">
        <f t="shared" si="10"/>
        <v>297000</v>
      </c>
      <c r="F59" s="110">
        <f t="shared" si="10"/>
        <v>167000</v>
      </c>
      <c r="G59" s="110">
        <f t="shared" si="10"/>
        <v>497000</v>
      </c>
      <c r="H59" s="110">
        <f t="shared" si="10"/>
        <v>544000</v>
      </c>
      <c r="I59" s="110">
        <f t="shared" si="10"/>
        <v>571000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24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</row>
    <row r="62" spans="1:9" s="285" customFormat="1" hidden="1" x14ac:dyDescent="0.25">
      <c r="A62" s="118">
        <v>24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85"/>
      <c r="H62" s="85"/>
      <c r="I62" s="108"/>
    </row>
    <row r="63" spans="1:9" s="285" customFormat="1" hidden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/>
      <c r="I63" s="89">
        <f>SUM(I61:I62)</f>
        <v>0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24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I66" si="11">D65</f>
        <v>0</v>
      </c>
      <c r="E66" s="89">
        <f t="shared" si="11"/>
        <v>0</v>
      </c>
      <c r="F66" s="89">
        <f t="shared" si="11"/>
        <v>0</v>
      </c>
      <c r="G66" s="89"/>
      <c r="H66" s="89"/>
      <c r="I66" s="89">
        <f t="shared" si="11"/>
        <v>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hidden="1" x14ac:dyDescent="0.25">
      <c r="A68" s="118">
        <v>24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>
        <f>F68*(1+INPUT!C11)</f>
        <v>0</v>
      </c>
    </row>
    <row r="69" spans="1:9" s="285" customFormat="1" hidden="1" x14ac:dyDescent="0.25">
      <c r="A69" s="118">
        <v>24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hidden="1" x14ac:dyDescent="0.25">
      <c r="A70" s="344"/>
      <c r="B70" s="151"/>
      <c r="C70" s="94"/>
      <c r="D70" s="110">
        <f t="shared" ref="D70:I70" si="12">SUM(D68:D69)</f>
        <v>0</v>
      </c>
      <c r="E70" s="110">
        <f t="shared" si="12"/>
        <v>0</v>
      </c>
      <c r="F70" s="110">
        <f t="shared" si="12"/>
        <v>0</v>
      </c>
      <c r="G70" s="110"/>
      <c r="H70" s="110"/>
      <c r="I70" s="110">
        <f t="shared" si="12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88"/>
    </row>
    <row r="72" spans="1:9" s="285" customFormat="1" x14ac:dyDescent="0.25">
      <c r="A72" s="118">
        <v>24</v>
      </c>
      <c r="B72" s="151">
        <v>5505</v>
      </c>
      <c r="C72" s="94" t="s">
        <v>259</v>
      </c>
      <c r="D72" s="85">
        <v>9468</v>
      </c>
      <c r="E72" s="85">
        <v>114720</v>
      </c>
      <c r="F72" s="85">
        <v>44720</v>
      </c>
      <c r="G72" s="85">
        <v>118800</v>
      </c>
      <c r="H72" s="85">
        <v>120000</v>
      </c>
      <c r="I72" s="85">
        <v>122000</v>
      </c>
    </row>
    <row r="73" spans="1:9" s="285" customFormat="1" hidden="1" x14ac:dyDescent="0.25">
      <c r="A73" s="118">
        <v>24</v>
      </c>
      <c r="B73" s="151">
        <v>5510</v>
      </c>
      <c r="C73" s="94" t="s">
        <v>63</v>
      </c>
      <c r="D73" s="85"/>
      <c r="E73" s="85"/>
      <c r="F73" s="85">
        <v>0</v>
      </c>
      <c r="G73" s="85"/>
      <c r="H73" s="85"/>
      <c r="I73" s="85"/>
    </row>
    <row r="74" spans="1:9" s="285" customFormat="1" hidden="1" x14ac:dyDescent="0.25">
      <c r="A74" s="118">
        <v>24</v>
      </c>
      <c r="B74" s="151">
        <v>5520</v>
      </c>
      <c r="C74" s="94" t="s">
        <v>260</v>
      </c>
      <c r="D74" s="85"/>
      <c r="E74" s="85"/>
      <c r="F74" s="85">
        <v>0</v>
      </c>
      <c r="G74" s="85"/>
      <c r="H74" s="85"/>
      <c r="I74" s="85"/>
    </row>
    <row r="75" spans="1:9" s="285" customFormat="1" hidden="1" x14ac:dyDescent="0.25">
      <c r="A75" s="118">
        <v>24</v>
      </c>
      <c r="B75" s="151">
        <v>5525</v>
      </c>
      <c r="C75" s="94" t="s">
        <v>261</v>
      </c>
      <c r="D75" s="85"/>
      <c r="E75" s="85"/>
      <c r="F75" s="85">
        <v>0</v>
      </c>
      <c r="G75" s="85"/>
      <c r="H75" s="85"/>
      <c r="I75" s="85"/>
    </row>
    <row r="76" spans="1:9" s="285" customFormat="1" hidden="1" x14ac:dyDescent="0.25">
      <c r="A76" s="118">
        <v>24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85"/>
      <c r="I76" s="85"/>
    </row>
    <row r="77" spans="1:9" s="285" customFormat="1" hidden="1" x14ac:dyDescent="0.25">
      <c r="A77" s="118">
        <v>24</v>
      </c>
      <c r="B77" s="151">
        <v>5535</v>
      </c>
      <c r="C77" s="94" t="s">
        <v>263</v>
      </c>
      <c r="D77" s="85"/>
      <c r="E77" s="85"/>
      <c r="F77" s="85">
        <v>0</v>
      </c>
      <c r="G77" s="85"/>
      <c r="H77" s="85"/>
      <c r="I77" s="85"/>
    </row>
    <row r="78" spans="1:9" s="285" customFormat="1" x14ac:dyDescent="0.25">
      <c r="A78" s="118">
        <v>24</v>
      </c>
      <c r="B78" s="151">
        <v>5540</v>
      </c>
      <c r="C78" s="94" t="s">
        <v>264</v>
      </c>
      <c r="D78" s="85"/>
      <c r="E78" s="85">
        <v>43626</v>
      </c>
      <c r="F78" s="85">
        <v>13626</v>
      </c>
      <c r="G78" s="85">
        <v>15000</v>
      </c>
      <c r="H78" s="85">
        <v>15000</v>
      </c>
      <c r="I78" s="85">
        <v>15000</v>
      </c>
    </row>
    <row r="79" spans="1:9" s="285" customFormat="1" ht="13.5" customHeight="1" x14ac:dyDescent="0.25">
      <c r="A79" s="118">
        <v>24</v>
      </c>
      <c r="B79" s="151">
        <v>5545</v>
      </c>
      <c r="C79" s="94" t="s">
        <v>265</v>
      </c>
      <c r="D79" s="85"/>
      <c r="E79" s="85">
        <v>40000</v>
      </c>
      <c r="F79" s="85">
        <v>10000</v>
      </c>
      <c r="G79" s="85">
        <v>40000</v>
      </c>
      <c r="H79" s="85">
        <v>45000</v>
      </c>
      <c r="I79" s="85">
        <v>50000</v>
      </c>
    </row>
    <row r="80" spans="1:9" s="285" customFormat="1" hidden="1" x14ac:dyDescent="0.25">
      <c r="A80" s="118">
        <v>24</v>
      </c>
      <c r="B80" s="151">
        <v>5550</v>
      </c>
      <c r="C80" s="94" t="s">
        <v>267</v>
      </c>
      <c r="D80" s="85"/>
      <c r="E80" s="85">
        <v>0</v>
      </c>
      <c r="F80" s="85">
        <v>0</v>
      </c>
      <c r="G80" s="85"/>
      <c r="H80" s="85"/>
      <c r="I80" s="85"/>
    </row>
    <row r="81" spans="1:9" s="285" customFormat="1" x14ac:dyDescent="0.25">
      <c r="A81" s="118">
        <v>24</v>
      </c>
      <c r="B81" s="151">
        <v>5555</v>
      </c>
      <c r="C81" s="94" t="s">
        <v>268</v>
      </c>
      <c r="D81" s="85"/>
      <c r="E81" s="85">
        <v>33000</v>
      </c>
      <c r="F81" s="85">
        <v>3000</v>
      </c>
      <c r="G81" s="85"/>
      <c r="H81" s="85"/>
      <c r="I81" s="85"/>
    </row>
    <row r="82" spans="1:9" s="285" customFormat="1" x14ac:dyDescent="0.25">
      <c r="A82" s="118">
        <v>24</v>
      </c>
      <c r="B82" s="151">
        <v>5560</v>
      </c>
      <c r="C82" s="94" t="s">
        <v>269</v>
      </c>
      <c r="D82" s="85"/>
      <c r="E82" s="85">
        <v>0</v>
      </c>
      <c r="F82" s="85">
        <f t="shared" ref="F82:F103" si="13">E82-D82</f>
        <v>0</v>
      </c>
      <c r="G82" s="85"/>
      <c r="H82" s="85"/>
      <c r="I82" s="85"/>
    </row>
    <row r="83" spans="1:9" s="285" customFormat="1" x14ac:dyDescent="0.25">
      <c r="A83" s="118">
        <v>24</v>
      </c>
      <c r="B83" s="151">
        <v>5565</v>
      </c>
      <c r="C83" s="94" t="s">
        <v>246</v>
      </c>
      <c r="D83" s="85"/>
      <c r="E83" s="85">
        <v>0</v>
      </c>
      <c r="F83" s="85">
        <f t="shared" si="13"/>
        <v>0</v>
      </c>
      <c r="G83" s="85"/>
      <c r="H83" s="85"/>
      <c r="I83" s="85"/>
    </row>
    <row r="84" spans="1:9" s="285" customFormat="1" x14ac:dyDescent="0.25">
      <c r="A84" s="118">
        <v>24</v>
      </c>
      <c r="B84" s="151">
        <v>5570</v>
      </c>
      <c r="C84" s="94" t="s">
        <v>270</v>
      </c>
      <c r="D84" s="85"/>
      <c r="E84" s="85">
        <v>0</v>
      </c>
      <c r="F84" s="85">
        <f t="shared" si="13"/>
        <v>0</v>
      </c>
      <c r="G84" s="85"/>
      <c r="H84" s="85"/>
      <c r="I84" s="85"/>
    </row>
    <row r="85" spans="1:9" s="285" customFormat="1" x14ac:dyDescent="0.25">
      <c r="A85" s="118">
        <v>24</v>
      </c>
      <c r="B85" s="151">
        <v>5575</v>
      </c>
      <c r="C85" s="94" t="s">
        <v>271</v>
      </c>
      <c r="D85" s="85"/>
      <c r="E85" s="85">
        <v>0</v>
      </c>
      <c r="F85" s="85">
        <f t="shared" si="13"/>
        <v>0</v>
      </c>
      <c r="G85" s="85"/>
      <c r="H85" s="85"/>
      <c r="I85" s="85"/>
    </row>
    <row r="86" spans="1:9" s="285" customFormat="1" x14ac:dyDescent="0.25">
      <c r="A86" s="118">
        <v>24</v>
      </c>
      <c r="B86" s="151">
        <v>5580</v>
      </c>
      <c r="C86" s="94" t="s">
        <v>272</v>
      </c>
      <c r="D86" s="85"/>
      <c r="E86" s="85">
        <v>0</v>
      </c>
      <c r="F86" s="85">
        <f t="shared" si="13"/>
        <v>0</v>
      </c>
      <c r="G86" s="85"/>
      <c r="H86" s="85"/>
      <c r="I86" s="85"/>
    </row>
    <row r="87" spans="1:9" s="285" customFormat="1" x14ac:dyDescent="0.25">
      <c r="A87" s="118">
        <v>24</v>
      </c>
      <c r="B87" s="151">
        <v>5585</v>
      </c>
      <c r="C87" s="94" t="s">
        <v>273</v>
      </c>
      <c r="D87" s="86"/>
      <c r="E87" s="85">
        <v>0</v>
      </c>
      <c r="F87" s="85">
        <f t="shared" si="13"/>
        <v>0</v>
      </c>
      <c r="G87" s="85"/>
      <c r="H87" s="85"/>
      <c r="I87" s="85"/>
    </row>
    <row r="88" spans="1:9" s="285" customFormat="1" x14ac:dyDescent="0.25">
      <c r="A88" s="118">
        <v>24</v>
      </c>
      <c r="B88" s="151">
        <v>5590</v>
      </c>
      <c r="C88" s="94" t="s">
        <v>274</v>
      </c>
      <c r="D88" s="86"/>
      <c r="E88" s="85">
        <v>0</v>
      </c>
      <c r="F88" s="85">
        <f t="shared" si="13"/>
        <v>0</v>
      </c>
      <c r="G88" s="85"/>
      <c r="H88" s="85"/>
      <c r="I88" s="85"/>
    </row>
    <row r="89" spans="1:9" s="285" customFormat="1" x14ac:dyDescent="0.25">
      <c r="A89" s="118">
        <v>24</v>
      </c>
      <c r="B89" s="151">
        <v>5595</v>
      </c>
      <c r="C89" s="94" t="s">
        <v>275</v>
      </c>
      <c r="D89" s="85"/>
      <c r="E89" s="85">
        <v>0</v>
      </c>
      <c r="F89" s="85">
        <f t="shared" si="13"/>
        <v>0</v>
      </c>
      <c r="G89" s="85"/>
      <c r="H89" s="85"/>
      <c r="I89" s="85"/>
    </row>
    <row r="90" spans="1:9" s="285" customFormat="1" x14ac:dyDescent="0.25">
      <c r="A90" s="118">
        <v>24</v>
      </c>
      <c r="B90" s="151">
        <v>5600</v>
      </c>
      <c r="C90" s="159" t="s">
        <v>276</v>
      </c>
      <c r="D90" s="85"/>
      <c r="E90" s="85">
        <v>0</v>
      </c>
      <c r="F90" s="85">
        <f t="shared" si="13"/>
        <v>0</v>
      </c>
      <c r="G90" s="85"/>
      <c r="H90" s="85"/>
      <c r="I90" s="85"/>
    </row>
    <row r="91" spans="1:9" s="285" customFormat="1" x14ac:dyDescent="0.25">
      <c r="A91" s="118">
        <v>24</v>
      </c>
      <c r="B91" s="151">
        <v>5605</v>
      </c>
      <c r="C91" s="159" t="s">
        <v>277</v>
      </c>
      <c r="D91" s="85"/>
      <c r="E91" s="85">
        <v>0</v>
      </c>
      <c r="F91" s="85">
        <f t="shared" si="13"/>
        <v>0</v>
      </c>
      <c r="G91" s="85"/>
      <c r="H91" s="85"/>
      <c r="I91" s="85"/>
    </row>
    <row r="92" spans="1:9" s="285" customFormat="1" x14ac:dyDescent="0.25">
      <c r="A92" s="118">
        <v>24</v>
      </c>
      <c r="B92" s="151">
        <v>5610</v>
      </c>
      <c r="C92" s="159" t="s">
        <v>278</v>
      </c>
      <c r="D92" s="85"/>
      <c r="E92" s="85">
        <v>0</v>
      </c>
      <c r="F92" s="85">
        <f t="shared" si="13"/>
        <v>0</v>
      </c>
      <c r="G92" s="85"/>
      <c r="H92" s="85"/>
      <c r="I92" s="85"/>
    </row>
    <row r="93" spans="1:9" s="285" customFormat="1" x14ac:dyDescent="0.25">
      <c r="A93" s="118">
        <v>24</v>
      </c>
      <c r="B93" s="151">
        <v>5615</v>
      </c>
      <c r="C93" s="159" t="s">
        <v>279</v>
      </c>
      <c r="D93" s="85"/>
      <c r="E93" s="85">
        <v>0</v>
      </c>
      <c r="F93" s="85">
        <f t="shared" si="13"/>
        <v>0</v>
      </c>
      <c r="G93" s="85"/>
      <c r="H93" s="85"/>
      <c r="I93" s="85"/>
    </row>
    <row r="94" spans="1:9" s="285" customFormat="1" x14ac:dyDescent="0.25">
      <c r="A94" s="118">
        <v>24</v>
      </c>
      <c r="B94" s="151">
        <v>5620</v>
      </c>
      <c r="C94" s="159" t="s">
        <v>280</v>
      </c>
      <c r="D94" s="85"/>
      <c r="E94" s="85">
        <v>0</v>
      </c>
      <c r="F94" s="85">
        <f t="shared" si="13"/>
        <v>0</v>
      </c>
      <c r="G94" s="85"/>
      <c r="H94" s="85"/>
      <c r="I94" s="85"/>
    </row>
    <row r="95" spans="1:9" s="285" customFormat="1" x14ac:dyDescent="0.25">
      <c r="A95" s="118">
        <v>24</v>
      </c>
      <c r="B95" s="151">
        <v>5625</v>
      </c>
      <c r="C95" s="159" t="s">
        <v>281</v>
      </c>
      <c r="D95" s="85"/>
      <c r="E95" s="85">
        <v>0</v>
      </c>
      <c r="F95" s="85">
        <f t="shared" si="13"/>
        <v>0</v>
      </c>
      <c r="G95" s="85"/>
      <c r="H95" s="85"/>
      <c r="I95" s="85"/>
    </row>
    <row r="96" spans="1:9" s="285" customFormat="1" x14ac:dyDescent="0.25">
      <c r="A96" s="118">
        <v>24</v>
      </c>
      <c r="B96" s="151">
        <v>5630</v>
      </c>
      <c r="C96" s="159" t="s">
        <v>282</v>
      </c>
      <c r="D96" s="85"/>
      <c r="E96" s="85">
        <v>0</v>
      </c>
      <c r="F96" s="85">
        <f t="shared" si="13"/>
        <v>0</v>
      </c>
      <c r="G96" s="85"/>
      <c r="H96" s="85"/>
      <c r="I96" s="85"/>
    </row>
    <row r="97" spans="1:9" s="285" customFormat="1" x14ac:dyDescent="0.25">
      <c r="A97" s="118">
        <v>24</v>
      </c>
      <c r="B97" s="151">
        <v>5635</v>
      </c>
      <c r="C97" s="159" t="s">
        <v>283</v>
      </c>
      <c r="D97" s="85"/>
      <c r="E97" s="85">
        <v>0</v>
      </c>
      <c r="F97" s="85">
        <f t="shared" si="13"/>
        <v>0</v>
      </c>
      <c r="G97" s="85"/>
      <c r="H97" s="85"/>
      <c r="I97" s="85"/>
    </row>
    <row r="98" spans="1:9" s="285" customFormat="1" x14ac:dyDescent="0.25">
      <c r="A98" s="118">
        <v>24</v>
      </c>
      <c r="B98" s="151">
        <v>5640</v>
      </c>
      <c r="C98" s="159" t="s">
        <v>284</v>
      </c>
      <c r="D98" s="85"/>
      <c r="E98" s="85">
        <v>0</v>
      </c>
      <c r="F98" s="85">
        <f t="shared" si="13"/>
        <v>0</v>
      </c>
      <c r="G98" s="85"/>
      <c r="H98" s="85"/>
      <c r="I98" s="85"/>
    </row>
    <row r="99" spans="1:9" s="285" customFormat="1" x14ac:dyDescent="0.25">
      <c r="A99" s="118">
        <v>24</v>
      </c>
      <c r="B99" s="151">
        <v>5645</v>
      </c>
      <c r="C99" s="159" t="s">
        <v>285</v>
      </c>
      <c r="D99" s="85"/>
      <c r="E99" s="85">
        <v>0</v>
      </c>
      <c r="F99" s="85">
        <f t="shared" si="13"/>
        <v>0</v>
      </c>
      <c r="G99" s="85"/>
      <c r="H99" s="85"/>
      <c r="I99" s="85"/>
    </row>
    <row r="100" spans="1:9" s="285" customFormat="1" x14ac:dyDescent="0.25">
      <c r="A100" s="118">
        <v>24</v>
      </c>
      <c r="B100" s="151">
        <v>5650</v>
      </c>
      <c r="C100" s="159" t="s">
        <v>286</v>
      </c>
      <c r="D100" s="85"/>
      <c r="E100" s="85">
        <v>0</v>
      </c>
      <c r="F100" s="85">
        <f t="shared" si="13"/>
        <v>0</v>
      </c>
      <c r="G100" s="85"/>
      <c r="H100" s="85"/>
      <c r="I100" s="85"/>
    </row>
    <row r="101" spans="1:9" s="285" customFormat="1" x14ac:dyDescent="0.25">
      <c r="A101" s="118">
        <v>24</v>
      </c>
      <c r="B101" s="151">
        <v>5655</v>
      </c>
      <c r="C101" s="159" t="s">
        <v>287</v>
      </c>
      <c r="D101" s="85"/>
      <c r="E101" s="85">
        <v>0</v>
      </c>
      <c r="F101" s="85">
        <f t="shared" si="13"/>
        <v>0</v>
      </c>
      <c r="G101" s="85"/>
      <c r="H101" s="85"/>
      <c r="I101" s="85"/>
    </row>
    <row r="102" spans="1:9" s="285" customFormat="1" x14ac:dyDescent="0.25">
      <c r="A102" s="375">
        <v>24</v>
      </c>
      <c r="B102" s="152">
        <v>5660</v>
      </c>
      <c r="C102" s="386" t="s">
        <v>288</v>
      </c>
      <c r="D102" s="387"/>
      <c r="E102" s="387">
        <v>0</v>
      </c>
      <c r="F102" s="387">
        <f t="shared" si="13"/>
        <v>0</v>
      </c>
      <c r="G102" s="85"/>
      <c r="H102" s="85"/>
      <c r="I102" s="85"/>
    </row>
    <row r="103" spans="1:9" s="285" customFormat="1" x14ac:dyDescent="0.25">
      <c r="A103" s="118">
        <v>24</v>
      </c>
      <c r="B103" s="151">
        <v>5665</v>
      </c>
      <c r="C103" s="94" t="s">
        <v>289</v>
      </c>
      <c r="D103" s="85"/>
      <c r="E103" s="85">
        <v>0</v>
      </c>
      <c r="F103" s="85">
        <f t="shared" si="13"/>
        <v>0</v>
      </c>
      <c r="G103" s="85"/>
      <c r="H103" s="85"/>
      <c r="I103" s="85"/>
    </row>
    <row r="104" spans="1:9" s="285" customFormat="1" x14ac:dyDescent="0.25">
      <c r="A104" s="118">
        <v>24</v>
      </c>
      <c r="B104" s="151">
        <v>5670</v>
      </c>
      <c r="C104" s="94" t="s">
        <v>290</v>
      </c>
      <c r="D104" s="85"/>
      <c r="E104" s="85">
        <v>0</v>
      </c>
      <c r="F104" s="85">
        <f t="shared" ref="F104:F122" si="14">E104-D104</f>
        <v>0</v>
      </c>
      <c r="G104" s="85"/>
      <c r="H104" s="85"/>
      <c r="I104" s="85"/>
    </row>
    <row r="105" spans="1:9" s="285" customFormat="1" x14ac:dyDescent="0.25">
      <c r="A105" s="118">
        <v>24</v>
      </c>
      <c r="B105" s="151">
        <v>5675</v>
      </c>
      <c r="C105" s="94" t="s">
        <v>291</v>
      </c>
      <c r="D105" s="85"/>
      <c r="E105" s="85">
        <v>0</v>
      </c>
      <c r="F105" s="85">
        <f t="shared" si="14"/>
        <v>0</v>
      </c>
      <c r="G105" s="85"/>
      <c r="H105" s="85"/>
      <c r="I105" s="85"/>
    </row>
    <row r="106" spans="1:9" s="285" customFormat="1" x14ac:dyDescent="0.25">
      <c r="A106" s="118">
        <v>24</v>
      </c>
      <c r="B106" s="151">
        <v>5680</v>
      </c>
      <c r="C106" s="94" t="s">
        <v>292</v>
      </c>
      <c r="D106" s="85"/>
      <c r="E106" s="85">
        <v>0</v>
      </c>
      <c r="F106" s="85">
        <f t="shared" si="14"/>
        <v>0</v>
      </c>
      <c r="G106" s="85"/>
      <c r="H106" s="85"/>
      <c r="I106" s="85"/>
    </row>
    <row r="107" spans="1:9" s="285" customFormat="1" x14ac:dyDescent="0.25">
      <c r="A107" s="118">
        <v>24</v>
      </c>
      <c r="B107" s="151">
        <v>5685</v>
      </c>
      <c r="C107" s="94" t="s">
        <v>293</v>
      </c>
      <c r="D107" s="85"/>
      <c r="E107" s="85">
        <v>0</v>
      </c>
      <c r="F107" s="85">
        <f t="shared" si="14"/>
        <v>0</v>
      </c>
      <c r="G107" s="85"/>
      <c r="H107" s="85"/>
      <c r="I107" s="85"/>
    </row>
    <row r="108" spans="1:9" s="285" customFormat="1" x14ac:dyDescent="0.25">
      <c r="A108" s="118">
        <v>24</v>
      </c>
      <c r="B108" s="151">
        <v>5690</v>
      </c>
      <c r="C108" s="94" t="s">
        <v>247</v>
      </c>
      <c r="D108" s="85"/>
      <c r="E108" s="85">
        <v>0</v>
      </c>
      <c r="F108" s="85">
        <f t="shared" si="14"/>
        <v>0</v>
      </c>
      <c r="G108" s="85"/>
      <c r="H108" s="85"/>
      <c r="I108" s="85"/>
    </row>
    <row r="109" spans="1:9" s="285" customFormat="1" x14ac:dyDescent="0.25">
      <c r="A109" s="118">
        <v>24</v>
      </c>
      <c r="B109" s="151">
        <v>5695</v>
      </c>
      <c r="C109" s="94" t="s">
        <v>294</v>
      </c>
      <c r="D109" s="85"/>
      <c r="E109" s="85">
        <v>0</v>
      </c>
      <c r="F109" s="85">
        <f t="shared" si="14"/>
        <v>0</v>
      </c>
      <c r="G109" s="85"/>
      <c r="H109" s="85"/>
      <c r="I109" s="85"/>
    </row>
    <row r="110" spans="1:9" s="285" customFormat="1" x14ac:dyDescent="0.25">
      <c r="A110" s="118">
        <v>24</v>
      </c>
      <c r="B110" s="151">
        <v>5700</v>
      </c>
      <c r="C110" s="94" t="s">
        <v>295</v>
      </c>
      <c r="D110" s="85"/>
      <c r="E110" s="85">
        <v>63000</v>
      </c>
      <c r="F110" s="85">
        <f t="shared" si="14"/>
        <v>63000</v>
      </c>
      <c r="G110" s="85">
        <v>257000</v>
      </c>
      <c r="H110" s="85">
        <v>280000</v>
      </c>
      <c r="I110" s="85">
        <v>280000</v>
      </c>
    </row>
    <row r="111" spans="1:9" s="285" customFormat="1" x14ac:dyDescent="0.25">
      <c r="A111" s="118">
        <v>24</v>
      </c>
      <c r="B111" s="151">
        <v>5710</v>
      </c>
      <c r="C111" s="94" t="s">
        <v>297</v>
      </c>
      <c r="D111" s="85"/>
      <c r="E111" s="85">
        <v>0</v>
      </c>
      <c r="F111" s="85">
        <f t="shared" si="14"/>
        <v>0</v>
      </c>
      <c r="G111" s="85"/>
      <c r="H111" s="85"/>
      <c r="I111" s="85"/>
    </row>
    <row r="112" spans="1:9" s="285" customFormat="1" x14ac:dyDescent="0.25">
      <c r="A112" s="118">
        <v>24</v>
      </c>
      <c r="B112" s="151">
        <v>5715</v>
      </c>
      <c r="C112" s="94" t="s">
        <v>298</v>
      </c>
      <c r="D112" s="85"/>
      <c r="E112" s="85">
        <v>0</v>
      </c>
      <c r="F112" s="85">
        <f t="shared" si="14"/>
        <v>0</v>
      </c>
      <c r="G112" s="85"/>
      <c r="H112" s="85"/>
      <c r="I112" s="85"/>
    </row>
    <row r="113" spans="1:9" s="285" customFormat="1" x14ac:dyDescent="0.25">
      <c r="A113" s="118">
        <v>24</v>
      </c>
      <c r="B113" s="151">
        <v>5720</v>
      </c>
      <c r="C113" s="94" t="s">
        <v>299</v>
      </c>
      <c r="D113" s="85"/>
      <c r="E113" s="85">
        <v>0</v>
      </c>
      <c r="F113" s="85">
        <f t="shared" si="14"/>
        <v>0</v>
      </c>
      <c r="G113" s="85"/>
      <c r="H113" s="85"/>
      <c r="I113" s="85"/>
    </row>
    <row r="114" spans="1:9" s="285" customFormat="1" x14ac:dyDescent="0.25">
      <c r="A114" s="118">
        <v>24</v>
      </c>
      <c r="B114" s="151">
        <v>5730</v>
      </c>
      <c r="C114" s="94" t="s">
        <v>300</v>
      </c>
      <c r="D114" s="85"/>
      <c r="E114" s="85">
        <v>0</v>
      </c>
      <c r="F114" s="85">
        <f t="shared" si="14"/>
        <v>0</v>
      </c>
      <c r="G114" s="85"/>
      <c r="H114" s="85"/>
      <c r="I114" s="85"/>
    </row>
    <row r="115" spans="1:9" s="285" customFormat="1" x14ac:dyDescent="0.25">
      <c r="A115" s="118">
        <v>24</v>
      </c>
      <c r="B115" s="151">
        <v>5735</v>
      </c>
      <c r="C115" s="94" t="s">
        <v>301</v>
      </c>
      <c r="D115" s="85"/>
      <c r="E115" s="85">
        <v>0</v>
      </c>
      <c r="F115" s="85">
        <f t="shared" si="14"/>
        <v>0</v>
      </c>
      <c r="G115" s="85"/>
      <c r="H115" s="85"/>
      <c r="I115" s="85"/>
    </row>
    <row r="116" spans="1:9" s="285" customFormat="1" x14ac:dyDescent="0.25">
      <c r="A116" s="118">
        <v>24</v>
      </c>
      <c r="B116" s="151">
        <v>5740</v>
      </c>
      <c r="C116" s="94" t="s">
        <v>302</v>
      </c>
      <c r="D116" s="85"/>
      <c r="E116" s="85">
        <v>0</v>
      </c>
      <c r="F116" s="85">
        <f t="shared" si="14"/>
        <v>0</v>
      </c>
      <c r="G116" s="85"/>
      <c r="H116" s="85"/>
      <c r="I116" s="85"/>
    </row>
    <row r="117" spans="1:9" s="285" customFormat="1" x14ac:dyDescent="0.25">
      <c r="A117" s="118">
        <v>24</v>
      </c>
      <c r="B117" s="151">
        <v>5745</v>
      </c>
      <c r="C117" s="94" t="s">
        <v>303</v>
      </c>
      <c r="D117" s="85"/>
      <c r="E117" s="85">
        <v>0</v>
      </c>
      <c r="F117" s="85">
        <f t="shared" si="14"/>
        <v>0</v>
      </c>
      <c r="G117" s="85"/>
      <c r="H117" s="85"/>
      <c r="I117" s="85"/>
    </row>
    <row r="118" spans="1:9" s="285" customFormat="1" x14ac:dyDescent="0.25">
      <c r="A118" s="118">
        <v>24</v>
      </c>
      <c r="B118" s="151">
        <v>5750</v>
      </c>
      <c r="C118" s="94" t="s">
        <v>304</v>
      </c>
      <c r="D118" s="85">
        <v>298</v>
      </c>
      <c r="E118" s="85">
        <v>1650</v>
      </c>
      <c r="F118" s="85">
        <v>1650</v>
      </c>
      <c r="G118" s="85">
        <v>1050</v>
      </c>
      <c r="H118" s="85">
        <v>1050</v>
      </c>
      <c r="I118" s="85">
        <v>1050</v>
      </c>
    </row>
    <row r="119" spans="1:9" s="285" customFormat="1" x14ac:dyDescent="0.25">
      <c r="A119" s="118">
        <v>24</v>
      </c>
      <c r="B119" s="151">
        <v>5755</v>
      </c>
      <c r="C119" s="94" t="s">
        <v>305</v>
      </c>
      <c r="D119" s="85">
        <v>3731</v>
      </c>
      <c r="E119" s="85">
        <v>16500</v>
      </c>
      <c r="F119" s="85">
        <v>16500</v>
      </c>
      <c r="G119" s="85">
        <v>12800</v>
      </c>
      <c r="H119" s="85">
        <v>12800</v>
      </c>
      <c r="I119" s="85">
        <v>12800</v>
      </c>
    </row>
    <row r="120" spans="1:9" s="285" customFormat="1" ht="12" customHeight="1" x14ac:dyDescent="0.25">
      <c r="A120" s="118">
        <v>24</v>
      </c>
      <c r="B120" s="151">
        <v>5760</v>
      </c>
      <c r="C120" s="94" t="s">
        <v>306</v>
      </c>
      <c r="D120" s="85"/>
      <c r="E120" s="85">
        <v>0</v>
      </c>
      <c r="F120" s="85">
        <f t="shared" si="14"/>
        <v>0</v>
      </c>
      <c r="G120" s="85"/>
      <c r="H120" s="85"/>
      <c r="I120" s="85"/>
    </row>
    <row r="121" spans="1:9" s="285" customFormat="1" x14ac:dyDescent="0.25">
      <c r="A121" s="118">
        <v>24</v>
      </c>
      <c r="B121" s="151">
        <v>5765</v>
      </c>
      <c r="C121" s="94" t="s">
        <v>307</v>
      </c>
      <c r="D121" s="85"/>
      <c r="E121" s="85">
        <v>0</v>
      </c>
      <c r="F121" s="85">
        <f t="shared" si="14"/>
        <v>0</v>
      </c>
      <c r="G121" s="85"/>
      <c r="H121" s="85"/>
      <c r="I121" s="85"/>
    </row>
    <row r="122" spans="1:9" s="285" customFormat="1" x14ac:dyDescent="0.25">
      <c r="A122" s="118">
        <v>24</v>
      </c>
      <c r="B122" s="151">
        <v>5770</v>
      </c>
      <c r="C122" s="94" t="s">
        <v>308</v>
      </c>
      <c r="D122" s="85"/>
      <c r="E122" s="85">
        <v>18000</v>
      </c>
      <c r="F122" s="85">
        <f t="shared" si="14"/>
        <v>18000</v>
      </c>
      <c r="G122" s="85">
        <v>18000</v>
      </c>
      <c r="H122" s="85">
        <v>1800</v>
      </c>
      <c r="I122" s="85">
        <v>1800</v>
      </c>
    </row>
    <row r="123" spans="1:9" s="285" customFormat="1" x14ac:dyDescent="0.25">
      <c r="A123" s="118">
        <v>24</v>
      </c>
      <c r="B123" s="151">
        <v>5775</v>
      </c>
      <c r="C123" s="94" t="s">
        <v>309</v>
      </c>
      <c r="D123" s="85"/>
      <c r="E123" s="85"/>
      <c r="F123" s="85">
        <f t="shared" ref="F123:F132" si="15">0/8*12</f>
        <v>0</v>
      </c>
      <c r="G123" s="85"/>
      <c r="H123" s="85"/>
      <c r="I123" s="85"/>
    </row>
    <row r="124" spans="1:9" s="285" customFormat="1" x14ac:dyDescent="0.25">
      <c r="A124" s="118">
        <v>24</v>
      </c>
      <c r="B124" s="151">
        <v>5780</v>
      </c>
      <c r="C124" s="94" t="s">
        <v>310</v>
      </c>
      <c r="D124" s="85"/>
      <c r="E124" s="85"/>
      <c r="F124" s="85">
        <f t="shared" si="15"/>
        <v>0</v>
      </c>
      <c r="G124" s="85"/>
      <c r="H124" s="85"/>
      <c r="I124" s="85"/>
    </row>
    <row r="125" spans="1:9" s="285" customFormat="1" x14ac:dyDescent="0.25">
      <c r="A125" s="118">
        <v>24</v>
      </c>
      <c r="B125" s="151">
        <v>5785</v>
      </c>
      <c r="C125" s="94" t="s">
        <v>311</v>
      </c>
      <c r="D125" s="85"/>
      <c r="E125" s="85"/>
      <c r="F125" s="85">
        <f t="shared" si="15"/>
        <v>0</v>
      </c>
      <c r="G125" s="85"/>
      <c r="H125" s="85"/>
      <c r="I125" s="85">
        <f>F125*(1+INPUT!C$10)</f>
        <v>0</v>
      </c>
    </row>
    <row r="126" spans="1:9" s="285" customFormat="1" x14ac:dyDescent="0.25">
      <c r="A126" s="118">
        <v>24</v>
      </c>
      <c r="B126" s="151">
        <v>5790</v>
      </c>
      <c r="C126" s="94" t="s">
        <v>312</v>
      </c>
      <c r="D126" s="85"/>
      <c r="E126" s="85"/>
      <c r="F126" s="85">
        <f t="shared" si="15"/>
        <v>0</v>
      </c>
      <c r="G126" s="85"/>
      <c r="H126" s="85"/>
      <c r="I126" s="85">
        <f>F126*(1+INPUT!C$10)</f>
        <v>0</v>
      </c>
    </row>
    <row r="127" spans="1:9" s="285" customFormat="1" x14ac:dyDescent="0.25">
      <c r="A127" s="118">
        <v>24</v>
      </c>
      <c r="B127" s="151">
        <v>5795</v>
      </c>
      <c r="C127" s="94" t="s">
        <v>313</v>
      </c>
      <c r="D127" s="85"/>
      <c r="E127" s="85"/>
      <c r="F127" s="85">
        <f t="shared" si="15"/>
        <v>0</v>
      </c>
      <c r="G127" s="85"/>
      <c r="H127" s="85"/>
      <c r="I127" s="85">
        <f>F127*(1+INPUT!C$10)</f>
        <v>0</v>
      </c>
    </row>
    <row r="128" spans="1:9" s="285" customFormat="1" x14ac:dyDescent="0.25">
      <c r="A128" s="118">
        <v>24</v>
      </c>
      <c r="B128" s="151">
        <v>5800</v>
      </c>
      <c r="C128" s="94" t="s">
        <v>314</v>
      </c>
      <c r="D128" s="85"/>
      <c r="E128" s="85"/>
      <c r="F128" s="85">
        <f t="shared" si="15"/>
        <v>0</v>
      </c>
      <c r="G128" s="85"/>
      <c r="H128" s="85"/>
      <c r="I128" s="85">
        <f>F128*(1+INPUT!C$10)</f>
        <v>0</v>
      </c>
    </row>
    <row r="129" spans="1:9" s="285" customFormat="1" x14ac:dyDescent="0.25">
      <c r="A129" s="118">
        <v>24</v>
      </c>
      <c r="B129" s="151">
        <v>5805</v>
      </c>
      <c r="C129" s="94" t="s">
        <v>315</v>
      </c>
      <c r="D129" s="85"/>
      <c r="E129" s="85"/>
      <c r="F129" s="85">
        <f t="shared" si="15"/>
        <v>0</v>
      </c>
      <c r="G129" s="85"/>
      <c r="H129" s="85"/>
      <c r="I129" s="85">
        <f>F129*(1+INPUT!C$10)</f>
        <v>0</v>
      </c>
    </row>
    <row r="130" spans="1:9" s="285" customFormat="1" x14ac:dyDescent="0.25">
      <c r="A130" s="118">
        <v>24</v>
      </c>
      <c r="B130" s="151">
        <v>5810</v>
      </c>
      <c r="C130" s="94" t="s">
        <v>316</v>
      </c>
      <c r="D130" s="85"/>
      <c r="E130" s="85"/>
      <c r="F130" s="85">
        <f t="shared" si="15"/>
        <v>0</v>
      </c>
      <c r="G130" s="85"/>
      <c r="H130" s="85"/>
      <c r="I130" s="85">
        <f>F130*(1+INPUT!C$10)</f>
        <v>0</v>
      </c>
    </row>
    <row r="131" spans="1:9" s="285" customFormat="1" x14ac:dyDescent="0.25">
      <c r="A131" s="118">
        <v>24</v>
      </c>
      <c r="B131" s="151">
        <v>5815</v>
      </c>
      <c r="C131" s="94" t="s">
        <v>99</v>
      </c>
      <c r="D131" s="85"/>
      <c r="E131" s="85"/>
      <c r="F131" s="85">
        <f t="shared" si="15"/>
        <v>0</v>
      </c>
      <c r="G131" s="85"/>
      <c r="H131" s="85"/>
      <c r="I131" s="85">
        <f>F131*(1+INPUT!C$10)</f>
        <v>0</v>
      </c>
    </row>
    <row r="132" spans="1:9" s="285" customFormat="1" x14ac:dyDescent="0.25">
      <c r="A132" s="118">
        <v>24</v>
      </c>
      <c r="B132" s="151">
        <v>5820</v>
      </c>
      <c r="C132" s="94" t="s">
        <v>114</v>
      </c>
      <c r="D132" s="86"/>
      <c r="E132" s="85"/>
      <c r="F132" s="85">
        <f t="shared" si="15"/>
        <v>0</v>
      </c>
      <c r="G132" s="85"/>
      <c r="H132" s="85"/>
      <c r="I132" s="85">
        <f>F132*(1+INPUT!C$10)</f>
        <v>0</v>
      </c>
    </row>
    <row r="133" spans="1:9" s="285" customFormat="1" x14ac:dyDescent="0.25">
      <c r="A133" s="118">
        <v>24</v>
      </c>
      <c r="B133" s="151">
        <v>5825</v>
      </c>
      <c r="C133" s="94" t="s">
        <v>317</v>
      </c>
      <c r="D133" s="86"/>
      <c r="E133" s="85"/>
      <c r="F133" s="85">
        <f t="shared" ref="F133:F147" si="16">0/8*12</f>
        <v>0</v>
      </c>
      <c r="G133" s="85"/>
      <c r="H133" s="85"/>
      <c r="I133" s="85">
        <f>F133*(1+INPUT!C$10)</f>
        <v>0</v>
      </c>
    </row>
    <row r="134" spans="1:9" s="285" customFormat="1" x14ac:dyDescent="0.25">
      <c r="A134" s="118">
        <v>24</v>
      </c>
      <c r="B134" s="151">
        <v>5830</v>
      </c>
      <c r="C134" s="94" t="s">
        <v>318</v>
      </c>
      <c r="D134" s="86"/>
      <c r="E134" s="85"/>
      <c r="F134" s="85">
        <f t="shared" si="16"/>
        <v>0</v>
      </c>
      <c r="G134" s="85"/>
      <c r="H134" s="85"/>
      <c r="I134" s="85">
        <f>F134*(1+INPUT!C$10)</f>
        <v>0</v>
      </c>
    </row>
    <row r="135" spans="1:9" s="285" customFormat="1" x14ac:dyDescent="0.25">
      <c r="A135" s="118">
        <v>24</v>
      </c>
      <c r="B135" s="151">
        <v>5835</v>
      </c>
      <c r="C135" s="94" t="s">
        <v>319</v>
      </c>
      <c r="D135" s="86"/>
      <c r="E135" s="85"/>
      <c r="F135" s="85">
        <f t="shared" si="16"/>
        <v>0</v>
      </c>
      <c r="G135" s="85"/>
      <c r="H135" s="85"/>
      <c r="I135" s="85">
        <f>F135*(1+INPUT!C$10)</f>
        <v>0</v>
      </c>
    </row>
    <row r="136" spans="1:9" s="285" customFormat="1" x14ac:dyDescent="0.25">
      <c r="A136" s="118">
        <v>24</v>
      </c>
      <c r="B136" s="151">
        <v>5840</v>
      </c>
      <c r="C136" s="94" t="s">
        <v>332</v>
      </c>
      <c r="D136" s="115"/>
      <c r="E136" s="85"/>
      <c r="F136" s="85">
        <f t="shared" si="16"/>
        <v>0</v>
      </c>
      <c r="G136" s="85"/>
      <c r="H136" s="85"/>
      <c r="I136" s="85">
        <f>F136*(1+INPUT!C$10)</f>
        <v>0</v>
      </c>
    </row>
    <row r="137" spans="1:9" s="285" customFormat="1" x14ac:dyDescent="0.25">
      <c r="A137" s="118">
        <v>24</v>
      </c>
      <c r="B137" s="151">
        <v>5845</v>
      </c>
      <c r="C137" s="94" t="s">
        <v>320</v>
      </c>
      <c r="D137" s="86"/>
      <c r="E137" s="85"/>
      <c r="F137" s="85">
        <f t="shared" si="16"/>
        <v>0</v>
      </c>
      <c r="G137" s="85"/>
      <c r="H137" s="85"/>
      <c r="I137" s="85">
        <f>F137*(1+INPUT!C$10)</f>
        <v>0</v>
      </c>
    </row>
    <row r="138" spans="1:9" s="285" customFormat="1" x14ac:dyDescent="0.25">
      <c r="A138" s="118">
        <v>24</v>
      </c>
      <c r="B138" s="151">
        <v>5855</v>
      </c>
      <c r="C138" s="94" t="s">
        <v>321</v>
      </c>
      <c r="D138" s="85"/>
      <c r="E138" s="85"/>
      <c r="F138" s="85">
        <f t="shared" si="16"/>
        <v>0</v>
      </c>
      <c r="G138" s="85"/>
      <c r="H138" s="85"/>
      <c r="I138" s="85">
        <f>F138*(1+INPUT!C$10)</f>
        <v>0</v>
      </c>
    </row>
    <row r="139" spans="1:9" s="285" customFormat="1" x14ac:dyDescent="0.25">
      <c r="A139" s="118">
        <v>24</v>
      </c>
      <c r="B139" s="151">
        <v>5860</v>
      </c>
      <c r="C139" s="94" t="s">
        <v>322</v>
      </c>
      <c r="D139" s="85"/>
      <c r="E139" s="85"/>
      <c r="F139" s="85">
        <f t="shared" si="16"/>
        <v>0</v>
      </c>
      <c r="G139" s="85"/>
      <c r="H139" s="85"/>
      <c r="I139" s="85">
        <f>F139*(1+INPUT!C$10)</f>
        <v>0</v>
      </c>
    </row>
    <row r="140" spans="1:9" s="285" customFormat="1" x14ac:dyDescent="0.25">
      <c r="A140" s="118">
        <v>24</v>
      </c>
      <c r="B140" s="151">
        <v>5865</v>
      </c>
      <c r="C140" s="94" t="s">
        <v>323</v>
      </c>
      <c r="D140" s="85"/>
      <c r="E140" s="85"/>
      <c r="F140" s="85">
        <f t="shared" si="16"/>
        <v>0</v>
      </c>
      <c r="G140" s="85"/>
      <c r="H140" s="85"/>
      <c r="I140" s="85">
        <f>F140*(1+INPUT!C$10)</f>
        <v>0</v>
      </c>
    </row>
    <row r="141" spans="1:9" s="285" customFormat="1" x14ac:dyDescent="0.25">
      <c r="A141" s="118">
        <v>24</v>
      </c>
      <c r="B141" s="151">
        <v>5870</v>
      </c>
      <c r="C141" s="94" t="s">
        <v>324</v>
      </c>
      <c r="D141" s="85"/>
      <c r="E141" s="85"/>
      <c r="F141" s="85">
        <f t="shared" si="16"/>
        <v>0</v>
      </c>
      <c r="G141" s="85"/>
      <c r="H141" s="85"/>
      <c r="I141" s="85">
        <f>F141*(1+INPUT!C$10)</f>
        <v>0</v>
      </c>
    </row>
    <row r="142" spans="1:9" s="285" customFormat="1" x14ac:dyDescent="0.25">
      <c r="A142" s="118">
        <v>24</v>
      </c>
      <c r="B142" s="151">
        <v>5875</v>
      </c>
      <c r="C142" s="94" t="s">
        <v>325</v>
      </c>
      <c r="D142" s="85"/>
      <c r="E142" s="85"/>
      <c r="F142" s="85">
        <f t="shared" si="16"/>
        <v>0</v>
      </c>
      <c r="G142" s="85"/>
      <c r="H142" s="85"/>
      <c r="I142" s="85">
        <f>F142*(1+INPUT!C$10)</f>
        <v>0</v>
      </c>
    </row>
    <row r="143" spans="1:9" s="285" customFormat="1" x14ac:dyDescent="0.25">
      <c r="A143" s="118">
        <v>24</v>
      </c>
      <c r="B143" s="151">
        <v>5880</v>
      </c>
      <c r="C143" s="94" t="s">
        <v>326</v>
      </c>
      <c r="D143" s="85"/>
      <c r="E143" s="85"/>
      <c r="F143" s="85">
        <f t="shared" si="16"/>
        <v>0</v>
      </c>
      <c r="G143" s="85"/>
      <c r="H143" s="85"/>
      <c r="I143" s="85">
        <f>F143*(1+INPUT!C$10)</f>
        <v>0</v>
      </c>
    </row>
    <row r="144" spans="1:9" s="285" customFormat="1" x14ac:dyDescent="0.25">
      <c r="A144" s="118">
        <v>24</v>
      </c>
      <c r="B144" s="151">
        <v>5885</v>
      </c>
      <c r="C144" s="94" t="s">
        <v>331</v>
      </c>
      <c r="D144" s="85"/>
      <c r="E144" s="85">
        <v>0</v>
      </c>
      <c r="F144" s="85">
        <f t="shared" si="16"/>
        <v>0</v>
      </c>
      <c r="G144" s="85"/>
      <c r="H144" s="85"/>
      <c r="I144" s="85">
        <v>0</v>
      </c>
    </row>
    <row r="145" spans="1:9" s="285" customFormat="1" x14ac:dyDescent="0.25">
      <c r="A145" s="118">
        <v>24</v>
      </c>
      <c r="B145" s="151">
        <v>5890</v>
      </c>
      <c r="C145" s="94" t="s">
        <v>327</v>
      </c>
      <c r="D145" s="85"/>
      <c r="E145" s="85"/>
      <c r="F145" s="85">
        <f t="shared" si="16"/>
        <v>0</v>
      </c>
      <c r="G145" s="85"/>
      <c r="H145" s="85"/>
      <c r="I145" s="85">
        <f>F145*(1+INPUT!C$10)</f>
        <v>0</v>
      </c>
    </row>
    <row r="146" spans="1:9" s="285" customFormat="1" x14ac:dyDescent="0.25">
      <c r="A146" s="118">
        <v>24</v>
      </c>
      <c r="B146" s="151">
        <v>5895</v>
      </c>
      <c r="C146" s="94" t="s">
        <v>328</v>
      </c>
      <c r="D146" s="85"/>
      <c r="E146" s="85"/>
      <c r="F146" s="85">
        <f t="shared" si="16"/>
        <v>0</v>
      </c>
      <c r="G146" s="85"/>
      <c r="H146" s="85"/>
      <c r="I146" s="85">
        <f>F146*(1+INPUT!C$10)</f>
        <v>0</v>
      </c>
    </row>
    <row r="147" spans="1:9" s="285" customFormat="1" x14ac:dyDescent="0.25">
      <c r="A147" s="118">
        <v>24</v>
      </c>
      <c r="B147" s="151">
        <v>5910</v>
      </c>
      <c r="C147" s="94" t="s">
        <v>330</v>
      </c>
      <c r="D147" s="85"/>
      <c r="E147" s="85"/>
      <c r="F147" s="85">
        <f t="shared" si="16"/>
        <v>0</v>
      </c>
      <c r="G147" s="85"/>
      <c r="H147" s="85"/>
      <c r="I147" s="85">
        <f>F147*(1+INPUT!C$10)</f>
        <v>0</v>
      </c>
    </row>
    <row r="148" spans="1:9" s="285" customFormat="1" x14ac:dyDescent="0.25">
      <c r="A148" s="344"/>
      <c r="B148" s="151"/>
      <c r="C148" s="94"/>
      <c r="D148" s="89">
        <f t="shared" ref="D148:I148" si="17">SUM(D72:D147)</f>
        <v>13497</v>
      </c>
      <c r="E148" s="89">
        <f t="shared" si="17"/>
        <v>330496</v>
      </c>
      <c r="F148" s="89">
        <f t="shared" si="17"/>
        <v>170496</v>
      </c>
      <c r="G148" s="89">
        <f t="shared" si="17"/>
        <v>462650</v>
      </c>
      <c r="H148" s="89">
        <f t="shared" si="17"/>
        <v>475650</v>
      </c>
      <c r="I148" s="89">
        <f t="shared" si="17"/>
        <v>482650</v>
      </c>
    </row>
    <row r="149" spans="1:9" s="285" customFormat="1" x14ac:dyDescent="0.25">
      <c r="A149" s="415"/>
      <c r="B149" s="420"/>
      <c r="C149" s="420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24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85"/>
      <c r="H150" s="85"/>
      <c r="I150" s="108">
        <f>F150*(1+INPUT!C$10)</f>
        <v>0</v>
      </c>
    </row>
    <row r="151" spans="1:9" s="285" customFormat="1" x14ac:dyDescent="0.25">
      <c r="A151" s="344"/>
      <c r="B151" s="151"/>
      <c r="C151" s="94"/>
      <c r="D151" s="89">
        <f t="shared" ref="D151:I151" si="18">SUM(D150)</f>
        <v>0</v>
      </c>
      <c r="E151" s="89">
        <f t="shared" si="18"/>
        <v>0</v>
      </c>
      <c r="F151" s="89">
        <f t="shared" si="18"/>
        <v>0</v>
      </c>
      <c r="G151" s="89"/>
      <c r="H151" s="89"/>
      <c r="I151" s="89">
        <f t="shared" si="18"/>
        <v>0</v>
      </c>
    </row>
    <row r="152" spans="1:9" s="285" customFormat="1" x14ac:dyDescent="0.25">
      <c r="A152" s="415"/>
      <c r="B152" s="421"/>
      <c r="C152" s="416" t="s">
        <v>64</v>
      </c>
      <c r="D152" s="416"/>
      <c r="E152" s="416"/>
      <c r="F152" s="416"/>
      <c r="G152" s="416"/>
      <c r="H152" s="416"/>
      <c r="I152" s="422"/>
    </row>
    <row r="153" spans="1:9" s="285" customFormat="1" x14ac:dyDescent="0.25">
      <c r="A153" s="378">
        <v>24</v>
      </c>
      <c r="B153" s="153">
        <v>6105</v>
      </c>
      <c r="C153" s="97" t="s">
        <v>336</v>
      </c>
      <c r="D153" s="88"/>
      <c r="E153" s="335"/>
      <c r="F153" s="88">
        <f>0/8*12</f>
        <v>0</v>
      </c>
      <c r="G153" s="88"/>
      <c r="H153" s="88"/>
      <c r="I153" s="335"/>
    </row>
    <row r="154" spans="1:9" s="285" customFormat="1" x14ac:dyDescent="0.25">
      <c r="A154" s="118">
        <v>24</v>
      </c>
      <c r="B154" s="151">
        <v>6110</v>
      </c>
      <c r="C154" s="94" t="s">
        <v>337</v>
      </c>
      <c r="D154" s="85">
        <f>[2]SC13c!$G$32</f>
        <v>36000</v>
      </c>
      <c r="E154" s="108">
        <v>250000</v>
      </c>
      <c r="F154" s="108">
        <v>250000</v>
      </c>
      <c r="G154" s="85">
        <v>250000</v>
      </c>
      <c r="H154" s="85"/>
      <c r="I154" s="85"/>
    </row>
    <row r="155" spans="1:9" s="285" customFormat="1" x14ac:dyDescent="0.25">
      <c r="A155" s="118">
        <v>24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85"/>
      <c r="H155" s="85"/>
      <c r="I155" s="108">
        <f>F155*(1+INPUT!C$10)</f>
        <v>0</v>
      </c>
    </row>
    <row r="156" spans="1:9" s="285" customFormat="1" x14ac:dyDescent="0.25">
      <c r="A156" s="348"/>
      <c r="B156" s="152"/>
      <c r="C156" s="106"/>
      <c r="D156" s="89">
        <f>D153</f>
        <v>0</v>
      </c>
      <c r="E156" s="89">
        <f>SUM(E153:E155)</f>
        <v>250000</v>
      </c>
      <c r="F156" s="89">
        <f t="shared" ref="F156:I156" si="19">SUM(F153:F155)</f>
        <v>250000</v>
      </c>
      <c r="G156" s="89">
        <f t="shared" si="19"/>
        <v>250000</v>
      </c>
      <c r="H156" s="89">
        <f t="shared" si="19"/>
        <v>0</v>
      </c>
      <c r="I156" s="89">
        <f t="shared" si="19"/>
        <v>0</v>
      </c>
    </row>
    <row r="157" spans="1:9" s="285" customFormat="1" x14ac:dyDescent="0.25">
      <c r="A157" s="350"/>
      <c r="B157" s="153"/>
      <c r="C157" s="417" t="s">
        <v>65</v>
      </c>
      <c r="D157" s="88"/>
      <c r="E157" s="113"/>
      <c r="F157" s="113"/>
      <c r="G157" s="113"/>
      <c r="H157" s="113"/>
      <c r="I157" s="88"/>
    </row>
    <row r="158" spans="1:9" s="285" customFormat="1" x14ac:dyDescent="0.25">
      <c r="A158" s="118">
        <v>24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/>
      <c r="I158" s="85">
        <f>F158*(1+INPUT!C$10)</f>
        <v>0</v>
      </c>
    </row>
    <row r="159" spans="1:9" s="285" customFormat="1" x14ac:dyDescent="0.25">
      <c r="A159" s="118">
        <v>24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/>
      <c r="I159" s="85">
        <f>F159*(1+INPUT!C$10)</f>
        <v>0</v>
      </c>
    </row>
    <row r="160" spans="1:9" s="285" customFormat="1" x14ac:dyDescent="0.25">
      <c r="A160" s="344"/>
      <c r="B160" s="346"/>
      <c r="C160" s="347"/>
      <c r="D160" s="116">
        <f t="shared" ref="D160:I160" si="20">SUM(D158:D159)</f>
        <v>0</v>
      </c>
      <c r="E160" s="116">
        <f t="shared" si="20"/>
        <v>0</v>
      </c>
      <c r="F160" s="116">
        <f t="shared" si="20"/>
        <v>0</v>
      </c>
      <c r="G160" s="116"/>
      <c r="H160" s="116"/>
      <c r="I160" s="116">
        <f t="shared" si="20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I161" si="21">D160+D156+D151+D148+D70+D66+D63+D59+D38+D35+D32+D29+D25+D18</f>
        <v>826421</v>
      </c>
      <c r="E161" s="116">
        <f t="shared" si="21"/>
        <v>3041896</v>
      </c>
      <c r="F161" s="116">
        <f t="shared" si="21"/>
        <v>2751896</v>
      </c>
      <c r="G161" s="116">
        <f t="shared" si="21"/>
        <v>3521229.2</v>
      </c>
      <c r="H161" s="116">
        <f t="shared" si="21"/>
        <v>3488416.5855999999</v>
      </c>
      <c r="I161" s="116">
        <f t="shared" si="21"/>
        <v>3690292.7134207999</v>
      </c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x14ac:dyDescent="0.25">
      <c r="A163" s="118">
        <v>24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85"/>
      <c r="H163" s="85">
        <f>0/8*12</f>
        <v>0</v>
      </c>
      <c r="I163" s="85"/>
    </row>
    <row r="164" spans="1:9" s="285" customFormat="1" x14ac:dyDescent="0.25">
      <c r="A164" s="344"/>
      <c r="B164" s="151"/>
      <c r="C164" s="94"/>
      <c r="D164" s="116">
        <f t="shared" ref="D164:I164" si="22">D163</f>
        <v>0</v>
      </c>
      <c r="E164" s="116">
        <f t="shared" si="22"/>
        <v>0</v>
      </c>
      <c r="F164" s="116">
        <f t="shared" si="22"/>
        <v>0</v>
      </c>
      <c r="G164" s="116"/>
      <c r="H164" s="116">
        <f t="shared" ref="H164" si="23">H163</f>
        <v>0</v>
      </c>
      <c r="I164" s="116">
        <f t="shared" si="22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24">SUM(D161+D164)</f>
        <v>826421</v>
      </c>
      <c r="E165" s="160">
        <f t="shared" si="24"/>
        <v>3041896</v>
      </c>
      <c r="F165" s="160">
        <f t="shared" si="24"/>
        <v>2751896</v>
      </c>
      <c r="G165" s="160">
        <f t="shared" si="24"/>
        <v>3521229.2</v>
      </c>
      <c r="H165" s="160">
        <f t="shared" si="24"/>
        <v>3488416.5855999999</v>
      </c>
      <c r="I165" s="160">
        <f t="shared" si="24"/>
        <v>3690292.7134207999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271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418" t="s">
        <v>549</v>
      </c>
      <c r="C168" s="418"/>
      <c r="D168" s="418"/>
      <c r="E168" s="363"/>
      <c r="F168" s="363"/>
      <c r="G168" s="425"/>
      <c r="H168" s="363"/>
      <c r="I168" s="364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3" t="s">
        <v>24</v>
      </c>
      <c r="H169" s="103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24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08">
        <f>F172*(1+INPUT!C15)</f>
        <v>0</v>
      </c>
    </row>
    <row r="173" spans="1:9" s="285" customFormat="1" hidden="1" x14ac:dyDescent="0.25">
      <c r="A173" s="118">
        <v>24</v>
      </c>
      <c r="B173" s="151">
        <v>5725</v>
      </c>
      <c r="C173" s="94" t="s">
        <v>402</v>
      </c>
      <c r="D173" s="85">
        <v>0</v>
      </c>
      <c r="E173" s="85">
        <v>0</v>
      </c>
      <c r="F173" s="85">
        <f>(0/8*12)*-1</f>
        <v>0</v>
      </c>
      <c r="G173" s="85"/>
      <c r="H173" s="85"/>
      <c r="I173" s="85">
        <f>F173*(1+INPUT!C$10)</f>
        <v>0</v>
      </c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>
        <f>SUM(I172)</f>
        <v>0</v>
      </c>
    </row>
    <row r="175" spans="1:9" s="285" customFormat="1" hidden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24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98"/>
      <c r="H176" s="98"/>
      <c r="I176" s="98">
        <f>F176*(1+INPUT!C18)</f>
        <v>0</v>
      </c>
    </row>
    <row r="177" spans="1:9" s="285" customFormat="1" hidden="1" x14ac:dyDescent="0.25">
      <c r="A177" s="118">
        <v>24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98"/>
      <c r="H177" s="98"/>
      <c r="I177" s="98">
        <f>F177*(1+INPUT!C19)</f>
        <v>0</v>
      </c>
    </row>
    <row r="178" spans="1:9" s="285" customFormat="1" hidden="1" x14ac:dyDescent="0.25">
      <c r="A178" s="118">
        <v>24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98"/>
      <c r="H178" s="98"/>
      <c r="I178" s="98">
        <f>F178*(1+INPUT!C20)</f>
        <v>0</v>
      </c>
    </row>
    <row r="179" spans="1:9" s="285" customFormat="1" hidden="1" x14ac:dyDescent="0.25">
      <c r="A179" s="118">
        <v>24</v>
      </c>
      <c r="B179" s="151">
        <v>1153</v>
      </c>
      <c r="C179" s="94" t="s">
        <v>115</v>
      </c>
      <c r="D179" s="122"/>
      <c r="E179" s="98"/>
      <c r="F179" s="98">
        <f t="shared" ref="F179:F204" si="25">E179/8*12</f>
        <v>0</v>
      </c>
      <c r="G179" s="98"/>
      <c r="H179" s="98"/>
      <c r="I179" s="98">
        <f>F179*(1+INPUT!C21)</f>
        <v>0</v>
      </c>
    </row>
    <row r="180" spans="1:9" s="285" customFormat="1" hidden="1" x14ac:dyDescent="0.25">
      <c r="A180" s="118">
        <v>24</v>
      </c>
      <c r="B180" s="151">
        <v>1143</v>
      </c>
      <c r="C180" s="94" t="s">
        <v>109</v>
      </c>
      <c r="D180" s="122"/>
      <c r="E180" s="98"/>
      <c r="F180" s="98">
        <f t="shared" si="25"/>
        <v>0</v>
      </c>
      <c r="G180" s="98"/>
      <c r="H180" s="98"/>
      <c r="I180" s="98">
        <f>F180*(1+INPUT!C22)</f>
        <v>0</v>
      </c>
    </row>
    <row r="181" spans="1:9" s="285" customFormat="1" hidden="1" x14ac:dyDescent="0.25">
      <c r="A181" s="118">
        <v>24</v>
      </c>
      <c r="B181" s="151">
        <v>5500</v>
      </c>
      <c r="C181" s="94" t="s">
        <v>266</v>
      </c>
      <c r="D181" s="85"/>
      <c r="E181" s="85">
        <v>0</v>
      </c>
      <c r="F181" s="85">
        <v>0</v>
      </c>
      <c r="G181" s="85"/>
      <c r="H181" s="85"/>
      <c r="I181" s="85">
        <v>0</v>
      </c>
    </row>
    <row r="182" spans="1:9" s="285" customFormat="1" hidden="1" x14ac:dyDescent="0.25">
      <c r="A182" s="118">
        <v>24</v>
      </c>
      <c r="B182" s="151">
        <v>5705</v>
      </c>
      <c r="C182" s="94" t="s">
        <v>296</v>
      </c>
      <c r="D182" s="85"/>
      <c r="E182" s="85"/>
      <c r="F182" s="85">
        <f>0/8*12</f>
        <v>0</v>
      </c>
      <c r="G182" s="85"/>
      <c r="H182" s="85"/>
      <c r="I182" s="85">
        <f>F182*(1+INPUT!C$10)</f>
        <v>0</v>
      </c>
    </row>
    <row r="183" spans="1:9" s="285" customFormat="1" hidden="1" x14ac:dyDescent="0.25">
      <c r="A183" s="118">
        <v>24</v>
      </c>
      <c r="B183" s="151">
        <v>1140</v>
      </c>
      <c r="C183" s="94" t="s">
        <v>113</v>
      </c>
      <c r="D183" s="122"/>
      <c r="E183" s="98"/>
      <c r="F183" s="98">
        <f t="shared" si="25"/>
        <v>0</v>
      </c>
      <c r="G183" s="98"/>
      <c r="H183" s="98"/>
      <c r="I183" s="98">
        <f>F183*(1+INPUT!C23)</f>
        <v>0</v>
      </c>
    </row>
    <row r="184" spans="1:9" s="285" customFormat="1" hidden="1" x14ac:dyDescent="0.25">
      <c r="A184" s="118">
        <v>24</v>
      </c>
      <c r="B184" s="151">
        <v>1145</v>
      </c>
      <c r="C184" s="94" t="s">
        <v>132</v>
      </c>
      <c r="D184" s="122"/>
      <c r="E184" s="98"/>
      <c r="F184" s="98">
        <f t="shared" si="25"/>
        <v>0</v>
      </c>
      <c r="G184" s="98"/>
      <c r="H184" s="98"/>
      <c r="I184" s="98">
        <f>F184*(1+INPUT!C24)</f>
        <v>0</v>
      </c>
    </row>
    <row r="185" spans="1:9" s="285" customFormat="1" hidden="1" x14ac:dyDescent="0.25">
      <c r="A185" s="118">
        <v>24</v>
      </c>
      <c r="B185" s="151">
        <v>1150</v>
      </c>
      <c r="C185" s="94" t="s">
        <v>120</v>
      </c>
      <c r="D185" s="122"/>
      <c r="E185" s="98"/>
      <c r="F185" s="98">
        <f t="shared" si="25"/>
        <v>0</v>
      </c>
      <c r="G185" s="98"/>
      <c r="H185" s="98"/>
      <c r="I185" s="98">
        <f>F185*(1+INPUT!C25)</f>
        <v>0</v>
      </c>
    </row>
    <row r="186" spans="1:9" s="285" customFormat="1" hidden="1" x14ac:dyDescent="0.25">
      <c r="A186" s="118">
        <v>24</v>
      </c>
      <c r="B186" s="151">
        <v>1155</v>
      </c>
      <c r="C186" s="94" t="s">
        <v>116</v>
      </c>
      <c r="D186" s="122"/>
      <c r="E186" s="98"/>
      <c r="F186" s="98">
        <f t="shared" si="25"/>
        <v>0</v>
      </c>
      <c r="G186" s="98"/>
      <c r="H186" s="98"/>
      <c r="I186" s="98">
        <f>F186*(1+INPUT!C26)</f>
        <v>0</v>
      </c>
    </row>
    <row r="187" spans="1:9" s="285" customFormat="1" hidden="1" x14ac:dyDescent="0.25">
      <c r="A187" s="118">
        <v>24</v>
      </c>
      <c r="B187" s="151">
        <v>1160</v>
      </c>
      <c r="C187" s="94" t="s">
        <v>101</v>
      </c>
      <c r="D187" s="122"/>
      <c r="E187" s="98"/>
      <c r="F187" s="98">
        <f t="shared" si="25"/>
        <v>0</v>
      </c>
      <c r="G187" s="98"/>
      <c r="H187" s="98"/>
      <c r="I187" s="98">
        <f>F187*(1+INPUT!C27)</f>
        <v>0</v>
      </c>
    </row>
    <row r="188" spans="1:9" s="285" customFormat="1" hidden="1" x14ac:dyDescent="0.25">
      <c r="A188" s="118">
        <v>24</v>
      </c>
      <c r="B188" s="151">
        <v>1165</v>
      </c>
      <c r="C188" s="94" t="s">
        <v>114</v>
      </c>
      <c r="D188" s="122"/>
      <c r="E188" s="98"/>
      <c r="F188" s="98">
        <f t="shared" si="25"/>
        <v>0</v>
      </c>
      <c r="G188" s="98"/>
      <c r="H188" s="98"/>
      <c r="I188" s="98">
        <f>F188*(1+INPUT!C28)</f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98">
        <f>E189/8*12</f>
        <v>0</v>
      </c>
      <c r="G189" s="98"/>
      <c r="H189" s="98"/>
      <c r="I189" s="98">
        <f>F189*(1+INPUT!C29)</f>
        <v>0</v>
      </c>
    </row>
    <row r="190" spans="1:9" s="285" customFormat="1" hidden="1" x14ac:dyDescent="0.25">
      <c r="A190" s="118">
        <v>24</v>
      </c>
      <c r="B190" s="151">
        <v>1180</v>
      </c>
      <c r="C190" s="94" t="s">
        <v>404</v>
      </c>
      <c r="D190" s="122"/>
      <c r="E190" s="98"/>
      <c r="F190" s="98">
        <f t="shared" si="25"/>
        <v>0</v>
      </c>
      <c r="G190" s="98"/>
      <c r="H190" s="98"/>
      <c r="I190" s="98">
        <f>F190*(1+INPUT!C29)</f>
        <v>0</v>
      </c>
    </row>
    <row r="191" spans="1:9" s="285" customFormat="1" hidden="1" x14ac:dyDescent="0.25">
      <c r="A191" s="118">
        <v>24</v>
      </c>
      <c r="B191" s="151">
        <v>1185</v>
      </c>
      <c r="C191" s="94" t="s">
        <v>405</v>
      </c>
      <c r="D191" s="122"/>
      <c r="E191" s="98"/>
      <c r="F191" s="98">
        <f t="shared" si="25"/>
        <v>0</v>
      </c>
      <c r="G191" s="98"/>
      <c r="H191" s="98"/>
      <c r="I191" s="98">
        <f>F191*(1+INPUT!C30)</f>
        <v>0</v>
      </c>
    </row>
    <row r="192" spans="1:9" s="285" customFormat="1" hidden="1" x14ac:dyDescent="0.25">
      <c r="A192" s="118">
        <v>24</v>
      </c>
      <c r="B192" s="151">
        <v>1190</v>
      </c>
      <c r="C192" s="94" t="s">
        <v>406</v>
      </c>
      <c r="D192" s="122"/>
      <c r="E192" s="98"/>
      <c r="F192" s="98">
        <f t="shared" si="25"/>
        <v>0</v>
      </c>
      <c r="G192" s="98"/>
      <c r="H192" s="98"/>
      <c r="I192" s="98">
        <f>F192*(1+INPUT!C31)</f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98">
        <f>E193/8*12</f>
        <v>0</v>
      </c>
      <c r="G193" s="98"/>
      <c r="H193" s="98"/>
      <c r="I193" s="98">
        <f>F193*(1+INPUT!C32)</f>
        <v>0</v>
      </c>
    </row>
    <row r="194" spans="1:9" s="285" customFormat="1" hidden="1" x14ac:dyDescent="0.25">
      <c r="A194" s="118">
        <v>24</v>
      </c>
      <c r="B194" s="151">
        <v>1195</v>
      </c>
      <c r="C194" s="94" t="s">
        <v>199</v>
      </c>
      <c r="D194" s="122"/>
      <c r="E194" s="98"/>
      <c r="F194" s="98">
        <f t="shared" si="25"/>
        <v>0</v>
      </c>
      <c r="G194" s="98"/>
      <c r="H194" s="98"/>
      <c r="I194" s="98">
        <f>F194*(1+INPUT!C32)</f>
        <v>0</v>
      </c>
    </row>
    <row r="195" spans="1:9" s="285" customFormat="1" hidden="1" x14ac:dyDescent="0.25">
      <c r="A195" s="118">
        <v>24</v>
      </c>
      <c r="B195" s="151">
        <v>1200</v>
      </c>
      <c r="C195" s="94" t="s">
        <v>117</v>
      </c>
      <c r="D195" s="122"/>
      <c r="E195" s="98"/>
      <c r="F195" s="98">
        <f t="shared" si="25"/>
        <v>0</v>
      </c>
      <c r="G195" s="98"/>
      <c r="H195" s="98"/>
      <c r="I195" s="98">
        <f>F195*(1+INPUT!C33)</f>
        <v>0</v>
      </c>
    </row>
    <row r="196" spans="1:9" s="285" customFormat="1" hidden="1" x14ac:dyDescent="0.25">
      <c r="A196" s="118">
        <v>24</v>
      </c>
      <c r="B196" s="151">
        <v>1205</v>
      </c>
      <c r="C196" s="115" t="s">
        <v>105</v>
      </c>
      <c r="D196" s="122"/>
      <c r="E196" s="98"/>
      <c r="F196" s="98">
        <f t="shared" si="25"/>
        <v>0</v>
      </c>
      <c r="G196" s="98"/>
      <c r="H196" s="98"/>
      <c r="I196" s="98">
        <f>F196*(1+INPUT!C34)</f>
        <v>0</v>
      </c>
    </row>
    <row r="197" spans="1:9" s="285" customFormat="1" hidden="1" x14ac:dyDescent="0.25">
      <c r="A197" s="118">
        <v>24</v>
      </c>
      <c r="B197" s="151">
        <v>1210</v>
      </c>
      <c r="C197" s="94" t="s">
        <v>118</v>
      </c>
      <c r="D197" s="122"/>
      <c r="E197" s="98"/>
      <c r="F197" s="98">
        <f t="shared" si="25"/>
        <v>0</v>
      </c>
      <c r="G197" s="98"/>
      <c r="H197" s="98"/>
      <c r="I197" s="98">
        <f>F197*(1+INPUT!C35)</f>
        <v>0</v>
      </c>
    </row>
    <row r="198" spans="1:9" s="285" customFormat="1" hidden="1" x14ac:dyDescent="0.25">
      <c r="A198" s="118">
        <v>24</v>
      </c>
      <c r="B198" s="151">
        <v>1215</v>
      </c>
      <c r="C198" s="94" t="s">
        <v>133</v>
      </c>
      <c r="D198" s="122"/>
      <c r="E198" s="98"/>
      <c r="F198" s="98">
        <f t="shared" si="25"/>
        <v>0</v>
      </c>
      <c r="G198" s="98"/>
      <c r="H198" s="98"/>
      <c r="I198" s="98">
        <f>F198*(1+INPUT!C36)</f>
        <v>0</v>
      </c>
    </row>
    <row r="199" spans="1:9" s="285" customFormat="1" hidden="1" x14ac:dyDescent="0.25">
      <c r="A199" s="118">
        <v>24</v>
      </c>
      <c r="B199" s="151">
        <v>5905</v>
      </c>
      <c r="C199" s="94" t="s">
        <v>329</v>
      </c>
      <c r="D199" s="85"/>
      <c r="E199" s="85"/>
      <c r="F199" s="85">
        <f>0/8*12</f>
        <v>0</v>
      </c>
      <c r="G199" s="85"/>
      <c r="H199" s="85"/>
      <c r="I199" s="85">
        <f>F199*(1+INPUT!C$10)</f>
        <v>0</v>
      </c>
    </row>
    <row r="200" spans="1:9" s="285" customFormat="1" hidden="1" x14ac:dyDescent="0.25">
      <c r="A200" s="118">
        <v>24</v>
      </c>
      <c r="B200" s="151">
        <v>5900</v>
      </c>
      <c r="C200" s="94" t="s">
        <v>333</v>
      </c>
      <c r="D200" s="85">
        <v>0</v>
      </c>
      <c r="E200" s="85">
        <v>0</v>
      </c>
      <c r="F200" s="85">
        <v>0</v>
      </c>
      <c r="G200" s="85"/>
      <c r="H200" s="85"/>
      <c r="I200" s="85">
        <v>0</v>
      </c>
    </row>
    <row r="201" spans="1:9" s="285" customFormat="1" hidden="1" x14ac:dyDescent="0.25">
      <c r="A201" s="118">
        <v>24</v>
      </c>
      <c r="B201" s="151">
        <v>1220</v>
      </c>
      <c r="C201" s="94" t="s">
        <v>340</v>
      </c>
      <c r="D201" s="122"/>
      <c r="E201" s="98"/>
      <c r="F201" s="98">
        <f t="shared" si="25"/>
        <v>0</v>
      </c>
      <c r="G201" s="98"/>
      <c r="H201" s="98"/>
      <c r="I201" s="98">
        <f>F201*(1+INPUT!C37)</f>
        <v>0</v>
      </c>
    </row>
    <row r="202" spans="1:9" s="285" customFormat="1" hidden="1" x14ac:dyDescent="0.25">
      <c r="A202" s="118">
        <v>24</v>
      </c>
      <c r="B202" s="151">
        <v>1225</v>
      </c>
      <c r="C202" s="94" t="s">
        <v>372</v>
      </c>
      <c r="D202" s="122"/>
      <c r="E202" s="98"/>
      <c r="F202" s="98">
        <f t="shared" si="25"/>
        <v>0</v>
      </c>
      <c r="G202" s="98"/>
      <c r="H202" s="98"/>
      <c r="I202" s="98">
        <f>F202*(1+INPUT!C38)</f>
        <v>0</v>
      </c>
    </row>
    <row r="203" spans="1:9" s="285" customFormat="1" hidden="1" x14ac:dyDescent="0.25">
      <c r="A203" s="118">
        <v>24</v>
      </c>
      <c r="B203" s="151">
        <v>1230</v>
      </c>
      <c r="C203" s="94" t="s">
        <v>119</v>
      </c>
      <c r="D203" s="122"/>
      <c r="E203" s="98"/>
      <c r="F203" s="98">
        <f t="shared" si="25"/>
        <v>0</v>
      </c>
      <c r="G203" s="98"/>
      <c r="H203" s="98"/>
      <c r="I203" s="98">
        <f>F203*(1+INPUT!C39)</f>
        <v>0</v>
      </c>
    </row>
    <row r="204" spans="1:9" s="285" customFormat="1" hidden="1" x14ac:dyDescent="0.25">
      <c r="A204" s="118">
        <v>24</v>
      </c>
      <c r="B204" s="151">
        <v>1235</v>
      </c>
      <c r="C204" s="94" t="s">
        <v>347</v>
      </c>
      <c r="D204" s="122"/>
      <c r="E204" s="98"/>
      <c r="F204" s="98">
        <f t="shared" si="25"/>
        <v>0</v>
      </c>
      <c r="G204" s="98"/>
      <c r="H204" s="98"/>
      <c r="I204" s="98">
        <f>F204*(1+INPUT!C40)</f>
        <v>0</v>
      </c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hidden="1" x14ac:dyDescent="0.25">
      <c r="A206" s="344"/>
      <c r="B206" s="151"/>
      <c r="C206" s="94"/>
      <c r="D206" s="100">
        <f t="shared" ref="D206:I206" si="26">SUM(D176:D204)</f>
        <v>0</v>
      </c>
      <c r="E206" s="100">
        <f t="shared" si="26"/>
        <v>0</v>
      </c>
      <c r="F206" s="100">
        <f t="shared" si="26"/>
        <v>0</v>
      </c>
      <c r="G206" s="100"/>
      <c r="H206" s="100"/>
      <c r="I206" s="100">
        <f t="shared" si="26"/>
        <v>0</v>
      </c>
    </row>
    <row r="207" spans="1:9" s="285" customFormat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334"/>
    </row>
    <row r="208" spans="1:9" s="285" customFormat="1" x14ac:dyDescent="0.25">
      <c r="A208" s="118">
        <v>24</v>
      </c>
      <c r="B208" s="151">
        <v>1305</v>
      </c>
      <c r="C208" s="94" t="s">
        <v>342</v>
      </c>
      <c r="D208" s="122">
        <v>32574</v>
      </c>
      <c r="E208" s="98">
        <v>1477</v>
      </c>
      <c r="F208" s="98">
        <v>1478</v>
      </c>
      <c r="G208" s="98">
        <v>1478</v>
      </c>
      <c r="H208" s="98">
        <v>1478</v>
      </c>
      <c r="I208" s="98">
        <v>1478</v>
      </c>
    </row>
    <row r="209" spans="1:9" s="285" customFormat="1" hidden="1" x14ac:dyDescent="0.25">
      <c r="A209" s="118">
        <v>24</v>
      </c>
      <c r="B209" s="151">
        <v>1310</v>
      </c>
      <c r="C209" s="94" t="s">
        <v>344</v>
      </c>
      <c r="D209" s="122"/>
      <c r="E209" s="98"/>
      <c r="F209" s="98"/>
      <c r="G209" s="98"/>
      <c r="H209" s="98"/>
      <c r="I209" s="98"/>
    </row>
    <row r="210" spans="1:9" s="285" customFormat="1" hidden="1" x14ac:dyDescent="0.25">
      <c r="A210" s="118">
        <v>24</v>
      </c>
      <c r="B210" s="151">
        <v>1320</v>
      </c>
      <c r="C210" s="94" t="s">
        <v>345</v>
      </c>
      <c r="D210" s="122"/>
      <c r="E210" s="98"/>
      <c r="F210" s="98"/>
      <c r="G210" s="98"/>
      <c r="H210" s="98"/>
      <c r="I210" s="98"/>
    </row>
    <row r="211" spans="1:9" s="285" customFormat="1" hidden="1" x14ac:dyDescent="0.25">
      <c r="A211" s="118">
        <v>24</v>
      </c>
      <c r="B211" s="151">
        <v>1315</v>
      </c>
      <c r="C211" s="94" t="s">
        <v>346</v>
      </c>
      <c r="D211" s="122"/>
      <c r="E211" s="108"/>
      <c r="F211" s="108"/>
      <c r="G211" s="112"/>
      <c r="H211" s="98"/>
      <c r="I211" s="108"/>
    </row>
    <row r="212" spans="1:9" s="285" customFormat="1" x14ac:dyDescent="0.25">
      <c r="A212" s="344"/>
      <c r="B212" s="151"/>
      <c r="C212" s="94"/>
      <c r="D212" s="99">
        <f t="shared" ref="D212:E212" si="27">SUM(D208:D211)</f>
        <v>32574</v>
      </c>
      <c r="E212" s="99">
        <f t="shared" si="27"/>
        <v>1477</v>
      </c>
      <c r="F212" s="99">
        <f t="shared" ref="F212:I212" si="28">SUM(F208:F211)</f>
        <v>1478</v>
      </c>
      <c r="G212" s="99">
        <f t="shared" si="28"/>
        <v>1478</v>
      </c>
      <c r="H212" s="99">
        <f t="shared" si="28"/>
        <v>1478</v>
      </c>
      <c r="I212" s="99">
        <f t="shared" si="28"/>
        <v>1478</v>
      </c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24</v>
      </c>
      <c r="B214" s="151">
        <v>1400</v>
      </c>
      <c r="C214" s="94" t="s">
        <v>68</v>
      </c>
      <c r="D214" s="122"/>
      <c r="E214" s="108"/>
      <c r="F214" s="108"/>
      <c r="G214" s="108"/>
      <c r="H214" s="108"/>
      <c r="I214" s="108"/>
    </row>
    <row r="215" spans="1:9" s="285" customFormat="1" hidden="1" x14ac:dyDescent="0.25">
      <c r="A215" s="118">
        <v>24</v>
      </c>
      <c r="B215" s="151">
        <v>1405</v>
      </c>
      <c r="C215" s="94" t="s">
        <v>69</v>
      </c>
      <c r="D215" s="122"/>
      <c r="E215" s="108"/>
      <c r="F215" s="108"/>
      <c r="G215" s="108"/>
      <c r="H215" s="108"/>
      <c r="I215" s="108"/>
    </row>
    <row r="216" spans="1:9" s="285" customFormat="1" hidden="1" x14ac:dyDescent="0.25">
      <c r="A216" s="344"/>
      <c r="B216" s="151"/>
      <c r="C216" s="94"/>
      <c r="D216" s="99">
        <f t="shared" ref="D216:E216" si="29">SUM(D214:D215)</f>
        <v>0</v>
      </c>
      <c r="E216" s="99">
        <f t="shared" si="29"/>
        <v>0</v>
      </c>
      <c r="F216" s="99">
        <f t="shared" ref="F216:I216" si="30">SUM(F214:F215)</f>
        <v>0</v>
      </c>
      <c r="G216" s="99">
        <f t="shared" si="30"/>
        <v>0</v>
      </c>
      <c r="H216" s="99">
        <f t="shared" si="30"/>
        <v>0</v>
      </c>
      <c r="I216" s="99">
        <f t="shared" si="30"/>
        <v>0</v>
      </c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24</v>
      </c>
      <c r="B218" s="151">
        <v>1500</v>
      </c>
      <c r="C218" s="94" t="s">
        <v>106</v>
      </c>
      <c r="D218" s="122"/>
      <c r="E218" s="108"/>
      <c r="F218" s="108"/>
      <c r="G218" s="108"/>
      <c r="H218" s="108"/>
      <c r="I218" s="108"/>
    </row>
    <row r="219" spans="1:9" s="285" customFormat="1" hidden="1" x14ac:dyDescent="0.25">
      <c r="A219" s="118">
        <v>24</v>
      </c>
      <c r="B219" s="151">
        <v>1505</v>
      </c>
      <c r="C219" s="94" t="s">
        <v>71</v>
      </c>
      <c r="D219" s="122"/>
      <c r="E219" s="108"/>
      <c r="F219" s="108"/>
      <c r="G219" s="108"/>
      <c r="H219" s="108"/>
      <c r="I219" s="108"/>
    </row>
    <row r="220" spans="1:9" s="285" customFormat="1" hidden="1" x14ac:dyDescent="0.25">
      <c r="A220" s="118">
        <v>24</v>
      </c>
      <c r="B220" s="151">
        <v>1510</v>
      </c>
      <c r="C220" s="94" t="s">
        <v>72</v>
      </c>
      <c r="D220" s="122"/>
      <c r="E220" s="108"/>
      <c r="F220" s="108"/>
      <c r="G220" s="108"/>
      <c r="H220" s="108"/>
      <c r="I220" s="108"/>
    </row>
    <row r="221" spans="1:9" s="285" customFormat="1" hidden="1" x14ac:dyDescent="0.25">
      <c r="A221" s="344"/>
      <c r="B221" s="151"/>
      <c r="C221" s="94"/>
      <c r="D221" s="99">
        <f t="shared" ref="D221:E221" si="31">SUM(D218:D220)</f>
        <v>0</v>
      </c>
      <c r="E221" s="99">
        <f t="shared" si="31"/>
        <v>0</v>
      </c>
      <c r="F221" s="99">
        <f t="shared" ref="F221:I221" si="32">SUM(F218:F220)</f>
        <v>0</v>
      </c>
      <c r="G221" s="99">
        <f t="shared" si="32"/>
        <v>0</v>
      </c>
      <c r="H221" s="99">
        <f t="shared" si="32"/>
        <v>0</v>
      </c>
      <c r="I221" s="99">
        <f t="shared" si="32"/>
        <v>0</v>
      </c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24</v>
      </c>
      <c r="B223" s="151">
        <v>1550</v>
      </c>
      <c r="C223" s="94" t="s">
        <v>349</v>
      </c>
      <c r="D223" s="122"/>
      <c r="E223" s="98"/>
      <c r="F223" s="98"/>
      <c r="G223" s="98"/>
      <c r="H223" s="98"/>
      <c r="I223" s="98"/>
    </row>
    <row r="224" spans="1:9" s="285" customFormat="1" hidden="1" x14ac:dyDescent="0.25">
      <c r="A224" s="118">
        <v>24</v>
      </c>
      <c r="B224" s="151">
        <v>1555</v>
      </c>
      <c r="C224" s="94" t="s">
        <v>348</v>
      </c>
      <c r="D224" s="122"/>
      <c r="E224" s="98"/>
      <c r="F224" s="98"/>
      <c r="G224" s="98"/>
      <c r="H224" s="98"/>
      <c r="I224" s="98"/>
    </row>
    <row r="225" spans="1:9" s="285" customFormat="1" hidden="1" x14ac:dyDescent="0.25">
      <c r="A225" s="344"/>
      <c r="B225" s="151"/>
      <c r="C225" s="94"/>
      <c r="D225" s="100">
        <f t="shared" ref="D225:E225" si="33">SUM(D223:D224)</f>
        <v>0</v>
      </c>
      <c r="E225" s="100">
        <f t="shared" si="33"/>
        <v>0</v>
      </c>
      <c r="F225" s="100">
        <f t="shared" ref="F225:I225" si="34">SUM(F223:F224)</f>
        <v>0</v>
      </c>
      <c r="G225" s="100">
        <f t="shared" si="34"/>
        <v>0</v>
      </c>
      <c r="H225" s="100">
        <f t="shared" si="34"/>
        <v>0</v>
      </c>
      <c r="I225" s="100">
        <f t="shared" si="34"/>
        <v>0</v>
      </c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24</v>
      </c>
      <c r="B227" s="151">
        <v>1605</v>
      </c>
      <c r="C227" s="94" t="s">
        <v>75</v>
      </c>
      <c r="D227" s="122"/>
      <c r="E227" s="98"/>
      <c r="F227" s="98"/>
      <c r="G227" s="98"/>
      <c r="H227" s="98"/>
      <c r="I227" s="98"/>
    </row>
    <row r="228" spans="1:9" s="285" customFormat="1" hidden="1" x14ac:dyDescent="0.25">
      <c r="A228" s="118">
        <v>24</v>
      </c>
      <c r="B228" s="151">
        <v>1610</v>
      </c>
      <c r="C228" s="94" t="s">
        <v>131</v>
      </c>
      <c r="D228" s="122"/>
      <c r="E228" s="108"/>
      <c r="F228" s="108"/>
      <c r="G228" s="108"/>
      <c r="H228" s="108"/>
      <c r="I228" s="108"/>
    </row>
    <row r="229" spans="1:9" s="285" customFormat="1" hidden="1" x14ac:dyDescent="0.25">
      <c r="A229" s="118">
        <v>24</v>
      </c>
      <c r="B229" s="151">
        <v>1615</v>
      </c>
      <c r="C229" s="94" t="s">
        <v>182</v>
      </c>
      <c r="D229" s="122"/>
      <c r="E229" s="108"/>
      <c r="F229" s="108"/>
      <c r="G229" s="108"/>
      <c r="H229" s="108"/>
      <c r="I229" s="108"/>
    </row>
    <row r="230" spans="1:9" s="285" customFormat="1" hidden="1" x14ac:dyDescent="0.25">
      <c r="A230" s="118">
        <v>24</v>
      </c>
      <c r="B230" s="151">
        <v>1620</v>
      </c>
      <c r="C230" s="94" t="s">
        <v>255</v>
      </c>
      <c r="D230" s="122"/>
      <c r="E230" s="108"/>
      <c r="F230" s="108"/>
      <c r="G230" s="108"/>
      <c r="H230" s="108"/>
      <c r="I230" s="108"/>
    </row>
    <row r="231" spans="1:9" s="285" customFormat="1" hidden="1" x14ac:dyDescent="0.25">
      <c r="A231" s="118">
        <v>24</v>
      </c>
      <c r="B231" s="151">
        <v>1625</v>
      </c>
      <c r="C231" s="94" t="s">
        <v>108</v>
      </c>
      <c r="D231" s="122"/>
      <c r="E231" s="108"/>
      <c r="F231" s="108"/>
      <c r="G231" s="108"/>
      <c r="H231" s="108"/>
      <c r="I231" s="108"/>
    </row>
    <row r="232" spans="1:9" s="285" customFormat="1" hidden="1" x14ac:dyDescent="0.25">
      <c r="A232" s="118">
        <v>24</v>
      </c>
      <c r="B232" s="151">
        <v>1630</v>
      </c>
      <c r="C232" s="94" t="s">
        <v>76</v>
      </c>
      <c r="D232" s="122"/>
      <c r="E232" s="108"/>
      <c r="F232" s="108"/>
      <c r="G232" s="108"/>
      <c r="H232" s="108"/>
      <c r="I232" s="108"/>
    </row>
    <row r="233" spans="1:9" s="285" customFormat="1" hidden="1" x14ac:dyDescent="0.25">
      <c r="A233" s="118">
        <v>24</v>
      </c>
      <c r="B233" s="151">
        <v>1635</v>
      </c>
      <c r="C233" s="94" t="s">
        <v>180</v>
      </c>
      <c r="D233" s="122"/>
      <c r="E233" s="108"/>
      <c r="F233" s="108"/>
      <c r="G233" s="108"/>
      <c r="H233" s="108"/>
      <c r="I233" s="108"/>
    </row>
    <row r="234" spans="1:9" s="285" customFormat="1" hidden="1" x14ac:dyDescent="0.25">
      <c r="A234" s="118">
        <v>24</v>
      </c>
      <c r="B234" s="151">
        <v>1640</v>
      </c>
      <c r="C234" s="94" t="s">
        <v>184</v>
      </c>
      <c r="D234" s="122"/>
      <c r="E234" s="108"/>
      <c r="F234" s="108"/>
      <c r="G234" s="108"/>
      <c r="H234" s="108"/>
      <c r="I234" s="108"/>
    </row>
    <row r="235" spans="1:9" s="285" customFormat="1" hidden="1" x14ac:dyDescent="0.25">
      <c r="A235" s="118">
        <v>24</v>
      </c>
      <c r="B235" s="151">
        <v>1645</v>
      </c>
      <c r="C235" s="94" t="s">
        <v>77</v>
      </c>
      <c r="D235" s="122"/>
      <c r="E235" s="108"/>
      <c r="F235" s="108"/>
      <c r="G235" s="108"/>
      <c r="H235" s="108"/>
      <c r="I235" s="108"/>
    </row>
    <row r="236" spans="1:9" s="285" customFormat="1" hidden="1" x14ac:dyDescent="0.25">
      <c r="A236" s="118">
        <v>24</v>
      </c>
      <c r="B236" s="151">
        <v>1650</v>
      </c>
      <c r="C236" s="94" t="s">
        <v>78</v>
      </c>
      <c r="D236" s="122"/>
      <c r="E236" s="108"/>
      <c r="F236" s="108"/>
      <c r="G236" s="108"/>
      <c r="H236" s="108"/>
      <c r="I236" s="108"/>
    </row>
    <row r="237" spans="1:9" s="285" customFormat="1" hidden="1" x14ac:dyDescent="0.25">
      <c r="A237" s="118">
        <v>24</v>
      </c>
      <c r="B237" s="151"/>
      <c r="C237" s="94" t="s">
        <v>200</v>
      </c>
      <c r="D237" s="122"/>
      <c r="E237" s="108"/>
      <c r="F237" s="108"/>
      <c r="G237" s="108"/>
      <c r="H237" s="108"/>
      <c r="I237" s="108"/>
    </row>
    <row r="238" spans="1:9" s="285" customFormat="1" hidden="1" x14ac:dyDescent="0.25">
      <c r="A238" s="118">
        <v>24</v>
      </c>
      <c r="B238" s="151">
        <v>1660</v>
      </c>
      <c r="C238" s="94" t="s">
        <v>185</v>
      </c>
      <c r="D238" s="122"/>
      <c r="E238" s="108"/>
      <c r="F238" s="108"/>
      <c r="G238" s="108"/>
      <c r="H238" s="108"/>
      <c r="I238" s="108"/>
    </row>
    <row r="239" spans="1:9" s="285" customFormat="1" hidden="1" x14ac:dyDescent="0.25">
      <c r="A239" s="118">
        <v>24</v>
      </c>
      <c r="B239" s="151">
        <v>1665</v>
      </c>
      <c r="C239" s="94" t="s">
        <v>181</v>
      </c>
      <c r="D239" s="122"/>
      <c r="E239" s="108"/>
      <c r="F239" s="108"/>
      <c r="G239" s="108"/>
      <c r="H239" s="108"/>
      <c r="I239" s="108"/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" si="35">SUM(E227:E239)</f>
        <v>0</v>
      </c>
      <c r="F240" s="99">
        <f t="shared" ref="F240:I240" si="36">SUM(F227:F239)</f>
        <v>0</v>
      </c>
      <c r="G240" s="99">
        <f t="shared" si="36"/>
        <v>0</v>
      </c>
      <c r="H240" s="99">
        <f t="shared" si="36"/>
        <v>0</v>
      </c>
      <c r="I240" s="99">
        <f t="shared" si="36"/>
        <v>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24</v>
      </c>
      <c r="B242" s="151">
        <v>1705</v>
      </c>
      <c r="C242" s="94" t="s">
        <v>123</v>
      </c>
      <c r="D242" s="122"/>
      <c r="E242" s="98"/>
      <c r="F242" s="98"/>
      <c r="G242" s="98"/>
      <c r="H242" s="98"/>
      <c r="I242" s="98"/>
    </row>
    <row r="243" spans="1:9" s="285" customFormat="1" hidden="1" x14ac:dyDescent="0.25">
      <c r="A243" s="118">
        <v>24</v>
      </c>
      <c r="B243" s="151">
        <v>1710</v>
      </c>
      <c r="C243" s="94" t="s">
        <v>242</v>
      </c>
      <c r="D243" s="122"/>
      <c r="E243" s="98"/>
      <c r="F243" s="98"/>
      <c r="G243" s="98"/>
      <c r="H243" s="98"/>
      <c r="I243" s="98"/>
    </row>
    <row r="244" spans="1:9" s="285" customFormat="1" hidden="1" x14ac:dyDescent="0.25">
      <c r="A244" s="118">
        <v>24</v>
      </c>
      <c r="B244" s="151">
        <v>1715</v>
      </c>
      <c r="C244" s="94" t="s">
        <v>183</v>
      </c>
      <c r="D244" s="122"/>
      <c r="E244" s="98"/>
      <c r="F244" s="98"/>
      <c r="G244" s="98"/>
      <c r="H244" s="98"/>
      <c r="I244" s="98"/>
    </row>
    <row r="245" spans="1:9" s="285" customFormat="1" hidden="1" x14ac:dyDescent="0.25">
      <c r="A245" s="118">
        <v>24</v>
      </c>
      <c r="B245" s="151">
        <v>1720</v>
      </c>
      <c r="C245" s="94" t="s">
        <v>103</v>
      </c>
      <c r="D245" s="122"/>
      <c r="E245" s="98"/>
      <c r="F245" s="98"/>
      <c r="G245" s="98"/>
      <c r="H245" s="98"/>
      <c r="I245" s="98"/>
    </row>
    <row r="246" spans="1:9" s="285" customFormat="1" hidden="1" x14ac:dyDescent="0.25">
      <c r="A246" s="118">
        <v>24</v>
      </c>
      <c r="B246" s="151">
        <v>1725</v>
      </c>
      <c r="C246" s="94" t="s">
        <v>107</v>
      </c>
      <c r="D246" s="122"/>
      <c r="E246" s="98"/>
      <c r="F246" s="98"/>
      <c r="G246" s="98"/>
      <c r="H246" s="98"/>
      <c r="I246" s="98"/>
    </row>
    <row r="247" spans="1:9" s="285" customFormat="1" hidden="1" x14ac:dyDescent="0.25">
      <c r="A247" s="118">
        <v>24</v>
      </c>
      <c r="B247" s="151">
        <v>1730</v>
      </c>
      <c r="C247" s="94" t="s">
        <v>256</v>
      </c>
      <c r="D247" s="122"/>
      <c r="E247" s="98"/>
      <c r="F247" s="98"/>
      <c r="G247" s="98"/>
      <c r="H247" s="98"/>
      <c r="I247" s="98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" si="37">SUM(E242:E247)</f>
        <v>0</v>
      </c>
      <c r="F248" s="99">
        <f t="shared" ref="F248:I248" si="38">SUM(F242:F247)</f>
        <v>0</v>
      </c>
      <c r="G248" s="99">
        <f t="shared" si="38"/>
        <v>0</v>
      </c>
      <c r="H248" s="99">
        <f t="shared" si="38"/>
        <v>0</v>
      </c>
      <c r="I248" s="99">
        <f t="shared" si="38"/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24</v>
      </c>
      <c r="B250" s="151">
        <v>1805</v>
      </c>
      <c r="C250" s="94" t="s">
        <v>81</v>
      </c>
      <c r="D250" s="122"/>
      <c r="E250" s="108"/>
      <c r="F250" s="108"/>
      <c r="G250" s="108"/>
      <c r="H250" s="108"/>
      <c r="I250" s="108"/>
    </row>
    <row r="251" spans="1:9" s="285" customFormat="1" hidden="1" x14ac:dyDescent="0.25">
      <c r="A251" s="344"/>
      <c r="B251" s="151"/>
      <c r="C251" s="94"/>
      <c r="D251" s="99">
        <f t="shared" ref="D251:E251" si="39">D250</f>
        <v>0</v>
      </c>
      <c r="E251" s="99">
        <f t="shared" si="39"/>
        <v>0</v>
      </c>
      <c r="F251" s="99">
        <f t="shared" ref="F251:I251" si="40">F250</f>
        <v>0</v>
      </c>
      <c r="G251" s="99">
        <f t="shared" si="40"/>
        <v>0</v>
      </c>
      <c r="H251" s="99">
        <f t="shared" si="40"/>
        <v>0</v>
      </c>
      <c r="I251" s="99">
        <f t="shared" si="40"/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E252" si="41">SUM(D171:D251)/2</f>
        <v>32574</v>
      </c>
      <c r="E252" s="117">
        <f t="shared" si="41"/>
        <v>1477</v>
      </c>
      <c r="F252" s="117">
        <f t="shared" ref="F252:I252" si="42">SUM(F171:F251)/2</f>
        <v>1478</v>
      </c>
      <c r="G252" s="117">
        <f t="shared" si="42"/>
        <v>1478</v>
      </c>
      <c r="H252" s="117">
        <f t="shared" si="42"/>
        <v>1478</v>
      </c>
      <c r="I252" s="117">
        <f t="shared" si="42"/>
        <v>1478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</row>
    <row r="255" spans="1:9" s="285" customFormat="1" hidden="1" x14ac:dyDescent="0.25">
      <c r="A255" s="118">
        <v>24</v>
      </c>
      <c r="B255" s="151">
        <v>1905</v>
      </c>
      <c r="C255" s="118" t="s">
        <v>194</v>
      </c>
      <c r="D255" s="127"/>
      <c r="E255" s="147"/>
      <c r="F255" s="147"/>
      <c r="G255" s="147"/>
      <c r="H255" s="147"/>
      <c r="I255" s="147"/>
    </row>
    <row r="256" spans="1:9" s="285" customFormat="1" hidden="1" x14ac:dyDescent="0.25">
      <c r="A256" s="344"/>
      <c r="B256" s="151"/>
      <c r="C256" s="94"/>
      <c r="D256" s="117">
        <f t="shared" ref="D256:E256" si="43">SUM(D255)</f>
        <v>0</v>
      </c>
      <c r="E256" s="117">
        <f t="shared" si="43"/>
        <v>0</v>
      </c>
      <c r="F256" s="117">
        <f t="shared" ref="F256:I256" si="44">SUM(F255)</f>
        <v>0</v>
      </c>
      <c r="G256" s="117">
        <f t="shared" si="44"/>
        <v>0</v>
      </c>
      <c r="H256" s="117">
        <f t="shared" si="44"/>
        <v>0</v>
      </c>
      <c r="I256" s="117">
        <f t="shared" si="44"/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E257" si="45">D252+D256</f>
        <v>32574</v>
      </c>
      <c r="E257" s="117">
        <f t="shared" si="45"/>
        <v>1477</v>
      </c>
      <c r="F257" s="117">
        <f t="shared" ref="F257:I257" si="46">F252+F256</f>
        <v>1478</v>
      </c>
      <c r="G257" s="117">
        <f t="shared" si="46"/>
        <v>1478</v>
      </c>
      <c r="H257" s="117">
        <f t="shared" si="46"/>
        <v>1478</v>
      </c>
      <c r="I257" s="117">
        <f t="shared" si="46"/>
        <v>1478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</row>
    <row r="259" spans="1:9" s="285" customFormat="1" hidden="1" x14ac:dyDescent="0.25">
      <c r="A259" s="118">
        <v>24</v>
      </c>
      <c r="B259" s="151">
        <v>1950</v>
      </c>
      <c r="C259" s="118" t="s">
        <v>196</v>
      </c>
      <c r="D259" s="127"/>
      <c r="E259" s="147"/>
      <c r="F259" s="147"/>
      <c r="G259" s="147"/>
      <c r="H259" s="147"/>
      <c r="I259" s="147"/>
    </row>
    <row r="260" spans="1:9" s="285" customFormat="1" hidden="1" x14ac:dyDescent="0.25">
      <c r="A260" s="344"/>
      <c r="B260" s="346"/>
      <c r="C260" s="94"/>
      <c r="D260" s="124">
        <f t="shared" ref="D260:E260" si="47">D259</f>
        <v>0</v>
      </c>
      <c r="E260" s="124">
        <f t="shared" si="47"/>
        <v>0</v>
      </c>
      <c r="F260" s="124">
        <f t="shared" ref="F260:I260" si="48">F259</f>
        <v>0</v>
      </c>
      <c r="G260" s="124">
        <f t="shared" si="48"/>
        <v>0</v>
      </c>
      <c r="H260" s="124">
        <f t="shared" si="48"/>
        <v>0</v>
      </c>
      <c r="I260" s="124">
        <f t="shared" si="48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E261" si="49">D257+D260</f>
        <v>32574</v>
      </c>
      <c r="E261" s="160">
        <f t="shared" si="49"/>
        <v>1477</v>
      </c>
      <c r="F261" s="160">
        <f t="shared" ref="F261:I261" si="50">F257+F260</f>
        <v>1478</v>
      </c>
      <c r="G261" s="160">
        <f t="shared" si="50"/>
        <v>1478</v>
      </c>
      <c r="H261" s="160">
        <f t="shared" si="50"/>
        <v>1478</v>
      </c>
      <c r="I261" s="160">
        <f t="shared" si="50"/>
        <v>1478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I262" si="51">D261-D165</f>
        <v>-793847</v>
      </c>
      <c r="E262" s="161">
        <f t="shared" si="51"/>
        <v>-3040419</v>
      </c>
      <c r="F262" s="161">
        <f t="shared" si="51"/>
        <v>-2750418</v>
      </c>
      <c r="G262" s="161">
        <f t="shared" si="51"/>
        <v>-3519751.2</v>
      </c>
      <c r="H262" s="161">
        <f t="shared" si="51"/>
        <v>-3486938.5855999999</v>
      </c>
      <c r="I262" s="161">
        <f t="shared" si="51"/>
        <v>-3688814.7134207999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4">
    <mergeCell ref="A1:I2"/>
    <mergeCell ref="A4:B5"/>
    <mergeCell ref="A169:B170"/>
    <mergeCell ref="A3:I3"/>
  </mergeCells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8"/>
  <sheetViews>
    <sheetView view="pageBreakPreview" zoomScaleSheetLayoutView="100" workbookViewId="0">
      <selection activeCell="G20" sqref="G20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29.5546875" style="96" customWidth="1"/>
    <col min="4" max="4" width="11.109375" style="96" customWidth="1"/>
    <col min="5" max="5" width="11.6640625" style="96" customWidth="1"/>
    <col min="6" max="7" width="12.6640625" style="96" customWidth="1"/>
    <col min="8" max="8" width="13.109375" style="96" customWidth="1"/>
    <col min="9" max="9" width="11.5546875" style="96" customWidth="1"/>
    <col min="10" max="16384" width="9.109375" style="96"/>
  </cols>
  <sheetData>
    <row r="1" spans="1:9" ht="12.75" customHeight="1" x14ac:dyDescent="0.25">
      <c r="A1" s="699" t="s">
        <v>356</v>
      </c>
      <c r="B1" s="700"/>
      <c r="C1" s="700"/>
      <c r="D1" s="700"/>
      <c r="E1" s="700"/>
      <c r="F1" s="700"/>
      <c r="G1" s="700"/>
      <c r="H1" s="700"/>
      <c r="I1" s="715"/>
    </row>
    <row r="2" spans="1:9" s="358" customFormat="1" ht="12.75" customHeight="1" x14ac:dyDescent="0.25">
      <c r="A2" s="721" t="s">
        <v>417</v>
      </c>
      <c r="B2" s="722"/>
      <c r="C2" s="722"/>
      <c r="D2" s="722"/>
      <c r="E2" s="722"/>
      <c r="F2" s="722"/>
      <c r="G2" s="722"/>
      <c r="H2" s="722"/>
      <c r="I2" s="723"/>
    </row>
    <row r="3" spans="1:9" s="285" customFormat="1" x14ac:dyDescent="0.25">
      <c r="A3" s="706" t="s">
        <v>21</v>
      </c>
      <c r="B3" s="707"/>
      <c r="C3" s="150" t="s">
        <v>22</v>
      </c>
      <c r="D3" s="103" t="s">
        <v>23</v>
      </c>
      <c r="E3" s="104" t="s">
        <v>24</v>
      </c>
      <c r="F3" s="103" t="s">
        <v>537</v>
      </c>
      <c r="G3" s="104" t="s">
        <v>24</v>
      </c>
      <c r="H3" s="104" t="s">
        <v>24</v>
      </c>
      <c r="I3" s="104" t="s">
        <v>24</v>
      </c>
    </row>
    <row r="4" spans="1:9" s="285" customFormat="1" x14ac:dyDescent="0.25">
      <c r="A4" s="708"/>
      <c r="B4" s="709"/>
      <c r="C4" s="106"/>
      <c r="D4" s="333">
        <v>41639</v>
      </c>
      <c r="E4" s="107" t="s">
        <v>384</v>
      </c>
      <c r="F4" s="107" t="s">
        <v>384</v>
      </c>
      <c r="G4" s="107" t="s">
        <v>409</v>
      </c>
      <c r="H4" s="107" t="s">
        <v>416</v>
      </c>
      <c r="I4" s="107" t="s">
        <v>532</v>
      </c>
    </row>
    <row r="5" spans="1:9" s="285" customFormat="1" x14ac:dyDescent="0.25">
      <c r="A5" s="344"/>
      <c r="B5" s="151"/>
      <c r="C5" s="93" t="s">
        <v>33</v>
      </c>
      <c r="D5" s="85"/>
      <c r="E5" s="85"/>
      <c r="F5" s="85"/>
      <c r="G5" s="85"/>
      <c r="H5" s="85"/>
      <c r="I5" s="85"/>
    </row>
    <row r="6" spans="1:9" s="285" customFormat="1" x14ac:dyDescent="0.25">
      <c r="A6" s="118">
        <v>26</v>
      </c>
      <c r="B6" s="155">
        <v>5005</v>
      </c>
      <c r="C6" s="94" t="s">
        <v>241</v>
      </c>
      <c r="D6" s="85">
        <f>2700</f>
        <v>2700</v>
      </c>
      <c r="E6" s="85">
        <v>15300</v>
      </c>
      <c r="F6" s="85">
        <v>15300</v>
      </c>
      <c r="G6" s="435">
        <f t="shared" ref="G6:I17" si="0">(F6*0.068)+F6</f>
        <v>16340.4</v>
      </c>
      <c r="H6" s="435">
        <f t="shared" si="0"/>
        <v>17451.547200000001</v>
      </c>
      <c r="I6" s="435">
        <f t="shared" si="0"/>
        <v>18638.252409600002</v>
      </c>
    </row>
    <row r="7" spans="1:9" s="285" customFormat="1" x14ac:dyDescent="0.25">
      <c r="A7" s="118">
        <v>26</v>
      </c>
      <c r="B7" s="151">
        <v>5010</v>
      </c>
      <c r="C7" s="94" t="s">
        <v>34</v>
      </c>
      <c r="D7" s="85"/>
      <c r="E7" s="85"/>
      <c r="F7" s="85">
        <v>0</v>
      </c>
      <c r="G7" s="435">
        <f t="shared" si="0"/>
        <v>0</v>
      </c>
      <c r="H7" s="435">
        <f t="shared" si="0"/>
        <v>0</v>
      </c>
      <c r="I7" s="435">
        <f t="shared" si="0"/>
        <v>0</v>
      </c>
    </row>
    <row r="8" spans="1:9" s="285" customFormat="1" x14ac:dyDescent="0.25">
      <c r="A8" s="118">
        <v>26</v>
      </c>
      <c r="B8" s="151">
        <v>5015</v>
      </c>
      <c r="C8" s="94" t="s">
        <v>35</v>
      </c>
      <c r="D8" s="85">
        <v>1566</v>
      </c>
      <c r="E8" s="85">
        <v>7000</v>
      </c>
      <c r="F8" s="85">
        <v>7000</v>
      </c>
      <c r="G8" s="435">
        <f t="shared" si="0"/>
        <v>7476</v>
      </c>
      <c r="H8" s="435">
        <f t="shared" si="0"/>
        <v>7984.3680000000004</v>
      </c>
      <c r="I8" s="435">
        <f t="shared" si="0"/>
        <v>8527.3050240000011</v>
      </c>
    </row>
    <row r="9" spans="1:9" s="285" customFormat="1" x14ac:dyDescent="0.25">
      <c r="A9" s="118">
        <v>26</v>
      </c>
      <c r="B9" s="151">
        <v>5020</v>
      </c>
      <c r="C9" s="94" t="s">
        <v>350</v>
      </c>
      <c r="D9" s="85">
        <f>47923</f>
        <v>47923</v>
      </c>
      <c r="E9" s="85">
        <v>450000</v>
      </c>
      <c r="F9" s="85">
        <v>450000</v>
      </c>
      <c r="G9" s="435">
        <f t="shared" si="0"/>
        <v>480600</v>
      </c>
      <c r="H9" s="435">
        <f t="shared" si="0"/>
        <v>513280.8</v>
      </c>
      <c r="I9" s="435">
        <f t="shared" si="0"/>
        <v>548183.89439999999</v>
      </c>
    </row>
    <row r="10" spans="1:9" s="285" customFormat="1" hidden="1" x14ac:dyDescent="0.25">
      <c r="A10" s="118">
        <v>26</v>
      </c>
      <c r="B10" s="151">
        <v>5020</v>
      </c>
      <c r="C10" s="94" t="s">
        <v>36</v>
      </c>
      <c r="D10" s="85"/>
      <c r="E10" s="85"/>
      <c r="F10" s="85"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hidden="1" x14ac:dyDescent="0.25">
      <c r="A11" s="118">
        <v>26</v>
      </c>
      <c r="B11" s="151">
        <v>5020</v>
      </c>
      <c r="C11" s="94" t="s">
        <v>85</v>
      </c>
      <c r="D11" s="85"/>
      <c r="E11" s="85"/>
      <c r="F11" s="85"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hidden="1" x14ac:dyDescent="0.25">
      <c r="A12" s="118">
        <v>26</v>
      </c>
      <c r="B12" s="151">
        <v>5020</v>
      </c>
      <c r="C12" s="94" t="s">
        <v>84</v>
      </c>
      <c r="D12" s="85"/>
      <c r="E12" s="85"/>
      <c r="F12" s="85">
        <v>0</v>
      </c>
      <c r="G12" s="435">
        <f t="shared" si="0"/>
        <v>0</v>
      </c>
      <c r="H12" s="435">
        <f t="shared" si="0"/>
        <v>0</v>
      </c>
      <c r="I12" s="435">
        <f t="shared" si="0"/>
        <v>0</v>
      </c>
    </row>
    <row r="13" spans="1:9" s="285" customFormat="1" x14ac:dyDescent="0.25">
      <c r="A13" s="118">
        <v>26</v>
      </c>
      <c r="B13" s="151">
        <v>5030</v>
      </c>
      <c r="C13" s="94" t="s">
        <v>85</v>
      </c>
      <c r="D13" s="85">
        <v>1601</v>
      </c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26</v>
      </c>
      <c r="B14" s="151">
        <v>5040</v>
      </c>
      <c r="C14" s="94" t="s">
        <v>37</v>
      </c>
      <c r="D14" s="85">
        <f>34705</f>
        <v>34705</v>
      </c>
      <c r="E14" s="85">
        <v>465000</v>
      </c>
      <c r="F14" s="85">
        <v>465000</v>
      </c>
      <c r="G14" s="435">
        <f t="shared" si="0"/>
        <v>496620</v>
      </c>
      <c r="H14" s="435">
        <f t="shared" si="0"/>
        <v>530390.16</v>
      </c>
      <c r="I14" s="435">
        <f t="shared" si="0"/>
        <v>566456.69088000001</v>
      </c>
    </row>
    <row r="15" spans="1:9" s="285" customFormat="1" hidden="1" x14ac:dyDescent="0.25">
      <c r="A15" s="118">
        <v>26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26</v>
      </c>
      <c r="B16" s="151">
        <v>5050</v>
      </c>
      <c r="C16" s="94" t="s">
        <v>83</v>
      </c>
      <c r="D16" s="85">
        <f>2602+1375</f>
        <v>3977</v>
      </c>
      <c r="E16" s="85">
        <v>160000</v>
      </c>
      <c r="F16" s="85">
        <v>160000</v>
      </c>
      <c r="G16" s="435">
        <f t="shared" si="0"/>
        <v>170880</v>
      </c>
      <c r="H16" s="435">
        <f t="shared" si="0"/>
        <v>182499.84</v>
      </c>
      <c r="I16" s="435">
        <f t="shared" si="0"/>
        <v>194909.82912000001</v>
      </c>
    </row>
    <row r="17" spans="1:9" s="285" customFormat="1" x14ac:dyDescent="0.25">
      <c r="A17" s="118">
        <v>26</v>
      </c>
      <c r="B17" s="151">
        <v>5055</v>
      </c>
      <c r="C17" s="94" t="s">
        <v>39</v>
      </c>
      <c r="D17" s="85">
        <f>(428400+36071)*6</f>
        <v>2786826</v>
      </c>
      <c r="E17" s="85">
        <v>7210000</v>
      </c>
      <c r="F17" s="85">
        <v>6498373</v>
      </c>
      <c r="G17" s="435">
        <f t="shared" si="0"/>
        <v>6940262.3640000001</v>
      </c>
      <c r="H17" s="435">
        <f t="shared" si="0"/>
        <v>7412200.204752</v>
      </c>
      <c r="I17" s="435">
        <f t="shared" si="0"/>
        <v>7916229.8186751362</v>
      </c>
    </row>
    <row r="18" spans="1:9" s="285" customFormat="1" x14ac:dyDescent="0.25">
      <c r="A18" s="344"/>
      <c r="B18" s="151"/>
      <c r="C18" s="94"/>
      <c r="D18" s="89">
        <f t="shared" ref="D18:I18" si="1">SUM(D6:D17)</f>
        <v>2879298</v>
      </c>
      <c r="E18" s="89">
        <f t="shared" si="1"/>
        <v>8307300</v>
      </c>
      <c r="F18" s="89">
        <f t="shared" si="1"/>
        <v>7595673</v>
      </c>
      <c r="G18" s="89">
        <f t="shared" si="1"/>
        <v>8112178.7640000004</v>
      </c>
      <c r="H18" s="89">
        <f t="shared" si="1"/>
        <v>8663806.9199519996</v>
      </c>
      <c r="I18" s="89">
        <f t="shared" si="1"/>
        <v>9252945.7905087359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5"/>
    </row>
    <row r="20" spans="1:9" s="285" customFormat="1" x14ac:dyDescent="0.25">
      <c r="A20" s="118">
        <v>26</v>
      </c>
      <c r="B20" s="151">
        <v>5105</v>
      </c>
      <c r="C20" s="94" t="s">
        <v>41</v>
      </c>
      <c r="D20" s="85">
        <f>32382*6</f>
        <v>194292</v>
      </c>
      <c r="E20" s="85">
        <v>555000</v>
      </c>
      <c r="F20" s="85">
        <v>555000</v>
      </c>
      <c r="G20" s="435">
        <f t="shared" ref="G20:I24" si="2">(F20*0.068)+F20</f>
        <v>592740</v>
      </c>
      <c r="H20" s="435">
        <f t="shared" si="2"/>
        <v>633046.31999999995</v>
      </c>
      <c r="I20" s="435">
        <f t="shared" si="2"/>
        <v>676093.46976000001</v>
      </c>
    </row>
    <row r="21" spans="1:9" s="285" customFormat="1" x14ac:dyDescent="0.25">
      <c r="A21" s="118">
        <v>26</v>
      </c>
      <c r="B21" s="151">
        <v>5115</v>
      </c>
      <c r="C21" s="94" t="s">
        <v>42</v>
      </c>
      <c r="D21" s="85">
        <f>45142*6</f>
        <v>270852</v>
      </c>
      <c r="E21" s="85">
        <v>690000</v>
      </c>
      <c r="F21" s="85">
        <v>690000</v>
      </c>
      <c r="G21" s="435">
        <f t="shared" si="2"/>
        <v>736920</v>
      </c>
      <c r="H21" s="435">
        <f t="shared" si="2"/>
        <v>787030.56</v>
      </c>
      <c r="I21" s="435">
        <f t="shared" si="2"/>
        <v>840548.63808000006</v>
      </c>
    </row>
    <row r="22" spans="1:9" s="285" customFormat="1" x14ac:dyDescent="0.25">
      <c r="A22" s="118">
        <v>26</v>
      </c>
      <c r="B22" s="151">
        <v>5120</v>
      </c>
      <c r="C22" s="94" t="s">
        <v>43</v>
      </c>
      <c r="D22" s="85">
        <f>14041*6</f>
        <v>84246</v>
      </c>
      <c r="E22" s="85">
        <v>173000</v>
      </c>
      <c r="F22" s="85">
        <v>173000</v>
      </c>
      <c r="G22" s="435">
        <f t="shared" si="2"/>
        <v>184764</v>
      </c>
      <c r="H22" s="435">
        <f t="shared" si="2"/>
        <v>197327.95199999999</v>
      </c>
      <c r="I22" s="435">
        <f t="shared" si="2"/>
        <v>210746.25273599999</v>
      </c>
    </row>
    <row r="23" spans="1:9" s="285" customFormat="1" hidden="1" x14ac:dyDescent="0.25">
      <c r="A23" s="118">
        <v>26</v>
      </c>
      <c r="B23" s="151">
        <v>5125</v>
      </c>
      <c r="C23" s="94" t="s">
        <v>44</v>
      </c>
      <c r="D23" s="85"/>
      <c r="E23" s="85"/>
      <c r="F23" s="85"/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9" s="285" customFormat="1" x14ac:dyDescent="0.25">
      <c r="A24" s="118">
        <v>26</v>
      </c>
      <c r="B24" s="151">
        <v>5130</v>
      </c>
      <c r="C24" s="94" t="s">
        <v>45</v>
      </c>
      <c r="D24" s="85">
        <f>4213*6</f>
        <v>25278</v>
      </c>
      <c r="E24" s="85">
        <v>66000</v>
      </c>
      <c r="F24" s="85">
        <v>66000</v>
      </c>
      <c r="G24" s="435">
        <f t="shared" si="2"/>
        <v>70488</v>
      </c>
      <c r="H24" s="435">
        <f t="shared" si="2"/>
        <v>75281.183999999994</v>
      </c>
      <c r="I24" s="435">
        <f t="shared" si="2"/>
        <v>80400.304511999988</v>
      </c>
    </row>
    <row r="25" spans="1:9" s="285" customFormat="1" x14ac:dyDescent="0.25">
      <c r="A25" s="344"/>
      <c r="B25" s="151"/>
      <c r="C25" s="94"/>
      <c r="D25" s="89">
        <f t="shared" ref="D25:I25" si="3">SUM(D20:D24)</f>
        <v>574668</v>
      </c>
      <c r="E25" s="89">
        <f t="shared" si="3"/>
        <v>1484000</v>
      </c>
      <c r="F25" s="89">
        <f t="shared" si="3"/>
        <v>1484000</v>
      </c>
      <c r="G25" s="436">
        <f t="shared" si="3"/>
        <v>1584912</v>
      </c>
      <c r="H25" s="436">
        <f t="shared" si="3"/>
        <v>1692686.0159999998</v>
      </c>
      <c r="I25" s="436">
        <f t="shared" si="3"/>
        <v>1807788.665088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5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5"/>
    </row>
    <row r="28" spans="1:9" s="285" customFormat="1" hidden="1" x14ac:dyDescent="0.25">
      <c r="A28" s="118">
        <v>26</v>
      </c>
      <c r="B28" s="151">
        <v>5150</v>
      </c>
      <c r="C28" s="94" t="s">
        <v>48</v>
      </c>
      <c r="D28" s="85"/>
      <c r="E28" s="85"/>
      <c r="F28" s="85"/>
      <c r="G28" s="85"/>
      <c r="H28" s="85"/>
      <c r="I28" s="85">
        <f>E28*(1+INPUT!C$8)</f>
        <v>0</v>
      </c>
    </row>
    <row r="29" spans="1:9" s="285" customFormat="1" hidden="1" x14ac:dyDescent="0.25">
      <c r="A29" s="344"/>
      <c r="B29" s="151"/>
      <c r="C29" s="94"/>
      <c r="D29" s="89">
        <f t="shared" ref="D29:I29" si="4">D28</f>
        <v>0</v>
      </c>
      <c r="E29" s="89">
        <f t="shared" si="4"/>
        <v>0</v>
      </c>
      <c r="F29" s="89"/>
      <c r="G29" s="89"/>
      <c r="H29" s="89"/>
      <c r="I29" s="89">
        <f t="shared" si="4"/>
        <v>0</v>
      </c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5"/>
    </row>
    <row r="31" spans="1:9" s="285" customFormat="1" hidden="1" x14ac:dyDescent="0.25">
      <c r="A31" s="118">
        <v>26</v>
      </c>
      <c r="B31" s="151">
        <v>5170</v>
      </c>
      <c r="C31" s="94" t="s">
        <v>341</v>
      </c>
      <c r="D31" s="85"/>
      <c r="E31" s="108"/>
      <c r="F31" s="85"/>
      <c r="G31" s="85"/>
      <c r="H31" s="85"/>
      <c r="I31" s="85">
        <v>0</v>
      </c>
    </row>
    <row r="32" spans="1:9" s="285" customFormat="1" hidden="1" x14ac:dyDescent="0.25">
      <c r="A32" s="344"/>
      <c r="B32" s="151"/>
      <c r="C32" s="94"/>
      <c r="D32" s="89">
        <f t="shared" ref="D32:I32" si="5">SUM(D31)</f>
        <v>0</v>
      </c>
      <c r="E32" s="89">
        <f t="shared" si="5"/>
        <v>0</v>
      </c>
      <c r="F32" s="89"/>
      <c r="G32" s="89"/>
      <c r="H32" s="89"/>
      <c r="I32" s="89">
        <f t="shared" si="5"/>
        <v>0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5"/>
    </row>
    <row r="34" spans="1:9" s="285" customFormat="1" hidden="1" x14ac:dyDescent="0.25">
      <c r="A34" s="118">
        <v>26</v>
      </c>
      <c r="B34" s="151">
        <v>5180</v>
      </c>
      <c r="C34" s="94" t="s">
        <v>51</v>
      </c>
      <c r="D34" s="85"/>
      <c r="E34" s="108"/>
      <c r="F34" s="85"/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I35" si="6">SUM(D34)</f>
        <v>0</v>
      </c>
      <c r="E35" s="89">
        <f t="shared" si="6"/>
        <v>0</v>
      </c>
      <c r="F35" s="89"/>
      <c r="G35" s="89"/>
      <c r="H35" s="89"/>
      <c r="I35" s="89">
        <f t="shared" si="6"/>
        <v>0</v>
      </c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5"/>
    </row>
    <row r="37" spans="1:9" s="285" customFormat="1" hidden="1" x14ac:dyDescent="0.25">
      <c r="A37" s="118">
        <v>26</v>
      </c>
      <c r="B37" s="151">
        <v>5190</v>
      </c>
      <c r="C37" s="94" t="s">
        <v>53</v>
      </c>
      <c r="D37" s="85"/>
      <c r="E37" s="108"/>
      <c r="F37" s="85"/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I38" si="7">D37</f>
        <v>0</v>
      </c>
      <c r="E38" s="89">
        <f t="shared" si="7"/>
        <v>0</v>
      </c>
      <c r="F38" s="89"/>
      <c r="G38" s="89"/>
      <c r="H38" s="89"/>
      <c r="I38" s="89">
        <f t="shared" si="7"/>
        <v>0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5"/>
    </row>
    <row r="40" spans="1:9" s="285" customFormat="1" x14ac:dyDescent="0.25">
      <c r="A40" s="118">
        <v>26</v>
      </c>
      <c r="B40" s="151">
        <v>5200</v>
      </c>
      <c r="C40" s="94" t="s">
        <v>55</v>
      </c>
      <c r="D40" s="85"/>
      <c r="E40" s="108"/>
      <c r="F40" s="85"/>
      <c r="G40" s="85">
        <v>10000</v>
      </c>
      <c r="H40" s="85">
        <f>+(G40*0.1)+G40</f>
        <v>11000</v>
      </c>
      <c r="I40" s="435">
        <f>+(H40*0.1)+H40</f>
        <v>12100</v>
      </c>
    </row>
    <row r="41" spans="1:9" s="285" customFormat="1" x14ac:dyDescent="0.25">
      <c r="A41" s="118">
        <v>26</v>
      </c>
      <c r="B41" s="151">
        <v>5205</v>
      </c>
      <c r="C41" s="94" t="s">
        <v>56</v>
      </c>
      <c r="D41" s="85">
        <v>100</v>
      </c>
      <c r="E41" s="85">
        <v>80000</v>
      </c>
      <c r="F41" s="85">
        <v>10000</v>
      </c>
      <c r="G41" s="85">
        <v>10000</v>
      </c>
      <c r="H41" s="435">
        <f t="shared" ref="H41:I41" si="8">+(G41*0.1)+G41</f>
        <v>11000</v>
      </c>
      <c r="I41" s="435">
        <f t="shared" si="8"/>
        <v>12100</v>
      </c>
    </row>
    <row r="42" spans="1:9" s="285" customFormat="1" x14ac:dyDescent="0.25">
      <c r="A42" s="118">
        <v>26</v>
      </c>
      <c r="B42" s="151">
        <v>5210</v>
      </c>
      <c r="C42" s="94" t="s">
        <v>57</v>
      </c>
      <c r="D42" s="85">
        <v>7365</v>
      </c>
      <c r="E42" s="85">
        <v>80000</v>
      </c>
      <c r="F42" s="85">
        <v>20000</v>
      </c>
      <c r="G42" s="85">
        <v>20000</v>
      </c>
      <c r="H42" s="435">
        <f t="shared" ref="H42:I42" si="9">+(G42*0.1)+G42</f>
        <v>22000</v>
      </c>
      <c r="I42" s="435">
        <f t="shared" si="9"/>
        <v>24200</v>
      </c>
    </row>
    <row r="43" spans="1:9" s="285" customFormat="1" ht="15.75" hidden="1" customHeight="1" x14ac:dyDescent="0.25">
      <c r="A43" s="118">
        <v>26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85"/>
      <c r="H43" s="435">
        <f t="shared" ref="H43:I43" si="10">+(G43*0.1)+G43</f>
        <v>0</v>
      </c>
      <c r="I43" s="435">
        <f t="shared" si="10"/>
        <v>0</v>
      </c>
    </row>
    <row r="44" spans="1:9" s="285" customFormat="1" hidden="1" x14ac:dyDescent="0.25">
      <c r="A44" s="118">
        <v>26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85"/>
      <c r="H44" s="435">
        <f t="shared" ref="H44:I44" si="11">+(G44*0.1)+G44</f>
        <v>0</v>
      </c>
      <c r="I44" s="435">
        <f t="shared" si="11"/>
        <v>0</v>
      </c>
    </row>
    <row r="45" spans="1:9" s="285" customFormat="1" hidden="1" x14ac:dyDescent="0.25">
      <c r="A45" s="118">
        <v>26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85"/>
      <c r="H45" s="435">
        <f t="shared" ref="H45:I45" si="12">+(G45*0.1)+G45</f>
        <v>0</v>
      </c>
      <c r="I45" s="435">
        <f t="shared" si="12"/>
        <v>0</v>
      </c>
    </row>
    <row r="46" spans="1:9" s="285" customFormat="1" hidden="1" x14ac:dyDescent="0.25">
      <c r="A46" s="118">
        <v>26</v>
      </c>
      <c r="B46" s="151">
        <v>5230</v>
      </c>
      <c r="C46" s="94" t="s">
        <v>86</v>
      </c>
      <c r="D46" s="85"/>
      <c r="E46" s="85">
        <v>0</v>
      </c>
      <c r="F46" s="85">
        <v>0</v>
      </c>
      <c r="G46" s="85"/>
      <c r="H46" s="435">
        <f t="shared" ref="H46:I46" si="13">+(G46*0.1)+G46</f>
        <v>0</v>
      </c>
      <c r="I46" s="435">
        <f t="shared" si="13"/>
        <v>0</v>
      </c>
    </row>
    <row r="47" spans="1:9" s="285" customFormat="1" hidden="1" x14ac:dyDescent="0.25">
      <c r="A47" s="118">
        <v>26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85"/>
      <c r="H47" s="435">
        <f t="shared" ref="H47:I47" si="14">+(G47*0.1)+G47</f>
        <v>0</v>
      </c>
      <c r="I47" s="435">
        <f t="shared" si="14"/>
        <v>0</v>
      </c>
    </row>
    <row r="48" spans="1:9" s="285" customFormat="1" x14ac:dyDescent="0.25">
      <c r="A48" s="118">
        <v>26</v>
      </c>
      <c r="B48" s="151">
        <v>5240</v>
      </c>
      <c r="C48" s="94" t="s">
        <v>59</v>
      </c>
      <c r="D48" s="85">
        <v>24008</v>
      </c>
      <c r="E48" s="85">
        <v>120000</v>
      </c>
      <c r="F48" s="85">
        <v>50000</v>
      </c>
      <c r="G48" s="85">
        <v>50000</v>
      </c>
      <c r="H48" s="435">
        <f t="shared" ref="H48:I48" si="15">+(G48*0.1)+G48</f>
        <v>55000</v>
      </c>
      <c r="I48" s="435">
        <f t="shared" si="15"/>
        <v>60500</v>
      </c>
    </row>
    <row r="49" spans="1:9" s="285" customFormat="1" hidden="1" x14ac:dyDescent="0.25">
      <c r="A49" s="118">
        <v>26</v>
      </c>
      <c r="B49" s="151">
        <v>5245</v>
      </c>
      <c r="C49" s="94" t="s">
        <v>91</v>
      </c>
      <c r="D49" s="85"/>
      <c r="E49" s="85">
        <v>0</v>
      </c>
      <c r="F49" s="85">
        <v>0</v>
      </c>
      <c r="G49" s="85"/>
      <c r="H49" s="435">
        <f t="shared" ref="H49:I49" si="16">+(G49*0.1)+G49</f>
        <v>0</v>
      </c>
      <c r="I49" s="435">
        <f t="shared" si="16"/>
        <v>0</v>
      </c>
    </row>
    <row r="50" spans="1:9" s="285" customFormat="1" hidden="1" x14ac:dyDescent="0.25">
      <c r="A50" s="118">
        <v>26</v>
      </c>
      <c r="B50" s="151">
        <v>5250</v>
      </c>
      <c r="C50" s="94" t="s">
        <v>88</v>
      </c>
      <c r="D50" s="85"/>
      <c r="E50" s="85">
        <v>0</v>
      </c>
      <c r="F50" s="85">
        <v>0</v>
      </c>
      <c r="G50" s="85"/>
      <c r="H50" s="435">
        <f t="shared" ref="H50:I50" si="17">+(G50*0.1)+G50</f>
        <v>0</v>
      </c>
      <c r="I50" s="435">
        <f t="shared" si="17"/>
        <v>0</v>
      </c>
    </row>
    <row r="51" spans="1:9" s="285" customFormat="1" hidden="1" x14ac:dyDescent="0.25">
      <c r="A51" s="118">
        <v>26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85"/>
      <c r="H51" s="435">
        <f t="shared" ref="H51:I51" si="18">+(G51*0.1)+G51</f>
        <v>0</v>
      </c>
      <c r="I51" s="435">
        <f t="shared" si="18"/>
        <v>0</v>
      </c>
    </row>
    <row r="52" spans="1:9" s="285" customFormat="1" hidden="1" x14ac:dyDescent="0.25">
      <c r="A52" s="118">
        <v>26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85"/>
      <c r="H52" s="435">
        <f t="shared" ref="H52:I52" si="19">+(G52*0.1)+G52</f>
        <v>0</v>
      </c>
      <c r="I52" s="435">
        <f t="shared" si="19"/>
        <v>0</v>
      </c>
    </row>
    <row r="53" spans="1:9" s="285" customFormat="1" hidden="1" x14ac:dyDescent="0.25">
      <c r="A53" s="118">
        <v>26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85"/>
      <c r="H53" s="435">
        <f t="shared" ref="H53:I53" si="20">+(G53*0.1)+G53</f>
        <v>0</v>
      </c>
      <c r="I53" s="435">
        <f t="shared" si="20"/>
        <v>0</v>
      </c>
    </row>
    <row r="54" spans="1:9" s="285" customFormat="1" hidden="1" x14ac:dyDescent="0.25">
      <c r="A54" s="118">
        <v>26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85"/>
      <c r="H54" s="435">
        <f t="shared" ref="H54:I54" si="21">+(G54*0.1)+G54</f>
        <v>0</v>
      </c>
      <c r="I54" s="435">
        <f t="shared" si="21"/>
        <v>0</v>
      </c>
    </row>
    <row r="55" spans="1:9" s="285" customFormat="1" hidden="1" x14ac:dyDescent="0.25">
      <c r="A55" s="118">
        <v>26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85"/>
      <c r="H55" s="435">
        <f t="shared" ref="H55:I55" si="22">+(G55*0.1)+G55</f>
        <v>0</v>
      </c>
      <c r="I55" s="435">
        <f t="shared" si="22"/>
        <v>0</v>
      </c>
    </row>
    <row r="56" spans="1:9" s="285" customFormat="1" hidden="1" x14ac:dyDescent="0.25">
      <c r="A56" s="118">
        <v>26</v>
      </c>
      <c r="B56" s="151">
        <v>5280</v>
      </c>
      <c r="C56" s="94" t="s">
        <v>94</v>
      </c>
      <c r="D56" s="85"/>
      <c r="E56" s="85">
        <v>0</v>
      </c>
      <c r="F56" s="85">
        <v>0</v>
      </c>
      <c r="G56" s="85"/>
      <c r="H56" s="435">
        <f t="shared" ref="H56:I56" si="23">+(G56*0.1)+G56</f>
        <v>0</v>
      </c>
      <c r="I56" s="435">
        <f t="shared" si="23"/>
        <v>0</v>
      </c>
    </row>
    <row r="57" spans="1:9" s="285" customFormat="1" x14ac:dyDescent="0.25">
      <c r="A57" s="118">
        <v>26</v>
      </c>
      <c r="B57" s="151">
        <v>5285</v>
      </c>
      <c r="C57" s="94" t="s">
        <v>60</v>
      </c>
      <c r="D57" s="85">
        <v>16679</v>
      </c>
      <c r="E57" s="85">
        <v>50000</v>
      </c>
      <c r="F57" s="85">
        <v>30000</v>
      </c>
      <c r="G57" s="85">
        <v>20000</v>
      </c>
      <c r="H57" s="435">
        <f t="shared" ref="H57:I57" si="24">+(G57*0.1)+G57</f>
        <v>22000</v>
      </c>
      <c r="I57" s="435">
        <f t="shared" si="24"/>
        <v>24200</v>
      </c>
    </row>
    <row r="58" spans="1:9" s="285" customFormat="1" x14ac:dyDescent="0.25">
      <c r="A58" s="118">
        <v>26</v>
      </c>
      <c r="B58" s="151">
        <v>5290</v>
      </c>
      <c r="C58" s="94" t="s">
        <v>186</v>
      </c>
      <c r="D58" s="85"/>
      <c r="E58" s="85"/>
      <c r="F58" s="85">
        <f t="shared" ref="F58" si="25">E58-D58</f>
        <v>0</v>
      </c>
      <c r="G58" s="85"/>
      <c r="H58" s="435">
        <f t="shared" ref="H58:I58" si="26">+(G58*0.1)+G58</f>
        <v>0</v>
      </c>
      <c r="I58" s="435">
        <f t="shared" si="26"/>
        <v>0</v>
      </c>
    </row>
    <row r="59" spans="1:9" s="285" customFormat="1" x14ac:dyDescent="0.25">
      <c r="A59" s="344"/>
      <c r="B59" s="151"/>
      <c r="C59" s="94"/>
      <c r="D59" s="110">
        <f t="shared" ref="D59:I59" si="27">SUM(D40:D58)</f>
        <v>48152</v>
      </c>
      <c r="E59" s="110">
        <f t="shared" si="27"/>
        <v>330000</v>
      </c>
      <c r="F59" s="110">
        <f t="shared" si="27"/>
        <v>110000</v>
      </c>
      <c r="G59" s="446">
        <f t="shared" si="27"/>
        <v>110000</v>
      </c>
      <c r="H59" s="446">
        <f t="shared" si="27"/>
        <v>121000</v>
      </c>
      <c r="I59" s="446">
        <f t="shared" si="27"/>
        <v>133100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08"/>
    </row>
    <row r="61" spans="1:9" s="285" customFormat="1" hidden="1" x14ac:dyDescent="0.25">
      <c r="A61" s="118">
        <v>26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5"/>
    </row>
    <row r="62" spans="1:9" s="285" customFormat="1" hidden="1" x14ac:dyDescent="0.25">
      <c r="A62" s="118">
        <v>26</v>
      </c>
      <c r="B62" s="151">
        <v>5405</v>
      </c>
      <c r="C62" s="94" t="s">
        <v>335</v>
      </c>
      <c r="D62" s="85"/>
      <c r="E62" s="108"/>
      <c r="F62" s="85">
        <v>0</v>
      </c>
      <c r="G62" s="85"/>
      <c r="H62" s="85"/>
      <c r="I62" s="108"/>
    </row>
    <row r="63" spans="1:9" s="285" customFormat="1" hidden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/>
      <c r="I63" s="89">
        <f>SUM(I61:I62)</f>
        <v>0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5"/>
    </row>
    <row r="65" spans="1:9" s="285" customFormat="1" hidden="1" x14ac:dyDescent="0.25">
      <c r="A65" s="118">
        <v>26</v>
      </c>
      <c r="B65" s="151">
        <v>5450</v>
      </c>
      <c r="C65" s="94" t="s">
        <v>375</v>
      </c>
      <c r="D65" s="85"/>
      <c r="E65" s="108">
        <v>0</v>
      </c>
      <c r="F65" s="85">
        <f>0/8*12</f>
        <v>0</v>
      </c>
      <c r="G65" s="85"/>
      <c r="H65" s="85"/>
      <c r="I65" s="108">
        <v>0</v>
      </c>
    </row>
    <row r="66" spans="1:9" s="285" customFormat="1" hidden="1" x14ac:dyDescent="0.25">
      <c r="A66" s="344"/>
      <c r="B66" s="151"/>
      <c r="C66" s="94"/>
      <c r="D66" s="89">
        <f t="shared" ref="D66:I66" si="28">D65</f>
        <v>0</v>
      </c>
      <c r="E66" s="89">
        <f t="shared" si="28"/>
        <v>0</v>
      </c>
      <c r="F66" s="89">
        <f t="shared" si="28"/>
        <v>0</v>
      </c>
      <c r="G66" s="89"/>
      <c r="H66" s="89"/>
      <c r="I66" s="89">
        <f t="shared" si="28"/>
        <v>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5"/>
    </row>
    <row r="68" spans="1:9" s="285" customFormat="1" hidden="1" x14ac:dyDescent="0.25">
      <c r="A68" s="118">
        <v>26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>
        <f>F68*(1+INPUT!C11)</f>
        <v>0</v>
      </c>
    </row>
    <row r="69" spans="1:9" s="285" customFormat="1" hidden="1" x14ac:dyDescent="0.25">
      <c r="A69" s="118">
        <v>26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hidden="1" x14ac:dyDescent="0.25">
      <c r="A70" s="344"/>
      <c r="B70" s="151"/>
      <c r="C70" s="94"/>
      <c r="D70" s="110">
        <f t="shared" ref="D70:I70" si="29">SUM(D68:D69)</f>
        <v>0</v>
      </c>
      <c r="E70" s="110">
        <f t="shared" si="29"/>
        <v>0</v>
      </c>
      <c r="F70" s="110">
        <f t="shared" si="29"/>
        <v>0</v>
      </c>
      <c r="G70" s="110"/>
      <c r="H70" s="110"/>
      <c r="I70" s="89">
        <f t="shared" si="29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88"/>
    </row>
    <row r="72" spans="1:9" s="285" customFormat="1" x14ac:dyDescent="0.25">
      <c r="A72" s="118">
        <v>26</v>
      </c>
      <c r="B72" s="151">
        <v>5505</v>
      </c>
      <c r="C72" s="94" t="s">
        <v>259</v>
      </c>
      <c r="D72" s="85"/>
      <c r="E72" s="85">
        <v>24000</v>
      </c>
      <c r="F72" s="85">
        <v>24000</v>
      </c>
      <c r="G72" s="85">
        <v>30000</v>
      </c>
      <c r="H72" s="435">
        <f t="shared" ref="H72:I72" si="30">+(G72*0.1)+G72</f>
        <v>33000</v>
      </c>
      <c r="I72" s="435">
        <f t="shared" si="30"/>
        <v>36300</v>
      </c>
    </row>
    <row r="73" spans="1:9" s="285" customFormat="1" x14ac:dyDescent="0.25">
      <c r="A73" s="118">
        <v>26</v>
      </c>
      <c r="B73" s="151">
        <v>5510</v>
      </c>
      <c r="C73" s="94" t="s">
        <v>63</v>
      </c>
      <c r="D73" s="85">
        <v>-53906</v>
      </c>
      <c r="E73" s="85">
        <v>10822</v>
      </c>
      <c r="F73" s="85">
        <v>10822</v>
      </c>
      <c r="G73" s="85">
        <v>800000</v>
      </c>
      <c r="H73" s="435">
        <f t="shared" ref="H73:I73" si="31">+(G73*0.1)+G73</f>
        <v>880000</v>
      </c>
      <c r="I73" s="435">
        <f t="shared" si="31"/>
        <v>968000</v>
      </c>
    </row>
    <row r="74" spans="1:9" s="285" customFormat="1" hidden="1" x14ac:dyDescent="0.25">
      <c r="A74" s="118">
        <v>26</v>
      </c>
      <c r="B74" s="151">
        <v>5520</v>
      </c>
      <c r="C74" s="94" t="s">
        <v>260</v>
      </c>
      <c r="D74" s="85"/>
      <c r="E74" s="85"/>
      <c r="F74" s="85">
        <v>0</v>
      </c>
      <c r="G74" s="85"/>
      <c r="H74" s="435">
        <f t="shared" ref="H74:I74" si="32">+(G74*0.1)+G74</f>
        <v>0</v>
      </c>
      <c r="I74" s="435">
        <f t="shared" si="32"/>
        <v>0</v>
      </c>
    </row>
    <row r="75" spans="1:9" s="285" customFormat="1" hidden="1" x14ac:dyDescent="0.25">
      <c r="A75" s="118">
        <v>26</v>
      </c>
      <c r="B75" s="151">
        <v>5525</v>
      </c>
      <c r="C75" s="94" t="s">
        <v>261</v>
      </c>
      <c r="D75" s="85"/>
      <c r="E75" s="85"/>
      <c r="F75" s="85">
        <v>0</v>
      </c>
      <c r="G75" s="85"/>
      <c r="H75" s="435">
        <f t="shared" ref="H75:I75" si="33">+(G75*0.1)+G75</f>
        <v>0</v>
      </c>
      <c r="I75" s="435">
        <f t="shared" si="33"/>
        <v>0</v>
      </c>
    </row>
    <row r="76" spans="1:9" s="285" customFormat="1" hidden="1" x14ac:dyDescent="0.25">
      <c r="A76" s="118">
        <v>26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435">
        <f t="shared" ref="H76:I76" si="34">+(G76*0.1)+G76</f>
        <v>0</v>
      </c>
      <c r="I76" s="435">
        <f t="shared" si="34"/>
        <v>0</v>
      </c>
    </row>
    <row r="77" spans="1:9" s="285" customFormat="1" x14ac:dyDescent="0.25">
      <c r="A77" s="118">
        <v>26</v>
      </c>
      <c r="B77" s="151">
        <v>5535</v>
      </c>
      <c r="C77" s="94" t="s">
        <v>263</v>
      </c>
      <c r="D77" s="85">
        <v>9079</v>
      </c>
      <c r="E77" s="85">
        <v>15000</v>
      </c>
      <c r="F77" s="85">
        <v>15000</v>
      </c>
      <c r="G77" s="85">
        <v>5000</v>
      </c>
      <c r="H77" s="435">
        <f t="shared" ref="H77:I77" si="35">+(G77*0.1)+G77</f>
        <v>5500</v>
      </c>
      <c r="I77" s="435">
        <f t="shared" si="35"/>
        <v>6050</v>
      </c>
    </row>
    <row r="78" spans="1:9" s="285" customFormat="1" x14ac:dyDescent="0.25">
      <c r="A78" s="118">
        <v>26</v>
      </c>
      <c r="B78" s="151">
        <v>5540</v>
      </c>
      <c r="C78" s="94" t="s">
        <v>264</v>
      </c>
      <c r="D78" s="85">
        <f>35826+1409232</f>
        <v>1445058</v>
      </c>
      <c r="E78" s="85">
        <v>3000000</v>
      </c>
      <c r="F78" s="85">
        <v>2630000</v>
      </c>
      <c r="G78" s="85">
        <v>2800000</v>
      </c>
      <c r="H78" s="435">
        <f t="shared" ref="H78:I78" si="36">+(G78*0.1)+G78</f>
        <v>3080000</v>
      </c>
      <c r="I78" s="435">
        <f t="shared" si="36"/>
        <v>3388000</v>
      </c>
    </row>
    <row r="79" spans="1:9" s="285" customFormat="1" ht="13.5" customHeight="1" x14ac:dyDescent="0.25">
      <c r="A79" s="118">
        <v>26</v>
      </c>
      <c r="B79" s="151">
        <v>5545</v>
      </c>
      <c r="C79" s="94" t="s">
        <v>265</v>
      </c>
      <c r="D79" s="85"/>
      <c r="E79" s="85">
        <v>22000</v>
      </c>
      <c r="F79" s="85">
        <v>0</v>
      </c>
      <c r="G79" s="85">
        <v>5000</v>
      </c>
      <c r="H79" s="435">
        <f t="shared" ref="H79:I79" si="37">+(G79*0.1)+G79</f>
        <v>5500</v>
      </c>
      <c r="I79" s="435">
        <f t="shared" si="37"/>
        <v>6050</v>
      </c>
    </row>
    <row r="80" spans="1:9" s="285" customFormat="1" hidden="1" x14ac:dyDescent="0.25">
      <c r="A80" s="118">
        <v>26</v>
      </c>
      <c r="B80" s="151">
        <v>5550</v>
      </c>
      <c r="C80" s="94" t="s">
        <v>267</v>
      </c>
      <c r="D80" s="85"/>
      <c r="E80" s="85"/>
      <c r="F80" s="85">
        <v>0</v>
      </c>
      <c r="G80" s="85"/>
      <c r="H80" s="435">
        <f t="shared" ref="H80:I80" si="38">+(G80*0.1)+G80</f>
        <v>0</v>
      </c>
      <c r="I80" s="435">
        <f t="shared" si="38"/>
        <v>0</v>
      </c>
    </row>
    <row r="81" spans="1:9" s="285" customFormat="1" x14ac:dyDescent="0.25">
      <c r="A81" s="118">
        <v>26</v>
      </c>
      <c r="B81" s="151">
        <v>5555</v>
      </c>
      <c r="C81" s="94" t="s">
        <v>268</v>
      </c>
      <c r="D81" s="85"/>
      <c r="E81" s="85">
        <v>20000</v>
      </c>
      <c r="F81" s="85">
        <v>0</v>
      </c>
      <c r="G81" s="85"/>
      <c r="H81" s="435">
        <f t="shared" ref="H81:I81" si="39">+(G81*0.1)+G81</f>
        <v>0</v>
      </c>
      <c r="I81" s="435">
        <f t="shared" si="39"/>
        <v>0</v>
      </c>
    </row>
    <row r="82" spans="1:9" s="285" customFormat="1" x14ac:dyDescent="0.25">
      <c r="A82" s="118">
        <v>26</v>
      </c>
      <c r="B82" s="151">
        <v>5560</v>
      </c>
      <c r="C82" s="94" t="s">
        <v>269</v>
      </c>
      <c r="D82" s="85">
        <v>24933</v>
      </c>
      <c r="E82" s="85">
        <v>25320</v>
      </c>
      <c r="F82" s="85">
        <v>45320</v>
      </c>
      <c r="G82" s="85">
        <v>50000</v>
      </c>
      <c r="H82" s="435">
        <f t="shared" ref="H82:I82" si="40">+(G82*0.1)+G82</f>
        <v>55000</v>
      </c>
      <c r="I82" s="435">
        <f t="shared" si="40"/>
        <v>60500</v>
      </c>
    </row>
    <row r="83" spans="1:9" s="285" customFormat="1" hidden="1" x14ac:dyDescent="0.25">
      <c r="A83" s="118">
        <v>26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435">
        <f t="shared" ref="H83:I83" si="41">+(G83*0.1)+G83</f>
        <v>0</v>
      </c>
      <c r="I83" s="435">
        <f t="shared" si="41"/>
        <v>0</v>
      </c>
    </row>
    <row r="84" spans="1:9" s="285" customFormat="1" x14ac:dyDescent="0.25">
      <c r="A84" s="118">
        <v>26</v>
      </c>
      <c r="B84" s="151">
        <v>5570</v>
      </c>
      <c r="C84" s="94" t="s">
        <v>399</v>
      </c>
      <c r="D84" s="85">
        <v>184804</v>
      </c>
      <c r="E84" s="85"/>
      <c r="F84" s="85">
        <v>370000</v>
      </c>
      <c r="G84" s="85">
        <v>400000</v>
      </c>
      <c r="H84" s="435">
        <f t="shared" ref="H84:I84" si="42">+(G84*0.1)+G84</f>
        <v>440000</v>
      </c>
      <c r="I84" s="435">
        <f t="shared" si="42"/>
        <v>484000</v>
      </c>
    </row>
    <row r="85" spans="1:9" s="285" customFormat="1" x14ac:dyDescent="0.25">
      <c r="A85" s="118">
        <v>26</v>
      </c>
      <c r="B85" s="151">
        <v>5575</v>
      </c>
      <c r="C85" s="94" t="s">
        <v>271</v>
      </c>
      <c r="D85" s="85">
        <v>187638</v>
      </c>
      <c r="E85" s="85">
        <v>250000</v>
      </c>
      <c r="F85" s="85">
        <v>350000</v>
      </c>
      <c r="G85" s="85">
        <v>400000</v>
      </c>
      <c r="H85" s="435">
        <f t="shared" ref="H85:I85" si="43">+(G85*0.1)+G85</f>
        <v>440000</v>
      </c>
      <c r="I85" s="435">
        <f t="shared" si="43"/>
        <v>484000</v>
      </c>
    </row>
    <row r="86" spans="1:9" s="285" customFormat="1" x14ac:dyDescent="0.25">
      <c r="A86" s="118">
        <v>26</v>
      </c>
      <c r="B86" s="151">
        <v>5580</v>
      </c>
      <c r="C86" s="94" t="s">
        <v>272</v>
      </c>
      <c r="D86" s="85">
        <v>1400</v>
      </c>
      <c r="E86" s="85">
        <v>10000</v>
      </c>
      <c r="F86" s="85">
        <v>10000</v>
      </c>
      <c r="G86" s="85">
        <v>5000</v>
      </c>
      <c r="H86" s="435">
        <f t="shared" ref="H86:I86" si="44">+(G86*0.1)+G86</f>
        <v>5500</v>
      </c>
      <c r="I86" s="435">
        <f t="shared" si="44"/>
        <v>6050</v>
      </c>
    </row>
    <row r="87" spans="1:9" s="285" customFormat="1" x14ac:dyDescent="0.25">
      <c r="A87" s="118">
        <v>26</v>
      </c>
      <c r="B87" s="151">
        <v>5585</v>
      </c>
      <c r="C87" s="94" t="s">
        <v>273</v>
      </c>
      <c r="D87" s="86">
        <v>37451</v>
      </c>
      <c r="E87" s="85">
        <v>25892</v>
      </c>
      <c r="F87" s="85">
        <v>65892</v>
      </c>
      <c r="G87" s="85">
        <v>70000</v>
      </c>
      <c r="H87" s="435">
        <f t="shared" ref="H87:I87" si="45">+(G87*0.1)+G87</f>
        <v>77000</v>
      </c>
      <c r="I87" s="435">
        <f t="shared" si="45"/>
        <v>84700</v>
      </c>
    </row>
    <row r="88" spans="1:9" s="285" customFormat="1" x14ac:dyDescent="0.25">
      <c r="A88" s="118">
        <v>26</v>
      </c>
      <c r="B88" s="151">
        <v>5590</v>
      </c>
      <c r="C88" s="94" t="s">
        <v>274</v>
      </c>
      <c r="D88" s="86">
        <v>137692</v>
      </c>
      <c r="E88" s="85">
        <v>25200</v>
      </c>
      <c r="F88" s="85">
        <v>285200</v>
      </c>
      <c r="G88" s="85">
        <v>200000</v>
      </c>
      <c r="H88" s="435">
        <f t="shared" ref="H88:I88" si="46">+(G88*0.1)+G88</f>
        <v>220000</v>
      </c>
      <c r="I88" s="435">
        <f t="shared" si="46"/>
        <v>242000</v>
      </c>
    </row>
    <row r="89" spans="1:9" s="285" customFormat="1" x14ac:dyDescent="0.25">
      <c r="A89" s="118">
        <v>26</v>
      </c>
      <c r="B89" s="151">
        <v>5595</v>
      </c>
      <c r="C89" s="94" t="s">
        <v>275</v>
      </c>
      <c r="D89" s="85"/>
      <c r="E89" s="85"/>
      <c r="F89" s="85">
        <v>0</v>
      </c>
      <c r="G89" s="85"/>
      <c r="H89" s="435">
        <f t="shared" ref="H89:I89" si="47">+(G89*0.1)+G89</f>
        <v>0</v>
      </c>
      <c r="I89" s="435">
        <f t="shared" si="47"/>
        <v>0</v>
      </c>
    </row>
    <row r="90" spans="1:9" s="285" customFormat="1" x14ac:dyDescent="0.25">
      <c r="A90" s="118">
        <v>26</v>
      </c>
      <c r="B90" s="151">
        <v>5600</v>
      </c>
      <c r="C90" s="159" t="s">
        <v>276</v>
      </c>
      <c r="D90" s="85">
        <v>3810214</v>
      </c>
      <c r="E90" s="85">
        <v>2479250</v>
      </c>
      <c r="F90" s="85">
        <v>3810214</v>
      </c>
      <c r="G90" s="85">
        <v>3500000</v>
      </c>
      <c r="H90" s="435">
        <f t="shared" ref="H90:I90" si="48">+(G90*0.1)+G90</f>
        <v>3850000</v>
      </c>
      <c r="I90" s="435">
        <f t="shared" si="48"/>
        <v>4235000</v>
      </c>
    </row>
    <row r="91" spans="1:9" s="285" customFormat="1" x14ac:dyDescent="0.25">
      <c r="A91" s="118">
        <v>26</v>
      </c>
      <c r="B91" s="151">
        <v>5605</v>
      </c>
      <c r="C91" s="159" t="s">
        <v>277</v>
      </c>
      <c r="D91" s="85">
        <v>570446</v>
      </c>
      <c r="E91" s="85">
        <v>201000</v>
      </c>
      <c r="F91" s="85">
        <v>1001000</v>
      </c>
      <c r="G91" s="85">
        <v>1000000</v>
      </c>
      <c r="H91" s="435">
        <f t="shared" ref="H91:I91" si="49">+(G91*0.1)+G91</f>
        <v>1100000</v>
      </c>
      <c r="I91" s="435">
        <f t="shared" si="49"/>
        <v>1210000</v>
      </c>
    </row>
    <row r="92" spans="1:9" s="285" customFormat="1" x14ac:dyDescent="0.25">
      <c r="A92" s="118">
        <v>26</v>
      </c>
      <c r="B92" s="151">
        <v>5610</v>
      </c>
      <c r="C92" s="159" t="s">
        <v>278</v>
      </c>
      <c r="D92" s="85"/>
      <c r="E92" s="85"/>
      <c r="F92" s="85">
        <f t="shared" ref="F92:F136" si="50">E92-D92</f>
        <v>0</v>
      </c>
      <c r="G92" s="85"/>
      <c r="H92" s="435">
        <f t="shared" ref="H92:I92" si="51">+(G92*0.1)+G92</f>
        <v>0</v>
      </c>
      <c r="I92" s="435">
        <f t="shared" si="51"/>
        <v>0</v>
      </c>
    </row>
    <row r="93" spans="1:9" s="285" customFormat="1" x14ac:dyDescent="0.25">
      <c r="A93" s="118">
        <v>26</v>
      </c>
      <c r="B93" s="151">
        <v>5615</v>
      </c>
      <c r="C93" s="159" t="s">
        <v>279</v>
      </c>
      <c r="D93" s="85"/>
      <c r="E93" s="85"/>
      <c r="F93" s="85">
        <f t="shared" si="50"/>
        <v>0</v>
      </c>
      <c r="G93" s="85"/>
      <c r="H93" s="435">
        <f t="shared" ref="H93:I93" si="52">+(G93*0.1)+G93</f>
        <v>0</v>
      </c>
      <c r="I93" s="435">
        <f t="shared" si="52"/>
        <v>0</v>
      </c>
    </row>
    <row r="94" spans="1:9" s="285" customFormat="1" x14ac:dyDescent="0.25">
      <c r="A94" s="118">
        <v>26</v>
      </c>
      <c r="B94" s="151">
        <v>5620</v>
      </c>
      <c r="C94" s="159" t="s">
        <v>280</v>
      </c>
      <c r="D94" s="85"/>
      <c r="E94" s="85"/>
      <c r="F94" s="85">
        <f t="shared" si="50"/>
        <v>0</v>
      </c>
      <c r="G94" s="85"/>
      <c r="H94" s="435">
        <f t="shared" ref="H94:I94" si="53">+(G94*0.1)+G94</f>
        <v>0</v>
      </c>
      <c r="I94" s="435">
        <f t="shared" si="53"/>
        <v>0</v>
      </c>
    </row>
    <row r="95" spans="1:9" s="285" customFormat="1" x14ac:dyDescent="0.25">
      <c r="A95" s="118">
        <v>26</v>
      </c>
      <c r="B95" s="151">
        <v>5625</v>
      </c>
      <c r="C95" s="159" t="s">
        <v>281</v>
      </c>
      <c r="D95" s="85"/>
      <c r="E95" s="85"/>
      <c r="F95" s="85">
        <f t="shared" si="50"/>
        <v>0</v>
      </c>
      <c r="G95" s="85"/>
      <c r="H95" s="435">
        <f t="shared" ref="H95:I95" si="54">+(G95*0.1)+G95</f>
        <v>0</v>
      </c>
      <c r="I95" s="435">
        <f t="shared" si="54"/>
        <v>0</v>
      </c>
    </row>
    <row r="96" spans="1:9" s="285" customFormat="1" x14ac:dyDescent="0.25">
      <c r="A96" s="118">
        <v>26</v>
      </c>
      <c r="B96" s="151">
        <v>5630</v>
      </c>
      <c r="C96" s="159" t="s">
        <v>282</v>
      </c>
      <c r="D96" s="85"/>
      <c r="E96" s="85"/>
      <c r="F96" s="85">
        <f t="shared" si="50"/>
        <v>0</v>
      </c>
      <c r="G96" s="85"/>
      <c r="H96" s="435">
        <f t="shared" ref="H96:I96" si="55">+(G96*0.1)+G96</f>
        <v>0</v>
      </c>
      <c r="I96" s="435">
        <f t="shared" si="55"/>
        <v>0</v>
      </c>
    </row>
    <row r="97" spans="1:9" s="285" customFormat="1" x14ac:dyDescent="0.25">
      <c r="A97" s="118">
        <v>26</v>
      </c>
      <c r="B97" s="151">
        <v>5635</v>
      </c>
      <c r="C97" s="159" t="s">
        <v>283</v>
      </c>
      <c r="D97" s="85"/>
      <c r="E97" s="85"/>
      <c r="F97" s="85">
        <f t="shared" si="50"/>
        <v>0</v>
      </c>
      <c r="G97" s="85"/>
      <c r="H97" s="435">
        <f t="shared" ref="H97:I97" si="56">+(G97*0.1)+G97</f>
        <v>0</v>
      </c>
      <c r="I97" s="435">
        <f t="shared" si="56"/>
        <v>0</v>
      </c>
    </row>
    <row r="98" spans="1:9" s="285" customFormat="1" x14ac:dyDescent="0.25">
      <c r="A98" s="118">
        <v>26</v>
      </c>
      <c r="B98" s="151">
        <v>5640</v>
      </c>
      <c r="C98" s="159" t="s">
        <v>284</v>
      </c>
      <c r="D98" s="85"/>
      <c r="E98" s="85"/>
      <c r="F98" s="85">
        <f t="shared" si="50"/>
        <v>0</v>
      </c>
      <c r="G98" s="85"/>
      <c r="H98" s="435">
        <f t="shared" ref="H98:I98" si="57">+(G98*0.1)+G98</f>
        <v>0</v>
      </c>
      <c r="I98" s="435">
        <f t="shared" si="57"/>
        <v>0</v>
      </c>
    </row>
    <row r="99" spans="1:9" s="285" customFormat="1" x14ac:dyDescent="0.25">
      <c r="A99" s="118">
        <v>26</v>
      </c>
      <c r="B99" s="151">
        <v>5645</v>
      </c>
      <c r="C99" s="159" t="s">
        <v>285</v>
      </c>
      <c r="D99" s="85"/>
      <c r="E99" s="85"/>
      <c r="F99" s="85">
        <f t="shared" si="50"/>
        <v>0</v>
      </c>
      <c r="G99" s="85"/>
      <c r="H99" s="435">
        <f t="shared" ref="H99:I99" si="58">+(G99*0.1)+G99</f>
        <v>0</v>
      </c>
      <c r="I99" s="435">
        <f t="shared" si="58"/>
        <v>0</v>
      </c>
    </row>
    <row r="100" spans="1:9" s="285" customFormat="1" x14ac:dyDescent="0.25">
      <c r="A100" s="118">
        <v>26</v>
      </c>
      <c r="B100" s="151">
        <v>5650</v>
      </c>
      <c r="C100" s="159" t="s">
        <v>286</v>
      </c>
      <c r="D100" s="85">
        <v>510247</v>
      </c>
      <c r="E100" s="85">
        <v>800000</v>
      </c>
      <c r="F100" s="85">
        <v>1000000</v>
      </c>
      <c r="G100" s="85">
        <v>2000000</v>
      </c>
      <c r="H100" s="435">
        <f t="shared" ref="H100:I100" si="59">+(G100*0.1)+G100</f>
        <v>2200000</v>
      </c>
      <c r="I100" s="435">
        <f t="shared" si="59"/>
        <v>2420000</v>
      </c>
    </row>
    <row r="101" spans="1:9" s="285" customFormat="1" x14ac:dyDescent="0.25">
      <c r="A101" s="118">
        <v>26</v>
      </c>
      <c r="B101" s="151">
        <v>5655</v>
      </c>
      <c r="C101" s="159" t="s">
        <v>287</v>
      </c>
      <c r="D101" s="85"/>
      <c r="E101" s="85"/>
      <c r="F101" s="85">
        <v>0</v>
      </c>
      <c r="G101" s="85"/>
      <c r="H101" s="435">
        <f t="shared" ref="H101:I101" si="60">+(G101*0.1)+G101</f>
        <v>0</v>
      </c>
      <c r="I101" s="435">
        <f t="shared" si="60"/>
        <v>0</v>
      </c>
    </row>
    <row r="102" spans="1:9" s="285" customFormat="1" x14ac:dyDescent="0.25">
      <c r="A102" s="118">
        <v>26</v>
      </c>
      <c r="B102" s="151">
        <v>5660</v>
      </c>
      <c r="C102" s="159" t="s">
        <v>288</v>
      </c>
      <c r="D102" s="85"/>
      <c r="E102" s="85"/>
      <c r="F102" s="85">
        <v>0</v>
      </c>
      <c r="G102" s="85"/>
      <c r="H102" s="435">
        <f t="shared" ref="H102:I102" si="61">+(G102*0.1)+G102</f>
        <v>0</v>
      </c>
      <c r="I102" s="435">
        <f t="shared" si="61"/>
        <v>0</v>
      </c>
    </row>
    <row r="103" spans="1:9" s="285" customFormat="1" x14ac:dyDescent="0.25">
      <c r="A103" s="118">
        <v>26</v>
      </c>
      <c r="B103" s="151">
        <v>5665</v>
      </c>
      <c r="C103" s="94" t="s">
        <v>503</v>
      </c>
      <c r="D103" s="85">
        <v>11175</v>
      </c>
      <c r="E103" s="85">
        <v>520000</v>
      </c>
      <c r="F103" s="85">
        <v>20000</v>
      </c>
      <c r="G103" s="85"/>
      <c r="H103" s="435">
        <f t="shared" ref="H103:I103" si="62">+(G103*0.1)+G103</f>
        <v>0</v>
      </c>
      <c r="I103" s="435">
        <f t="shared" si="62"/>
        <v>0</v>
      </c>
    </row>
    <row r="104" spans="1:9" s="285" customFormat="1" x14ac:dyDescent="0.25">
      <c r="A104" s="118">
        <v>26</v>
      </c>
      <c r="B104" s="151">
        <v>5670</v>
      </c>
      <c r="C104" s="94" t="s">
        <v>290</v>
      </c>
      <c r="D104" s="85"/>
      <c r="E104" s="85"/>
      <c r="F104" s="85">
        <f t="shared" si="50"/>
        <v>0</v>
      </c>
      <c r="G104" s="85"/>
      <c r="H104" s="435">
        <f t="shared" ref="H104:I104" si="63">+(G104*0.1)+G104</f>
        <v>0</v>
      </c>
      <c r="I104" s="435">
        <f t="shared" si="63"/>
        <v>0</v>
      </c>
    </row>
    <row r="105" spans="1:9" s="285" customFormat="1" x14ac:dyDescent="0.25">
      <c r="A105" s="375">
        <v>26</v>
      </c>
      <c r="B105" s="152">
        <v>5675</v>
      </c>
      <c r="C105" s="106" t="s">
        <v>291</v>
      </c>
      <c r="D105" s="387"/>
      <c r="E105" s="387"/>
      <c r="F105" s="387">
        <f t="shared" si="50"/>
        <v>0</v>
      </c>
      <c r="G105" s="387"/>
      <c r="H105" s="435">
        <f t="shared" ref="H105:I105" si="64">+(G105*0.1)+G105</f>
        <v>0</v>
      </c>
      <c r="I105" s="435">
        <f t="shared" si="64"/>
        <v>0</v>
      </c>
    </row>
    <row r="106" spans="1:9" s="285" customFormat="1" x14ac:dyDescent="0.25">
      <c r="A106" s="378">
        <v>26</v>
      </c>
      <c r="B106" s="153">
        <v>5680</v>
      </c>
      <c r="C106" s="97" t="s">
        <v>292</v>
      </c>
      <c r="D106" s="88"/>
      <c r="E106" s="88"/>
      <c r="F106" s="88">
        <f t="shared" si="50"/>
        <v>0</v>
      </c>
      <c r="G106" s="88"/>
      <c r="H106" s="435">
        <f t="shared" ref="H106:I106" si="65">+(G106*0.1)+G106</f>
        <v>0</v>
      </c>
      <c r="I106" s="435">
        <f t="shared" si="65"/>
        <v>0</v>
      </c>
    </row>
    <row r="107" spans="1:9" s="285" customFormat="1" x14ac:dyDescent="0.25">
      <c r="A107" s="118">
        <v>26</v>
      </c>
      <c r="B107" s="151">
        <v>5685</v>
      </c>
      <c r="C107" s="94" t="s">
        <v>293</v>
      </c>
      <c r="D107" s="85"/>
      <c r="E107" s="85"/>
      <c r="F107" s="85">
        <f t="shared" si="50"/>
        <v>0</v>
      </c>
      <c r="G107" s="85"/>
      <c r="H107" s="435">
        <f t="shared" ref="H107:I107" si="66">+(G107*0.1)+G107</f>
        <v>0</v>
      </c>
      <c r="I107" s="435">
        <f t="shared" si="66"/>
        <v>0</v>
      </c>
    </row>
    <row r="108" spans="1:9" s="285" customFormat="1" x14ac:dyDescent="0.25">
      <c r="A108" s="118">
        <v>26</v>
      </c>
      <c r="B108" s="151">
        <v>5690</v>
      </c>
      <c r="C108" s="94" t="s">
        <v>401</v>
      </c>
      <c r="D108" s="85"/>
      <c r="E108" s="85"/>
      <c r="F108" s="85">
        <f t="shared" si="50"/>
        <v>0</v>
      </c>
      <c r="G108" s="85"/>
      <c r="H108" s="435">
        <f t="shared" ref="H108:I108" si="67">+(G108*0.1)+G108</f>
        <v>0</v>
      </c>
      <c r="I108" s="435">
        <f t="shared" si="67"/>
        <v>0</v>
      </c>
    </row>
    <row r="109" spans="1:9" s="285" customFormat="1" x14ac:dyDescent="0.25">
      <c r="A109" s="118">
        <v>26</v>
      </c>
      <c r="B109" s="151">
        <v>5695</v>
      </c>
      <c r="C109" s="94" t="s">
        <v>411</v>
      </c>
      <c r="D109" s="85">
        <v>143906</v>
      </c>
      <c r="E109" s="85">
        <v>190000</v>
      </c>
      <c r="F109" s="85">
        <v>290000</v>
      </c>
      <c r="G109" s="85">
        <v>300000</v>
      </c>
      <c r="H109" s="435">
        <f t="shared" ref="H109:I109" si="68">+(G109*0.1)+G109</f>
        <v>330000</v>
      </c>
      <c r="I109" s="435">
        <f t="shared" si="68"/>
        <v>363000</v>
      </c>
    </row>
    <row r="110" spans="1:9" s="285" customFormat="1" x14ac:dyDescent="0.25">
      <c r="A110" s="118">
        <v>26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85"/>
      <c r="H110" s="435">
        <f t="shared" ref="H110:I110" si="69">+(G110*0.1)+G110</f>
        <v>0</v>
      </c>
      <c r="I110" s="435">
        <f t="shared" si="69"/>
        <v>0</v>
      </c>
    </row>
    <row r="111" spans="1:9" s="285" customFormat="1" x14ac:dyDescent="0.25">
      <c r="A111" s="118">
        <v>26</v>
      </c>
      <c r="B111" s="151">
        <v>5710</v>
      </c>
      <c r="C111" s="94" t="s">
        <v>297</v>
      </c>
      <c r="D111" s="85"/>
      <c r="E111" s="85"/>
      <c r="F111" s="85">
        <v>0</v>
      </c>
      <c r="G111" s="85"/>
      <c r="H111" s="435">
        <f t="shared" ref="H111:I111" si="70">+(G111*0.1)+G111</f>
        <v>0</v>
      </c>
      <c r="I111" s="435">
        <f t="shared" si="70"/>
        <v>0</v>
      </c>
    </row>
    <row r="112" spans="1:9" s="285" customFormat="1" x14ac:dyDescent="0.25">
      <c r="A112" s="118">
        <v>26</v>
      </c>
      <c r="B112" s="151">
        <v>5715</v>
      </c>
      <c r="C112" s="94" t="s">
        <v>298</v>
      </c>
      <c r="D112" s="85"/>
      <c r="E112" s="85"/>
      <c r="F112" s="85">
        <v>0</v>
      </c>
      <c r="G112" s="85"/>
      <c r="H112" s="435">
        <f t="shared" ref="H112:I112" si="71">+(G112*0.1)+G112</f>
        <v>0</v>
      </c>
      <c r="I112" s="435">
        <f t="shared" si="71"/>
        <v>0</v>
      </c>
    </row>
    <row r="113" spans="1:9" s="285" customFormat="1" x14ac:dyDescent="0.25">
      <c r="A113" s="118">
        <v>26</v>
      </c>
      <c r="B113" s="151">
        <v>5720</v>
      </c>
      <c r="C113" s="94" t="s">
        <v>299</v>
      </c>
      <c r="D113" s="85"/>
      <c r="E113" s="85"/>
      <c r="F113" s="85">
        <v>0</v>
      </c>
      <c r="G113" s="85"/>
      <c r="H113" s="435">
        <f t="shared" ref="H113:I113" si="72">+(G113*0.1)+G113</f>
        <v>0</v>
      </c>
      <c r="I113" s="435">
        <f t="shared" si="72"/>
        <v>0</v>
      </c>
    </row>
    <row r="114" spans="1:9" s="285" customFormat="1" x14ac:dyDescent="0.25">
      <c r="A114" s="118">
        <v>26</v>
      </c>
      <c r="B114" s="151">
        <v>5730</v>
      </c>
      <c r="C114" s="94" t="s">
        <v>300</v>
      </c>
      <c r="D114" s="85"/>
      <c r="E114" s="85">
        <v>22577</v>
      </c>
      <c r="F114" s="85">
        <v>22577</v>
      </c>
      <c r="G114" s="85">
        <v>25000</v>
      </c>
      <c r="H114" s="435">
        <f t="shared" ref="H114:I114" si="73">+(G114*0.1)+G114</f>
        <v>27500</v>
      </c>
      <c r="I114" s="435">
        <f t="shared" si="73"/>
        <v>30250</v>
      </c>
    </row>
    <row r="115" spans="1:9" s="285" customFormat="1" x14ac:dyDescent="0.25">
      <c r="A115" s="118">
        <v>26</v>
      </c>
      <c r="B115" s="151">
        <v>5735</v>
      </c>
      <c r="C115" s="94" t="s">
        <v>301</v>
      </c>
      <c r="D115" s="85"/>
      <c r="E115" s="85"/>
      <c r="F115" s="85">
        <v>0</v>
      </c>
      <c r="G115" s="85"/>
      <c r="H115" s="435">
        <f t="shared" ref="H115:I115" si="74">+(G115*0.1)+G115</f>
        <v>0</v>
      </c>
      <c r="I115" s="435">
        <f t="shared" si="74"/>
        <v>0</v>
      </c>
    </row>
    <row r="116" spans="1:9" s="285" customFormat="1" x14ac:dyDescent="0.25">
      <c r="A116" s="118">
        <v>26</v>
      </c>
      <c r="B116" s="151">
        <v>5740</v>
      </c>
      <c r="C116" s="94" t="s">
        <v>302</v>
      </c>
      <c r="D116" s="85"/>
      <c r="E116" s="85"/>
      <c r="F116" s="85">
        <v>0</v>
      </c>
      <c r="G116" s="85"/>
      <c r="H116" s="435">
        <f t="shared" ref="H116:I116" si="75">+(G116*0.1)+G116</f>
        <v>0</v>
      </c>
      <c r="I116" s="435">
        <f t="shared" si="75"/>
        <v>0</v>
      </c>
    </row>
    <row r="117" spans="1:9" s="285" customFormat="1" x14ac:dyDescent="0.25">
      <c r="A117" s="118">
        <v>26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435">
        <f t="shared" ref="H117:I117" si="76">+(G117*0.1)+G117</f>
        <v>0</v>
      </c>
      <c r="I117" s="435">
        <f t="shared" si="76"/>
        <v>0</v>
      </c>
    </row>
    <row r="118" spans="1:9" s="285" customFormat="1" x14ac:dyDescent="0.25">
      <c r="A118" s="118">
        <v>26</v>
      </c>
      <c r="B118" s="151">
        <v>5750</v>
      </c>
      <c r="C118" s="94" t="s">
        <v>304</v>
      </c>
      <c r="D118" s="85"/>
      <c r="E118" s="85">
        <v>3500</v>
      </c>
      <c r="F118" s="85">
        <v>3500</v>
      </c>
      <c r="G118" s="85">
        <v>3500</v>
      </c>
      <c r="H118" s="435">
        <f t="shared" ref="H118:I118" si="77">+(G118*0.1)+G118</f>
        <v>3850</v>
      </c>
      <c r="I118" s="435">
        <f t="shared" si="77"/>
        <v>4235</v>
      </c>
    </row>
    <row r="119" spans="1:9" s="285" customFormat="1" x14ac:dyDescent="0.25">
      <c r="A119" s="118">
        <v>26</v>
      </c>
      <c r="B119" s="151">
        <v>5755</v>
      </c>
      <c r="C119" s="94" t="s">
        <v>305</v>
      </c>
      <c r="D119" s="85"/>
      <c r="E119" s="85">
        <v>82000</v>
      </c>
      <c r="F119" s="85">
        <v>82000</v>
      </c>
      <c r="G119" s="85">
        <v>83000</v>
      </c>
      <c r="H119" s="435">
        <f t="shared" ref="H119:I119" si="78">+(G119*0.1)+G119</f>
        <v>91300</v>
      </c>
      <c r="I119" s="435">
        <f t="shared" si="78"/>
        <v>100430</v>
      </c>
    </row>
    <row r="120" spans="1:9" s="285" customFormat="1" ht="12" customHeight="1" x14ac:dyDescent="0.25">
      <c r="A120" s="118">
        <v>26</v>
      </c>
      <c r="B120" s="151">
        <v>5760</v>
      </c>
      <c r="C120" s="94" t="s">
        <v>306</v>
      </c>
      <c r="D120" s="85"/>
      <c r="E120" s="85"/>
      <c r="F120" s="85">
        <v>0</v>
      </c>
      <c r="G120" s="85"/>
      <c r="H120" s="435">
        <f t="shared" ref="H120:I120" si="79">+(G120*0.1)+G120</f>
        <v>0</v>
      </c>
      <c r="I120" s="435">
        <f t="shared" si="79"/>
        <v>0</v>
      </c>
    </row>
    <row r="121" spans="1:9" s="285" customFormat="1" x14ac:dyDescent="0.25">
      <c r="A121" s="118">
        <v>26</v>
      </c>
      <c r="B121" s="151">
        <v>5765</v>
      </c>
      <c r="C121" s="94" t="s">
        <v>307</v>
      </c>
      <c r="D121" s="85">
        <v>182772</v>
      </c>
      <c r="E121" s="85">
        <v>1100000</v>
      </c>
      <c r="F121" s="85">
        <v>600000</v>
      </c>
      <c r="G121" s="85">
        <v>200000</v>
      </c>
      <c r="H121" s="435">
        <f t="shared" ref="H121:I121" si="80">+(G121*0.1)+G121</f>
        <v>220000</v>
      </c>
      <c r="I121" s="435">
        <f t="shared" si="80"/>
        <v>242000</v>
      </c>
    </row>
    <row r="122" spans="1:9" s="285" customFormat="1" x14ac:dyDescent="0.25">
      <c r="A122" s="118">
        <v>26</v>
      </c>
      <c r="B122" s="151">
        <v>5770</v>
      </c>
      <c r="C122" s="94" t="s">
        <v>308</v>
      </c>
      <c r="D122" s="85"/>
      <c r="E122" s="85"/>
      <c r="F122" s="85">
        <v>0</v>
      </c>
      <c r="G122" s="85"/>
      <c r="H122" s="435">
        <f t="shared" ref="H122:I122" si="81">+(G122*0.1)+G122</f>
        <v>0</v>
      </c>
      <c r="I122" s="435">
        <f t="shared" si="81"/>
        <v>0</v>
      </c>
    </row>
    <row r="123" spans="1:9" s="285" customFormat="1" x14ac:dyDescent="0.25">
      <c r="A123" s="118">
        <v>26</v>
      </c>
      <c r="B123" s="151">
        <v>5775</v>
      </c>
      <c r="C123" s="94" t="s">
        <v>309</v>
      </c>
      <c r="D123" s="85"/>
      <c r="E123" s="85"/>
      <c r="F123" s="85">
        <v>0</v>
      </c>
      <c r="G123" s="85"/>
      <c r="H123" s="435">
        <f t="shared" ref="H123:I123" si="82">+(G123*0.1)+G123</f>
        <v>0</v>
      </c>
      <c r="I123" s="435">
        <f t="shared" si="82"/>
        <v>0</v>
      </c>
    </row>
    <row r="124" spans="1:9" s="285" customFormat="1" x14ac:dyDescent="0.25">
      <c r="A124" s="118">
        <v>26</v>
      </c>
      <c r="B124" s="151">
        <v>5780</v>
      </c>
      <c r="C124" s="94" t="s">
        <v>310</v>
      </c>
      <c r="D124" s="85"/>
      <c r="E124" s="85"/>
      <c r="F124" s="85">
        <v>0</v>
      </c>
      <c r="G124" s="85"/>
      <c r="H124" s="435">
        <f t="shared" ref="H124:I124" si="83">+(G124*0.1)+G124</f>
        <v>0</v>
      </c>
      <c r="I124" s="435">
        <f t="shared" si="83"/>
        <v>0</v>
      </c>
    </row>
    <row r="125" spans="1:9" s="285" customFormat="1" x14ac:dyDescent="0.25">
      <c r="A125" s="118">
        <v>26</v>
      </c>
      <c r="B125" s="151">
        <v>5785</v>
      </c>
      <c r="C125" s="94" t="s">
        <v>311</v>
      </c>
      <c r="D125" s="85"/>
      <c r="E125" s="85"/>
      <c r="F125" s="85">
        <v>0</v>
      </c>
      <c r="G125" s="85"/>
      <c r="H125" s="435">
        <f t="shared" ref="H125:I125" si="84">+(G125*0.1)+G125</f>
        <v>0</v>
      </c>
      <c r="I125" s="435">
        <f t="shared" si="84"/>
        <v>0</v>
      </c>
    </row>
    <row r="126" spans="1:9" s="285" customFormat="1" x14ac:dyDescent="0.25">
      <c r="A126" s="118">
        <v>26</v>
      </c>
      <c r="B126" s="151">
        <v>5790</v>
      </c>
      <c r="C126" s="94" t="s">
        <v>312</v>
      </c>
      <c r="D126" s="85"/>
      <c r="E126" s="85"/>
      <c r="F126" s="85">
        <v>0</v>
      </c>
      <c r="G126" s="85"/>
      <c r="H126" s="435">
        <f t="shared" ref="H126:I126" si="85">+(G126*0.1)+G126</f>
        <v>0</v>
      </c>
      <c r="I126" s="435">
        <f t="shared" si="85"/>
        <v>0</v>
      </c>
    </row>
    <row r="127" spans="1:9" s="285" customFormat="1" x14ac:dyDescent="0.25">
      <c r="A127" s="118">
        <v>26</v>
      </c>
      <c r="B127" s="151">
        <v>5795</v>
      </c>
      <c r="C127" s="94" t="s">
        <v>313</v>
      </c>
      <c r="D127" s="85"/>
      <c r="E127" s="85"/>
      <c r="F127" s="85">
        <v>0</v>
      </c>
      <c r="G127" s="85"/>
      <c r="H127" s="435">
        <f t="shared" ref="H127:I127" si="86">+(G127*0.1)+G127</f>
        <v>0</v>
      </c>
      <c r="I127" s="435">
        <f t="shared" si="86"/>
        <v>0</v>
      </c>
    </row>
    <row r="128" spans="1:9" s="285" customFormat="1" x14ac:dyDescent="0.25">
      <c r="A128" s="118">
        <v>26</v>
      </c>
      <c r="B128" s="151">
        <v>5800</v>
      </c>
      <c r="C128" s="94" t="s">
        <v>314</v>
      </c>
      <c r="D128" s="85"/>
      <c r="E128" s="85"/>
      <c r="F128" s="85">
        <v>0</v>
      </c>
      <c r="G128" s="85"/>
      <c r="H128" s="435">
        <f t="shared" ref="H128:I128" si="87">+(G128*0.1)+G128</f>
        <v>0</v>
      </c>
      <c r="I128" s="435">
        <f t="shared" si="87"/>
        <v>0</v>
      </c>
    </row>
    <row r="129" spans="1:9" s="285" customFormat="1" x14ac:dyDescent="0.25">
      <c r="A129" s="118">
        <v>26</v>
      </c>
      <c r="B129" s="151">
        <v>5805</v>
      </c>
      <c r="C129" s="94" t="s">
        <v>315</v>
      </c>
      <c r="D129" s="85"/>
      <c r="E129" s="85"/>
      <c r="F129" s="85">
        <v>0</v>
      </c>
      <c r="G129" s="85"/>
      <c r="H129" s="435">
        <f t="shared" ref="H129:I129" si="88">+(G129*0.1)+G129</f>
        <v>0</v>
      </c>
      <c r="I129" s="435">
        <f t="shared" si="88"/>
        <v>0</v>
      </c>
    </row>
    <row r="130" spans="1:9" s="285" customFormat="1" x14ac:dyDescent="0.25">
      <c r="A130" s="118">
        <v>26</v>
      </c>
      <c r="B130" s="151">
        <v>5810</v>
      </c>
      <c r="C130" s="94" t="s">
        <v>316</v>
      </c>
      <c r="D130" s="85"/>
      <c r="E130" s="85"/>
      <c r="F130" s="85">
        <v>0</v>
      </c>
      <c r="G130" s="85"/>
      <c r="H130" s="435">
        <f t="shared" ref="H130:I130" si="89">+(G130*0.1)+G130</f>
        <v>0</v>
      </c>
      <c r="I130" s="435">
        <f t="shared" si="89"/>
        <v>0</v>
      </c>
    </row>
    <row r="131" spans="1:9" s="285" customFormat="1" x14ac:dyDescent="0.25">
      <c r="A131" s="118">
        <v>26</v>
      </c>
      <c r="B131" s="151">
        <v>5815</v>
      </c>
      <c r="C131" s="94" t="s">
        <v>99</v>
      </c>
      <c r="D131" s="85"/>
      <c r="E131" s="85"/>
      <c r="F131" s="85">
        <v>0</v>
      </c>
      <c r="G131" s="85"/>
      <c r="H131" s="435">
        <f t="shared" ref="H131:I131" si="90">+(G131*0.1)+G131</f>
        <v>0</v>
      </c>
      <c r="I131" s="435">
        <f t="shared" si="90"/>
        <v>0</v>
      </c>
    </row>
    <row r="132" spans="1:9" s="285" customFormat="1" x14ac:dyDescent="0.25">
      <c r="A132" s="118">
        <v>26</v>
      </c>
      <c r="B132" s="151">
        <v>5820</v>
      </c>
      <c r="C132" s="94" t="s">
        <v>114</v>
      </c>
      <c r="D132" s="86"/>
      <c r="E132" s="85"/>
      <c r="F132" s="85">
        <v>0</v>
      </c>
      <c r="G132" s="85"/>
      <c r="H132" s="435">
        <f t="shared" ref="H132:I132" si="91">+(G132*0.1)+G132</f>
        <v>0</v>
      </c>
      <c r="I132" s="435">
        <f t="shared" si="91"/>
        <v>0</v>
      </c>
    </row>
    <row r="133" spans="1:9" s="285" customFormat="1" x14ac:dyDescent="0.25">
      <c r="A133" s="118">
        <v>26</v>
      </c>
      <c r="B133" s="151">
        <v>5825</v>
      </c>
      <c r="C133" s="94" t="s">
        <v>317</v>
      </c>
      <c r="D133" s="86"/>
      <c r="E133" s="85"/>
      <c r="F133" s="85">
        <v>0</v>
      </c>
      <c r="G133" s="85"/>
      <c r="H133" s="435">
        <f t="shared" ref="H133:I133" si="92">+(G133*0.1)+G133</f>
        <v>0</v>
      </c>
      <c r="I133" s="435">
        <f t="shared" si="92"/>
        <v>0</v>
      </c>
    </row>
    <row r="134" spans="1:9" s="285" customFormat="1" x14ac:dyDescent="0.25">
      <c r="A134" s="118">
        <v>26</v>
      </c>
      <c r="B134" s="151">
        <v>5830</v>
      </c>
      <c r="C134" s="94" t="s">
        <v>318</v>
      </c>
      <c r="D134" s="86">
        <v>93671</v>
      </c>
      <c r="E134" s="85">
        <v>11500</v>
      </c>
      <c r="F134" s="85">
        <v>161500</v>
      </c>
      <c r="G134" s="85">
        <v>150000</v>
      </c>
      <c r="H134" s="435">
        <f t="shared" ref="H134:I134" si="93">+(G134*0.1)+G134</f>
        <v>165000</v>
      </c>
      <c r="I134" s="435">
        <f t="shared" si="93"/>
        <v>181500</v>
      </c>
    </row>
    <row r="135" spans="1:9" s="285" customFormat="1" x14ac:dyDescent="0.25">
      <c r="A135" s="118">
        <v>26</v>
      </c>
      <c r="B135" s="151">
        <v>5835</v>
      </c>
      <c r="C135" s="94" t="s">
        <v>319</v>
      </c>
      <c r="D135" s="86">
        <v>67076</v>
      </c>
      <c r="E135" s="85">
        <v>101130</v>
      </c>
      <c r="F135" s="85">
        <v>121130</v>
      </c>
      <c r="G135" s="85">
        <v>150000</v>
      </c>
      <c r="H135" s="435">
        <f t="shared" ref="H135:I135" si="94">+(G135*0.1)+G135</f>
        <v>165000</v>
      </c>
      <c r="I135" s="435">
        <f t="shared" si="94"/>
        <v>181500</v>
      </c>
    </row>
    <row r="136" spans="1:9" s="285" customFormat="1" x14ac:dyDescent="0.25">
      <c r="A136" s="118">
        <v>26</v>
      </c>
      <c r="B136" s="151">
        <v>5840</v>
      </c>
      <c r="C136" s="94" t="s">
        <v>332</v>
      </c>
      <c r="D136" s="115"/>
      <c r="E136" s="85"/>
      <c r="F136" s="85">
        <f t="shared" si="50"/>
        <v>0</v>
      </c>
      <c r="G136" s="85"/>
      <c r="H136" s="435">
        <f t="shared" ref="H136:I136" si="95">+(G136*0.1)+G136</f>
        <v>0</v>
      </c>
      <c r="I136" s="435">
        <f t="shared" si="95"/>
        <v>0</v>
      </c>
    </row>
    <row r="137" spans="1:9" s="285" customFormat="1" x14ac:dyDescent="0.25">
      <c r="A137" s="118">
        <v>26</v>
      </c>
      <c r="B137" s="151">
        <v>5845</v>
      </c>
      <c r="C137" s="94" t="s">
        <v>320</v>
      </c>
      <c r="D137" s="86"/>
      <c r="E137" s="85"/>
      <c r="F137" s="85">
        <f t="shared" ref="F137:F143" si="96">E137-D137</f>
        <v>0</v>
      </c>
      <c r="G137" s="85"/>
      <c r="H137" s="435">
        <f t="shared" ref="H137:I137" si="97">+(G137*0.1)+G137</f>
        <v>0</v>
      </c>
      <c r="I137" s="435">
        <f t="shared" si="97"/>
        <v>0</v>
      </c>
    </row>
    <row r="138" spans="1:9" s="285" customFormat="1" x14ac:dyDescent="0.25">
      <c r="A138" s="118">
        <v>26</v>
      </c>
      <c r="B138" s="151">
        <v>5855</v>
      </c>
      <c r="C138" s="94" t="s">
        <v>321</v>
      </c>
      <c r="D138" s="85"/>
      <c r="E138" s="85"/>
      <c r="F138" s="85">
        <f t="shared" si="96"/>
        <v>0</v>
      </c>
      <c r="G138" s="85"/>
      <c r="H138" s="435">
        <f t="shared" ref="H138:I138" si="98">+(G138*0.1)+G138</f>
        <v>0</v>
      </c>
      <c r="I138" s="435">
        <f t="shared" si="98"/>
        <v>0</v>
      </c>
    </row>
    <row r="139" spans="1:9" s="285" customFormat="1" x14ac:dyDescent="0.25">
      <c r="A139" s="118">
        <v>26</v>
      </c>
      <c r="B139" s="151">
        <v>5860</v>
      </c>
      <c r="C139" s="94" t="s">
        <v>322</v>
      </c>
      <c r="D139" s="85"/>
      <c r="E139" s="85"/>
      <c r="F139" s="85">
        <f t="shared" si="96"/>
        <v>0</v>
      </c>
      <c r="G139" s="85"/>
      <c r="H139" s="435">
        <f t="shared" ref="H139:I139" si="99">+(G139*0.1)+G139</f>
        <v>0</v>
      </c>
      <c r="I139" s="435">
        <f t="shared" si="99"/>
        <v>0</v>
      </c>
    </row>
    <row r="140" spans="1:9" s="285" customFormat="1" x14ac:dyDescent="0.25">
      <c r="A140" s="118">
        <v>26</v>
      </c>
      <c r="B140" s="151">
        <v>5865</v>
      </c>
      <c r="C140" s="94" t="s">
        <v>323</v>
      </c>
      <c r="D140" s="85"/>
      <c r="E140" s="85"/>
      <c r="F140" s="85">
        <f t="shared" si="96"/>
        <v>0</v>
      </c>
      <c r="G140" s="85"/>
      <c r="H140" s="435">
        <f t="shared" ref="H140:I140" si="100">+(G140*0.1)+G140</f>
        <v>0</v>
      </c>
      <c r="I140" s="435">
        <f t="shared" si="100"/>
        <v>0</v>
      </c>
    </row>
    <row r="141" spans="1:9" s="285" customFormat="1" x14ac:dyDescent="0.25">
      <c r="A141" s="118">
        <v>26</v>
      </c>
      <c r="B141" s="151">
        <v>5870</v>
      </c>
      <c r="C141" s="94" t="s">
        <v>324</v>
      </c>
      <c r="D141" s="85"/>
      <c r="E141" s="85"/>
      <c r="F141" s="85">
        <f t="shared" si="96"/>
        <v>0</v>
      </c>
      <c r="G141" s="85"/>
      <c r="H141" s="435">
        <f t="shared" ref="H141:I141" si="101">+(G141*0.1)+G141</f>
        <v>0</v>
      </c>
      <c r="I141" s="435">
        <f t="shared" si="101"/>
        <v>0</v>
      </c>
    </row>
    <row r="142" spans="1:9" s="285" customFormat="1" x14ac:dyDescent="0.25">
      <c r="A142" s="118">
        <v>26</v>
      </c>
      <c r="B142" s="151">
        <v>5875</v>
      </c>
      <c r="C142" s="94" t="s">
        <v>325</v>
      </c>
      <c r="D142" s="85"/>
      <c r="E142" s="85"/>
      <c r="F142" s="85">
        <f t="shared" si="96"/>
        <v>0</v>
      </c>
      <c r="G142" s="85"/>
      <c r="H142" s="435">
        <f t="shared" ref="H142:I142" si="102">+(G142*0.1)+G142</f>
        <v>0</v>
      </c>
      <c r="I142" s="435">
        <f t="shared" si="102"/>
        <v>0</v>
      </c>
    </row>
    <row r="143" spans="1:9" s="285" customFormat="1" x14ac:dyDescent="0.25">
      <c r="A143" s="118">
        <v>26</v>
      </c>
      <c r="B143" s="151">
        <v>5880</v>
      </c>
      <c r="C143" s="94" t="s">
        <v>326</v>
      </c>
      <c r="D143" s="85"/>
      <c r="E143" s="85"/>
      <c r="F143" s="85">
        <f t="shared" si="96"/>
        <v>0</v>
      </c>
      <c r="G143" s="85"/>
      <c r="H143" s="435">
        <f t="shared" ref="H143:I143" si="103">+(G143*0.1)+G143</f>
        <v>0</v>
      </c>
      <c r="I143" s="435">
        <f t="shared" si="103"/>
        <v>0</v>
      </c>
    </row>
    <row r="144" spans="1:9" s="285" customFormat="1" x14ac:dyDescent="0.25">
      <c r="A144" s="118">
        <v>26</v>
      </c>
      <c r="B144" s="151">
        <v>5885</v>
      </c>
      <c r="C144" s="94" t="s">
        <v>331</v>
      </c>
      <c r="D144" s="85">
        <v>36153</v>
      </c>
      <c r="E144" s="85">
        <v>0</v>
      </c>
      <c r="F144" s="85">
        <v>70000</v>
      </c>
      <c r="G144" s="85"/>
      <c r="H144" s="435">
        <f t="shared" ref="H144:I144" si="104">+(G144*0.1)+G144</f>
        <v>0</v>
      </c>
      <c r="I144" s="435">
        <f t="shared" si="104"/>
        <v>0</v>
      </c>
    </row>
    <row r="145" spans="1:9" s="285" customFormat="1" x14ac:dyDescent="0.25">
      <c r="A145" s="118">
        <v>26</v>
      </c>
      <c r="B145" s="151">
        <v>5890</v>
      </c>
      <c r="C145" s="94" t="s">
        <v>327</v>
      </c>
      <c r="D145" s="85"/>
      <c r="E145" s="85"/>
      <c r="F145" s="85">
        <f>0/8*12</f>
        <v>0</v>
      </c>
      <c r="G145" s="85"/>
      <c r="H145" s="435">
        <f t="shared" ref="H145:I145" si="105">+(G145*0.1)+G145</f>
        <v>0</v>
      </c>
      <c r="I145" s="435">
        <f t="shared" si="105"/>
        <v>0</v>
      </c>
    </row>
    <row r="146" spans="1:9" s="285" customFormat="1" x14ac:dyDescent="0.25">
      <c r="A146" s="118">
        <v>26</v>
      </c>
      <c r="B146" s="151">
        <v>5895</v>
      </c>
      <c r="C146" s="94" t="s">
        <v>328</v>
      </c>
      <c r="D146" s="85"/>
      <c r="E146" s="85"/>
      <c r="F146" s="85">
        <f>0/8*12</f>
        <v>0</v>
      </c>
      <c r="G146" s="85"/>
      <c r="H146" s="435">
        <f t="shared" ref="H146:I146" si="106">+(G146*0.1)+G146</f>
        <v>0</v>
      </c>
      <c r="I146" s="435">
        <f t="shared" si="106"/>
        <v>0</v>
      </c>
    </row>
    <row r="147" spans="1:9" s="285" customFormat="1" x14ac:dyDescent="0.25">
      <c r="A147" s="118">
        <v>26</v>
      </c>
      <c r="B147" s="151">
        <v>5910</v>
      </c>
      <c r="C147" s="94" t="s">
        <v>330</v>
      </c>
      <c r="D147" s="85"/>
      <c r="E147" s="85"/>
      <c r="F147" s="85">
        <v>0</v>
      </c>
      <c r="G147" s="85"/>
      <c r="H147" s="435">
        <f t="shared" ref="H147:I147" si="107">+(G147*0.1)+G147</f>
        <v>0</v>
      </c>
      <c r="I147" s="435">
        <f t="shared" si="107"/>
        <v>0</v>
      </c>
    </row>
    <row r="148" spans="1:9" s="285" customFormat="1" x14ac:dyDescent="0.25">
      <c r="A148" s="344"/>
      <c r="B148" s="151"/>
      <c r="C148" s="94"/>
      <c r="D148" s="89">
        <f t="shared" ref="D148:I148" si="108">SUM(D72:D147)</f>
        <v>7399809</v>
      </c>
      <c r="E148" s="89">
        <f t="shared" si="108"/>
        <v>8939191</v>
      </c>
      <c r="F148" s="89">
        <f t="shared" si="108"/>
        <v>10988155</v>
      </c>
      <c r="G148" s="436">
        <f t="shared" si="108"/>
        <v>12176500</v>
      </c>
      <c r="H148" s="436">
        <f t="shared" si="108"/>
        <v>13394150</v>
      </c>
      <c r="I148" s="436">
        <f t="shared" si="108"/>
        <v>14733565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26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85"/>
      <c r="H150" s="85"/>
      <c r="I150" s="108"/>
    </row>
    <row r="151" spans="1:9" s="285" customFormat="1" ht="10.5" customHeight="1" x14ac:dyDescent="0.25">
      <c r="A151" s="344"/>
      <c r="B151" s="151"/>
      <c r="C151" s="94"/>
      <c r="D151" s="89">
        <f t="shared" ref="D151:I151" si="109">SUM(D150)</f>
        <v>0</v>
      </c>
      <c r="E151" s="89">
        <f t="shared" si="109"/>
        <v>0</v>
      </c>
      <c r="F151" s="89">
        <f t="shared" si="109"/>
        <v>0</v>
      </c>
      <c r="G151" s="89"/>
      <c r="H151" s="89"/>
      <c r="I151" s="89">
        <f t="shared" si="109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88"/>
    </row>
    <row r="153" spans="1:9" s="285" customFormat="1" x14ac:dyDescent="0.25">
      <c r="A153" s="118">
        <v>26</v>
      </c>
      <c r="B153" s="151">
        <v>6105</v>
      </c>
      <c r="C153" s="94" t="s">
        <v>336</v>
      </c>
      <c r="D153" s="85"/>
      <c r="E153" s="108">
        <v>100000</v>
      </c>
      <c r="F153" s="85">
        <f t="shared" ref="F153:F155" si="110">0/8*12</f>
        <v>0</v>
      </c>
      <c r="G153" s="85"/>
      <c r="H153" s="85"/>
      <c r="I153" s="85"/>
    </row>
    <row r="154" spans="1:9" s="285" customFormat="1" x14ac:dyDescent="0.25">
      <c r="A154" s="118">
        <v>26</v>
      </c>
      <c r="B154" s="151">
        <v>6110</v>
      </c>
      <c r="C154" s="94" t="s">
        <v>506</v>
      </c>
      <c r="D154" s="85"/>
      <c r="E154" s="108">
        <v>250000</v>
      </c>
      <c r="F154" s="85">
        <f t="shared" si="110"/>
        <v>0</v>
      </c>
      <c r="G154" s="85"/>
      <c r="H154" s="85"/>
      <c r="I154" s="85"/>
    </row>
    <row r="155" spans="1:9" s="285" customFormat="1" x14ac:dyDescent="0.25">
      <c r="A155" s="118">
        <v>26</v>
      </c>
      <c r="B155" s="151">
        <v>6115</v>
      </c>
      <c r="C155" s="94" t="s">
        <v>60</v>
      </c>
      <c r="D155" s="85"/>
      <c r="E155" s="108">
        <v>290000</v>
      </c>
      <c r="F155" s="85">
        <f t="shared" si="110"/>
        <v>0</v>
      </c>
      <c r="G155" s="85"/>
      <c r="H155" s="85"/>
      <c r="I155" s="85"/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:I156" si="111">SUM(E153:E155)</f>
        <v>640000</v>
      </c>
      <c r="F156" s="89">
        <f t="shared" si="111"/>
        <v>0</v>
      </c>
      <c r="G156" s="436">
        <f t="shared" si="111"/>
        <v>0</v>
      </c>
      <c r="H156" s="436">
        <f t="shared" si="111"/>
        <v>0</v>
      </c>
      <c r="I156" s="436">
        <f t="shared" si="111"/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88"/>
    </row>
    <row r="158" spans="1:9" s="285" customFormat="1" x14ac:dyDescent="0.25">
      <c r="A158" s="118">
        <v>26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>
        <f>0/8*12</f>
        <v>0</v>
      </c>
      <c r="I158" s="85">
        <f>F158*(1+INPUT!C$10)</f>
        <v>0</v>
      </c>
    </row>
    <row r="159" spans="1:9" s="285" customFormat="1" x14ac:dyDescent="0.25">
      <c r="A159" s="118">
        <v>26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>
        <f>0/8*12</f>
        <v>0</v>
      </c>
      <c r="I159" s="85">
        <f>F159*(1+INPUT!C$10)</f>
        <v>0</v>
      </c>
    </row>
    <row r="160" spans="1:9" s="285" customFormat="1" ht="10.5" customHeight="1" x14ac:dyDescent="0.25">
      <c r="A160" s="344"/>
      <c r="B160" s="346"/>
      <c r="C160" s="347"/>
      <c r="D160" s="116">
        <f t="shared" ref="D160:I160" si="112">SUM(D158:D159)</f>
        <v>0</v>
      </c>
      <c r="E160" s="116">
        <f t="shared" si="112"/>
        <v>0</v>
      </c>
      <c r="F160" s="116">
        <f t="shared" si="112"/>
        <v>0</v>
      </c>
      <c r="G160" s="116"/>
      <c r="H160" s="116">
        <f t="shared" ref="H160" si="113">SUM(H158:H159)</f>
        <v>0</v>
      </c>
      <c r="I160" s="116">
        <f t="shared" si="112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I161" si="114">D160+D156+D151+D148+D70+D66+D63+D59+D38+D35+D32+D29+D25+D18</f>
        <v>10901927</v>
      </c>
      <c r="E161" s="116">
        <f t="shared" si="114"/>
        <v>19700491</v>
      </c>
      <c r="F161" s="116">
        <f t="shared" si="114"/>
        <v>20177828</v>
      </c>
      <c r="G161" s="448">
        <f t="shared" si="114"/>
        <v>21983590.763999999</v>
      </c>
      <c r="H161" s="448">
        <f t="shared" si="114"/>
        <v>23871642.935952</v>
      </c>
      <c r="I161" s="448">
        <f t="shared" si="114"/>
        <v>25927399.455596738</v>
      </c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x14ac:dyDescent="0.25">
      <c r="A163" s="118">
        <v>26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435">
        <f t="shared" ref="G163:I163" si="115">0/8*12</f>
        <v>0</v>
      </c>
      <c r="H163" s="435">
        <f t="shared" si="115"/>
        <v>0</v>
      </c>
      <c r="I163" s="435">
        <f t="shared" si="115"/>
        <v>0</v>
      </c>
    </row>
    <row r="164" spans="1:9" s="285" customFormat="1" ht="8.25" customHeight="1" x14ac:dyDescent="0.25">
      <c r="A164" s="344"/>
      <c r="B164" s="151"/>
      <c r="C164" s="94"/>
      <c r="D164" s="116">
        <f t="shared" ref="D164:F164" si="116">D163</f>
        <v>0</v>
      </c>
      <c r="E164" s="116">
        <f t="shared" si="116"/>
        <v>0</v>
      </c>
      <c r="F164" s="116">
        <f t="shared" si="116"/>
        <v>0</v>
      </c>
      <c r="G164" s="448">
        <f t="shared" ref="G164:I164" si="117">G163</f>
        <v>0</v>
      </c>
      <c r="H164" s="448">
        <f t="shared" si="117"/>
        <v>0</v>
      </c>
      <c r="I164" s="448">
        <f t="shared" si="117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F165" si="118">SUM(D161+D164)</f>
        <v>10901927</v>
      </c>
      <c r="E165" s="160">
        <f t="shared" si="118"/>
        <v>19700491</v>
      </c>
      <c r="F165" s="160">
        <f t="shared" si="118"/>
        <v>20177828</v>
      </c>
      <c r="G165" s="463">
        <f t="shared" ref="G165:I165" si="119">SUM(G161+G164)</f>
        <v>21983590.763999999</v>
      </c>
      <c r="H165" s="463">
        <f t="shared" si="119"/>
        <v>23871642.935952</v>
      </c>
      <c r="I165" s="463">
        <f t="shared" si="119"/>
        <v>25927399.455596738</v>
      </c>
    </row>
    <row r="166" spans="1:9" s="285" customFormat="1" x14ac:dyDescent="0.25">
      <c r="A166" s="350"/>
      <c r="B166" s="389"/>
      <c r="C166" s="390"/>
      <c r="D166" s="120"/>
      <c r="E166" s="120"/>
      <c r="F166" s="271"/>
      <c r="G166" s="271"/>
      <c r="H166" s="271"/>
      <c r="I166" s="384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385"/>
    </row>
    <row r="168" spans="1:9" s="285" customFormat="1" x14ac:dyDescent="0.25">
      <c r="A168" s="349"/>
      <c r="B168" s="710" t="s">
        <v>418</v>
      </c>
      <c r="C168" s="710"/>
      <c r="D168" s="711"/>
      <c r="E168" s="363"/>
      <c r="F168" s="363"/>
      <c r="G168" s="425"/>
      <c r="H168" s="363"/>
      <c r="I168" s="364"/>
    </row>
    <row r="169" spans="1:9" s="285" customFormat="1" ht="21" customHeigh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122"/>
    </row>
    <row r="172" spans="1:9" s="285" customFormat="1" hidden="1" x14ac:dyDescent="0.25">
      <c r="A172" s="118">
        <v>26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08">
        <f>F172*(1+INPUT!C15)</f>
        <v>0</v>
      </c>
    </row>
    <row r="173" spans="1:9" s="285" customFormat="1" hidden="1" x14ac:dyDescent="0.25">
      <c r="A173" s="118">
        <v>26</v>
      </c>
      <c r="B173" s="151">
        <v>5725</v>
      </c>
      <c r="C173" s="94" t="s">
        <v>402</v>
      </c>
      <c r="D173" s="85">
        <v>0</v>
      </c>
      <c r="E173" s="85">
        <v>0</v>
      </c>
      <c r="F173" s="85">
        <f>(0/8*12)*-1</f>
        <v>0</v>
      </c>
      <c r="G173" s="85"/>
      <c r="H173" s="85"/>
      <c r="I173" s="85">
        <f>F173*(1+INPUT!C$10)</f>
        <v>0</v>
      </c>
    </row>
    <row r="174" spans="1:9" s="285" customFormat="1" ht="0.75" customHeight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122"/>
    </row>
    <row r="176" spans="1:9" s="285" customFormat="1" x14ac:dyDescent="0.25">
      <c r="A176" s="118">
        <v>26</v>
      </c>
      <c r="B176" s="151">
        <v>1147</v>
      </c>
      <c r="C176" s="94" t="s">
        <v>102</v>
      </c>
      <c r="D176" s="122"/>
      <c r="E176" s="98"/>
      <c r="F176" s="85">
        <f t="shared" ref="F176:F177" si="120">E176-D176</f>
        <v>0</v>
      </c>
      <c r="G176" s="435">
        <f t="shared" ref="G176:I176" si="121">+(F176*0.1)+F176</f>
        <v>0</v>
      </c>
      <c r="H176" s="435">
        <f t="shared" si="121"/>
        <v>0</v>
      </c>
      <c r="I176" s="435">
        <f t="shared" si="121"/>
        <v>0</v>
      </c>
    </row>
    <row r="177" spans="1:9" s="285" customFormat="1" x14ac:dyDescent="0.25">
      <c r="A177" s="118">
        <v>26</v>
      </c>
      <c r="B177" s="151">
        <v>1202</v>
      </c>
      <c r="C177" s="94" t="s">
        <v>343</v>
      </c>
      <c r="D177" s="122"/>
      <c r="E177" s="98"/>
      <c r="F177" s="85">
        <f t="shared" si="120"/>
        <v>0</v>
      </c>
      <c r="G177" s="435">
        <f t="shared" ref="G177:I177" si="122">+(F177*0.1)+F177</f>
        <v>0</v>
      </c>
      <c r="H177" s="435">
        <f t="shared" si="122"/>
        <v>0</v>
      </c>
      <c r="I177" s="435">
        <f t="shared" si="122"/>
        <v>0</v>
      </c>
    </row>
    <row r="178" spans="1:9" s="285" customFormat="1" x14ac:dyDescent="0.25">
      <c r="A178" s="118">
        <v>26</v>
      </c>
      <c r="B178" s="151">
        <v>1207</v>
      </c>
      <c r="C178" s="94" t="s">
        <v>104</v>
      </c>
      <c r="D178" s="122">
        <v>791</v>
      </c>
      <c r="E178" s="98">
        <v>6285.3119999999999</v>
      </c>
      <c r="F178" s="85">
        <v>6285.3119999999999</v>
      </c>
      <c r="G178" s="435">
        <f t="shared" ref="G178:I178" si="123">+(F178*0.1)+F178</f>
        <v>6913.8432000000003</v>
      </c>
      <c r="H178" s="435">
        <f t="shared" si="123"/>
        <v>7605.2275200000004</v>
      </c>
      <c r="I178" s="435">
        <f t="shared" si="123"/>
        <v>8365.7502720000011</v>
      </c>
    </row>
    <row r="179" spans="1:9" s="285" customFormat="1" hidden="1" x14ac:dyDescent="0.25">
      <c r="A179" s="118">
        <v>26</v>
      </c>
      <c r="B179" s="151">
        <v>1153</v>
      </c>
      <c r="C179" s="94" t="s">
        <v>115</v>
      </c>
      <c r="D179" s="122"/>
      <c r="E179" s="98"/>
      <c r="F179" s="85">
        <v>0</v>
      </c>
      <c r="G179" s="435">
        <f t="shared" ref="G179:I179" si="124">+(F179*0.1)+F179</f>
        <v>0</v>
      </c>
      <c r="H179" s="435">
        <f t="shared" si="124"/>
        <v>0</v>
      </c>
      <c r="I179" s="435">
        <f t="shared" si="124"/>
        <v>0</v>
      </c>
    </row>
    <row r="180" spans="1:9" s="285" customFormat="1" hidden="1" x14ac:dyDescent="0.25">
      <c r="A180" s="118">
        <v>26</v>
      </c>
      <c r="B180" s="151">
        <v>1143</v>
      </c>
      <c r="C180" s="94" t="s">
        <v>109</v>
      </c>
      <c r="D180" s="122"/>
      <c r="E180" s="98"/>
      <c r="F180" s="85">
        <v>0</v>
      </c>
      <c r="G180" s="435">
        <f t="shared" ref="G180:I180" si="125">+(F180*0.1)+F180</f>
        <v>0</v>
      </c>
      <c r="H180" s="435">
        <f t="shared" si="125"/>
        <v>0</v>
      </c>
      <c r="I180" s="435">
        <f t="shared" si="125"/>
        <v>0</v>
      </c>
    </row>
    <row r="181" spans="1:9" s="285" customFormat="1" x14ac:dyDescent="0.25">
      <c r="A181" s="118">
        <v>26</v>
      </c>
      <c r="B181" s="151">
        <v>5500</v>
      </c>
      <c r="C181" s="94" t="s">
        <v>266</v>
      </c>
      <c r="D181" s="85"/>
      <c r="E181" s="85">
        <v>-67362.240000000005</v>
      </c>
      <c r="F181" s="85">
        <v>-67362.240000000005</v>
      </c>
      <c r="G181" s="435">
        <f t="shared" ref="G181:I181" si="126">+(F181*0.1)+F181</f>
        <v>-74098.464000000007</v>
      </c>
      <c r="H181" s="435">
        <f t="shared" si="126"/>
        <v>-81508.310400000002</v>
      </c>
      <c r="I181" s="435">
        <f t="shared" si="126"/>
        <v>-89659.141440000007</v>
      </c>
    </row>
    <row r="182" spans="1:9" s="285" customFormat="1" hidden="1" x14ac:dyDescent="0.25">
      <c r="A182" s="118">
        <v>26</v>
      </c>
      <c r="B182" s="151">
        <v>5705</v>
      </c>
      <c r="C182" s="94" t="s">
        <v>296</v>
      </c>
      <c r="D182" s="85"/>
      <c r="E182" s="85">
        <v>0</v>
      </c>
      <c r="F182" s="85">
        <v>0</v>
      </c>
      <c r="G182" s="435">
        <f t="shared" ref="G182:I182" si="127">+(F182*0.1)+F182</f>
        <v>0</v>
      </c>
      <c r="H182" s="435">
        <f t="shared" si="127"/>
        <v>0</v>
      </c>
      <c r="I182" s="435">
        <f t="shared" si="127"/>
        <v>0</v>
      </c>
    </row>
    <row r="183" spans="1:9" s="285" customFormat="1" hidden="1" x14ac:dyDescent="0.25">
      <c r="A183" s="118">
        <v>26</v>
      </c>
      <c r="B183" s="151">
        <v>1140</v>
      </c>
      <c r="C183" s="94" t="s">
        <v>113</v>
      </c>
      <c r="D183" s="122"/>
      <c r="E183" s="98">
        <v>0</v>
      </c>
      <c r="F183" s="85">
        <v>0</v>
      </c>
      <c r="G183" s="435">
        <f t="shared" ref="G183:I183" si="128">+(F183*0.1)+F183</f>
        <v>0</v>
      </c>
      <c r="H183" s="435">
        <f t="shared" si="128"/>
        <v>0</v>
      </c>
      <c r="I183" s="435">
        <f t="shared" si="128"/>
        <v>0</v>
      </c>
    </row>
    <row r="184" spans="1:9" s="285" customFormat="1" hidden="1" x14ac:dyDescent="0.25">
      <c r="A184" s="118">
        <v>26</v>
      </c>
      <c r="B184" s="151">
        <v>1145</v>
      </c>
      <c r="C184" s="94" t="s">
        <v>132</v>
      </c>
      <c r="D184" s="122"/>
      <c r="E184" s="98">
        <v>0</v>
      </c>
      <c r="F184" s="85">
        <v>0</v>
      </c>
      <c r="G184" s="435">
        <f t="shared" ref="G184:I184" si="129">+(F184*0.1)+F184</f>
        <v>0</v>
      </c>
      <c r="H184" s="435">
        <f t="shared" si="129"/>
        <v>0</v>
      </c>
      <c r="I184" s="435">
        <f t="shared" si="129"/>
        <v>0</v>
      </c>
    </row>
    <row r="185" spans="1:9" s="285" customFormat="1" hidden="1" x14ac:dyDescent="0.25">
      <c r="A185" s="118">
        <v>26</v>
      </c>
      <c r="B185" s="151">
        <v>1150</v>
      </c>
      <c r="C185" s="94" t="s">
        <v>120</v>
      </c>
      <c r="D185" s="122"/>
      <c r="E185" s="98">
        <v>0</v>
      </c>
      <c r="F185" s="85">
        <v>0</v>
      </c>
      <c r="G185" s="435">
        <f t="shared" ref="G185:I185" si="130">+(F185*0.1)+F185</f>
        <v>0</v>
      </c>
      <c r="H185" s="435">
        <f t="shared" si="130"/>
        <v>0</v>
      </c>
      <c r="I185" s="435">
        <f t="shared" si="130"/>
        <v>0</v>
      </c>
    </row>
    <row r="186" spans="1:9" s="285" customFormat="1" hidden="1" x14ac:dyDescent="0.25">
      <c r="A186" s="118">
        <v>26</v>
      </c>
      <c r="B186" s="151">
        <v>1155</v>
      </c>
      <c r="C186" s="94" t="s">
        <v>116</v>
      </c>
      <c r="D186" s="122"/>
      <c r="E186" s="98">
        <v>0</v>
      </c>
      <c r="F186" s="85">
        <v>0</v>
      </c>
      <c r="G186" s="435">
        <f t="shared" ref="G186:I186" si="131">+(F186*0.1)+F186</f>
        <v>0</v>
      </c>
      <c r="H186" s="435">
        <f t="shared" si="131"/>
        <v>0</v>
      </c>
      <c r="I186" s="435">
        <f t="shared" si="131"/>
        <v>0</v>
      </c>
    </row>
    <row r="187" spans="1:9" s="285" customFormat="1" hidden="1" x14ac:dyDescent="0.25">
      <c r="A187" s="118">
        <v>26</v>
      </c>
      <c r="B187" s="151">
        <v>1160</v>
      </c>
      <c r="C187" s="94" t="s">
        <v>101</v>
      </c>
      <c r="D187" s="122"/>
      <c r="E187" s="98">
        <v>0</v>
      </c>
      <c r="F187" s="85">
        <v>0</v>
      </c>
      <c r="G187" s="435">
        <f t="shared" ref="G187:I187" si="132">+(F187*0.1)+F187</f>
        <v>0</v>
      </c>
      <c r="H187" s="435">
        <f t="shared" si="132"/>
        <v>0</v>
      </c>
      <c r="I187" s="435">
        <f t="shared" si="132"/>
        <v>0</v>
      </c>
    </row>
    <row r="188" spans="1:9" s="285" customFormat="1" hidden="1" x14ac:dyDescent="0.25">
      <c r="A188" s="118">
        <v>26</v>
      </c>
      <c r="B188" s="151">
        <v>1165</v>
      </c>
      <c r="C188" s="94" t="s">
        <v>114</v>
      </c>
      <c r="D188" s="122"/>
      <c r="E188" s="98">
        <v>0</v>
      </c>
      <c r="F188" s="85">
        <v>0</v>
      </c>
      <c r="G188" s="435">
        <f t="shared" ref="G188:I188" si="133">+(F188*0.1)+F188</f>
        <v>0</v>
      </c>
      <c r="H188" s="435">
        <f t="shared" si="133"/>
        <v>0</v>
      </c>
      <c r="I188" s="435">
        <f t="shared" si="133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>
        <v>0</v>
      </c>
      <c r="F189" s="85">
        <v>0</v>
      </c>
      <c r="G189" s="435">
        <f t="shared" ref="G189:I189" si="134">+(F189*0.1)+F189</f>
        <v>0</v>
      </c>
      <c r="H189" s="435">
        <f t="shared" si="134"/>
        <v>0</v>
      </c>
      <c r="I189" s="435">
        <f t="shared" si="134"/>
        <v>0</v>
      </c>
    </row>
    <row r="190" spans="1:9" s="285" customFormat="1" hidden="1" x14ac:dyDescent="0.25">
      <c r="A190" s="118">
        <v>26</v>
      </c>
      <c r="B190" s="151">
        <v>1180</v>
      </c>
      <c r="C190" s="94" t="s">
        <v>404</v>
      </c>
      <c r="D190" s="122"/>
      <c r="E190" s="98">
        <v>0</v>
      </c>
      <c r="F190" s="85">
        <v>0</v>
      </c>
      <c r="G190" s="435">
        <f t="shared" ref="G190:I190" si="135">+(F190*0.1)+F190</f>
        <v>0</v>
      </c>
      <c r="H190" s="435">
        <f t="shared" si="135"/>
        <v>0</v>
      </c>
      <c r="I190" s="435">
        <f t="shared" si="135"/>
        <v>0</v>
      </c>
    </row>
    <row r="191" spans="1:9" s="285" customFormat="1" hidden="1" x14ac:dyDescent="0.25">
      <c r="A191" s="118">
        <v>26</v>
      </c>
      <c r="B191" s="151">
        <v>1185</v>
      </c>
      <c r="C191" s="94" t="s">
        <v>405</v>
      </c>
      <c r="D191" s="122"/>
      <c r="E191" s="98">
        <v>0</v>
      </c>
      <c r="F191" s="85">
        <v>0</v>
      </c>
      <c r="G191" s="435">
        <f t="shared" ref="G191:I191" si="136">+(F191*0.1)+F191</f>
        <v>0</v>
      </c>
      <c r="H191" s="435">
        <f t="shared" si="136"/>
        <v>0</v>
      </c>
      <c r="I191" s="435">
        <f t="shared" si="136"/>
        <v>0</v>
      </c>
    </row>
    <row r="192" spans="1:9" s="285" customFormat="1" hidden="1" x14ac:dyDescent="0.25">
      <c r="A192" s="118">
        <v>26</v>
      </c>
      <c r="B192" s="151">
        <v>1190</v>
      </c>
      <c r="C192" s="94" t="s">
        <v>406</v>
      </c>
      <c r="D192" s="122"/>
      <c r="E192" s="98">
        <v>0</v>
      </c>
      <c r="F192" s="85">
        <v>0</v>
      </c>
      <c r="G192" s="435">
        <f t="shared" ref="G192:I192" si="137">+(F192*0.1)+F192</f>
        <v>0</v>
      </c>
      <c r="H192" s="435">
        <f t="shared" si="137"/>
        <v>0</v>
      </c>
      <c r="I192" s="435">
        <f t="shared" si="137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>
        <v>0</v>
      </c>
      <c r="F193" s="85">
        <v>0</v>
      </c>
      <c r="G193" s="435">
        <f t="shared" ref="G193:I193" si="138">+(F193*0.1)+F193</f>
        <v>0</v>
      </c>
      <c r="H193" s="435">
        <f t="shared" si="138"/>
        <v>0</v>
      </c>
      <c r="I193" s="435">
        <f t="shared" si="138"/>
        <v>0</v>
      </c>
    </row>
    <row r="194" spans="1:9" s="285" customFormat="1" hidden="1" x14ac:dyDescent="0.25">
      <c r="A194" s="118">
        <v>26</v>
      </c>
      <c r="B194" s="151">
        <v>1195</v>
      </c>
      <c r="C194" s="94" t="s">
        <v>199</v>
      </c>
      <c r="D194" s="122"/>
      <c r="E194" s="98">
        <v>0</v>
      </c>
      <c r="F194" s="85">
        <v>0</v>
      </c>
      <c r="G194" s="435">
        <f t="shared" ref="G194:I194" si="139">+(F194*0.1)+F194</f>
        <v>0</v>
      </c>
      <c r="H194" s="435">
        <f t="shared" si="139"/>
        <v>0</v>
      </c>
      <c r="I194" s="435">
        <f t="shared" si="139"/>
        <v>0</v>
      </c>
    </row>
    <row r="195" spans="1:9" s="285" customFormat="1" hidden="1" x14ac:dyDescent="0.25">
      <c r="A195" s="118">
        <v>26</v>
      </c>
      <c r="B195" s="151">
        <v>1200</v>
      </c>
      <c r="C195" s="94" t="s">
        <v>117</v>
      </c>
      <c r="D195" s="122"/>
      <c r="E195" s="98">
        <v>0</v>
      </c>
      <c r="F195" s="85">
        <v>0</v>
      </c>
      <c r="G195" s="435">
        <f t="shared" ref="G195:I195" si="140">+(F195*0.1)+F195</f>
        <v>0</v>
      </c>
      <c r="H195" s="435">
        <f t="shared" si="140"/>
        <v>0</v>
      </c>
      <c r="I195" s="435">
        <f t="shared" si="140"/>
        <v>0</v>
      </c>
    </row>
    <row r="196" spans="1:9" s="285" customFormat="1" x14ac:dyDescent="0.25">
      <c r="A196" s="118">
        <v>26</v>
      </c>
      <c r="B196" s="151">
        <v>1205</v>
      </c>
      <c r="C196" s="115" t="s">
        <v>105</v>
      </c>
      <c r="D196" s="122">
        <v>4408</v>
      </c>
      <c r="E196" s="98">
        <v>4131.0720000000001</v>
      </c>
      <c r="F196" s="85">
        <v>4131.0720000000001</v>
      </c>
      <c r="G196" s="435">
        <f t="shared" ref="G196:I196" si="141">+(F196*0.1)+F196</f>
        <v>4544.1792000000005</v>
      </c>
      <c r="H196" s="435">
        <f t="shared" si="141"/>
        <v>4998.5971200000004</v>
      </c>
      <c r="I196" s="435">
        <f t="shared" si="141"/>
        <v>5498.4568320000008</v>
      </c>
    </row>
    <row r="197" spans="1:9" s="285" customFormat="1" hidden="1" x14ac:dyDescent="0.25">
      <c r="A197" s="118">
        <v>26</v>
      </c>
      <c r="B197" s="151">
        <v>1210</v>
      </c>
      <c r="C197" s="94" t="s">
        <v>118</v>
      </c>
      <c r="D197" s="122"/>
      <c r="E197" s="98">
        <v>0</v>
      </c>
      <c r="F197" s="85">
        <v>0</v>
      </c>
      <c r="G197" s="435">
        <f t="shared" ref="G197:I197" si="142">+(F197*0.1)+F197</f>
        <v>0</v>
      </c>
      <c r="H197" s="435">
        <f t="shared" si="142"/>
        <v>0</v>
      </c>
      <c r="I197" s="435">
        <f t="shared" si="142"/>
        <v>0</v>
      </c>
    </row>
    <row r="198" spans="1:9" s="285" customFormat="1" hidden="1" x14ac:dyDescent="0.25">
      <c r="A198" s="118">
        <v>26</v>
      </c>
      <c r="B198" s="151">
        <v>1215</v>
      </c>
      <c r="C198" s="94" t="s">
        <v>133</v>
      </c>
      <c r="D198" s="122"/>
      <c r="E198" s="98">
        <v>0</v>
      </c>
      <c r="F198" s="85">
        <v>0</v>
      </c>
      <c r="G198" s="435">
        <f t="shared" ref="G198:I198" si="143">+(F198*0.1)+F198</f>
        <v>0</v>
      </c>
      <c r="H198" s="435">
        <f t="shared" si="143"/>
        <v>0</v>
      </c>
      <c r="I198" s="435">
        <f t="shared" si="143"/>
        <v>0</v>
      </c>
    </row>
    <row r="199" spans="1:9" s="285" customFormat="1" hidden="1" x14ac:dyDescent="0.25">
      <c r="A199" s="118">
        <v>26</v>
      </c>
      <c r="B199" s="151">
        <v>5905</v>
      </c>
      <c r="C199" s="94" t="s">
        <v>329</v>
      </c>
      <c r="D199" s="85"/>
      <c r="E199" s="85">
        <v>0</v>
      </c>
      <c r="F199" s="85">
        <v>0</v>
      </c>
      <c r="G199" s="435">
        <f t="shared" ref="G199:I199" si="144">+(F199*0.1)+F199</f>
        <v>0</v>
      </c>
      <c r="H199" s="435">
        <f t="shared" si="144"/>
        <v>0</v>
      </c>
      <c r="I199" s="435">
        <f t="shared" si="144"/>
        <v>0</v>
      </c>
    </row>
    <row r="200" spans="1:9" s="285" customFormat="1" x14ac:dyDescent="0.25">
      <c r="A200" s="118">
        <v>26</v>
      </c>
      <c r="B200" s="151">
        <v>5900</v>
      </c>
      <c r="C200" s="94" t="s">
        <v>333</v>
      </c>
      <c r="D200" s="85">
        <v>0</v>
      </c>
      <c r="E200" s="85">
        <v>-45408</v>
      </c>
      <c r="F200" s="85">
        <v>-45408</v>
      </c>
      <c r="G200" s="435">
        <f t="shared" ref="G200:I200" si="145">+(F200*0.1)+F200</f>
        <v>-49948.800000000003</v>
      </c>
      <c r="H200" s="435">
        <f t="shared" si="145"/>
        <v>-54943.680000000008</v>
      </c>
      <c r="I200" s="435">
        <f t="shared" si="145"/>
        <v>-60438.04800000001</v>
      </c>
    </row>
    <row r="201" spans="1:9" s="285" customFormat="1" hidden="1" x14ac:dyDescent="0.25">
      <c r="A201" s="118">
        <v>26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98"/>
      <c r="H201" s="98"/>
      <c r="I201" s="122">
        <f>F201*(1+INPUT!C37)</f>
        <v>0</v>
      </c>
    </row>
    <row r="202" spans="1:9" s="285" customFormat="1" hidden="1" x14ac:dyDescent="0.25">
      <c r="A202" s="118">
        <v>26</v>
      </c>
      <c r="B202" s="151">
        <v>1225</v>
      </c>
      <c r="C202" s="94" t="s">
        <v>372</v>
      </c>
      <c r="D202" s="122"/>
      <c r="E202" s="98"/>
      <c r="F202" s="98">
        <f>E202/8*12</f>
        <v>0</v>
      </c>
      <c r="G202" s="98"/>
      <c r="H202" s="98"/>
      <c r="I202" s="122">
        <f>F202*(1+INPUT!C38)</f>
        <v>0</v>
      </c>
    </row>
    <row r="203" spans="1:9" s="285" customFormat="1" hidden="1" x14ac:dyDescent="0.25">
      <c r="A203" s="118">
        <v>26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98"/>
      <c r="H203" s="98"/>
      <c r="I203" s="122">
        <f>F203*(1+INPUT!C39)</f>
        <v>0</v>
      </c>
    </row>
    <row r="204" spans="1:9" s="285" customFormat="1" hidden="1" x14ac:dyDescent="0.25">
      <c r="A204" s="118">
        <v>26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98"/>
      <c r="H204" s="98"/>
      <c r="I204" s="122">
        <f>F204*(1+INPUT!C40)</f>
        <v>0</v>
      </c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x14ac:dyDescent="0.25">
      <c r="A206" s="344"/>
      <c r="B206" s="151"/>
      <c r="C206" s="94"/>
      <c r="D206" s="100">
        <f t="shared" ref="D206:I206" si="146">SUM(D176:D204)</f>
        <v>5199</v>
      </c>
      <c r="E206" s="100">
        <f t="shared" si="146"/>
        <v>-102353.856</v>
      </c>
      <c r="F206" s="100">
        <f t="shared" si="146"/>
        <v>-102353.856</v>
      </c>
      <c r="G206" s="444">
        <f t="shared" si="146"/>
        <v>-112589.24160000001</v>
      </c>
      <c r="H206" s="444">
        <f t="shared" si="146"/>
        <v>-123848.16576</v>
      </c>
      <c r="I206" s="99">
        <f t="shared" si="146"/>
        <v>-136232.98233600002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122"/>
    </row>
    <row r="208" spans="1:9" s="285" customFormat="1" hidden="1" x14ac:dyDescent="0.25">
      <c r="A208" s="118">
        <v>26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98"/>
      <c r="H208" s="98"/>
      <c r="I208" s="122">
        <f>F208*(1+INPUT!C43)</f>
        <v>0</v>
      </c>
    </row>
    <row r="209" spans="1:9" s="285" customFormat="1" hidden="1" x14ac:dyDescent="0.25">
      <c r="A209" s="118">
        <v>26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98"/>
      <c r="H209" s="98"/>
      <c r="I209" s="122">
        <f>F209*(1+INPUT!C44)</f>
        <v>0</v>
      </c>
    </row>
    <row r="210" spans="1:9" s="285" customFormat="1" hidden="1" x14ac:dyDescent="0.25">
      <c r="A210" s="118">
        <v>26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98"/>
      <c r="H210" s="98"/>
      <c r="I210" s="122">
        <f>F210*(1+INPUT!C45)</f>
        <v>0</v>
      </c>
    </row>
    <row r="211" spans="1:9" s="285" customFormat="1" hidden="1" x14ac:dyDescent="0.25">
      <c r="A211" s="118">
        <v>26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98"/>
      <c r="H211" s="98"/>
      <c r="I211" s="108">
        <f>F211*(1+INPUT!C46)</f>
        <v>0</v>
      </c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>SUM(E208:E211)</f>
        <v>0</v>
      </c>
      <c r="F212" s="99">
        <f>SUM(F208:F211)</f>
        <v>0</v>
      </c>
      <c r="G212" s="99"/>
      <c r="H212" s="99"/>
      <c r="I212" s="99">
        <f>SUM(I208:I211)</f>
        <v>0</v>
      </c>
    </row>
    <row r="213" spans="1:9" s="285" customFormat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122"/>
    </row>
    <row r="214" spans="1:9" s="285" customFormat="1" x14ac:dyDescent="0.25">
      <c r="A214" s="118">
        <v>26</v>
      </c>
      <c r="B214" s="151">
        <v>1400</v>
      </c>
      <c r="C214" s="94" t="s">
        <v>68</v>
      </c>
      <c r="D214" s="122"/>
      <c r="E214" s="108">
        <v>1197.5040000000001</v>
      </c>
      <c r="F214" s="85">
        <f>E214-D214</f>
        <v>1197.5040000000001</v>
      </c>
      <c r="G214" s="435">
        <f t="shared" ref="G214:I214" si="147">+(F214*0.1)+F214</f>
        <v>1317.2544000000003</v>
      </c>
      <c r="H214" s="435">
        <f t="shared" si="147"/>
        <v>1448.9798400000002</v>
      </c>
      <c r="I214" s="435">
        <f t="shared" si="147"/>
        <v>1593.8778240000001</v>
      </c>
    </row>
    <row r="215" spans="1:9" s="285" customFormat="1" x14ac:dyDescent="0.25">
      <c r="A215" s="118">
        <v>26</v>
      </c>
      <c r="B215" s="151">
        <v>1405</v>
      </c>
      <c r="C215" s="94" t="s">
        <v>69</v>
      </c>
      <c r="D215" s="122">
        <v>819</v>
      </c>
      <c r="E215" s="108">
        <v>338260.03200000001</v>
      </c>
      <c r="F215" s="85">
        <f>E215-D215</f>
        <v>337441.03200000001</v>
      </c>
      <c r="G215" s="435">
        <f t="shared" ref="G215:I215" si="148">+(F215*0.1)+F215</f>
        <v>371185.13520000002</v>
      </c>
      <c r="H215" s="435">
        <f t="shared" si="148"/>
        <v>408303.64872</v>
      </c>
      <c r="I215" s="435">
        <f t="shared" si="148"/>
        <v>449134.013592</v>
      </c>
    </row>
    <row r="216" spans="1:9" s="285" customFormat="1" x14ac:dyDescent="0.25">
      <c r="A216" s="344"/>
      <c r="B216" s="151"/>
      <c r="C216" s="94"/>
      <c r="D216" s="99">
        <f t="shared" ref="D216:I216" si="149">SUM(D214:D215)</f>
        <v>819</v>
      </c>
      <c r="E216" s="99">
        <f t="shared" si="149"/>
        <v>339457.53600000002</v>
      </c>
      <c r="F216" s="99">
        <f t="shared" si="149"/>
        <v>338638.53600000002</v>
      </c>
      <c r="G216" s="443">
        <f t="shared" si="149"/>
        <v>372502.38959999999</v>
      </c>
      <c r="H216" s="443">
        <f t="shared" si="149"/>
        <v>409752.62855999998</v>
      </c>
      <c r="I216" s="443">
        <f t="shared" si="149"/>
        <v>450727.89141600003</v>
      </c>
    </row>
    <row r="217" spans="1:9" s="285" customFormat="1" ht="12" customHeight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122"/>
    </row>
    <row r="218" spans="1:9" s="285" customFormat="1" x14ac:dyDescent="0.25">
      <c r="A218" s="118">
        <v>26</v>
      </c>
      <c r="B218" s="151">
        <v>1500</v>
      </c>
      <c r="C218" s="94" t="s">
        <v>106</v>
      </c>
      <c r="D218" s="122">
        <v>3015235</v>
      </c>
      <c r="E218" s="108">
        <v>13200000</v>
      </c>
      <c r="F218" s="85">
        <v>6000000</v>
      </c>
      <c r="G218" s="85">
        <f>+(F218*0.1)+F218</f>
        <v>6600000</v>
      </c>
      <c r="H218" s="435">
        <f t="shared" ref="H218:I218" si="150">+(G218*0.1)+G218</f>
        <v>7260000</v>
      </c>
      <c r="I218" s="435">
        <f t="shared" si="150"/>
        <v>7986000</v>
      </c>
    </row>
    <row r="219" spans="1:9" s="285" customFormat="1" hidden="1" x14ac:dyDescent="0.25">
      <c r="A219" s="118">
        <v>26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98"/>
      <c r="H219" s="98"/>
      <c r="I219" s="108"/>
    </row>
    <row r="220" spans="1:9" s="285" customFormat="1" hidden="1" x14ac:dyDescent="0.25">
      <c r="A220" s="118">
        <v>26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98"/>
      <c r="H220" s="98"/>
      <c r="I220" s="108"/>
    </row>
    <row r="221" spans="1:9" s="285" customFormat="1" x14ac:dyDescent="0.25">
      <c r="A221" s="344"/>
      <c r="B221" s="151"/>
      <c r="C221" s="94"/>
      <c r="D221" s="99">
        <f t="shared" ref="D221:I221" si="151">SUM(D218:D220)</f>
        <v>3015235</v>
      </c>
      <c r="E221" s="99">
        <f t="shared" si="151"/>
        <v>13200000</v>
      </c>
      <c r="F221" s="99">
        <f t="shared" si="151"/>
        <v>6000000</v>
      </c>
      <c r="G221" s="443">
        <f t="shared" si="151"/>
        <v>6600000</v>
      </c>
      <c r="H221" s="443">
        <f t="shared" si="151"/>
        <v>7260000</v>
      </c>
      <c r="I221" s="443">
        <f t="shared" si="151"/>
        <v>7986000</v>
      </c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122"/>
    </row>
    <row r="223" spans="1:9" s="285" customFormat="1" hidden="1" x14ac:dyDescent="0.25">
      <c r="A223" s="118">
        <v>26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98"/>
      <c r="H223" s="98"/>
      <c r="I223" s="122"/>
    </row>
    <row r="224" spans="1:9" s="285" customFormat="1" hidden="1" x14ac:dyDescent="0.25">
      <c r="A224" s="118">
        <v>26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98"/>
      <c r="H224" s="98"/>
      <c r="I224" s="108"/>
    </row>
    <row r="225" spans="1:9" s="285" customFormat="1" hidden="1" x14ac:dyDescent="0.25">
      <c r="A225" s="344"/>
      <c r="B225" s="151"/>
      <c r="C225" s="94"/>
      <c r="D225" s="100">
        <f t="shared" ref="D225:I225" si="152">SUM(D223:D224)</f>
        <v>0</v>
      </c>
      <c r="E225" s="100">
        <f t="shared" si="152"/>
        <v>0</v>
      </c>
      <c r="F225" s="100">
        <f t="shared" si="152"/>
        <v>0</v>
      </c>
      <c r="G225" s="100"/>
      <c r="H225" s="100"/>
      <c r="I225" s="99">
        <f t="shared" si="152"/>
        <v>0</v>
      </c>
    </row>
    <row r="226" spans="1:9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122"/>
    </row>
    <row r="227" spans="1:9" s="285" customFormat="1" hidden="1" x14ac:dyDescent="0.25">
      <c r="A227" s="118">
        <v>26</v>
      </c>
      <c r="B227" s="151">
        <v>1605</v>
      </c>
      <c r="C227" s="94" t="s">
        <v>75</v>
      </c>
      <c r="D227" s="122"/>
      <c r="E227" s="98"/>
      <c r="F227" s="98"/>
      <c r="G227" s="98"/>
      <c r="H227" s="98"/>
      <c r="I227" s="122"/>
    </row>
    <row r="228" spans="1:9" s="285" customFormat="1" hidden="1" x14ac:dyDescent="0.25">
      <c r="A228" s="118">
        <v>26</v>
      </c>
      <c r="B228" s="151">
        <v>1610</v>
      </c>
      <c r="C228" s="94" t="s">
        <v>131</v>
      </c>
      <c r="D228" s="122"/>
      <c r="E228" s="108"/>
      <c r="F228" s="98"/>
      <c r="G228" s="98"/>
      <c r="H228" s="98"/>
      <c r="I228" s="122"/>
    </row>
    <row r="229" spans="1:9" s="285" customFormat="1" hidden="1" x14ac:dyDescent="0.25">
      <c r="A229" s="118">
        <v>26</v>
      </c>
      <c r="B229" s="151">
        <v>1615</v>
      </c>
      <c r="C229" s="94" t="s">
        <v>182</v>
      </c>
      <c r="D229" s="122"/>
      <c r="E229" s="108"/>
      <c r="F229" s="98"/>
      <c r="G229" s="98"/>
      <c r="H229" s="98"/>
      <c r="I229" s="122"/>
    </row>
    <row r="230" spans="1:9" s="285" customFormat="1" hidden="1" x14ac:dyDescent="0.25">
      <c r="A230" s="118">
        <v>26</v>
      </c>
      <c r="B230" s="151">
        <v>1620</v>
      </c>
      <c r="C230" s="94" t="s">
        <v>255</v>
      </c>
      <c r="D230" s="122"/>
      <c r="E230" s="108"/>
      <c r="F230" s="98"/>
      <c r="G230" s="98"/>
      <c r="H230" s="98"/>
      <c r="I230" s="122"/>
    </row>
    <row r="231" spans="1:9" s="285" customFormat="1" hidden="1" x14ac:dyDescent="0.25">
      <c r="A231" s="118">
        <v>26</v>
      </c>
      <c r="B231" s="151">
        <v>1625</v>
      </c>
      <c r="C231" s="94" t="s">
        <v>108</v>
      </c>
      <c r="D231" s="122"/>
      <c r="E231" s="108"/>
      <c r="F231" s="98"/>
      <c r="G231" s="98"/>
      <c r="H231" s="98"/>
      <c r="I231" s="122"/>
    </row>
    <row r="232" spans="1:9" s="285" customFormat="1" x14ac:dyDescent="0.25">
      <c r="A232" s="118">
        <v>26</v>
      </c>
      <c r="B232" s="151">
        <v>1630</v>
      </c>
      <c r="C232" s="94" t="s">
        <v>76</v>
      </c>
      <c r="D232" s="122">
        <v>1650000</v>
      </c>
      <c r="E232" s="98">
        <v>1650000</v>
      </c>
      <c r="F232" s="98">
        <v>1650000</v>
      </c>
      <c r="G232" s="98">
        <v>1800000</v>
      </c>
      <c r="H232" s="85">
        <v>1950000</v>
      </c>
      <c r="I232" s="85">
        <v>2100000</v>
      </c>
    </row>
    <row r="233" spans="1:9" s="285" customFormat="1" hidden="1" x14ac:dyDescent="0.25">
      <c r="A233" s="118">
        <v>26</v>
      </c>
      <c r="B233" s="151">
        <v>1635</v>
      </c>
      <c r="C233" s="94" t="s">
        <v>180</v>
      </c>
      <c r="D233" s="122"/>
      <c r="E233" s="98"/>
      <c r="F233" s="98"/>
      <c r="G233" s="98"/>
      <c r="H233" s="85"/>
      <c r="I233" s="85"/>
    </row>
    <row r="234" spans="1:9" s="285" customFormat="1" hidden="1" x14ac:dyDescent="0.25">
      <c r="A234" s="118">
        <v>26</v>
      </c>
      <c r="B234" s="151">
        <v>1640</v>
      </c>
      <c r="C234" s="94" t="s">
        <v>184</v>
      </c>
      <c r="D234" s="122"/>
      <c r="E234" s="98"/>
      <c r="F234" s="98"/>
      <c r="G234" s="98"/>
      <c r="H234" s="85"/>
      <c r="I234" s="85"/>
    </row>
    <row r="235" spans="1:9" s="285" customFormat="1" hidden="1" x14ac:dyDescent="0.25">
      <c r="A235" s="118">
        <v>26</v>
      </c>
      <c r="B235" s="151">
        <v>1645</v>
      </c>
      <c r="C235" s="94" t="s">
        <v>77</v>
      </c>
      <c r="D235" s="122"/>
      <c r="E235" s="98"/>
      <c r="F235" s="98"/>
      <c r="G235" s="98"/>
      <c r="H235" s="85"/>
      <c r="I235" s="85"/>
    </row>
    <row r="236" spans="1:9" s="285" customFormat="1" hidden="1" x14ac:dyDescent="0.25">
      <c r="A236" s="118">
        <v>26</v>
      </c>
      <c r="B236" s="151">
        <v>1650</v>
      </c>
      <c r="C236" s="94" t="s">
        <v>78</v>
      </c>
      <c r="D236" s="122"/>
      <c r="E236" s="98"/>
      <c r="F236" s="98"/>
      <c r="G236" s="98"/>
      <c r="H236" s="85"/>
      <c r="I236" s="85"/>
    </row>
    <row r="237" spans="1:9" s="285" customFormat="1" x14ac:dyDescent="0.25">
      <c r="A237" s="118">
        <v>26</v>
      </c>
      <c r="B237" s="151"/>
      <c r="C237" s="94" t="s">
        <v>383</v>
      </c>
      <c r="D237" s="122">
        <v>890000</v>
      </c>
      <c r="E237" s="98">
        <v>890000</v>
      </c>
      <c r="F237" s="98">
        <v>890000</v>
      </c>
      <c r="G237" s="98">
        <v>934000</v>
      </c>
      <c r="H237" s="85">
        <v>967000</v>
      </c>
      <c r="I237" s="85">
        <v>1018000</v>
      </c>
    </row>
    <row r="238" spans="1:9" s="285" customFormat="1" hidden="1" x14ac:dyDescent="0.25">
      <c r="A238" s="118">
        <v>26</v>
      </c>
      <c r="B238" s="151">
        <v>1660</v>
      </c>
      <c r="C238" s="94" t="s">
        <v>505</v>
      </c>
      <c r="D238" s="122"/>
      <c r="E238" s="108"/>
      <c r="F238" s="98">
        <f t="shared" ref="F238:F239" si="153">E238/8*12</f>
        <v>0</v>
      </c>
      <c r="G238" s="98"/>
      <c r="H238" s="98"/>
      <c r="I238" s="122"/>
    </row>
    <row r="239" spans="1:9" s="285" customFormat="1" hidden="1" x14ac:dyDescent="0.25">
      <c r="A239" s="118">
        <v>26</v>
      </c>
      <c r="B239" s="151">
        <v>1665</v>
      </c>
      <c r="C239" s="94" t="s">
        <v>181</v>
      </c>
      <c r="D239" s="122"/>
      <c r="E239" s="108"/>
      <c r="F239" s="98">
        <f t="shared" si="153"/>
        <v>0</v>
      </c>
      <c r="G239" s="98"/>
      <c r="H239" s="98"/>
      <c r="I239" s="122"/>
    </row>
    <row r="240" spans="1:9" s="285" customFormat="1" x14ac:dyDescent="0.25">
      <c r="A240" s="344"/>
      <c r="B240" s="151"/>
      <c r="C240" s="94"/>
      <c r="D240" s="99">
        <f t="shared" ref="D240:I240" si="154">SUM(D227:D239)</f>
        <v>2540000</v>
      </c>
      <c r="E240" s="99">
        <f t="shared" si="154"/>
        <v>2540000</v>
      </c>
      <c r="F240" s="99">
        <f t="shared" si="154"/>
        <v>2540000</v>
      </c>
      <c r="G240" s="443">
        <f t="shared" si="154"/>
        <v>2734000</v>
      </c>
      <c r="H240" s="443">
        <f t="shared" si="154"/>
        <v>2917000</v>
      </c>
      <c r="I240" s="443">
        <f t="shared" si="154"/>
        <v>3118000</v>
      </c>
    </row>
    <row r="241" spans="1:9" s="285" customFormat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122"/>
    </row>
    <row r="242" spans="1:9" s="285" customFormat="1" x14ac:dyDescent="0.25">
      <c r="A242" s="118">
        <v>26</v>
      </c>
      <c r="B242" s="151">
        <v>1705</v>
      </c>
      <c r="C242" s="94" t="s">
        <v>123</v>
      </c>
      <c r="D242" s="122">
        <v>39662</v>
      </c>
      <c r="E242" s="98">
        <v>21040.905600000002</v>
      </c>
      <c r="F242" s="85">
        <v>81040.905599999998</v>
      </c>
      <c r="G242" s="435">
        <f t="shared" ref="G242:I242" si="155">+(F242*0.1)+F242</f>
        <v>89144.996159999995</v>
      </c>
      <c r="H242" s="435">
        <f t="shared" si="155"/>
        <v>98059.495775999996</v>
      </c>
      <c r="I242" s="435">
        <f t="shared" si="155"/>
        <v>107865.44535359999</v>
      </c>
    </row>
    <row r="243" spans="1:9" s="285" customFormat="1" x14ac:dyDescent="0.25">
      <c r="A243" s="118">
        <v>26</v>
      </c>
      <c r="B243" s="151">
        <v>1710</v>
      </c>
      <c r="C243" s="94" t="s">
        <v>242</v>
      </c>
      <c r="D243" s="122">
        <v>2433</v>
      </c>
      <c r="E243" s="98">
        <v>10803.936</v>
      </c>
      <c r="F243" s="85">
        <v>10803.936</v>
      </c>
      <c r="G243" s="435">
        <f t="shared" ref="G243:I243" si="156">+(F243*0.1)+F243</f>
        <v>11884.329599999999</v>
      </c>
      <c r="H243" s="435">
        <f t="shared" si="156"/>
        <v>13072.762559999999</v>
      </c>
      <c r="I243" s="435">
        <f t="shared" si="156"/>
        <v>14380.038816</v>
      </c>
    </row>
    <row r="244" spans="1:9" s="285" customFormat="1" x14ac:dyDescent="0.25">
      <c r="A244" s="118">
        <v>26</v>
      </c>
      <c r="B244" s="151">
        <v>1715</v>
      </c>
      <c r="C244" s="94" t="s">
        <v>183</v>
      </c>
      <c r="D244" s="122">
        <v>1029</v>
      </c>
      <c r="E244" s="98">
        <v>1182.72</v>
      </c>
      <c r="F244" s="85">
        <v>1182.72</v>
      </c>
      <c r="G244" s="435">
        <f t="shared" ref="G244:I244" si="157">+(F244*0.1)+F244</f>
        <v>1300.992</v>
      </c>
      <c r="H244" s="435">
        <f t="shared" si="157"/>
        <v>1431.0911999999998</v>
      </c>
      <c r="I244" s="435">
        <f t="shared" si="157"/>
        <v>1574.2003199999999</v>
      </c>
    </row>
    <row r="245" spans="1:9" s="285" customFormat="1" hidden="1" x14ac:dyDescent="0.25">
      <c r="A245" s="118">
        <v>26</v>
      </c>
      <c r="B245" s="151">
        <v>1720</v>
      </c>
      <c r="C245" s="94" t="s">
        <v>103</v>
      </c>
      <c r="D245" s="122"/>
      <c r="E245" s="98">
        <v>0</v>
      </c>
      <c r="F245" s="85">
        <v>0</v>
      </c>
      <c r="G245" s="435">
        <f t="shared" ref="G245:I245" si="158">+(F245*0.1)+F245</f>
        <v>0</v>
      </c>
      <c r="H245" s="435">
        <f t="shared" si="158"/>
        <v>0</v>
      </c>
      <c r="I245" s="435">
        <f t="shared" si="158"/>
        <v>0</v>
      </c>
    </row>
    <row r="246" spans="1:9" s="285" customFormat="1" x14ac:dyDescent="0.25">
      <c r="A246" s="118">
        <v>26</v>
      </c>
      <c r="B246" s="151">
        <v>1725</v>
      </c>
      <c r="C246" s="94" t="s">
        <v>107</v>
      </c>
      <c r="D246" s="122"/>
      <c r="E246" s="98">
        <v>190.08</v>
      </c>
      <c r="F246" s="85">
        <v>190.08</v>
      </c>
      <c r="G246" s="435">
        <f t="shared" ref="G246:I246" si="159">+(F246*0.1)+F246</f>
        <v>209.08800000000002</v>
      </c>
      <c r="H246" s="435">
        <f t="shared" si="159"/>
        <v>229.99680000000004</v>
      </c>
      <c r="I246" s="435">
        <f t="shared" si="159"/>
        <v>252.99648000000005</v>
      </c>
    </row>
    <row r="247" spans="1:9" s="285" customFormat="1" x14ac:dyDescent="0.25">
      <c r="A247" s="118">
        <v>26</v>
      </c>
      <c r="B247" s="151">
        <v>1730</v>
      </c>
      <c r="C247" s="94" t="s">
        <v>256</v>
      </c>
      <c r="D247" s="122">
        <v>976</v>
      </c>
      <c r="E247" s="451"/>
      <c r="F247" s="85">
        <v>0</v>
      </c>
      <c r="G247" s="435">
        <f t="shared" ref="G247:I247" si="160">+(F247*0.1)+F247</f>
        <v>0</v>
      </c>
      <c r="H247" s="435">
        <f t="shared" si="160"/>
        <v>0</v>
      </c>
      <c r="I247" s="435">
        <f t="shared" si="160"/>
        <v>0</v>
      </c>
    </row>
    <row r="248" spans="1:9" s="285" customFormat="1" x14ac:dyDescent="0.25">
      <c r="A248" s="344"/>
      <c r="B248" s="151"/>
      <c r="C248" s="94"/>
      <c r="D248" s="99">
        <f t="shared" ref="D248:I248" si="161">SUM(D242:D247)</f>
        <v>44100</v>
      </c>
      <c r="E248" s="99">
        <f t="shared" si="161"/>
        <v>33217.641600000003</v>
      </c>
      <c r="F248" s="99">
        <f t="shared" si="161"/>
        <v>93217.641600000003</v>
      </c>
      <c r="G248" s="443">
        <f t="shared" ref="G248" si="162">SUM(G242:G247)</f>
        <v>102539.40575999999</v>
      </c>
      <c r="H248" s="99">
        <f t="shared" ref="H248" si="163">SUM(H242:H247)</f>
        <v>112793.34633599999</v>
      </c>
      <c r="I248" s="99">
        <f t="shared" si="161"/>
        <v>124072.6809696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42"/>
      <c r="H249" s="98"/>
      <c r="I249" s="122"/>
    </row>
    <row r="250" spans="1:9" s="285" customFormat="1" hidden="1" x14ac:dyDescent="0.25">
      <c r="A250" s="118">
        <v>26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442">
        <f>F250/8*12</f>
        <v>0</v>
      </c>
      <c r="H250" s="98">
        <f>F250/8*12</f>
        <v>0</v>
      </c>
      <c r="I250" s="108"/>
    </row>
    <row r="251" spans="1:9" s="285" customFormat="1" hidden="1" x14ac:dyDescent="0.25">
      <c r="A251" s="344"/>
      <c r="B251" s="151"/>
      <c r="C251" s="94"/>
      <c r="D251" s="99">
        <f t="shared" ref="D251:I251" si="164">D250</f>
        <v>0</v>
      </c>
      <c r="E251" s="99">
        <f t="shared" si="164"/>
        <v>0</v>
      </c>
      <c r="F251" s="99">
        <f t="shared" si="164"/>
        <v>0</v>
      </c>
      <c r="G251" s="443">
        <f t="shared" ref="G251" si="165">G250</f>
        <v>0</v>
      </c>
      <c r="H251" s="99">
        <f t="shared" ref="H251" si="166">H250</f>
        <v>0</v>
      </c>
      <c r="I251" s="99">
        <f t="shared" si="164"/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I252" si="167">SUM(D171:D251)/2</f>
        <v>5605353</v>
      </c>
      <c r="E252" s="117">
        <f t="shared" si="167"/>
        <v>16010321.321599999</v>
      </c>
      <c r="F252" s="117">
        <f t="shared" si="167"/>
        <v>8869502.3215999994</v>
      </c>
      <c r="G252" s="449">
        <f t="shared" ref="G252" si="168">SUM(G171:G251)/2</f>
        <v>9696452.5537599996</v>
      </c>
      <c r="H252" s="117">
        <f t="shared" ref="H252" si="169">SUM(H171:H251)/2</f>
        <v>10575697.809136001</v>
      </c>
      <c r="I252" s="117">
        <f t="shared" si="167"/>
        <v>11542567.5900496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449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52"/>
      <c r="H254" s="124"/>
      <c r="I254" s="124"/>
    </row>
    <row r="255" spans="1:9" s="285" customFormat="1" hidden="1" x14ac:dyDescent="0.25">
      <c r="A255" s="118">
        <v>26</v>
      </c>
      <c r="B255" s="151">
        <v>1905</v>
      </c>
      <c r="C255" s="118" t="s">
        <v>194</v>
      </c>
      <c r="D255" s="127"/>
      <c r="E255" s="147"/>
      <c r="F255" s="98">
        <f>E255/8*12</f>
        <v>0</v>
      </c>
      <c r="G255" s="442">
        <f>F255/8*12</f>
        <v>0</v>
      </c>
      <c r="H255" s="98">
        <f>F255/8*12</f>
        <v>0</v>
      </c>
      <c r="I255" s="123"/>
    </row>
    <row r="256" spans="1:9" s="285" customFormat="1" hidden="1" x14ac:dyDescent="0.25">
      <c r="A256" s="344"/>
      <c r="B256" s="151"/>
      <c r="C256" s="94"/>
      <c r="D256" s="117">
        <f t="shared" ref="D256:I256" si="170">SUM(D255)</f>
        <v>0</v>
      </c>
      <c r="E256" s="117">
        <f t="shared" si="170"/>
        <v>0</v>
      </c>
      <c r="F256" s="117">
        <f t="shared" si="170"/>
        <v>0</v>
      </c>
      <c r="G256" s="449">
        <f t="shared" ref="G256" si="171">SUM(G255)</f>
        <v>0</v>
      </c>
      <c r="H256" s="117">
        <f t="shared" ref="H256" si="172">SUM(H255)</f>
        <v>0</v>
      </c>
      <c r="I256" s="117">
        <f t="shared" si="170"/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I257" si="173">D252+D256</f>
        <v>5605353</v>
      </c>
      <c r="E257" s="117">
        <f t="shared" si="173"/>
        <v>16010321.321599999</v>
      </c>
      <c r="F257" s="117">
        <f t="shared" si="173"/>
        <v>8869502.3215999994</v>
      </c>
      <c r="G257" s="449">
        <f t="shared" ref="G257" si="174">G252+G256</f>
        <v>9696452.5537599996</v>
      </c>
      <c r="H257" s="117">
        <f t="shared" ref="H257" si="175">H252+H256</f>
        <v>10575697.809136001</v>
      </c>
      <c r="I257" s="117">
        <f t="shared" si="173"/>
        <v>11542567.5900496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53"/>
      <c r="H258" s="125"/>
      <c r="I258" s="125"/>
    </row>
    <row r="259" spans="1:9" s="285" customFormat="1" hidden="1" x14ac:dyDescent="0.25">
      <c r="A259" s="118">
        <v>26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442">
        <f>F259/8*12</f>
        <v>0</v>
      </c>
      <c r="H259" s="98">
        <f>F259/8*12</f>
        <v>0</v>
      </c>
      <c r="I259" s="123"/>
    </row>
    <row r="260" spans="1:9" s="285" customFormat="1" hidden="1" x14ac:dyDescent="0.25">
      <c r="A260" s="344"/>
      <c r="B260" s="346"/>
      <c r="C260" s="94"/>
      <c r="D260" s="124">
        <f t="shared" ref="D260:I260" si="176">D259</f>
        <v>0</v>
      </c>
      <c r="E260" s="124">
        <f t="shared" si="176"/>
        <v>0</v>
      </c>
      <c r="F260" s="124">
        <f t="shared" si="176"/>
        <v>0</v>
      </c>
      <c r="G260" s="452">
        <f t="shared" ref="G260" si="177">G259</f>
        <v>0</v>
      </c>
      <c r="H260" s="124">
        <f t="shared" ref="H260" si="178">H259</f>
        <v>0</v>
      </c>
      <c r="I260" s="124">
        <f t="shared" si="176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I261" si="179">D257+D260</f>
        <v>5605353</v>
      </c>
      <c r="E261" s="160">
        <f t="shared" si="179"/>
        <v>16010321.321599999</v>
      </c>
      <c r="F261" s="160">
        <f t="shared" si="179"/>
        <v>8869502.3215999994</v>
      </c>
      <c r="G261" s="463">
        <f t="shared" ref="G261" si="180">G257+G260</f>
        <v>9696452.5537599996</v>
      </c>
      <c r="H261" s="160">
        <f t="shared" ref="H261" si="181">H257+H260</f>
        <v>10575697.809136001</v>
      </c>
      <c r="I261" s="160">
        <f t="shared" si="179"/>
        <v>11542567.5900496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I262" si="182">D261-D165</f>
        <v>-5296574</v>
      </c>
      <c r="E262" s="161">
        <f t="shared" si="182"/>
        <v>-3690169.6784000006</v>
      </c>
      <c r="F262" s="161">
        <f t="shared" si="182"/>
        <v>-11308325.678400001</v>
      </c>
      <c r="G262" s="464">
        <f t="shared" ref="G262" si="183">G261-G165</f>
        <v>-12287138.210239999</v>
      </c>
      <c r="H262" s="161">
        <f t="shared" ref="H262" si="184">H261-H165</f>
        <v>-13295945.126815999</v>
      </c>
      <c r="I262" s="161">
        <f t="shared" si="182"/>
        <v>-14384831.865547137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5" spans="1:9" s="285" customFormat="1" x14ac:dyDescent="0.25">
      <c r="B265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1"/>
    <mergeCell ref="A3:B4"/>
    <mergeCell ref="B168:D168"/>
    <mergeCell ref="A169:B170"/>
    <mergeCell ref="A2:I2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7"/>
  <sheetViews>
    <sheetView view="pageBreakPreview" zoomScaleSheetLayoutView="100" workbookViewId="0">
      <selection activeCell="G20" sqref="G20:I24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.6640625" style="96" customWidth="1"/>
    <col min="5" max="5" width="13.33203125" style="96" customWidth="1"/>
    <col min="6" max="7" width="12" style="96" customWidth="1"/>
    <col min="8" max="8" width="9.6640625" style="96" customWidth="1"/>
    <col min="9" max="9" width="10.5546875" style="96" customWidth="1"/>
    <col min="10" max="10" width="10.33203125" style="96" hidden="1" customWidth="1"/>
    <col min="11" max="16384" width="9.109375" style="96"/>
  </cols>
  <sheetData>
    <row r="1" spans="1:9" s="441" customFormat="1" x14ac:dyDescent="0.25">
      <c r="B1" s="131"/>
    </row>
    <row r="2" spans="1:9" ht="12.75" customHeight="1" x14ac:dyDescent="0.25">
      <c r="A2" s="724" t="s">
        <v>357</v>
      </c>
      <c r="B2" s="725"/>
      <c r="C2" s="725"/>
      <c r="D2" s="725"/>
      <c r="E2" s="725"/>
      <c r="F2" s="725"/>
      <c r="G2" s="725"/>
      <c r="H2" s="725"/>
      <c r="I2" s="726"/>
    </row>
    <row r="3" spans="1:9" s="285" customFormat="1" x14ac:dyDescent="0.25">
      <c r="A3" s="423" t="s">
        <v>417</v>
      </c>
      <c r="B3" s="418"/>
      <c r="C3" s="419"/>
      <c r="D3" s="149"/>
      <c r="E3" s="338"/>
      <c r="F3" s="338"/>
      <c r="G3" s="425"/>
      <c r="H3" s="338"/>
      <c r="I3" s="364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>
        <f t="shared" ref="I6" si="0">E6+H6</f>
        <v>0</v>
      </c>
    </row>
    <row r="7" spans="1:9" s="285" customFormat="1" x14ac:dyDescent="0.25">
      <c r="A7" s="118">
        <v>28</v>
      </c>
      <c r="B7" s="155">
        <v>5005</v>
      </c>
      <c r="C7" s="94" t="s">
        <v>241</v>
      </c>
      <c r="D7" s="85">
        <v>1800</v>
      </c>
      <c r="E7" s="85">
        <v>7700</v>
      </c>
      <c r="F7" s="85">
        <v>7700</v>
      </c>
      <c r="G7" s="435">
        <f t="shared" ref="G7:I17" si="1">(F7*0.068)+F7</f>
        <v>8223.6</v>
      </c>
      <c r="H7" s="435">
        <f t="shared" si="1"/>
        <v>8782.8047999999999</v>
      </c>
      <c r="I7" s="435">
        <f t="shared" si="1"/>
        <v>9380.0355263999991</v>
      </c>
    </row>
    <row r="8" spans="1:9" s="285" customFormat="1" hidden="1" x14ac:dyDescent="0.25">
      <c r="A8" s="118">
        <v>28</v>
      </c>
      <c r="B8" s="151">
        <v>5010</v>
      </c>
      <c r="C8" s="94" t="s">
        <v>34</v>
      </c>
      <c r="D8" s="85"/>
      <c r="E8" s="85"/>
      <c r="F8" s="85">
        <v>0</v>
      </c>
      <c r="G8" s="435">
        <f t="shared" si="1"/>
        <v>0</v>
      </c>
      <c r="H8" s="435">
        <f t="shared" si="1"/>
        <v>0</v>
      </c>
      <c r="I8" s="435">
        <f t="shared" si="1"/>
        <v>0</v>
      </c>
    </row>
    <row r="9" spans="1:9" s="285" customFormat="1" x14ac:dyDescent="0.25">
      <c r="A9" s="118">
        <v>28</v>
      </c>
      <c r="B9" s="151">
        <v>5015</v>
      </c>
      <c r="C9" s="94" t="s">
        <v>35</v>
      </c>
      <c r="D9" s="85">
        <v>1566</v>
      </c>
      <c r="E9" s="85">
        <v>7000</v>
      </c>
      <c r="F9" s="85">
        <v>7000</v>
      </c>
      <c r="G9" s="435">
        <f t="shared" si="1"/>
        <v>7476</v>
      </c>
      <c r="H9" s="435">
        <f t="shared" si="1"/>
        <v>7984.3680000000004</v>
      </c>
      <c r="I9" s="435">
        <f t="shared" si="1"/>
        <v>8527.3050240000011</v>
      </c>
    </row>
    <row r="10" spans="1:9" s="285" customFormat="1" x14ac:dyDescent="0.25">
      <c r="A10" s="118">
        <v>28</v>
      </c>
      <c r="B10" s="151">
        <v>5020</v>
      </c>
      <c r="C10" s="94" t="s">
        <v>350</v>
      </c>
      <c r="D10" s="85">
        <v>10000</v>
      </c>
      <c r="E10" s="85">
        <v>129000</v>
      </c>
      <c r="F10" s="85">
        <v>129000</v>
      </c>
      <c r="G10" s="435">
        <f t="shared" si="1"/>
        <v>137772</v>
      </c>
      <c r="H10" s="435">
        <f t="shared" si="1"/>
        <v>147140.49600000001</v>
      </c>
      <c r="I10" s="435">
        <f t="shared" si="1"/>
        <v>157146.04972800001</v>
      </c>
    </row>
    <row r="11" spans="1:9" s="285" customFormat="1" hidden="1" x14ac:dyDescent="0.25">
      <c r="A11" s="118">
        <v>28</v>
      </c>
      <c r="B11" s="151">
        <v>5025</v>
      </c>
      <c r="C11" s="94" t="s">
        <v>36</v>
      </c>
      <c r="D11" s="85"/>
      <c r="E11" s="85"/>
      <c r="F11" s="85">
        <v>0</v>
      </c>
      <c r="G11" s="435">
        <f t="shared" si="1"/>
        <v>0</v>
      </c>
      <c r="H11" s="435">
        <f t="shared" si="1"/>
        <v>0</v>
      </c>
      <c r="I11" s="435">
        <f t="shared" si="1"/>
        <v>0</v>
      </c>
    </row>
    <row r="12" spans="1:9" s="285" customFormat="1" hidden="1" x14ac:dyDescent="0.25">
      <c r="A12" s="118">
        <v>28</v>
      </c>
      <c r="B12" s="151">
        <v>5030</v>
      </c>
      <c r="C12" s="94" t="s">
        <v>85</v>
      </c>
      <c r="D12" s="85"/>
      <c r="E12" s="85"/>
      <c r="F12" s="85">
        <v>0</v>
      </c>
      <c r="G12" s="435">
        <f t="shared" si="1"/>
        <v>0</v>
      </c>
      <c r="H12" s="435">
        <f t="shared" si="1"/>
        <v>0</v>
      </c>
      <c r="I12" s="435">
        <f t="shared" si="1"/>
        <v>0</v>
      </c>
    </row>
    <row r="13" spans="1:9" s="285" customFormat="1" hidden="1" x14ac:dyDescent="0.25">
      <c r="A13" s="118">
        <v>28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1"/>
        <v>0</v>
      </c>
      <c r="H13" s="435">
        <f t="shared" si="1"/>
        <v>0</v>
      </c>
      <c r="I13" s="435">
        <f t="shared" si="1"/>
        <v>0</v>
      </c>
    </row>
    <row r="14" spans="1:9" s="285" customFormat="1" x14ac:dyDescent="0.25">
      <c r="A14" s="118">
        <v>28</v>
      </c>
      <c r="B14" s="151">
        <v>5040</v>
      </c>
      <c r="C14" s="94" t="s">
        <v>37</v>
      </c>
      <c r="D14" s="85">
        <v>14011</v>
      </c>
      <c r="E14" s="85">
        <v>208000</v>
      </c>
      <c r="F14" s="85">
        <v>208000</v>
      </c>
      <c r="G14" s="435">
        <f t="shared" si="1"/>
        <v>222144</v>
      </c>
      <c r="H14" s="435">
        <f t="shared" si="1"/>
        <v>237249.79200000002</v>
      </c>
      <c r="I14" s="435">
        <f t="shared" si="1"/>
        <v>253382.77785600003</v>
      </c>
    </row>
    <row r="15" spans="1:9" s="285" customFormat="1" hidden="1" x14ac:dyDescent="0.25">
      <c r="A15" s="118">
        <v>28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1"/>
        <v>0</v>
      </c>
      <c r="H15" s="435">
        <f t="shared" si="1"/>
        <v>0</v>
      </c>
      <c r="I15" s="435">
        <f t="shared" si="1"/>
        <v>0</v>
      </c>
    </row>
    <row r="16" spans="1:9" s="285" customFormat="1" x14ac:dyDescent="0.25">
      <c r="A16" s="118">
        <v>28</v>
      </c>
      <c r="B16" s="151">
        <v>5050</v>
      </c>
      <c r="C16" s="94" t="s">
        <v>83</v>
      </c>
      <c r="D16" s="85">
        <v>13888</v>
      </c>
      <c r="E16" s="85">
        <v>39000</v>
      </c>
      <c r="F16" s="85">
        <v>39000</v>
      </c>
      <c r="G16" s="435">
        <f t="shared" si="1"/>
        <v>41652</v>
      </c>
      <c r="H16" s="435">
        <f t="shared" si="1"/>
        <v>44484.336000000003</v>
      </c>
      <c r="I16" s="435">
        <f t="shared" si="1"/>
        <v>47509.270848</v>
      </c>
    </row>
    <row r="17" spans="1:9" s="285" customFormat="1" x14ac:dyDescent="0.25">
      <c r="A17" s="118">
        <v>28</v>
      </c>
      <c r="B17" s="151">
        <v>5055</v>
      </c>
      <c r="C17" s="94" t="s">
        <v>39</v>
      </c>
      <c r="D17" s="85">
        <f>159378*6</f>
        <v>956268</v>
      </c>
      <c r="E17" s="85">
        <v>3440000</v>
      </c>
      <c r="F17" s="85">
        <v>3440000</v>
      </c>
      <c r="G17" s="435">
        <f t="shared" si="1"/>
        <v>3673920</v>
      </c>
      <c r="H17" s="435">
        <f t="shared" si="1"/>
        <v>3923746.56</v>
      </c>
      <c r="I17" s="435">
        <f t="shared" si="1"/>
        <v>4190561.32608</v>
      </c>
    </row>
    <row r="18" spans="1:9" s="285" customFormat="1" x14ac:dyDescent="0.25">
      <c r="A18" s="344"/>
      <c r="B18" s="151"/>
      <c r="C18" s="94"/>
      <c r="D18" s="89">
        <f t="shared" ref="D18:E18" si="2">SUM(D7:D17)</f>
        <v>997533</v>
      </c>
      <c r="E18" s="89">
        <f t="shared" si="2"/>
        <v>3830700</v>
      </c>
      <c r="F18" s="89">
        <v>3830700</v>
      </c>
      <c r="G18" s="89">
        <v>3830700</v>
      </c>
      <c r="H18" s="89">
        <v>3830700</v>
      </c>
      <c r="I18" s="89">
        <v>3830700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8"/>
    </row>
    <row r="20" spans="1:9" s="285" customFormat="1" x14ac:dyDescent="0.25">
      <c r="A20" s="118">
        <v>28</v>
      </c>
      <c r="B20" s="151">
        <v>5105</v>
      </c>
      <c r="C20" s="94" t="s">
        <v>41</v>
      </c>
      <c r="D20" s="85">
        <f>9018*6</f>
        <v>54108</v>
      </c>
      <c r="E20" s="85">
        <v>225000</v>
      </c>
      <c r="F20" s="85">
        <v>225000</v>
      </c>
      <c r="G20" s="435">
        <f t="shared" ref="G20:I24" si="3">(F20*0.068)+F20</f>
        <v>240300</v>
      </c>
      <c r="H20" s="435">
        <f t="shared" si="3"/>
        <v>256640.4</v>
      </c>
      <c r="I20" s="435">
        <f t="shared" si="3"/>
        <v>274091.9472</v>
      </c>
    </row>
    <row r="21" spans="1:9" s="285" customFormat="1" x14ac:dyDescent="0.25">
      <c r="A21" s="118">
        <v>28</v>
      </c>
      <c r="B21" s="151">
        <v>5115</v>
      </c>
      <c r="C21" s="94" t="s">
        <v>42</v>
      </c>
      <c r="D21" s="85">
        <f>23760*6</f>
        <v>142560</v>
      </c>
      <c r="E21" s="85">
        <v>435000</v>
      </c>
      <c r="F21" s="85">
        <v>435000</v>
      </c>
      <c r="G21" s="435">
        <f t="shared" si="3"/>
        <v>464580</v>
      </c>
      <c r="H21" s="435">
        <f t="shared" si="3"/>
        <v>496171.44</v>
      </c>
      <c r="I21" s="435">
        <f t="shared" si="3"/>
        <v>529911.09791999997</v>
      </c>
    </row>
    <row r="22" spans="1:9" s="285" customFormat="1" x14ac:dyDescent="0.25">
      <c r="A22" s="118">
        <v>28</v>
      </c>
      <c r="B22" s="151">
        <v>5120</v>
      </c>
      <c r="C22" s="94" t="s">
        <v>43</v>
      </c>
      <c r="D22" s="85">
        <f>3995*6</f>
        <v>23970</v>
      </c>
      <c r="E22" s="85">
        <v>25200</v>
      </c>
      <c r="F22" s="85">
        <v>25200</v>
      </c>
      <c r="G22" s="435">
        <f t="shared" si="3"/>
        <v>26913.599999999999</v>
      </c>
      <c r="H22" s="435">
        <f t="shared" si="3"/>
        <v>28743.7248</v>
      </c>
      <c r="I22" s="435">
        <f t="shared" si="3"/>
        <v>30698.298086399998</v>
      </c>
    </row>
    <row r="23" spans="1:9" s="285" customFormat="1" hidden="1" x14ac:dyDescent="0.25">
      <c r="A23" s="118">
        <v>28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28</v>
      </c>
      <c r="B24" s="151">
        <v>5130</v>
      </c>
      <c r="C24" s="94" t="s">
        <v>45</v>
      </c>
      <c r="D24" s="85">
        <f>1586*6</f>
        <v>9516</v>
      </c>
      <c r="E24" s="85">
        <v>25200</v>
      </c>
      <c r="F24" s="85">
        <v>25200</v>
      </c>
      <c r="G24" s="435">
        <f t="shared" si="3"/>
        <v>26913.599999999999</v>
      </c>
      <c r="H24" s="435">
        <f t="shared" si="3"/>
        <v>28743.7248</v>
      </c>
      <c r="I24" s="435">
        <f t="shared" si="3"/>
        <v>30698.298086399998</v>
      </c>
    </row>
    <row r="25" spans="1:9" s="285" customFormat="1" x14ac:dyDescent="0.25">
      <c r="A25" s="344"/>
      <c r="B25" s="151"/>
      <c r="C25" s="94"/>
      <c r="D25" s="89">
        <f t="shared" ref="D25:E25" si="4">SUM(D20:D24)</f>
        <v>230154</v>
      </c>
      <c r="E25" s="89">
        <f t="shared" si="4"/>
        <v>710400</v>
      </c>
      <c r="F25" s="89">
        <v>710400</v>
      </c>
      <c r="G25" s="89">
        <v>710400</v>
      </c>
      <c r="H25" s="89">
        <v>710400</v>
      </c>
      <c r="I25" s="89">
        <v>710400</v>
      </c>
    </row>
    <row r="26" spans="1:9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28</v>
      </c>
      <c r="B28" s="151">
        <v>5150</v>
      </c>
      <c r="C28" s="94" t="s">
        <v>48</v>
      </c>
      <c r="D28" s="85"/>
      <c r="E28" s="85"/>
      <c r="F28" s="85"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E29" si="5">D28</f>
        <v>0</v>
      </c>
      <c r="E29" s="89">
        <f t="shared" si="5"/>
        <v>0</v>
      </c>
      <c r="F29" s="89">
        <v>0</v>
      </c>
      <c r="G29" s="89"/>
      <c r="H29" s="89"/>
      <c r="I29" s="89"/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hidden="1" x14ac:dyDescent="0.25">
      <c r="A31" s="118">
        <v>28</v>
      </c>
      <c r="B31" s="151">
        <v>5170</v>
      </c>
      <c r="C31" s="94" t="s">
        <v>341</v>
      </c>
      <c r="D31" s="85"/>
      <c r="E31" s="108"/>
      <c r="F31" s="85"/>
      <c r="G31" s="85"/>
      <c r="H31" s="85"/>
      <c r="I31" s="85"/>
    </row>
    <row r="32" spans="1:9" s="285" customFormat="1" hidden="1" x14ac:dyDescent="0.25">
      <c r="A32" s="344"/>
      <c r="B32" s="151"/>
      <c r="C32" s="94"/>
      <c r="D32" s="89">
        <f t="shared" ref="D32:E32" si="6">SUM(D31)</f>
        <v>0</v>
      </c>
      <c r="E32" s="89">
        <f t="shared" si="6"/>
        <v>0</v>
      </c>
      <c r="F32" s="89">
        <v>0</v>
      </c>
      <c r="G32" s="89"/>
      <c r="H32" s="89"/>
      <c r="I32" s="89"/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28</v>
      </c>
      <c r="B34" s="151">
        <v>5180</v>
      </c>
      <c r="C34" s="94" t="s">
        <v>51</v>
      </c>
      <c r="D34" s="85"/>
      <c r="E34" s="108"/>
      <c r="F34" s="85"/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E35" si="7">SUM(D34)</f>
        <v>0</v>
      </c>
      <c r="E35" s="89">
        <f t="shared" si="7"/>
        <v>0</v>
      </c>
      <c r="F35" s="89">
        <v>0</v>
      </c>
      <c r="G35" s="89"/>
      <c r="H35" s="89"/>
      <c r="I35" s="89"/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28</v>
      </c>
      <c r="B37" s="151">
        <v>5190</v>
      </c>
      <c r="C37" s="94" t="s">
        <v>53</v>
      </c>
      <c r="D37" s="85"/>
      <c r="E37" s="108"/>
      <c r="F37" s="85"/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E38" si="8">D37</f>
        <v>0</v>
      </c>
      <c r="E38" s="89">
        <f t="shared" si="8"/>
        <v>0</v>
      </c>
      <c r="F38" s="89">
        <v>0</v>
      </c>
      <c r="G38" s="89"/>
      <c r="H38" s="89"/>
      <c r="I38" s="89"/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8"/>
    </row>
    <row r="40" spans="1:9" s="285" customFormat="1" x14ac:dyDescent="0.25">
      <c r="A40" s="118">
        <v>28</v>
      </c>
      <c r="B40" s="151">
        <v>5200</v>
      </c>
      <c r="C40" s="94" t="s">
        <v>55</v>
      </c>
      <c r="D40" s="85"/>
      <c r="E40" s="108">
        <v>0</v>
      </c>
      <c r="F40" s="85">
        <v>0</v>
      </c>
      <c r="G40" s="85"/>
      <c r="H40" s="85"/>
      <c r="I40" s="85"/>
    </row>
    <row r="41" spans="1:9" s="285" customFormat="1" x14ac:dyDescent="0.25">
      <c r="A41" s="118">
        <v>28</v>
      </c>
      <c r="B41" s="151">
        <v>5205</v>
      </c>
      <c r="C41" s="94" t="s">
        <v>56</v>
      </c>
      <c r="D41" s="85">
        <v>131537</v>
      </c>
      <c r="E41" s="108"/>
      <c r="F41" s="85">
        <v>0</v>
      </c>
      <c r="G41" s="85"/>
      <c r="H41" s="85"/>
      <c r="I41" s="85"/>
    </row>
    <row r="42" spans="1:9" s="285" customFormat="1" x14ac:dyDescent="0.25">
      <c r="A42" s="118">
        <v>28</v>
      </c>
      <c r="B42" s="151">
        <v>5210</v>
      </c>
      <c r="C42" s="94" t="s">
        <v>57</v>
      </c>
      <c r="D42" s="85">
        <v>23997</v>
      </c>
      <c r="E42" s="108">
        <v>31649.999999999996</v>
      </c>
      <c r="F42" s="85">
        <v>31649.999999999996</v>
      </c>
      <c r="G42" s="85">
        <v>20000</v>
      </c>
      <c r="H42" s="85">
        <v>25000</v>
      </c>
      <c r="I42" s="85">
        <v>25000</v>
      </c>
    </row>
    <row r="43" spans="1:9" s="285" customFormat="1" hidden="1" x14ac:dyDescent="0.25">
      <c r="A43" s="118">
        <v>28</v>
      </c>
      <c r="B43" s="151">
        <v>5215</v>
      </c>
      <c r="C43" s="94" t="s">
        <v>95</v>
      </c>
      <c r="D43" s="85"/>
      <c r="E43" s="108"/>
      <c r="F43" s="85">
        <v>0</v>
      </c>
      <c r="G43" s="85"/>
      <c r="H43" s="85"/>
      <c r="I43" s="85"/>
    </row>
    <row r="44" spans="1:9" s="285" customFormat="1" hidden="1" x14ac:dyDescent="0.25">
      <c r="A44" s="118">
        <v>28</v>
      </c>
      <c r="B44" s="151">
        <v>5220</v>
      </c>
      <c r="C44" s="94" t="s">
        <v>58</v>
      </c>
      <c r="D44" s="85"/>
      <c r="E44" s="108"/>
      <c r="F44" s="85">
        <v>0</v>
      </c>
      <c r="G44" s="85"/>
      <c r="H44" s="85"/>
      <c r="I44" s="85"/>
    </row>
    <row r="45" spans="1:9" s="285" customFormat="1" hidden="1" x14ac:dyDescent="0.25">
      <c r="A45" s="118">
        <v>28</v>
      </c>
      <c r="B45" s="151">
        <v>5225</v>
      </c>
      <c r="C45" s="94" t="s">
        <v>92</v>
      </c>
      <c r="D45" s="85"/>
      <c r="E45" s="108"/>
      <c r="F45" s="85">
        <v>0</v>
      </c>
      <c r="G45" s="85"/>
      <c r="H45" s="85"/>
      <c r="I45" s="85"/>
    </row>
    <row r="46" spans="1:9" s="285" customFormat="1" hidden="1" x14ac:dyDescent="0.25">
      <c r="A46" s="118">
        <v>28</v>
      </c>
      <c r="B46" s="151">
        <v>5230</v>
      </c>
      <c r="C46" s="94" t="s">
        <v>86</v>
      </c>
      <c r="D46" s="85"/>
      <c r="E46" s="108"/>
      <c r="F46" s="85">
        <v>0</v>
      </c>
      <c r="G46" s="85"/>
      <c r="H46" s="85"/>
      <c r="I46" s="85"/>
    </row>
    <row r="47" spans="1:9" s="285" customFormat="1" hidden="1" x14ac:dyDescent="0.25">
      <c r="A47" s="118">
        <v>28</v>
      </c>
      <c r="B47" s="151">
        <v>5235</v>
      </c>
      <c r="C47" s="94" t="s">
        <v>124</v>
      </c>
      <c r="D47" s="85"/>
      <c r="E47" s="108"/>
      <c r="F47" s="85">
        <v>0</v>
      </c>
      <c r="G47" s="85"/>
      <c r="H47" s="85"/>
      <c r="I47" s="85"/>
    </row>
    <row r="48" spans="1:9" s="285" customFormat="1" hidden="1" x14ac:dyDescent="0.25">
      <c r="A48" s="118">
        <v>28</v>
      </c>
      <c r="B48" s="151">
        <v>5240</v>
      </c>
      <c r="C48" s="94" t="s">
        <v>59</v>
      </c>
      <c r="D48" s="85"/>
      <c r="E48" s="108"/>
      <c r="F48" s="85">
        <v>0</v>
      </c>
      <c r="G48" s="85"/>
      <c r="H48" s="85"/>
      <c r="I48" s="85"/>
    </row>
    <row r="49" spans="1:9" s="285" customFormat="1" hidden="1" x14ac:dyDescent="0.25">
      <c r="A49" s="118">
        <v>28</v>
      </c>
      <c r="B49" s="151">
        <v>5245</v>
      </c>
      <c r="C49" s="94" t="s">
        <v>91</v>
      </c>
      <c r="D49" s="85"/>
      <c r="E49" s="108"/>
      <c r="F49" s="85">
        <v>0</v>
      </c>
      <c r="G49" s="85"/>
      <c r="H49" s="85"/>
      <c r="I49" s="85"/>
    </row>
    <row r="50" spans="1:9" s="285" customFormat="1" x14ac:dyDescent="0.25">
      <c r="A50" s="118">
        <v>28</v>
      </c>
      <c r="B50" s="151">
        <v>5250</v>
      </c>
      <c r="C50" s="94" t="s">
        <v>88</v>
      </c>
      <c r="D50" s="85"/>
      <c r="E50" s="108">
        <v>147.69999999999999</v>
      </c>
      <c r="F50" s="85">
        <v>147.69999999999999</v>
      </c>
      <c r="G50" s="85">
        <v>0</v>
      </c>
      <c r="H50" s="85"/>
      <c r="I50" s="85"/>
    </row>
    <row r="51" spans="1:9" s="285" customFormat="1" hidden="1" x14ac:dyDescent="0.25">
      <c r="A51" s="118">
        <v>28</v>
      </c>
      <c r="B51" s="151">
        <v>5255</v>
      </c>
      <c r="C51" s="94" t="s">
        <v>125</v>
      </c>
      <c r="D51" s="85"/>
      <c r="E51" s="108"/>
      <c r="F51" s="85">
        <v>0</v>
      </c>
      <c r="G51" s="85"/>
      <c r="H51" s="85"/>
      <c r="I51" s="85"/>
    </row>
    <row r="52" spans="1:9" s="285" customFormat="1" hidden="1" x14ac:dyDescent="0.25">
      <c r="A52" s="118">
        <v>28</v>
      </c>
      <c r="B52" s="151">
        <v>5260</v>
      </c>
      <c r="C52" s="94" t="s">
        <v>90</v>
      </c>
      <c r="D52" s="85"/>
      <c r="E52" s="108"/>
      <c r="F52" s="85">
        <v>0</v>
      </c>
      <c r="G52" s="85"/>
      <c r="H52" s="85"/>
      <c r="I52" s="85"/>
    </row>
    <row r="53" spans="1:9" s="285" customFormat="1" hidden="1" x14ac:dyDescent="0.25">
      <c r="A53" s="118">
        <v>28</v>
      </c>
      <c r="B53" s="151">
        <v>5265</v>
      </c>
      <c r="C53" s="94"/>
      <c r="D53" s="85"/>
      <c r="E53" s="108"/>
      <c r="F53" s="85">
        <v>0</v>
      </c>
      <c r="G53" s="85"/>
      <c r="H53" s="85"/>
      <c r="I53" s="85"/>
    </row>
    <row r="54" spans="1:9" s="285" customFormat="1" hidden="1" x14ac:dyDescent="0.25">
      <c r="A54" s="118">
        <v>28</v>
      </c>
      <c r="B54" s="151">
        <v>5270</v>
      </c>
      <c r="C54" s="94" t="s">
        <v>89</v>
      </c>
      <c r="D54" s="85"/>
      <c r="E54" s="108"/>
      <c r="F54" s="85">
        <v>0</v>
      </c>
      <c r="G54" s="85"/>
      <c r="H54" s="85"/>
      <c r="I54" s="85"/>
    </row>
    <row r="55" spans="1:9" s="285" customFormat="1" hidden="1" x14ac:dyDescent="0.25">
      <c r="A55" s="118">
        <v>28</v>
      </c>
      <c r="B55" s="151">
        <v>5275</v>
      </c>
      <c r="C55" s="94" t="s">
        <v>93</v>
      </c>
      <c r="D55" s="85"/>
      <c r="E55" s="108"/>
      <c r="F55" s="85">
        <v>0</v>
      </c>
      <c r="G55" s="85"/>
      <c r="H55" s="85"/>
      <c r="I55" s="85"/>
    </row>
    <row r="56" spans="1:9" s="285" customFormat="1" hidden="1" x14ac:dyDescent="0.25">
      <c r="A56" s="118">
        <v>28</v>
      </c>
      <c r="B56" s="151">
        <v>5280</v>
      </c>
      <c r="C56" s="94" t="s">
        <v>94</v>
      </c>
      <c r="D56" s="85"/>
      <c r="E56" s="108"/>
      <c r="F56" s="85">
        <v>0</v>
      </c>
      <c r="G56" s="85"/>
      <c r="H56" s="85"/>
      <c r="I56" s="85"/>
    </row>
    <row r="57" spans="1:9" s="285" customFormat="1" x14ac:dyDescent="0.25">
      <c r="A57" s="118">
        <v>28</v>
      </c>
      <c r="B57" s="151">
        <v>5285</v>
      </c>
      <c r="C57" s="94" t="s">
        <v>60</v>
      </c>
      <c r="D57" s="85">
        <v>1978</v>
      </c>
      <c r="E57" s="85">
        <v>16079.254999999999</v>
      </c>
      <c r="F57" s="85">
        <v>16079.254999999999</v>
      </c>
      <c r="G57" s="85">
        <v>16000</v>
      </c>
      <c r="H57" s="85">
        <v>17000</v>
      </c>
      <c r="I57" s="85">
        <v>19000</v>
      </c>
    </row>
    <row r="58" spans="1:9" s="285" customFormat="1" x14ac:dyDescent="0.25">
      <c r="A58" s="118">
        <v>28</v>
      </c>
      <c r="B58" s="151">
        <v>5290</v>
      </c>
      <c r="C58" s="94" t="s">
        <v>186</v>
      </c>
      <c r="D58" s="85"/>
      <c r="E58" s="108">
        <v>0</v>
      </c>
      <c r="F58" s="85">
        <v>0</v>
      </c>
      <c r="G58" s="85">
        <v>0</v>
      </c>
      <c r="H58" s="85">
        <v>0</v>
      </c>
      <c r="I58" s="85"/>
    </row>
    <row r="59" spans="1:9" s="285" customFormat="1" x14ac:dyDescent="0.25">
      <c r="A59" s="344"/>
      <c r="B59" s="151"/>
      <c r="C59" s="94"/>
      <c r="D59" s="110">
        <f t="shared" ref="D59:I59" si="9">SUM(D40:D58)</f>
        <v>157512</v>
      </c>
      <c r="E59" s="110">
        <f t="shared" si="9"/>
        <v>47876.954999999994</v>
      </c>
      <c r="F59" s="110">
        <f t="shared" si="9"/>
        <v>47876.954999999994</v>
      </c>
      <c r="G59" s="110">
        <f t="shared" si="9"/>
        <v>36000</v>
      </c>
      <c r="H59" s="110">
        <f t="shared" si="9"/>
        <v>42000</v>
      </c>
      <c r="I59" s="110">
        <f t="shared" si="9"/>
        <v>44000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28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</row>
    <row r="62" spans="1:9" s="285" customFormat="1" hidden="1" x14ac:dyDescent="0.25">
      <c r="A62" s="118">
        <v>28</v>
      </c>
      <c r="B62" s="151">
        <v>5405</v>
      </c>
      <c r="C62" s="94" t="s">
        <v>335</v>
      </c>
      <c r="D62" s="85"/>
      <c r="E62" s="108"/>
      <c r="F62" s="85"/>
      <c r="G62" s="85"/>
      <c r="H62" s="85"/>
      <c r="I62" s="108"/>
    </row>
    <row r="63" spans="1:9" s="285" customFormat="1" hidden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v>0</v>
      </c>
      <c r="G63" s="89"/>
      <c r="H63" s="89"/>
      <c r="I63" s="89"/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28</v>
      </c>
      <c r="B65" s="151">
        <v>5450</v>
      </c>
      <c r="C65" s="94" t="s">
        <v>351</v>
      </c>
      <c r="D65" s="85"/>
      <c r="E65" s="108"/>
      <c r="F65" s="85"/>
      <c r="G65" s="85"/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E66" si="10">D65</f>
        <v>0</v>
      </c>
      <c r="E66" s="89">
        <f t="shared" si="10"/>
        <v>0</v>
      </c>
      <c r="F66" s="89">
        <v>0</v>
      </c>
      <c r="G66" s="89"/>
      <c r="H66" s="89"/>
      <c r="I66" s="89"/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hidden="1" x14ac:dyDescent="0.25">
      <c r="A68" s="118">
        <v>28</v>
      </c>
      <c r="B68" s="151">
        <v>5470</v>
      </c>
      <c r="C68" s="94" t="s">
        <v>97</v>
      </c>
      <c r="D68" s="85"/>
      <c r="E68" s="86"/>
      <c r="F68" s="85">
        <v>0</v>
      </c>
      <c r="G68" s="85"/>
      <c r="H68" s="85"/>
      <c r="I68" s="85"/>
    </row>
    <row r="69" spans="1:9" s="285" customFormat="1" hidden="1" x14ac:dyDescent="0.25">
      <c r="A69" s="118">
        <v>28</v>
      </c>
      <c r="B69" s="151">
        <v>5475</v>
      </c>
      <c r="C69" s="94" t="s">
        <v>134</v>
      </c>
      <c r="D69" s="85"/>
      <c r="E69" s="86"/>
      <c r="F69" s="85">
        <v>0</v>
      </c>
      <c r="G69" s="85"/>
      <c r="H69" s="85"/>
      <c r="I69" s="85"/>
    </row>
    <row r="70" spans="1:9" s="285" customFormat="1" hidden="1" x14ac:dyDescent="0.25">
      <c r="A70" s="344"/>
      <c r="B70" s="151"/>
      <c r="C70" s="94"/>
      <c r="D70" s="110">
        <f t="shared" ref="D70:E70" si="11">SUM(D68:D69)</f>
        <v>0</v>
      </c>
      <c r="E70" s="110">
        <f t="shared" si="11"/>
        <v>0</v>
      </c>
      <c r="F70" s="110">
        <v>0</v>
      </c>
      <c r="G70" s="110"/>
      <c r="H70" s="110"/>
      <c r="I70" s="110"/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88"/>
    </row>
    <row r="72" spans="1:9" s="285" customFormat="1" x14ac:dyDescent="0.25">
      <c r="A72" s="118">
        <v>28</v>
      </c>
      <c r="B72" s="151">
        <v>5505</v>
      </c>
      <c r="C72" s="94" t="s">
        <v>259</v>
      </c>
      <c r="D72" s="85">
        <v>17617</v>
      </c>
      <c r="E72" s="85">
        <v>0</v>
      </c>
      <c r="F72" s="85">
        <v>35000</v>
      </c>
      <c r="G72" s="85"/>
      <c r="H72" s="85">
        <v>20000</v>
      </c>
      <c r="I72" s="85">
        <v>25000</v>
      </c>
    </row>
    <row r="73" spans="1:9" s="285" customFormat="1" x14ac:dyDescent="0.25">
      <c r="A73" s="118">
        <v>28</v>
      </c>
      <c r="B73" s="151">
        <v>5510</v>
      </c>
      <c r="C73" s="94" t="s">
        <v>63</v>
      </c>
      <c r="D73" s="85"/>
      <c r="E73" s="85">
        <v>13528</v>
      </c>
      <c r="F73" s="85">
        <v>0</v>
      </c>
      <c r="G73" s="85">
        <v>13528</v>
      </c>
      <c r="H73" s="85">
        <v>13582</v>
      </c>
      <c r="I73" s="85">
        <v>13582</v>
      </c>
    </row>
    <row r="74" spans="1:9" s="285" customFormat="1" x14ac:dyDescent="0.25">
      <c r="A74" s="118">
        <v>28</v>
      </c>
      <c r="B74" s="151">
        <v>5520</v>
      </c>
      <c r="C74" s="94" t="s">
        <v>260</v>
      </c>
      <c r="D74" s="85"/>
      <c r="E74" s="85"/>
      <c r="F74" s="85">
        <v>0</v>
      </c>
      <c r="G74" s="85"/>
      <c r="H74" s="85"/>
      <c r="I74" s="85"/>
    </row>
    <row r="75" spans="1:9" s="285" customFormat="1" hidden="1" x14ac:dyDescent="0.25">
      <c r="A75" s="118">
        <v>28</v>
      </c>
      <c r="B75" s="151">
        <v>5525</v>
      </c>
      <c r="C75" s="94" t="s">
        <v>261</v>
      </c>
      <c r="D75" s="85"/>
      <c r="E75" s="85"/>
      <c r="F75" s="85">
        <v>0</v>
      </c>
      <c r="G75" s="85"/>
      <c r="H75" s="85"/>
      <c r="I75" s="85"/>
    </row>
    <row r="76" spans="1:9" s="285" customFormat="1" hidden="1" x14ac:dyDescent="0.25">
      <c r="A76" s="118">
        <v>28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85"/>
      <c r="I76" s="85"/>
    </row>
    <row r="77" spans="1:9" s="285" customFormat="1" x14ac:dyDescent="0.25">
      <c r="A77" s="118">
        <v>28</v>
      </c>
      <c r="B77" s="151">
        <v>5535</v>
      </c>
      <c r="C77" s="94" t="s">
        <v>263</v>
      </c>
      <c r="D77" s="85"/>
      <c r="E77" s="85">
        <v>15000</v>
      </c>
      <c r="F77" s="85">
        <v>1000</v>
      </c>
      <c r="G77" s="85">
        <v>15000</v>
      </c>
      <c r="H77" s="85">
        <v>20000</v>
      </c>
      <c r="I77" s="85">
        <v>25000</v>
      </c>
    </row>
    <row r="78" spans="1:9" s="285" customFormat="1" x14ac:dyDescent="0.25">
      <c r="A78" s="118">
        <v>28</v>
      </c>
      <c r="B78" s="151">
        <v>5540</v>
      </c>
      <c r="C78" s="94" t="s">
        <v>264</v>
      </c>
      <c r="D78" s="85"/>
      <c r="E78" s="85">
        <v>14542</v>
      </c>
      <c r="F78" s="85">
        <v>14542</v>
      </c>
      <c r="G78" s="85">
        <v>25000</v>
      </c>
      <c r="H78" s="85">
        <v>30000</v>
      </c>
      <c r="I78" s="85">
        <v>30000</v>
      </c>
    </row>
    <row r="79" spans="1:9" s="285" customFormat="1" ht="13.5" customHeight="1" x14ac:dyDescent="0.25">
      <c r="A79" s="118">
        <v>28</v>
      </c>
      <c r="B79" s="151">
        <v>5545</v>
      </c>
      <c r="C79" s="94" t="s">
        <v>265</v>
      </c>
      <c r="D79" s="85">
        <v>4500</v>
      </c>
      <c r="E79" s="85">
        <v>44000</v>
      </c>
      <c r="F79" s="85">
        <v>14000</v>
      </c>
      <c r="G79" s="85">
        <v>44000</v>
      </c>
      <c r="H79" s="85">
        <v>48000</v>
      </c>
      <c r="I79" s="85">
        <v>52000</v>
      </c>
    </row>
    <row r="80" spans="1:9" s="285" customFormat="1" hidden="1" x14ac:dyDescent="0.25">
      <c r="A80" s="118">
        <v>28</v>
      </c>
      <c r="B80" s="151">
        <v>5550</v>
      </c>
      <c r="C80" s="94" t="s">
        <v>267</v>
      </c>
      <c r="D80" s="85"/>
      <c r="E80" s="85"/>
      <c r="F80" s="85">
        <v>0</v>
      </c>
      <c r="G80" s="85"/>
      <c r="H80" s="85"/>
      <c r="I80" s="85"/>
    </row>
    <row r="81" spans="1:9" s="285" customFormat="1" hidden="1" x14ac:dyDescent="0.25">
      <c r="A81" s="118">
        <v>28</v>
      </c>
      <c r="B81" s="151">
        <v>5555</v>
      </c>
      <c r="C81" s="94" t="s">
        <v>268</v>
      </c>
      <c r="D81" s="85"/>
      <c r="E81" s="85"/>
      <c r="F81" s="85">
        <v>0</v>
      </c>
      <c r="G81" s="85"/>
      <c r="H81" s="85"/>
      <c r="I81" s="85"/>
    </row>
    <row r="82" spans="1:9" s="285" customFormat="1" x14ac:dyDescent="0.25">
      <c r="A82" s="118">
        <v>28</v>
      </c>
      <c r="B82" s="151">
        <v>5560</v>
      </c>
      <c r="C82" s="94" t="s">
        <v>269</v>
      </c>
      <c r="D82" s="85">
        <v>24933</v>
      </c>
      <c r="E82" s="85">
        <v>27500</v>
      </c>
      <c r="F82" s="85">
        <v>51500</v>
      </c>
      <c r="G82" s="85">
        <v>27500</v>
      </c>
      <c r="H82" s="85">
        <v>30000</v>
      </c>
      <c r="I82" s="85">
        <v>35000</v>
      </c>
    </row>
    <row r="83" spans="1:9" s="285" customFormat="1" hidden="1" x14ac:dyDescent="0.25">
      <c r="A83" s="118">
        <v>28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85"/>
      <c r="I83" s="85"/>
    </row>
    <row r="84" spans="1:9" s="285" customFormat="1" x14ac:dyDescent="0.25">
      <c r="A84" s="118">
        <v>28</v>
      </c>
      <c r="B84" s="151">
        <v>5570</v>
      </c>
      <c r="C84" s="94" t="s">
        <v>270</v>
      </c>
      <c r="D84" s="85">
        <v>100</v>
      </c>
      <c r="E84" s="85">
        <v>18997.384999999998</v>
      </c>
      <c r="F84" s="85">
        <v>997.3849999999984</v>
      </c>
      <c r="G84" s="85">
        <v>18000</v>
      </c>
      <c r="H84" s="85">
        <v>18000</v>
      </c>
      <c r="I84" s="85">
        <v>18000</v>
      </c>
    </row>
    <row r="85" spans="1:9" s="285" customFormat="1" x14ac:dyDescent="0.25">
      <c r="A85" s="118">
        <v>28</v>
      </c>
      <c r="B85" s="151">
        <v>5575</v>
      </c>
      <c r="C85" s="94" t="s">
        <v>271</v>
      </c>
      <c r="D85" s="85">
        <v>325818</v>
      </c>
      <c r="E85" s="85">
        <v>360000</v>
      </c>
      <c r="F85" s="85">
        <v>610000</v>
      </c>
      <c r="G85" s="85">
        <v>360000</v>
      </c>
      <c r="H85" s="85">
        <v>390000</v>
      </c>
      <c r="I85" s="85">
        <v>430000</v>
      </c>
    </row>
    <row r="86" spans="1:9" s="285" customFormat="1" x14ac:dyDescent="0.25">
      <c r="A86" s="118">
        <v>28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85">
        <v>10000</v>
      </c>
      <c r="H86" s="85">
        <v>12000</v>
      </c>
      <c r="I86" s="85">
        <v>14000</v>
      </c>
    </row>
    <row r="87" spans="1:9" s="285" customFormat="1" x14ac:dyDescent="0.25">
      <c r="A87" s="118">
        <v>28</v>
      </c>
      <c r="B87" s="151">
        <v>5585</v>
      </c>
      <c r="C87" s="94" t="s">
        <v>273</v>
      </c>
      <c r="D87" s="86">
        <v>3105</v>
      </c>
      <c r="E87" s="85">
        <v>20000</v>
      </c>
      <c r="F87" s="85">
        <v>20000</v>
      </c>
      <c r="G87" s="85">
        <v>40000</v>
      </c>
      <c r="H87" s="85">
        <v>50000</v>
      </c>
      <c r="I87" s="85">
        <v>60000</v>
      </c>
    </row>
    <row r="88" spans="1:9" s="285" customFormat="1" x14ac:dyDescent="0.25">
      <c r="A88" s="118">
        <v>28</v>
      </c>
      <c r="B88" s="151">
        <v>5590</v>
      </c>
      <c r="C88" s="94" t="s">
        <v>274</v>
      </c>
      <c r="D88" s="86">
        <v>39541</v>
      </c>
      <c r="E88" s="85">
        <v>114800</v>
      </c>
      <c r="F88" s="85">
        <v>84800</v>
      </c>
      <c r="G88" s="85">
        <v>114000</v>
      </c>
      <c r="H88" s="85">
        <v>115000</v>
      </c>
      <c r="I88" s="85">
        <v>126000</v>
      </c>
    </row>
    <row r="89" spans="1:9" s="285" customFormat="1" hidden="1" x14ac:dyDescent="0.25">
      <c r="A89" s="118">
        <v>28</v>
      </c>
      <c r="B89" s="151">
        <v>5595</v>
      </c>
      <c r="C89" s="94" t="s">
        <v>275</v>
      </c>
      <c r="D89" s="85"/>
      <c r="E89" s="85"/>
      <c r="F89" s="85">
        <v>0</v>
      </c>
      <c r="G89" s="85"/>
      <c r="H89" s="85"/>
      <c r="I89" s="85"/>
    </row>
    <row r="90" spans="1:9" s="285" customFormat="1" hidden="1" x14ac:dyDescent="0.25">
      <c r="A90" s="118">
        <v>28</v>
      </c>
      <c r="B90" s="151">
        <v>5600</v>
      </c>
      <c r="C90" s="159" t="s">
        <v>276</v>
      </c>
      <c r="D90" s="85"/>
      <c r="E90" s="85"/>
      <c r="F90" s="85">
        <v>0</v>
      </c>
      <c r="G90" s="85"/>
      <c r="H90" s="85"/>
      <c r="I90" s="85"/>
    </row>
    <row r="91" spans="1:9" s="285" customFormat="1" hidden="1" x14ac:dyDescent="0.25">
      <c r="A91" s="118">
        <v>28</v>
      </c>
      <c r="B91" s="151">
        <v>5605</v>
      </c>
      <c r="C91" s="159" t="s">
        <v>277</v>
      </c>
      <c r="D91" s="85"/>
      <c r="E91" s="85"/>
      <c r="F91" s="85">
        <v>0</v>
      </c>
      <c r="G91" s="85"/>
      <c r="H91" s="85"/>
      <c r="I91" s="85"/>
    </row>
    <row r="92" spans="1:9" s="285" customFormat="1" x14ac:dyDescent="0.25">
      <c r="A92" s="118">
        <v>28</v>
      </c>
      <c r="B92" s="151">
        <v>5610</v>
      </c>
      <c r="C92" s="159" t="s">
        <v>278</v>
      </c>
      <c r="D92" s="85"/>
      <c r="E92" s="85"/>
      <c r="F92" s="85">
        <v>0</v>
      </c>
      <c r="G92" s="85"/>
      <c r="H92" s="85"/>
      <c r="I92" s="85"/>
    </row>
    <row r="93" spans="1:9" s="285" customFormat="1" x14ac:dyDescent="0.25">
      <c r="A93" s="118">
        <v>28</v>
      </c>
      <c r="B93" s="151">
        <v>5615</v>
      </c>
      <c r="C93" s="159" t="s">
        <v>279</v>
      </c>
      <c r="D93" s="85"/>
      <c r="E93" s="85"/>
      <c r="F93" s="85">
        <v>0</v>
      </c>
      <c r="G93" s="85"/>
      <c r="H93" s="85"/>
      <c r="I93" s="85"/>
    </row>
    <row r="94" spans="1:9" s="285" customFormat="1" x14ac:dyDescent="0.25">
      <c r="A94" s="118">
        <v>28</v>
      </c>
      <c r="B94" s="151">
        <v>5620</v>
      </c>
      <c r="C94" s="159" t="s">
        <v>280</v>
      </c>
      <c r="D94" s="85"/>
      <c r="E94" s="85"/>
      <c r="F94" s="85">
        <v>0</v>
      </c>
      <c r="G94" s="85"/>
      <c r="H94" s="85"/>
      <c r="I94" s="85"/>
    </row>
    <row r="95" spans="1:9" s="285" customFormat="1" x14ac:dyDescent="0.25">
      <c r="A95" s="118">
        <v>28</v>
      </c>
      <c r="B95" s="151">
        <v>5625</v>
      </c>
      <c r="C95" s="159" t="s">
        <v>281</v>
      </c>
      <c r="D95" s="85"/>
      <c r="E95" s="85"/>
      <c r="F95" s="85">
        <v>0</v>
      </c>
      <c r="G95" s="85"/>
      <c r="H95" s="85"/>
      <c r="I95" s="85"/>
    </row>
    <row r="96" spans="1:9" s="285" customFormat="1" x14ac:dyDescent="0.25">
      <c r="A96" s="118">
        <v>28</v>
      </c>
      <c r="B96" s="151">
        <v>5630</v>
      </c>
      <c r="C96" s="159" t="s">
        <v>282</v>
      </c>
      <c r="D96" s="85"/>
      <c r="E96" s="85"/>
      <c r="F96" s="85">
        <v>0</v>
      </c>
      <c r="G96" s="85"/>
      <c r="H96" s="85"/>
      <c r="I96" s="85"/>
    </row>
    <row r="97" spans="1:9" s="285" customFormat="1" x14ac:dyDescent="0.25">
      <c r="A97" s="118">
        <v>28</v>
      </c>
      <c r="B97" s="151">
        <v>5635</v>
      </c>
      <c r="C97" s="159" t="s">
        <v>283</v>
      </c>
      <c r="D97" s="85"/>
      <c r="E97" s="85"/>
      <c r="F97" s="85">
        <v>0</v>
      </c>
      <c r="G97" s="85"/>
      <c r="H97" s="85"/>
      <c r="I97" s="85"/>
    </row>
    <row r="98" spans="1:9" s="285" customFormat="1" x14ac:dyDescent="0.25">
      <c r="A98" s="118">
        <v>28</v>
      </c>
      <c r="B98" s="151">
        <v>5640</v>
      </c>
      <c r="C98" s="159" t="s">
        <v>284</v>
      </c>
      <c r="D98" s="85"/>
      <c r="E98" s="85"/>
      <c r="F98" s="85">
        <v>0</v>
      </c>
      <c r="G98" s="85"/>
      <c r="H98" s="85"/>
      <c r="I98" s="85"/>
    </row>
    <row r="99" spans="1:9" s="285" customFormat="1" x14ac:dyDescent="0.25">
      <c r="A99" s="118">
        <v>28</v>
      </c>
      <c r="B99" s="151">
        <v>5645</v>
      </c>
      <c r="C99" s="159" t="s">
        <v>285</v>
      </c>
      <c r="D99" s="85"/>
      <c r="E99" s="85"/>
      <c r="F99" s="85">
        <v>0</v>
      </c>
      <c r="G99" s="85"/>
      <c r="H99" s="85"/>
      <c r="I99" s="85"/>
    </row>
    <row r="100" spans="1:9" s="285" customFormat="1" x14ac:dyDescent="0.25">
      <c r="A100" s="118">
        <v>28</v>
      </c>
      <c r="B100" s="151">
        <v>5650</v>
      </c>
      <c r="C100" s="159" t="s">
        <v>286</v>
      </c>
      <c r="D100" s="85"/>
      <c r="E100" s="85">
        <v>67000</v>
      </c>
      <c r="F100" s="85">
        <v>17000</v>
      </c>
      <c r="G100" s="85">
        <v>67000</v>
      </c>
      <c r="H100" s="85">
        <v>70000</v>
      </c>
      <c r="I100" s="85">
        <v>80000</v>
      </c>
    </row>
    <row r="101" spans="1:9" s="285" customFormat="1" x14ac:dyDescent="0.25">
      <c r="A101" s="118">
        <v>28</v>
      </c>
      <c r="B101" s="151">
        <v>5655</v>
      </c>
      <c r="C101" s="159" t="s">
        <v>287</v>
      </c>
      <c r="D101" s="85"/>
      <c r="E101" s="85"/>
      <c r="F101" s="85">
        <v>0</v>
      </c>
      <c r="G101" s="85"/>
      <c r="H101" s="85"/>
      <c r="I101" s="85"/>
    </row>
    <row r="102" spans="1:9" s="285" customFormat="1" x14ac:dyDescent="0.25">
      <c r="A102" s="118">
        <v>28</v>
      </c>
      <c r="B102" s="151">
        <v>5660</v>
      </c>
      <c r="C102" s="159" t="s">
        <v>288</v>
      </c>
      <c r="D102" s="85"/>
      <c r="E102" s="85"/>
      <c r="F102" s="85">
        <v>0</v>
      </c>
      <c r="G102" s="85"/>
      <c r="H102" s="85"/>
      <c r="I102" s="85"/>
    </row>
    <row r="103" spans="1:9" s="285" customFormat="1" x14ac:dyDescent="0.25">
      <c r="A103" s="118">
        <v>28</v>
      </c>
      <c r="B103" s="151">
        <v>5665</v>
      </c>
      <c r="C103" s="94" t="s">
        <v>289</v>
      </c>
      <c r="D103" s="85"/>
      <c r="E103" s="85"/>
      <c r="F103" s="85">
        <v>0</v>
      </c>
      <c r="G103" s="85"/>
      <c r="H103" s="85"/>
      <c r="I103" s="85"/>
    </row>
    <row r="104" spans="1:9" s="285" customFormat="1" x14ac:dyDescent="0.25">
      <c r="A104" s="118">
        <v>28</v>
      </c>
      <c r="B104" s="151">
        <v>5670</v>
      </c>
      <c r="C104" s="94" t="s">
        <v>290</v>
      </c>
      <c r="D104" s="85"/>
      <c r="E104" s="85"/>
      <c r="F104" s="85">
        <v>0</v>
      </c>
      <c r="G104" s="85"/>
      <c r="H104" s="85"/>
      <c r="I104" s="85"/>
    </row>
    <row r="105" spans="1:9" s="285" customFormat="1" x14ac:dyDescent="0.25">
      <c r="A105" s="118">
        <v>28</v>
      </c>
      <c r="B105" s="151">
        <v>5675</v>
      </c>
      <c r="C105" s="94" t="s">
        <v>291</v>
      </c>
      <c r="D105" s="85"/>
      <c r="E105" s="85"/>
      <c r="F105" s="85">
        <v>0</v>
      </c>
      <c r="G105" s="85"/>
      <c r="H105" s="85"/>
      <c r="I105" s="85"/>
    </row>
    <row r="106" spans="1:9" s="285" customFormat="1" x14ac:dyDescent="0.25">
      <c r="A106" s="118">
        <v>28</v>
      </c>
      <c r="B106" s="151">
        <v>5680</v>
      </c>
      <c r="C106" s="94" t="s">
        <v>292</v>
      </c>
      <c r="D106" s="85"/>
      <c r="E106" s="85"/>
      <c r="F106" s="85">
        <v>0</v>
      </c>
      <c r="G106" s="85"/>
      <c r="H106" s="85"/>
      <c r="I106" s="85"/>
    </row>
    <row r="107" spans="1:9" s="285" customFormat="1" x14ac:dyDescent="0.25">
      <c r="A107" s="118">
        <v>28</v>
      </c>
      <c r="B107" s="151">
        <v>5685</v>
      </c>
      <c r="C107" s="94" t="s">
        <v>293</v>
      </c>
      <c r="D107" s="85"/>
      <c r="E107" s="85"/>
      <c r="F107" s="85">
        <v>0</v>
      </c>
      <c r="G107" s="85"/>
      <c r="H107" s="85"/>
      <c r="I107" s="85"/>
    </row>
    <row r="108" spans="1:9" s="285" customFormat="1" x14ac:dyDescent="0.25">
      <c r="A108" s="118">
        <v>28</v>
      </c>
      <c r="B108" s="151">
        <v>5690</v>
      </c>
      <c r="C108" s="94" t="s">
        <v>247</v>
      </c>
      <c r="D108" s="85"/>
      <c r="E108" s="85"/>
      <c r="F108" s="85">
        <v>0</v>
      </c>
      <c r="G108" s="85"/>
      <c r="H108" s="85"/>
      <c r="I108" s="85"/>
    </row>
    <row r="109" spans="1:9" s="285" customFormat="1" x14ac:dyDescent="0.25">
      <c r="A109" s="118">
        <v>28</v>
      </c>
      <c r="B109" s="151">
        <v>5695</v>
      </c>
      <c r="C109" s="94" t="s">
        <v>294</v>
      </c>
      <c r="D109" s="85"/>
      <c r="E109" s="85"/>
      <c r="F109" s="85">
        <v>0</v>
      </c>
      <c r="G109" s="85"/>
      <c r="H109" s="85"/>
      <c r="I109" s="85"/>
    </row>
    <row r="110" spans="1:9" s="285" customFormat="1" x14ac:dyDescent="0.25">
      <c r="A110" s="375">
        <v>28</v>
      </c>
      <c r="B110" s="152">
        <v>5700</v>
      </c>
      <c r="C110" s="106" t="s">
        <v>295</v>
      </c>
      <c r="D110" s="387">
        <v>3259</v>
      </c>
      <c r="E110" s="387">
        <v>48000</v>
      </c>
      <c r="F110" s="387">
        <v>13000</v>
      </c>
      <c r="G110" s="85">
        <v>48000</v>
      </c>
      <c r="H110" s="85">
        <v>48000</v>
      </c>
      <c r="I110" s="85">
        <v>48000</v>
      </c>
    </row>
    <row r="111" spans="1:9" s="285" customFormat="1" x14ac:dyDescent="0.25">
      <c r="A111" s="378">
        <v>28</v>
      </c>
      <c r="B111" s="153">
        <v>5710</v>
      </c>
      <c r="C111" s="97" t="s">
        <v>297</v>
      </c>
      <c r="D111" s="88"/>
      <c r="E111" s="88"/>
      <c r="F111" s="88">
        <v>0</v>
      </c>
      <c r="G111" s="85"/>
      <c r="H111" s="85"/>
      <c r="I111" s="85"/>
    </row>
    <row r="112" spans="1:9" s="285" customFormat="1" x14ac:dyDescent="0.25">
      <c r="A112" s="118">
        <v>28</v>
      </c>
      <c r="B112" s="151">
        <v>5715</v>
      </c>
      <c r="C112" s="94" t="s">
        <v>298</v>
      </c>
      <c r="D112" s="85"/>
      <c r="E112" s="85"/>
      <c r="F112" s="85">
        <v>0</v>
      </c>
      <c r="G112" s="85"/>
      <c r="H112" s="85"/>
      <c r="I112" s="85"/>
    </row>
    <row r="113" spans="1:9" s="285" customFormat="1" x14ac:dyDescent="0.25">
      <c r="A113" s="118">
        <v>28</v>
      </c>
      <c r="B113" s="151">
        <v>5720</v>
      </c>
      <c r="C113" s="94" t="s">
        <v>299</v>
      </c>
      <c r="D113" s="85"/>
      <c r="E113" s="85"/>
      <c r="F113" s="85">
        <v>0</v>
      </c>
      <c r="G113" s="85"/>
      <c r="H113" s="85"/>
      <c r="I113" s="85"/>
    </row>
    <row r="114" spans="1:9" s="285" customFormat="1" x14ac:dyDescent="0.25">
      <c r="A114" s="118">
        <v>28</v>
      </c>
      <c r="B114" s="151">
        <v>5730</v>
      </c>
      <c r="C114" s="94" t="s">
        <v>300</v>
      </c>
      <c r="D114" s="85"/>
      <c r="E114" s="85"/>
      <c r="F114" s="85">
        <v>0</v>
      </c>
      <c r="G114" s="85"/>
      <c r="H114" s="85"/>
      <c r="I114" s="85"/>
    </row>
    <row r="115" spans="1:9" s="285" customFormat="1" x14ac:dyDescent="0.25">
      <c r="A115" s="118">
        <v>28</v>
      </c>
      <c r="B115" s="151">
        <v>5735</v>
      </c>
      <c r="C115" s="94" t="s">
        <v>301</v>
      </c>
      <c r="D115" s="85"/>
      <c r="E115" s="85"/>
      <c r="F115" s="85">
        <v>0</v>
      </c>
      <c r="G115" s="85"/>
      <c r="H115" s="85"/>
      <c r="I115" s="85"/>
    </row>
    <row r="116" spans="1:9" s="285" customFormat="1" x14ac:dyDescent="0.25">
      <c r="A116" s="118">
        <v>28</v>
      </c>
      <c r="B116" s="151">
        <v>5740</v>
      </c>
      <c r="C116" s="94" t="s">
        <v>302</v>
      </c>
      <c r="D116" s="85"/>
      <c r="E116" s="85"/>
      <c r="F116" s="85">
        <v>0</v>
      </c>
      <c r="G116" s="85"/>
      <c r="H116" s="85"/>
      <c r="I116" s="85"/>
    </row>
    <row r="117" spans="1:9" s="285" customFormat="1" x14ac:dyDescent="0.25">
      <c r="A117" s="118">
        <v>28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85"/>
      <c r="I117" s="85"/>
    </row>
    <row r="118" spans="1:9" s="285" customFormat="1" x14ac:dyDescent="0.25">
      <c r="A118" s="118">
        <v>28</v>
      </c>
      <c r="B118" s="151">
        <v>5750</v>
      </c>
      <c r="C118" s="94" t="s">
        <v>304</v>
      </c>
      <c r="D118" s="85">
        <v>351</v>
      </c>
      <c r="E118" s="85">
        <v>2100</v>
      </c>
      <c r="F118" s="85">
        <v>2100</v>
      </c>
      <c r="G118" s="85">
        <v>2100</v>
      </c>
      <c r="H118" s="85">
        <v>2100</v>
      </c>
      <c r="I118" s="85">
        <v>2100</v>
      </c>
    </row>
    <row r="119" spans="1:9" s="285" customFormat="1" x14ac:dyDescent="0.25">
      <c r="A119" s="118">
        <v>28</v>
      </c>
      <c r="B119" s="151">
        <v>5755</v>
      </c>
      <c r="C119" s="94" t="s">
        <v>305</v>
      </c>
      <c r="D119" s="85">
        <v>5055</v>
      </c>
      <c r="E119" s="85">
        <v>27000</v>
      </c>
      <c r="F119" s="85">
        <v>27000</v>
      </c>
      <c r="G119" s="85">
        <v>27000</v>
      </c>
      <c r="H119" s="85">
        <v>27000</v>
      </c>
      <c r="I119" s="85">
        <v>27000</v>
      </c>
    </row>
    <row r="120" spans="1:9" s="285" customFormat="1" ht="12" customHeight="1" x14ac:dyDescent="0.25">
      <c r="A120" s="118">
        <v>28</v>
      </c>
      <c r="B120" s="151">
        <v>5760</v>
      </c>
      <c r="C120" s="94" t="s">
        <v>306</v>
      </c>
      <c r="D120" s="85"/>
      <c r="E120" s="85"/>
      <c r="F120" s="85">
        <v>0</v>
      </c>
      <c r="G120" s="85"/>
      <c r="H120" s="85"/>
      <c r="I120" s="85"/>
    </row>
    <row r="121" spans="1:9" s="285" customFormat="1" x14ac:dyDescent="0.25">
      <c r="A121" s="118">
        <v>28</v>
      </c>
      <c r="B121" s="151">
        <v>5765</v>
      </c>
      <c r="C121" s="94" t="s">
        <v>307</v>
      </c>
      <c r="D121" s="85"/>
      <c r="E121" s="85"/>
      <c r="F121" s="85">
        <v>0</v>
      </c>
      <c r="G121" s="85"/>
      <c r="H121" s="85"/>
      <c r="I121" s="85"/>
    </row>
    <row r="122" spans="1:9" s="285" customFormat="1" x14ac:dyDescent="0.25">
      <c r="A122" s="118">
        <v>28</v>
      </c>
      <c r="B122" s="151">
        <v>5770</v>
      </c>
      <c r="C122" s="94" t="s">
        <v>308</v>
      </c>
      <c r="D122" s="85"/>
      <c r="E122" s="85">
        <v>2427.5549999999998</v>
      </c>
      <c r="F122" s="85">
        <v>2427.5549999999998</v>
      </c>
      <c r="G122" s="85">
        <v>2248</v>
      </c>
      <c r="H122" s="85">
        <v>2500</v>
      </c>
      <c r="I122" s="85">
        <v>2500</v>
      </c>
    </row>
    <row r="123" spans="1:9" s="285" customFormat="1" ht="0.75" customHeight="1" x14ac:dyDescent="0.25">
      <c r="A123" s="118">
        <v>28</v>
      </c>
      <c r="B123" s="151">
        <v>5775</v>
      </c>
      <c r="C123" s="94" t="s">
        <v>309</v>
      </c>
      <c r="D123" s="85"/>
      <c r="E123" s="85"/>
      <c r="F123" s="85">
        <v>0</v>
      </c>
      <c r="G123" s="85"/>
      <c r="H123" s="85"/>
      <c r="I123" s="85"/>
    </row>
    <row r="124" spans="1:9" s="285" customFormat="1" x14ac:dyDescent="0.25">
      <c r="A124" s="118">
        <v>28</v>
      </c>
      <c r="B124" s="151">
        <v>5780</v>
      </c>
      <c r="C124" s="94" t="s">
        <v>310</v>
      </c>
      <c r="D124" s="85"/>
      <c r="E124" s="85"/>
      <c r="F124" s="85">
        <v>0</v>
      </c>
      <c r="G124" s="85"/>
      <c r="H124" s="85"/>
      <c r="I124" s="85"/>
    </row>
    <row r="125" spans="1:9" s="285" customFormat="1" x14ac:dyDescent="0.25">
      <c r="A125" s="118">
        <v>28</v>
      </c>
      <c r="B125" s="151">
        <v>5785</v>
      </c>
      <c r="C125" s="94" t="s">
        <v>311</v>
      </c>
      <c r="D125" s="85"/>
      <c r="E125" s="85"/>
      <c r="F125" s="85">
        <v>0</v>
      </c>
      <c r="G125" s="85"/>
      <c r="H125" s="85"/>
      <c r="I125" s="85"/>
    </row>
    <row r="126" spans="1:9" s="285" customFormat="1" x14ac:dyDescent="0.25">
      <c r="A126" s="118">
        <v>28</v>
      </c>
      <c r="B126" s="151">
        <v>5790</v>
      </c>
      <c r="C126" s="94" t="s">
        <v>312</v>
      </c>
      <c r="D126" s="85"/>
      <c r="E126" s="85"/>
      <c r="F126" s="85">
        <v>0</v>
      </c>
      <c r="G126" s="85"/>
      <c r="H126" s="85"/>
      <c r="I126" s="85"/>
    </row>
    <row r="127" spans="1:9" s="285" customFormat="1" x14ac:dyDescent="0.25">
      <c r="A127" s="118">
        <v>28</v>
      </c>
      <c r="B127" s="151">
        <v>5795</v>
      </c>
      <c r="C127" s="94" t="s">
        <v>313</v>
      </c>
      <c r="D127" s="85"/>
      <c r="E127" s="85"/>
      <c r="F127" s="85">
        <v>0</v>
      </c>
      <c r="G127" s="85"/>
      <c r="H127" s="85"/>
      <c r="I127" s="85"/>
    </row>
    <row r="128" spans="1:9" s="285" customFormat="1" x14ac:dyDescent="0.25">
      <c r="A128" s="118">
        <v>28</v>
      </c>
      <c r="B128" s="151">
        <v>5800</v>
      </c>
      <c r="C128" s="94" t="s">
        <v>314</v>
      </c>
      <c r="D128" s="85"/>
      <c r="E128" s="85"/>
      <c r="F128" s="85">
        <v>0</v>
      </c>
      <c r="G128" s="85"/>
      <c r="H128" s="85"/>
      <c r="I128" s="85"/>
    </row>
    <row r="129" spans="1:9" s="285" customFormat="1" x14ac:dyDescent="0.25">
      <c r="A129" s="118">
        <v>28</v>
      </c>
      <c r="B129" s="151">
        <v>5805</v>
      </c>
      <c r="C129" s="94" t="s">
        <v>315</v>
      </c>
      <c r="D129" s="85"/>
      <c r="E129" s="85"/>
      <c r="F129" s="85">
        <v>0</v>
      </c>
      <c r="G129" s="85"/>
      <c r="H129" s="85"/>
      <c r="I129" s="85"/>
    </row>
    <row r="130" spans="1:9" s="285" customFormat="1" x14ac:dyDescent="0.25">
      <c r="A130" s="118">
        <v>28</v>
      </c>
      <c r="B130" s="151">
        <v>5810</v>
      </c>
      <c r="C130" s="94" t="s">
        <v>316</v>
      </c>
      <c r="D130" s="85"/>
      <c r="E130" s="85"/>
      <c r="F130" s="85">
        <v>0</v>
      </c>
      <c r="G130" s="85"/>
      <c r="H130" s="85"/>
      <c r="I130" s="85"/>
    </row>
    <row r="131" spans="1:9" s="285" customFormat="1" x14ac:dyDescent="0.25">
      <c r="A131" s="118">
        <v>28</v>
      </c>
      <c r="B131" s="151">
        <v>5815</v>
      </c>
      <c r="C131" s="94" t="s">
        <v>99</v>
      </c>
      <c r="D131" s="85"/>
      <c r="E131" s="85"/>
      <c r="F131" s="85">
        <v>0</v>
      </c>
      <c r="G131" s="85"/>
      <c r="H131" s="85"/>
      <c r="I131" s="85"/>
    </row>
    <row r="132" spans="1:9" s="285" customFormat="1" x14ac:dyDescent="0.25">
      <c r="A132" s="118">
        <v>28</v>
      </c>
      <c r="B132" s="151">
        <v>5820</v>
      </c>
      <c r="C132" s="94" t="s">
        <v>114</v>
      </c>
      <c r="D132" s="86"/>
      <c r="E132" s="85"/>
      <c r="F132" s="85">
        <v>0</v>
      </c>
      <c r="G132" s="85"/>
      <c r="H132" s="85"/>
      <c r="I132" s="85"/>
    </row>
    <row r="133" spans="1:9" s="285" customFormat="1" x14ac:dyDescent="0.25">
      <c r="A133" s="118">
        <v>28</v>
      </c>
      <c r="B133" s="151">
        <v>5825</v>
      </c>
      <c r="C133" s="94" t="s">
        <v>317</v>
      </c>
      <c r="D133" s="86"/>
      <c r="E133" s="85"/>
      <c r="F133" s="85">
        <v>0</v>
      </c>
      <c r="G133" s="85"/>
      <c r="H133" s="85"/>
      <c r="I133" s="85"/>
    </row>
    <row r="134" spans="1:9" s="285" customFormat="1" x14ac:dyDescent="0.25">
      <c r="A134" s="118">
        <v>28</v>
      </c>
      <c r="B134" s="151">
        <v>5830</v>
      </c>
      <c r="C134" s="94" t="s">
        <v>318</v>
      </c>
      <c r="D134" s="86">
        <v>67998</v>
      </c>
      <c r="E134" s="85">
        <v>78000</v>
      </c>
      <c r="F134" s="85">
        <v>136000</v>
      </c>
      <c r="G134" s="85">
        <v>78000</v>
      </c>
      <c r="H134" s="85">
        <v>78000</v>
      </c>
      <c r="I134" s="85">
        <v>85000</v>
      </c>
    </row>
    <row r="135" spans="1:9" s="285" customFormat="1" x14ac:dyDescent="0.25">
      <c r="A135" s="118">
        <v>28</v>
      </c>
      <c r="B135" s="151">
        <v>5835</v>
      </c>
      <c r="C135" s="94" t="s">
        <v>319</v>
      </c>
      <c r="D135" s="86"/>
      <c r="E135" s="85"/>
      <c r="F135" s="85">
        <v>0</v>
      </c>
      <c r="G135" s="85"/>
      <c r="H135" s="85"/>
      <c r="I135" s="85"/>
    </row>
    <row r="136" spans="1:9" s="285" customFormat="1" x14ac:dyDescent="0.25">
      <c r="A136" s="118">
        <v>28</v>
      </c>
      <c r="B136" s="151">
        <v>5840</v>
      </c>
      <c r="C136" s="94" t="s">
        <v>332</v>
      </c>
      <c r="D136" s="115"/>
      <c r="E136" s="85"/>
      <c r="F136" s="85">
        <v>0</v>
      </c>
      <c r="G136" s="85"/>
      <c r="H136" s="85"/>
      <c r="I136" s="85"/>
    </row>
    <row r="137" spans="1:9" s="285" customFormat="1" x14ac:dyDescent="0.25">
      <c r="A137" s="118">
        <v>28</v>
      </c>
      <c r="B137" s="151">
        <v>5845</v>
      </c>
      <c r="C137" s="94" t="s">
        <v>320</v>
      </c>
      <c r="D137" s="86"/>
      <c r="E137" s="85"/>
      <c r="F137" s="85">
        <v>0</v>
      </c>
      <c r="G137" s="85"/>
      <c r="H137" s="85"/>
      <c r="I137" s="85"/>
    </row>
    <row r="138" spans="1:9" s="285" customFormat="1" x14ac:dyDescent="0.25">
      <c r="A138" s="118">
        <v>28</v>
      </c>
      <c r="B138" s="151">
        <v>5855</v>
      </c>
      <c r="C138" s="94" t="s">
        <v>321</v>
      </c>
      <c r="D138" s="85"/>
      <c r="E138" s="85"/>
      <c r="F138" s="85">
        <v>0</v>
      </c>
      <c r="G138" s="85"/>
      <c r="H138" s="85"/>
      <c r="I138" s="85"/>
    </row>
    <row r="139" spans="1:9" s="285" customFormat="1" x14ac:dyDescent="0.25">
      <c r="A139" s="118">
        <v>28</v>
      </c>
      <c r="B139" s="151">
        <v>5860</v>
      </c>
      <c r="C139" s="94" t="s">
        <v>322</v>
      </c>
      <c r="D139" s="85"/>
      <c r="E139" s="85"/>
      <c r="F139" s="85">
        <v>0</v>
      </c>
      <c r="G139" s="85"/>
      <c r="H139" s="85"/>
      <c r="I139" s="85"/>
    </row>
    <row r="140" spans="1:9" s="285" customFormat="1" x14ac:dyDescent="0.25">
      <c r="A140" s="118">
        <v>28</v>
      </c>
      <c r="B140" s="151">
        <v>5865</v>
      </c>
      <c r="C140" s="94" t="s">
        <v>323</v>
      </c>
      <c r="D140" s="85"/>
      <c r="E140" s="85"/>
      <c r="F140" s="85">
        <v>0</v>
      </c>
      <c r="G140" s="85"/>
      <c r="H140" s="85"/>
      <c r="I140" s="85"/>
    </row>
    <row r="141" spans="1:9" s="285" customFormat="1" x14ac:dyDescent="0.25">
      <c r="A141" s="118">
        <v>28</v>
      </c>
      <c r="B141" s="151">
        <v>5870</v>
      </c>
      <c r="C141" s="94" t="s">
        <v>324</v>
      </c>
      <c r="D141" s="85"/>
      <c r="E141" s="85"/>
      <c r="F141" s="85">
        <v>0</v>
      </c>
      <c r="G141" s="85"/>
      <c r="H141" s="85"/>
      <c r="I141" s="85"/>
    </row>
    <row r="142" spans="1:9" s="285" customFormat="1" x14ac:dyDescent="0.25">
      <c r="A142" s="118">
        <v>28</v>
      </c>
      <c r="B142" s="151">
        <v>5875</v>
      </c>
      <c r="C142" s="94" t="s">
        <v>325</v>
      </c>
      <c r="D142" s="85"/>
      <c r="E142" s="85"/>
      <c r="F142" s="85">
        <v>0</v>
      </c>
      <c r="G142" s="85"/>
      <c r="H142" s="85"/>
      <c r="I142" s="85"/>
    </row>
    <row r="143" spans="1:9" s="285" customFormat="1" x14ac:dyDescent="0.25">
      <c r="A143" s="118">
        <v>28</v>
      </c>
      <c r="B143" s="151">
        <v>5880</v>
      </c>
      <c r="C143" s="94" t="s">
        <v>326</v>
      </c>
      <c r="D143" s="85"/>
      <c r="E143" s="85"/>
      <c r="F143" s="85">
        <v>0</v>
      </c>
      <c r="G143" s="85"/>
      <c r="H143" s="85"/>
      <c r="I143" s="85"/>
    </row>
    <row r="144" spans="1:9" s="285" customFormat="1" x14ac:dyDescent="0.25">
      <c r="A144" s="118">
        <v>28</v>
      </c>
      <c r="B144" s="151">
        <v>5885</v>
      </c>
      <c r="C144" s="94" t="s">
        <v>331</v>
      </c>
      <c r="D144" s="85">
        <v>3105</v>
      </c>
      <c r="E144" s="85">
        <v>0</v>
      </c>
      <c r="F144" s="85">
        <v>5000</v>
      </c>
      <c r="G144" s="85">
        <v>12000</v>
      </c>
      <c r="H144" s="85">
        <v>12000</v>
      </c>
      <c r="I144" s="85">
        <v>15000</v>
      </c>
    </row>
    <row r="145" spans="1:10" s="285" customFormat="1" hidden="1" x14ac:dyDescent="0.25">
      <c r="A145" s="118">
        <v>28</v>
      </c>
      <c r="B145" s="151">
        <v>5890</v>
      </c>
      <c r="C145" s="94" t="s">
        <v>327</v>
      </c>
      <c r="D145" s="85"/>
      <c r="E145" s="85"/>
      <c r="F145" s="85">
        <v>0</v>
      </c>
      <c r="G145" s="85"/>
      <c r="H145" s="85"/>
      <c r="I145" s="85"/>
    </row>
    <row r="146" spans="1:10" s="285" customFormat="1" hidden="1" x14ac:dyDescent="0.25">
      <c r="A146" s="118">
        <v>28</v>
      </c>
      <c r="B146" s="151">
        <v>5895</v>
      </c>
      <c r="C146" s="94" t="s">
        <v>328</v>
      </c>
      <c r="D146" s="85"/>
      <c r="E146" s="85"/>
      <c r="F146" s="85">
        <v>0</v>
      </c>
      <c r="G146" s="85"/>
      <c r="H146" s="85"/>
      <c r="I146" s="85"/>
    </row>
    <row r="147" spans="1:10" s="285" customFormat="1" hidden="1" x14ac:dyDescent="0.25">
      <c r="A147" s="118">
        <v>28</v>
      </c>
      <c r="B147" s="151">
        <v>5910</v>
      </c>
      <c r="C147" s="94" t="s">
        <v>330</v>
      </c>
      <c r="D147" s="85"/>
      <c r="E147" s="85"/>
      <c r="F147" s="85">
        <v>0</v>
      </c>
      <c r="G147" s="85"/>
      <c r="H147" s="85"/>
      <c r="I147" s="85"/>
    </row>
    <row r="148" spans="1:10" s="285" customFormat="1" x14ac:dyDescent="0.25">
      <c r="A148" s="344"/>
      <c r="B148" s="151"/>
      <c r="C148" s="94"/>
      <c r="D148" s="89">
        <f t="shared" ref="D148:J148" si="12">SUM(D72:D147)</f>
        <v>495382</v>
      </c>
      <c r="E148" s="89">
        <f t="shared" si="12"/>
        <v>862894.94000000006</v>
      </c>
      <c r="F148" s="89">
        <f t="shared" si="12"/>
        <v>1034366.9400000001</v>
      </c>
      <c r="G148" s="89">
        <f t="shared" si="12"/>
        <v>903376</v>
      </c>
      <c r="H148" s="89">
        <f t="shared" si="12"/>
        <v>986182</v>
      </c>
      <c r="I148" s="89">
        <f t="shared" si="12"/>
        <v>1088182</v>
      </c>
      <c r="J148" s="89">
        <f t="shared" si="12"/>
        <v>0</v>
      </c>
    </row>
    <row r="149" spans="1:10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10" s="285" customFormat="1" hidden="1" x14ac:dyDescent="0.25">
      <c r="A150" s="118">
        <v>28</v>
      </c>
      <c r="B150" s="151">
        <v>6005</v>
      </c>
      <c r="C150" s="94" t="s">
        <v>188</v>
      </c>
      <c r="D150" s="85"/>
      <c r="E150" s="108"/>
      <c r="F150" s="85">
        <v>0</v>
      </c>
      <c r="G150" s="85"/>
      <c r="H150" s="85"/>
      <c r="I150" s="108"/>
    </row>
    <row r="151" spans="1:10" s="285" customFormat="1" hidden="1" x14ac:dyDescent="0.25">
      <c r="A151" s="344"/>
      <c r="B151" s="151"/>
      <c r="C151" s="94"/>
      <c r="D151" s="89">
        <f t="shared" ref="D151:E151" si="13">SUM(D150)</f>
        <v>0</v>
      </c>
      <c r="E151" s="89">
        <f t="shared" si="13"/>
        <v>0</v>
      </c>
      <c r="F151" s="89">
        <v>0</v>
      </c>
      <c r="G151" s="89"/>
      <c r="H151" s="89"/>
      <c r="I151" s="89"/>
    </row>
    <row r="152" spans="1:10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10" s="285" customFormat="1" hidden="1" x14ac:dyDescent="0.25">
      <c r="A153" s="118">
        <v>28</v>
      </c>
      <c r="B153" s="151">
        <v>6105</v>
      </c>
      <c r="C153" s="94" t="s">
        <v>336</v>
      </c>
      <c r="D153" s="85"/>
      <c r="E153" s="108"/>
      <c r="F153" s="85">
        <v>0</v>
      </c>
      <c r="G153" s="85"/>
      <c r="H153" s="85"/>
      <c r="I153" s="108"/>
    </row>
    <row r="154" spans="1:10" s="285" customFormat="1" hidden="1" x14ac:dyDescent="0.25">
      <c r="A154" s="118">
        <v>28</v>
      </c>
      <c r="B154" s="151">
        <v>6110</v>
      </c>
      <c r="C154" s="94" t="s">
        <v>337</v>
      </c>
      <c r="D154" s="85"/>
      <c r="E154" s="108"/>
      <c r="F154" s="85">
        <v>0</v>
      </c>
      <c r="G154" s="85"/>
      <c r="H154" s="85"/>
      <c r="I154" s="108"/>
    </row>
    <row r="155" spans="1:10" s="285" customFormat="1" hidden="1" x14ac:dyDescent="0.25">
      <c r="A155" s="118">
        <v>28</v>
      </c>
      <c r="B155" s="151">
        <v>6115</v>
      </c>
      <c r="C155" s="94" t="s">
        <v>60</v>
      </c>
      <c r="D155" s="85"/>
      <c r="E155" s="108"/>
      <c r="F155" s="85">
        <v>0</v>
      </c>
      <c r="G155" s="85"/>
      <c r="H155" s="85"/>
      <c r="I155" s="108"/>
    </row>
    <row r="156" spans="1:10" s="285" customFormat="1" hidden="1" x14ac:dyDescent="0.25">
      <c r="A156" s="344"/>
      <c r="B156" s="151"/>
      <c r="C156" s="94"/>
      <c r="D156" s="89">
        <f>D153</f>
        <v>0</v>
      </c>
      <c r="E156" s="89">
        <f>SUM(E153:E155)</f>
        <v>0</v>
      </c>
      <c r="F156" s="89">
        <v>0</v>
      </c>
      <c r="G156" s="89"/>
      <c r="H156" s="89"/>
      <c r="I156" s="89"/>
    </row>
    <row r="157" spans="1:10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88"/>
    </row>
    <row r="158" spans="1:10" s="285" customFormat="1" x14ac:dyDescent="0.25">
      <c r="A158" s="118">
        <v>28</v>
      </c>
      <c r="B158" s="151">
        <v>6205</v>
      </c>
      <c r="C158" s="94" t="s">
        <v>338</v>
      </c>
      <c r="D158" s="85"/>
      <c r="E158" s="108"/>
      <c r="F158" s="85"/>
      <c r="G158" s="85"/>
      <c r="H158" s="85"/>
      <c r="I158" s="85"/>
    </row>
    <row r="159" spans="1:10" s="285" customFormat="1" hidden="1" x14ac:dyDescent="0.25">
      <c r="A159" s="118">
        <v>28</v>
      </c>
      <c r="B159" s="151">
        <v>6210</v>
      </c>
      <c r="C159" s="94" t="s">
        <v>339</v>
      </c>
      <c r="D159" s="85"/>
      <c r="E159" s="85"/>
      <c r="F159" s="85">
        <v>0</v>
      </c>
      <c r="G159" s="85"/>
      <c r="H159" s="85"/>
      <c r="I159" s="85"/>
    </row>
    <row r="160" spans="1:10" s="285" customFormat="1" ht="7.5" customHeight="1" x14ac:dyDescent="0.25">
      <c r="A160" s="344"/>
      <c r="B160" s="346"/>
      <c r="C160" s="347"/>
      <c r="D160" s="116">
        <f t="shared" ref="D160:E160" si="14">SUM(D158:D159)</f>
        <v>0</v>
      </c>
      <c r="E160" s="116">
        <f t="shared" si="14"/>
        <v>0</v>
      </c>
      <c r="F160" s="116">
        <v>0</v>
      </c>
      <c r="G160" s="116"/>
      <c r="H160" s="116"/>
      <c r="I160" s="116"/>
    </row>
    <row r="161" spans="1:10" s="285" customFormat="1" x14ac:dyDescent="0.25">
      <c r="A161" s="344"/>
      <c r="B161" s="346"/>
      <c r="C161" s="93" t="s">
        <v>189</v>
      </c>
      <c r="D161" s="116">
        <f t="shared" ref="D161:I161" si="15">D160+D156+D151+D148+D70+D66+D63+D59+D38+D35+D32+D29+D25+D18</f>
        <v>1880581</v>
      </c>
      <c r="E161" s="116">
        <f t="shared" si="15"/>
        <v>5451871.8949999996</v>
      </c>
      <c r="F161" s="116">
        <f t="shared" si="15"/>
        <v>5623343.8949999996</v>
      </c>
      <c r="G161" s="116">
        <f t="shared" si="15"/>
        <v>5480476</v>
      </c>
      <c r="H161" s="116">
        <f t="shared" si="15"/>
        <v>5569282</v>
      </c>
      <c r="I161" s="116">
        <f t="shared" si="15"/>
        <v>5673282</v>
      </c>
    </row>
    <row r="162" spans="1:10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10" s="285" customFormat="1" hidden="1" x14ac:dyDescent="0.25">
      <c r="A163" s="118">
        <v>28</v>
      </c>
      <c r="B163" s="151">
        <v>6305</v>
      </c>
      <c r="C163" s="94" t="s">
        <v>190</v>
      </c>
      <c r="D163" s="85"/>
      <c r="E163" s="85"/>
      <c r="F163" s="85"/>
      <c r="G163" s="85"/>
      <c r="H163" s="85"/>
      <c r="I163" s="85"/>
    </row>
    <row r="164" spans="1:10" s="285" customFormat="1" hidden="1" x14ac:dyDescent="0.25">
      <c r="A164" s="344"/>
      <c r="B164" s="151"/>
      <c r="C164" s="94"/>
      <c r="D164" s="116">
        <f t="shared" ref="D164:E164" si="16">D163</f>
        <v>0</v>
      </c>
      <c r="E164" s="116">
        <f t="shared" si="16"/>
        <v>0</v>
      </c>
      <c r="F164" s="116">
        <v>0</v>
      </c>
      <c r="G164" s="116"/>
      <c r="H164" s="116"/>
      <c r="I164" s="116"/>
    </row>
    <row r="165" spans="1:10" s="285" customFormat="1" x14ac:dyDescent="0.25">
      <c r="A165" s="348"/>
      <c r="B165" s="152"/>
      <c r="C165" s="119" t="s">
        <v>191</v>
      </c>
      <c r="D165" s="160">
        <f t="shared" ref="D165:I165" si="17">SUM(D161+D164)</f>
        <v>1880581</v>
      </c>
      <c r="E165" s="160">
        <f t="shared" si="17"/>
        <v>5451871.8949999996</v>
      </c>
      <c r="F165" s="160">
        <f t="shared" si="17"/>
        <v>5623343.8949999996</v>
      </c>
      <c r="G165" s="160">
        <f t="shared" si="17"/>
        <v>5480476</v>
      </c>
      <c r="H165" s="160">
        <f t="shared" si="17"/>
        <v>5569282</v>
      </c>
      <c r="I165" s="160">
        <f t="shared" si="17"/>
        <v>5673282</v>
      </c>
    </row>
    <row r="166" spans="1:10" s="285" customFormat="1" x14ac:dyDescent="0.25">
      <c r="A166" s="344"/>
      <c r="B166" s="130"/>
      <c r="C166" s="115"/>
      <c r="D166" s="111"/>
      <c r="E166" s="111"/>
      <c r="F166" s="111"/>
      <c r="G166" s="111"/>
      <c r="H166" s="111"/>
      <c r="I166" s="402"/>
      <c r="J166" s="357"/>
    </row>
    <row r="167" spans="1:10" s="285" customFormat="1" x14ac:dyDescent="0.25">
      <c r="A167" s="349"/>
      <c r="B167" s="710" t="s">
        <v>418</v>
      </c>
      <c r="C167" s="710"/>
      <c r="D167" s="710"/>
      <c r="E167" s="338"/>
      <c r="F167" s="338"/>
      <c r="G167" s="425"/>
      <c r="H167" s="338"/>
      <c r="I167" s="364"/>
    </row>
    <row r="168" spans="1:10" s="285" customFormat="1" x14ac:dyDescent="0.25">
      <c r="A168" s="706" t="s">
        <v>21</v>
      </c>
      <c r="B168" s="707"/>
      <c r="C168" s="150" t="s">
        <v>22</v>
      </c>
      <c r="D168" s="103" t="s">
        <v>23</v>
      </c>
      <c r="E168" s="104" t="s">
        <v>24</v>
      </c>
      <c r="F168" s="103" t="s">
        <v>537</v>
      </c>
      <c r="G168" s="104" t="s">
        <v>24</v>
      </c>
      <c r="H168" s="104" t="s">
        <v>24</v>
      </c>
      <c r="I168" s="104" t="s">
        <v>24</v>
      </c>
    </row>
    <row r="169" spans="1:10" s="285" customFormat="1" x14ac:dyDescent="0.25">
      <c r="A169" s="708"/>
      <c r="B169" s="709"/>
      <c r="C169" s="106"/>
      <c r="D169" s="333">
        <v>41639</v>
      </c>
      <c r="E169" s="107" t="s">
        <v>384</v>
      </c>
      <c r="F169" s="107" t="s">
        <v>384</v>
      </c>
      <c r="G169" s="107" t="s">
        <v>409</v>
      </c>
      <c r="H169" s="107" t="s">
        <v>416</v>
      </c>
      <c r="I169" s="107" t="s">
        <v>532</v>
      </c>
    </row>
    <row r="170" spans="1:10" s="285" customFormat="1" hidden="1" x14ac:dyDescent="0.25">
      <c r="A170" s="350"/>
      <c r="B170" s="153"/>
      <c r="C170" s="93" t="s">
        <v>98</v>
      </c>
      <c r="D170" s="122"/>
      <c r="E170" s="98"/>
      <c r="F170" s="98"/>
      <c r="G170" s="98"/>
      <c r="H170" s="98"/>
      <c r="I170" s="98"/>
    </row>
    <row r="171" spans="1:10" s="285" customFormat="1" hidden="1" x14ac:dyDescent="0.25">
      <c r="A171" s="118">
        <v>28</v>
      </c>
      <c r="B171" s="151">
        <v>1237</v>
      </c>
      <c r="C171" s="94" t="s">
        <v>99</v>
      </c>
      <c r="D171" s="122"/>
      <c r="E171" s="108"/>
      <c r="F171" s="98">
        <v>0</v>
      </c>
      <c r="G171" s="98"/>
      <c r="H171" s="98"/>
      <c r="I171" s="108"/>
    </row>
    <row r="172" spans="1:10" s="285" customFormat="1" hidden="1" x14ac:dyDescent="0.25">
      <c r="A172" s="118">
        <v>28</v>
      </c>
      <c r="B172" s="151">
        <v>5725</v>
      </c>
      <c r="C172" s="94" t="s">
        <v>402</v>
      </c>
      <c r="D172" s="85">
        <v>0</v>
      </c>
      <c r="E172" s="85">
        <v>0</v>
      </c>
      <c r="F172" s="85">
        <v>0</v>
      </c>
      <c r="G172" s="85"/>
      <c r="H172" s="85"/>
      <c r="I172" s="85"/>
    </row>
    <row r="173" spans="1:10" s="285" customFormat="1" hidden="1" x14ac:dyDescent="0.25">
      <c r="A173" s="344"/>
      <c r="B173" s="151"/>
      <c r="C173" s="94"/>
      <c r="D173" s="99">
        <f>SUM(D171:D171)</f>
        <v>0</v>
      </c>
      <c r="E173" s="99">
        <f>SUM(E171)</f>
        <v>0</v>
      </c>
      <c r="F173" s="99">
        <v>0</v>
      </c>
      <c r="G173" s="99"/>
      <c r="H173" s="99"/>
      <c r="I173" s="99"/>
    </row>
    <row r="174" spans="1:10" s="285" customFormat="1" x14ac:dyDescent="0.25">
      <c r="A174" s="344"/>
      <c r="B174" s="151"/>
      <c r="C174" s="93" t="s">
        <v>100</v>
      </c>
      <c r="D174" s="122"/>
      <c r="E174" s="98"/>
      <c r="F174" s="98"/>
      <c r="G174" s="98"/>
      <c r="H174" s="98"/>
      <c r="I174" s="334"/>
    </row>
    <row r="175" spans="1:10" s="285" customFormat="1" x14ac:dyDescent="0.25">
      <c r="A175" s="118">
        <v>28</v>
      </c>
      <c r="B175" s="151">
        <v>1147</v>
      </c>
      <c r="C175" s="94" t="s">
        <v>102</v>
      </c>
      <c r="D175" s="122">
        <v>1078</v>
      </c>
      <c r="E175" s="98">
        <v>4801.6320000000005</v>
      </c>
      <c r="F175" s="85">
        <v>4801.6320000000005</v>
      </c>
      <c r="G175" s="86">
        <f>D175*2</f>
        <v>2156</v>
      </c>
      <c r="H175" s="86">
        <f t="shared" ref="H175:I175" si="18">(G175*0.1)+G175</f>
        <v>2371.6</v>
      </c>
      <c r="I175" s="86">
        <f t="shared" si="18"/>
        <v>2608.7599999999998</v>
      </c>
    </row>
    <row r="176" spans="1:10" s="285" customFormat="1" hidden="1" x14ac:dyDescent="0.25">
      <c r="A176" s="118">
        <v>28</v>
      </c>
      <c r="B176" s="151">
        <v>1202</v>
      </c>
      <c r="C176" s="94" t="s">
        <v>343</v>
      </c>
      <c r="D176" s="122"/>
      <c r="E176" s="98"/>
      <c r="F176" s="85">
        <v>0</v>
      </c>
      <c r="G176" s="86">
        <f t="shared" ref="G176:I176" si="19">(F176*0.1)+F176</f>
        <v>0</v>
      </c>
      <c r="H176" s="86">
        <f t="shared" si="19"/>
        <v>0</v>
      </c>
      <c r="I176" s="86">
        <f t="shared" si="19"/>
        <v>0</v>
      </c>
    </row>
    <row r="177" spans="1:9" s="285" customFormat="1" hidden="1" x14ac:dyDescent="0.25">
      <c r="A177" s="118">
        <v>28</v>
      </c>
      <c r="B177" s="151">
        <v>1207</v>
      </c>
      <c r="C177" s="94" t="s">
        <v>104</v>
      </c>
      <c r="D177" s="122"/>
      <c r="E177" s="98"/>
      <c r="F177" s="85">
        <v>0</v>
      </c>
      <c r="G177" s="86">
        <f t="shared" ref="G177:I177" si="20">(F177*0.1)+F177</f>
        <v>0</v>
      </c>
      <c r="H177" s="86">
        <f t="shared" si="20"/>
        <v>0</v>
      </c>
      <c r="I177" s="86">
        <f t="shared" si="20"/>
        <v>0</v>
      </c>
    </row>
    <row r="178" spans="1:9" s="285" customFormat="1" hidden="1" x14ac:dyDescent="0.25">
      <c r="A178" s="118">
        <v>28</v>
      </c>
      <c r="B178" s="151">
        <v>1153</v>
      </c>
      <c r="C178" s="94" t="s">
        <v>115</v>
      </c>
      <c r="D178" s="122"/>
      <c r="E178" s="98"/>
      <c r="F178" s="85">
        <v>0</v>
      </c>
      <c r="G178" s="86">
        <f t="shared" ref="G178:I178" si="21">(F178*0.1)+F178</f>
        <v>0</v>
      </c>
      <c r="H178" s="86">
        <f t="shared" si="21"/>
        <v>0</v>
      </c>
      <c r="I178" s="86">
        <f t="shared" si="21"/>
        <v>0</v>
      </c>
    </row>
    <row r="179" spans="1:9" s="285" customFormat="1" hidden="1" x14ac:dyDescent="0.25">
      <c r="A179" s="118">
        <v>28</v>
      </c>
      <c r="B179" s="151">
        <v>1143</v>
      </c>
      <c r="C179" s="94" t="s">
        <v>109</v>
      </c>
      <c r="D179" s="122"/>
      <c r="E179" s="98"/>
      <c r="F179" s="85">
        <v>0</v>
      </c>
      <c r="G179" s="86">
        <f t="shared" ref="G179:I179" si="22">(F179*0.1)+F179</f>
        <v>0</v>
      </c>
      <c r="H179" s="86">
        <f t="shared" si="22"/>
        <v>0</v>
      </c>
      <c r="I179" s="86">
        <f t="shared" si="22"/>
        <v>0</v>
      </c>
    </row>
    <row r="180" spans="1:9" s="285" customFormat="1" x14ac:dyDescent="0.25">
      <c r="A180" s="118">
        <v>28</v>
      </c>
      <c r="B180" s="151">
        <v>5500</v>
      </c>
      <c r="C180" s="94" t="s">
        <v>266</v>
      </c>
      <c r="D180" s="85"/>
      <c r="E180" s="85">
        <v>-90584</v>
      </c>
      <c r="F180" s="85">
        <v>-90584</v>
      </c>
      <c r="G180" s="86">
        <f t="shared" ref="G180:I180" si="23">(F180*0.1)+F180</f>
        <v>-99642.4</v>
      </c>
      <c r="H180" s="86">
        <f t="shared" si="23"/>
        <v>-109606.64</v>
      </c>
      <c r="I180" s="86">
        <f t="shared" si="23"/>
        <v>-120567.304</v>
      </c>
    </row>
    <row r="181" spans="1:9" s="285" customFormat="1" hidden="1" x14ac:dyDescent="0.25">
      <c r="A181" s="118">
        <v>28</v>
      </c>
      <c r="B181" s="151">
        <v>5705</v>
      </c>
      <c r="C181" s="94" t="s">
        <v>296</v>
      </c>
      <c r="D181" s="85"/>
      <c r="E181" s="85"/>
      <c r="F181" s="85">
        <v>0</v>
      </c>
      <c r="G181" s="86">
        <f t="shared" ref="G181:I181" si="24">(F181*0.1)+F181</f>
        <v>0</v>
      </c>
      <c r="H181" s="86">
        <f t="shared" si="24"/>
        <v>0</v>
      </c>
      <c r="I181" s="86">
        <f t="shared" si="24"/>
        <v>0</v>
      </c>
    </row>
    <row r="182" spans="1:9" s="285" customFormat="1" hidden="1" x14ac:dyDescent="0.25">
      <c r="A182" s="118">
        <v>28</v>
      </c>
      <c r="B182" s="151">
        <v>1140</v>
      </c>
      <c r="C182" s="94" t="s">
        <v>113</v>
      </c>
      <c r="D182" s="122"/>
      <c r="E182" s="98"/>
      <c r="F182" s="85">
        <v>0</v>
      </c>
      <c r="G182" s="86">
        <f t="shared" ref="G182:I182" si="25">(F182*0.1)+F182</f>
        <v>0</v>
      </c>
      <c r="H182" s="86">
        <f t="shared" si="25"/>
        <v>0</v>
      </c>
      <c r="I182" s="86">
        <f t="shared" si="25"/>
        <v>0</v>
      </c>
    </row>
    <row r="183" spans="1:9" s="285" customFormat="1" hidden="1" x14ac:dyDescent="0.25">
      <c r="A183" s="118">
        <v>28</v>
      </c>
      <c r="B183" s="151">
        <v>1145</v>
      </c>
      <c r="C183" s="94" t="s">
        <v>132</v>
      </c>
      <c r="D183" s="122"/>
      <c r="E183" s="98"/>
      <c r="F183" s="85">
        <v>0</v>
      </c>
      <c r="G183" s="86">
        <f t="shared" ref="G183:I183" si="26">(F183*0.1)+F183</f>
        <v>0</v>
      </c>
      <c r="H183" s="86">
        <f t="shared" si="26"/>
        <v>0</v>
      </c>
      <c r="I183" s="86">
        <f t="shared" si="26"/>
        <v>0</v>
      </c>
    </row>
    <row r="184" spans="1:9" s="285" customFormat="1" x14ac:dyDescent="0.25">
      <c r="A184" s="118">
        <v>28</v>
      </c>
      <c r="B184" s="151">
        <v>1150</v>
      </c>
      <c r="C184" s="94" t="s">
        <v>120</v>
      </c>
      <c r="D184" s="122"/>
      <c r="E184" s="98"/>
      <c r="F184" s="85">
        <v>0</v>
      </c>
      <c r="G184" s="86">
        <f t="shared" ref="G184:I184" si="27">(F184*0.1)+F184</f>
        <v>0</v>
      </c>
      <c r="H184" s="86">
        <f t="shared" si="27"/>
        <v>0</v>
      </c>
      <c r="I184" s="86">
        <f t="shared" si="27"/>
        <v>0</v>
      </c>
    </row>
    <row r="185" spans="1:9" s="285" customFormat="1" hidden="1" x14ac:dyDescent="0.25">
      <c r="A185" s="118">
        <v>28</v>
      </c>
      <c r="B185" s="151">
        <v>1155</v>
      </c>
      <c r="C185" s="94" t="s">
        <v>116</v>
      </c>
      <c r="D185" s="122"/>
      <c r="E185" s="98"/>
      <c r="F185" s="85">
        <v>0</v>
      </c>
      <c r="G185" s="86">
        <f t="shared" ref="G185:I185" si="28">(F185*0.1)+F185</f>
        <v>0</v>
      </c>
      <c r="H185" s="86">
        <f t="shared" si="28"/>
        <v>0</v>
      </c>
      <c r="I185" s="86">
        <f t="shared" si="28"/>
        <v>0</v>
      </c>
    </row>
    <row r="186" spans="1:9" s="285" customFormat="1" hidden="1" x14ac:dyDescent="0.25">
      <c r="A186" s="118">
        <v>28</v>
      </c>
      <c r="B186" s="151">
        <v>1160</v>
      </c>
      <c r="C186" s="94" t="s">
        <v>101</v>
      </c>
      <c r="D186" s="122"/>
      <c r="E186" s="98"/>
      <c r="F186" s="85">
        <v>0</v>
      </c>
      <c r="G186" s="86">
        <f t="shared" ref="G186:I186" si="29">(F186*0.1)+F186</f>
        <v>0</v>
      </c>
      <c r="H186" s="86">
        <f t="shared" si="29"/>
        <v>0</v>
      </c>
      <c r="I186" s="86">
        <f t="shared" si="29"/>
        <v>0</v>
      </c>
    </row>
    <row r="187" spans="1:9" s="285" customFormat="1" hidden="1" x14ac:dyDescent="0.25">
      <c r="A187" s="118">
        <v>28</v>
      </c>
      <c r="B187" s="151">
        <v>1165</v>
      </c>
      <c r="C187" s="94" t="s">
        <v>114</v>
      </c>
      <c r="D187" s="122"/>
      <c r="E187" s="98"/>
      <c r="F187" s="85">
        <v>0</v>
      </c>
      <c r="G187" s="86">
        <f t="shared" ref="G187:I187" si="30">(F187*0.1)+F187</f>
        <v>0</v>
      </c>
      <c r="H187" s="86">
        <f t="shared" si="30"/>
        <v>0</v>
      </c>
      <c r="I187" s="86">
        <f t="shared" si="30"/>
        <v>0</v>
      </c>
    </row>
    <row r="188" spans="1:9" s="285" customFormat="1" hidden="1" x14ac:dyDescent="0.25">
      <c r="A188" s="118"/>
      <c r="B188" s="151"/>
      <c r="C188" s="94" t="s">
        <v>403</v>
      </c>
      <c r="D188" s="122"/>
      <c r="E188" s="98"/>
      <c r="F188" s="85">
        <v>0</v>
      </c>
      <c r="G188" s="86">
        <f t="shared" ref="G188:I188" si="31">(F188*0.1)+F188</f>
        <v>0</v>
      </c>
      <c r="H188" s="86">
        <f t="shared" si="31"/>
        <v>0</v>
      </c>
      <c r="I188" s="86">
        <f t="shared" si="31"/>
        <v>0</v>
      </c>
    </row>
    <row r="189" spans="1:9" s="285" customFormat="1" hidden="1" x14ac:dyDescent="0.25">
      <c r="A189" s="118">
        <v>28</v>
      </c>
      <c r="B189" s="151">
        <v>1180</v>
      </c>
      <c r="C189" s="94" t="s">
        <v>404</v>
      </c>
      <c r="D189" s="122"/>
      <c r="E189" s="98"/>
      <c r="F189" s="85">
        <v>0</v>
      </c>
      <c r="G189" s="86">
        <f t="shared" ref="G189:I189" si="32">(F189*0.1)+F189</f>
        <v>0</v>
      </c>
      <c r="H189" s="86">
        <f t="shared" si="32"/>
        <v>0</v>
      </c>
      <c r="I189" s="86">
        <f t="shared" si="32"/>
        <v>0</v>
      </c>
    </row>
    <row r="190" spans="1:9" s="285" customFormat="1" hidden="1" x14ac:dyDescent="0.25">
      <c r="A190" s="118">
        <v>28</v>
      </c>
      <c r="B190" s="151">
        <v>1185</v>
      </c>
      <c r="C190" s="94" t="s">
        <v>405</v>
      </c>
      <c r="D190" s="122"/>
      <c r="E190" s="98"/>
      <c r="F190" s="85">
        <v>0</v>
      </c>
      <c r="G190" s="86">
        <f t="shared" ref="G190:I190" si="33">(F190*0.1)+F190</f>
        <v>0</v>
      </c>
      <c r="H190" s="86">
        <f t="shared" si="33"/>
        <v>0</v>
      </c>
      <c r="I190" s="86">
        <f t="shared" si="33"/>
        <v>0</v>
      </c>
    </row>
    <row r="191" spans="1:9" s="285" customFormat="1" hidden="1" x14ac:dyDescent="0.25">
      <c r="A191" s="118">
        <v>28</v>
      </c>
      <c r="B191" s="151">
        <v>1190</v>
      </c>
      <c r="C191" s="94" t="s">
        <v>406</v>
      </c>
      <c r="D191" s="122"/>
      <c r="E191" s="98"/>
      <c r="F191" s="85">
        <v>0</v>
      </c>
      <c r="G191" s="86">
        <f t="shared" ref="G191:I191" si="34">(F191*0.1)+F191</f>
        <v>0</v>
      </c>
      <c r="H191" s="86">
        <f t="shared" si="34"/>
        <v>0</v>
      </c>
      <c r="I191" s="86">
        <f t="shared" si="34"/>
        <v>0</v>
      </c>
    </row>
    <row r="192" spans="1:9" s="285" customFormat="1" hidden="1" x14ac:dyDescent="0.25">
      <c r="A192" s="118"/>
      <c r="B192" s="151"/>
      <c r="C192" s="94" t="s">
        <v>407</v>
      </c>
      <c r="D192" s="122"/>
      <c r="E192" s="98"/>
      <c r="F192" s="85">
        <v>0</v>
      </c>
      <c r="G192" s="86">
        <f t="shared" ref="G192:I192" si="35">(F192*0.1)+F192</f>
        <v>0</v>
      </c>
      <c r="H192" s="86">
        <f t="shared" si="35"/>
        <v>0</v>
      </c>
      <c r="I192" s="86">
        <f t="shared" si="35"/>
        <v>0</v>
      </c>
    </row>
    <row r="193" spans="1:9" s="285" customFormat="1" hidden="1" x14ac:dyDescent="0.25">
      <c r="A193" s="118">
        <v>28</v>
      </c>
      <c r="B193" s="151">
        <v>1195</v>
      </c>
      <c r="C193" s="94" t="s">
        <v>199</v>
      </c>
      <c r="D193" s="122"/>
      <c r="E193" s="98"/>
      <c r="F193" s="85">
        <v>0</v>
      </c>
      <c r="G193" s="86">
        <f t="shared" ref="G193:I193" si="36">(F193*0.1)+F193</f>
        <v>0</v>
      </c>
      <c r="H193" s="86">
        <f t="shared" si="36"/>
        <v>0</v>
      </c>
      <c r="I193" s="86">
        <f t="shared" si="36"/>
        <v>0</v>
      </c>
    </row>
    <row r="194" spans="1:9" s="285" customFormat="1" hidden="1" x14ac:dyDescent="0.25">
      <c r="A194" s="118">
        <v>28</v>
      </c>
      <c r="B194" s="151">
        <v>1200</v>
      </c>
      <c r="C194" s="94" t="s">
        <v>117</v>
      </c>
      <c r="D194" s="122"/>
      <c r="E194" s="98"/>
      <c r="F194" s="85">
        <v>0</v>
      </c>
      <c r="G194" s="86">
        <f t="shared" ref="G194:I194" si="37">(F194*0.1)+F194</f>
        <v>0</v>
      </c>
      <c r="H194" s="86">
        <f t="shared" si="37"/>
        <v>0</v>
      </c>
      <c r="I194" s="86">
        <f t="shared" si="37"/>
        <v>0</v>
      </c>
    </row>
    <row r="195" spans="1:9" s="285" customFormat="1" hidden="1" x14ac:dyDescent="0.25">
      <c r="A195" s="118">
        <v>28</v>
      </c>
      <c r="B195" s="151">
        <v>1205</v>
      </c>
      <c r="C195" s="115" t="s">
        <v>105</v>
      </c>
      <c r="D195" s="122"/>
      <c r="E195" s="98"/>
      <c r="F195" s="85">
        <v>0</v>
      </c>
      <c r="G195" s="86">
        <f t="shared" ref="G195:I195" si="38">(F195*0.1)+F195</f>
        <v>0</v>
      </c>
      <c r="H195" s="86">
        <f t="shared" si="38"/>
        <v>0</v>
      </c>
      <c r="I195" s="86">
        <f t="shared" si="38"/>
        <v>0</v>
      </c>
    </row>
    <row r="196" spans="1:9" s="285" customFormat="1" hidden="1" x14ac:dyDescent="0.25">
      <c r="A196" s="118">
        <v>28</v>
      </c>
      <c r="B196" s="151">
        <v>1210</v>
      </c>
      <c r="C196" s="94" t="s">
        <v>118</v>
      </c>
      <c r="D196" s="122"/>
      <c r="E196" s="98"/>
      <c r="F196" s="85">
        <v>0</v>
      </c>
      <c r="G196" s="86">
        <f t="shared" ref="G196:I196" si="39">(F196*0.1)+F196</f>
        <v>0</v>
      </c>
      <c r="H196" s="86">
        <f t="shared" si="39"/>
        <v>0</v>
      </c>
      <c r="I196" s="86">
        <f t="shared" si="39"/>
        <v>0</v>
      </c>
    </row>
    <row r="197" spans="1:9" s="285" customFormat="1" hidden="1" x14ac:dyDescent="0.25">
      <c r="A197" s="118">
        <v>28</v>
      </c>
      <c r="B197" s="151">
        <v>1215</v>
      </c>
      <c r="C197" s="94" t="s">
        <v>133</v>
      </c>
      <c r="D197" s="122"/>
      <c r="E197" s="98"/>
      <c r="F197" s="85">
        <v>0</v>
      </c>
      <c r="G197" s="86">
        <f t="shared" ref="G197:I197" si="40">(F197*0.1)+F197</f>
        <v>0</v>
      </c>
      <c r="H197" s="86">
        <f t="shared" si="40"/>
        <v>0</v>
      </c>
      <c r="I197" s="86">
        <f t="shared" si="40"/>
        <v>0</v>
      </c>
    </row>
    <row r="198" spans="1:9" s="285" customFormat="1" hidden="1" x14ac:dyDescent="0.25">
      <c r="A198" s="118">
        <v>28</v>
      </c>
      <c r="B198" s="151">
        <v>5905</v>
      </c>
      <c r="C198" s="94" t="s">
        <v>329</v>
      </c>
      <c r="D198" s="85"/>
      <c r="E198" s="85"/>
      <c r="F198" s="85">
        <v>0</v>
      </c>
      <c r="G198" s="86">
        <f t="shared" ref="G198:I198" si="41">(F198*0.1)+F198</f>
        <v>0</v>
      </c>
      <c r="H198" s="86">
        <f t="shared" si="41"/>
        <v>0</v>
      </c>
      <c r="I198" s="86">
        <f t="shared" si="41"/>
        <v>0</v>
      </c>
    </row>
    <row r="199" spans="1:9" s="285" customFormat="1" x14ac:dyDescent="0.25">
      <c r="A199" s="118">
        <v>28</v>
      </c>
      <c r="B199" s="151">
        <v>5900</v>
      </c>
      <c r="C199" s="94" t="s">
        <v>333</v>
      </c>
      <c r="D199" s="85"/>
      <c r="E199" s="85">
        <v>-56746</v>
      </c>
      <c r="F199" s="85">
        <v>-56746</v>
      </c>
      <c r="G199" s="86">
        <f t="shared" ref="G199:I199" si="42">(F199*0.1)+F199</f>
        <v>-62420.6</v>
      </c>
      <c r="H199" s="86">
        <f t="shared" si="42"/>
        <v>-68662.66</v>
      </c>
      <c r="I199" s="86">
        <f t="shared" si="42"/>
        <v>-75528.926000000007</v>
      </c>
    </row>
    <row r="200" spans="1:9" s="285" customFormat="1" hidden="1" x14ac:dyDescent="0.25">
      <c r="A200" s="118">
        <v>28</v>
      </c>
      <c r="B200" s="151">
        <v>1220</v>
      </c>
      <c r="C200" s="94" t="s">
        <v>340</v>
      </c>
      <c r="D200" s="122"/>
      <c r="E200" s="98"/>
      <c r="F200" s="85">
        <v>0</v>
      </c>
      <c r="G200" s="86">
        <f t="shared" ref="G200:I200" si="43">(F200*0.1)+F200</f>
        <v>0</v>
      </c>
      <c r="H200" s="86">
        <f t="shared" si="43"/>
        <v>0</v>
      </c>
      <c r="I200" s="86">
        <f t="shared" si="43"/>
        <v>0</v>
      </c>
    </row>
    <row r="201" spans="1:9" s="285" customFormat="1" x14ac:dyDescent="0.25">
      <c r="A201" s="118">
        <v>28</v>
      </c>
      <c r="B201" s="151">
        <v>1225</v>
      </c>
      <c r="C201" s="94" t="s">
        <v>372</v>
      </c>
      <c r="D201" s="122"/>
      <c r="E201" s="98"/>
      <c r="F201" s="85">
        <v>0</v>
      </c>
      <c r="G201" s="86">
        <f t="shared" ref="G201:I201" si="44">(F201*0.1)+F201</f>
        <v>0</v>
      </c>
      <c r="H201" s="86">
        <f t="shared" si="44"/>
        <v>0</v>
      </c>
      <c r="I201" s="86">
        <f t="shared" si="44"/>
        <v>0</v>
      </c>
    </row>
    <row r="202" spans="1:9" s="285" customFormat="1" x14ac:dyDescent="0.25">
      <c r="A202" s="118">
        <v>28</v>
      </c>
      <c r="B202" s="151">
        <v>1230</v>
      </c>
      <c r="C202" s="94" t="s">
        <v>119</v>
      </c>
      <c r="D202" s="122">
        <v>1241</v>
      </c>
      <c r="E202" s="98">
        <v>1249.1199999999999</v>
      </c>
      <c r="F202" s="85">
        <v>1249.1199999999999</v>
      </c>
      <c r="G202" s="86">
        <f>D202*2</f>
        <v>2482</v>
      </c>
      <c r="H202" s="86">
        <f t="shared" ref="H202:I202" si="45">(G202*0.1)+G202</f>
        <v>2730.2</v>
      </c>
      <c r="I202" s="86">
        <f t="shared" si="45"/>
        <v>3003.22</v>
      </c>
    </row>
    <row r="203" spans="1:9" s="285" customFormat="1" hidden="1" x14ac:dyDescent="0.25">
      <c r="A203" s="118">
        <v>28</v>
      </c>
      <c r="B203" s="151">
        <v>1235</v>
      </c>
      <c r="C203" s="94" t="s">
        <v>347</v>
      </c>
      <c r="D203" s="122"/>
      <c r="E203" s="98"/>
      <c r="F203" s="98">
        <v>0</v>
      </c>
      <c r="G203" s="98"/>
      <c r="H203" s="98"/>
      <c r="I203" s="98"/>
    </row>
    <row r="204" spans="1:9" s="285" customFormat="1" hidden="1" x14ac:dyDescent="0.25">
      <c r="A204" s="118"/>
      <c r="B204" s="151"/>
      <c r="C204" s="94" t="s">
        <v>512</v>
      </c>
      <c r="D204" s="225"/>
      <c r="E204" s="85"/>
      <c r="F204" s="85"/>
      <c r="G204" s="85"/>
      <c r="H204" s="85"/>
      <c r="I204" s="85"/>
    </row>
    <row r="205" spans="1:9" s="285" customFormat="1" x14ac:dyDescent="0.25">
      <c r="A205" s="344"/>
      <c r="B205" s="151"/>
      <c r="C205" s="94"/>
      <c r="D205" s="100">
        <f t="shared" ref="D205:I205" si="46">SUM(D175:D203)</f>
        <v>2319</v>
      </c>
      <c r="E205" s="100">
        <f t="shared" si="46"/>
        <v>-141279.24800000002</v>
      </c>
      <c r="F205" s="100">
        <f t="shared" si="46"/>
        <v>-141279.24800000002</v>
      </c>
      <c r="G205" s="100">
        <f t="shared" si="46"/>
        <v>-157425</v>
      </c>
      <c r="H205" s="100">
        <f t="shared" si="46"/>
        <v>-173167.5</v>
      </c>
      <c r="I205" s="100">
        <f t="shared" si="46"/>
        <v>-190484.25000000003</v>
      </c>
    </row>
    <row r="206" spans="1:9" s="285" customFormat="1" x14ac:dyDescent="0.25">
      <c r="A206" s="344"/>
      <c r="B206" s="151"/>
      <c r="C206" s="93" t="s">
        <v>66</v>
      </c>
      <c r="D206" s="122"/>
      <c r="E206" s="98"/>
      <c r="F206" s="98"/>
      <c r="G206" s="98"/>
      <c r="H206" s="98"/>
      <c r="I206" s="334"/>
    </row>
    <row r="207" spans="1:9" s="285" customFormat="1" x14ac:dyDescent="0.25">
      <c r="A207" s="118">
        <v>28</v>
      </c>
      <c r="B207" s="151">
        <v>1305</v>
      </c>
      <c r="C207" s="94" t="s">
        <v>342</v>
      </c>
      <c r="D207" s="122">
        <v>-989</v>
      </c>
      <c r="E207" s="98">
        <v>210</v>
      </c>
      <c r="F207" s="85">
        <v>-1256.5519999999999</v>
      </c>
      <c r="G207" s="85">
        <v>-1256.5519999999999</v>
      </c>
      <c r="H207" s="85">
        <v>-1256.5519999999999</v>
      </c>
      <c r="I207" s="85">
        <v>-1256.5519999999999</v>
      </c>
    </row>
    <row r="208" spans="1:9" s="285" customFormat="1" hidden="1" x14ac:dyDescent="0.25">
      <c r="A208" s="118">
        <v>28</v>
      </c>
      <c r="B208" s="151">
        <v>1310</v>
      </c>
      <c r="C208" s="94" t="s">
        <v>344</v>
      </c>
      <c r="D208" s="122"/>
      <c r="E208" s="98"/>
      <c r="F208" s="98">
        <v>0</v>
      </c>
      <c r="G208" s="98"/>
      <c r="H208" s="98"/>
      <c r="I208" s="98"/>
    </row>
    <row r="209" spans="1:9" s="285" customFormat="1" hidden="1" x14ac:dyDescent="0.25">
      <c r="A209" s="118">
        <v>28</v>
      </c>
      <c r="B209" s="151">
        <v>1320</v>
      </c>
      <c r="C209" s="94" t="s">
        <v>345</v>
      </c>
      <c r="D209" s="122"/>
      <c r="E209" s="98"/>
      <c r="F209" s="98">
        <v>0</v>
      </c>
      <c r="G209" s="98"/>
      <c r="H209" s="98"/>
      <c r="I209" s="98"/>
    </row>
    <row r="210" spans="1:9" s="285" customFormat="1" hidden="1" x14ac:dyDescent="0.25">
      <c r="A210" s="118">
        <v>28</v>
      </c>
      <c r="B210" s="151">
        <v>1315</v>
      </c>
      <c r="C210" s="94" t="s">
        <v>346</v>
      </c>
      <c r="D210" s="122"/>
      <c r="E210" s="108"/>
      <c r="F210" s="98">
        <v>0</v>
      </c>
      <c r="G210" s="98"/>
      <c r="H210" s="98"/>
      <c r="I210" s="108"/>
    </row>
    <row r="211" spans="1:9" s="285" customFormat="1" x14ac:dyDescent="0.25">
      <c r="A211" s="344"/>
      <c r="B211" s="151"/>
      <c r="C211" s="94"/>
      <c r="D211" s="99">
        <f t="shared" ref="D211:I211" si="47">SUM(D207:D210)</f>
        <v>-989</v>
      </c>
      <c r="E211" s="99">
        <f t="shared" si="47"/>
        <v>210</v>
      </c>
      <c r="F211" s="99">
        <f t="shared" si="47"/>
        <v>-1256.5519999999999</v>
      </c>
      <c r="G211" s="99">
        <f t="shared" si="47"/>
        <v>-1256.5519999999999</v>
      </c>
      <c r="H211" s="99">
        <f t="shared" si="47"/>
        <v>-1256.5519999999999</v>
      </c>
      <c r="I211" s="99">
        <f t="shared" si="47"/>
        <v>-1256.5519999999999</v>
      </c>
    </row>
    <row r="212" spans="1:9" s="285" customFormat="1" hidden="1" x14ac:dyDescent="0.25">
      <c r="A212" s="344"/>
      <c r="B212" s="151"/>
      <c r="C212" s="93" t="s">
        <v>67</v>
      </c>
      <c r="D212" s="122"/>
      <c r="E212" s="98"/>
      <c r="F212" s="98"/>
      <c r="G212" s="98"/>
      <c r="H212" s="98"/>
      <c r="I212" s="98"/>
    </row>
    <row r="213" spans="1:9" s="285" customFormat="1" hidden="1" x14ac:dyDescent="0.25">
      <c r="A213" s="118">
        <v>28</v>
      </c>
      <c r="B213" s="151">
        <v>1400</v>
      </c>
      <c r="C213" s="94" t="s">
        <v>68</v>
      </c>
      <c r="D213" s="122"/>
      <c r="E213" s="108"/>
      <c r="F213" s="98"/>
      <c r="G213" s="98"/>
      <c r="H213" s="98"/>
      <c r="I213" s="108"/>
    </row>
    <row r="214" spans="1:9" s="285" customFormat="1" hidden="1" x14ac:dyDescent="0.25">
      <c r="A214" s="118">
        <v>28</v>
      </c>
      <c r="B214" s="151">
        <v>1405</v>
      </c>
      <c r="C214" s="94" t="s">
        <v>69</v>
      </c>
      <c r="D214" s="122"/>
      <c r="E214" s="108"/>
      <c r="F214" s="98"/>
      <c r="G214" s="98"/>
      <c r="H214" s="98"/>
      <c r="I214" s="108"/>
    </row>
    <row r="215" spans="1:9" s="285" customFormat="1" hidden="1" x14ac:dyDescent="0.25">
      <c r="A215" s="344"/>
      <c r="B215" s="151"/>
      <c r="C215" s="94"/>
      <c r="D215" s="99">
        <f t="shared" ref="D215:E215" si="48">SUM(D213:D214)</f>
        <v>0</v>
      </c>
      <c r="E215" s="99">
        <f t="shared" si="48"/>
        <v>0</v>
      </c>
      <c r="F215" s="99">
        <v>0</v>
      </c>
      <c r="G215" s="99"/>
      <c r="H215" s="99"/>
      <c r="I215" s="99"/>
    </row>
    <row r="216" spans="1:9" s="285" customFormat="1" hidden="1" x14ac:dyDescent="0.25">
      <c r="A216" s="344"/>
      <c r="B216" s="151"/>
      <c r="C216" s="93" t="s">
        <v>70</v>
      </c>
      <c r="D216" s="122"/>
      <c r="E216" s="98"/>
      <c r="F216" s="98"/>
      <c r="G216" s="98"/>
      <c r="H216" s="98"/>
      <c r="I216" s="98"/>
    </row>
    <row r="217" spans="1:9" s="285" customFormat="1" hidden="1" x14ac:dyDescent="0.25">
      <c r="A217" s="118">
        <v>28</v>
      </c>
      <c r="B217" s="151">
        <v>1500</v>
      </c>
      <c r="C217" s="94" t="s">
        <v>106</v>
      </c>
      <c r="D217" s="122"/>
      <c r="E217" s="108"/>
      <c r="F217" s="98"/>
      <c r="G217" s="98"/>
      <c r="H217" s="98"/>
      <c r="I217" s="108"/>
    </row>
    <row r="218" spans="1:9" s="285" customFormat="1" hidden="1" x14ac:dyDescent="0.25">
      <c r="A218" s="118">
        <v>28</v>
      </c>
      <c r="B218" s="151">
        <v>1505</v>
      </c>
      <c r="C218" s="94" t="s">
        <v>71</v>
      </c>
      <c r="D218" s="122"/>
      <c r="E218" s="108"/>
      <c r="F218" s="98"/>
      <c r="G218" s="98"/>
      <c r="H218" s="98"/>
      <c r="I218" s="108"/>
    </row>
    <row r="219" spans="1:9" s="285" customFormat="1" hidden="1" x14ac:dyDescent="0.25">
      <c r="A219" s="118">
        <v>28</v>
      </c>
      <c r="B219" s="151">
        <v>1510</v>
      </c>
      <c r="C219" s="94" t="s">
        <v>72</v>
      </c>
      <c r="D219" s="122"/>
      <c r="E219" s="108"/>
      <c r="F219" s="98"/>
      <c r="G219" s="98"/>
      <c r="H219" s="98"/>
      <c r="I219" s="108"/>
    </row>
    <row r="220" spans="1:9" s="285" customFormat="1" hidden="1" x14ac:dyDescent="0.25">
      <c r="A220" s="344"/>
      <c r="B220" s="151"/>
      <c r="C220" s="94"/>
      <c r="D220" s="99">
        <f t="shared" ref="D220:E220" si="49">SUM(D217:D219)</f>
        <v>0</v>
      </c>
      <c r="E220" s="99">
        <f t="shared" si="49"/>
        <v>0</v>
      </c>
      <c r="F220" s="99">
        <v>0</v>
      </c>
      <c r="G220" s="99"/>
      <c r="H220" s="99"/>
      <c r="I220" s="99"/>
    </row>
    <row r="221" spans="1:9" s="285" customFormat="1" hidden="1" x14ac:dyDescent="0.25">
      <c r="A221" s="344"/>
      <c r="B221" s="151"/>
      <c r="C221" s="93" t="s">
        <v>73</v>
      </c>
      <c r="D221" s="122"/>
      <c r="E221" s="98"/>
      <c r="F221" s="98"/>
      <c r="G221" s="98"/>
      <c r="H221" s="98"/>
      <c r="I221" s="98"/>
    </row>
    <row r="222" spans="1:9" s="285" customFormat="1" hidden="1" x14ac:dyDescent="0.25">
      <c r="A222" s="118">
        <v>28</v>
      </c>
      <c r="B222" s="151">
        <v>1550</v>
      </c>
      <c r="C222" s="94" t="s">
        <v>349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28</v>
      </c>
      <c r="B223" s="151">
        <v>1555</v>
      </c>
      <c r="C223" s="94" t="s">
        <v>348</v>
      </c>
      <c r="D223" s="122"/>
      <c r="E223" s="98"/>
      <c r="F223" s="98"/>
      <c r="G223" s="98"/>
      <c r="H223" s="98"/>
      <c r="I223" s="108"/>
    </row>
    <row r="224" spans="1:9" s="285" customFormat="1" hidden="1" x14ac:dyDescent="0.25">
      <c r="A224" s="344"/>
      <c r="B224" s="151"/>
      <c r="C224" s="94"/>
      <c r="D224" s="100">
        <f t="shared" ref="D224:E224" si="50">SUM(D222:D223)</f>
        <v>0</v>
      </c>
      <c r="E224" s="100">
        <f t="shared" si="50"/>
        <v>0</v>
      </c>
      <c r="F224" s="100">
        <v>0</v>
      </c>
      <c r="G224" s="100"/>
      <c r="H224" s="100"/>
      <c r="I224" s="100"/>
    </row>
    <row r="225" spans="1:9" s="285" customFormat="1" ht="13.5" hidden="1" customHeight="1" x14ac:dyDescent="0.25">
      <c r="A225" s="344"/>
      <c r="B225" s="151"/>
      <c r="C225" s="93" t="s">
        <v>74</v>
      </c>
      <c r="D225" s="122"/>
      <c r="E225" s="98"/>
      <c r="F225" s="98"/>
      <c r="G225" s="98"/>
      <c r="H225" s="98"/>
      <c r="I225" s="98"/>
    </row>
    <row r="226" spans="1:9" s="285" customFormat="1" hidden="1" x14ac:dyDescent="0.25">
      <c r="A226" s="118">
        <v>28</v>
      </c>
      <c r="B226" s="151">
        <v>1605</v>
      </c>
      <c r="C226" s="94" t="s">
        <v>75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28</v>
      </c>
      <c r="B227" s="151">
        <v>1610</v>
      </c>
      <c r="C227" s="94" t="s">
        <v>131</v>
      </c>
      <c r="D227" s="122"/>
      <c r="E227" s="108"/>
      <c r="F227" s="98"/>
      <c r="G227" s="98"/>
      <c r="H227" s="98"/>
      <c r="I227" s="98"/>
    </row>
    <row r="228" spans="1:9" s="285" customFormat="1" hidden="1" x14ac:dyDescent="0.25">
      <c r="A228" s="118">
        <v>28</v>
      </c>
      <c r="B228" s="151">
        <v>1615</v>
      </c>
      <c r="C228" s="94" t="s">
        <v>182</v>
      </c>
      <c r="D228" s="122"/>
      <c r="E228" s="108"/>
      <c r="F228" s="98"/>
      <c r="G228" s="98"/>
      <c r="H228" s="98"/>
      <c r="I228" s="98"/>
    </row>
    <row r="229" spans="1:9" s="285" customFormat="1" hidden="1" x14ac:dyDescent="0.25">
      <c r="A229" s="118">
        <v>28</v>
      </c>
      <c r="B229" s="151">
        <v>1620</v>
      </c>
      <c r="C229" s="94" t="s">
        <v>255</v>
      </c>
      <c r="D229" s="122"/>
      <c r="E229" s="108"/>
      <c r="F229" s="98"/>
      <c r="G229" s="98"/>
      <c r="H229" s="98"/>
      <c r="I229" s="98"/>
    </row>
    <row r="230" spans="1:9" s="285" customFormat="1" hidden="1" x14ac:dyDescent="0.25">
      <c r="A230" s="118">
        <v>28</v>
      </c>
      <c r="B230" s="151">
        <v>1625</v>
      </c>
      <c r="C230" s="94" t="s">
        <v>108</v>
      </c>
      <c r="D230" s="122"/>
      <c r="E230" s="108"/>
      <c r="F230" s="98"/>
      <c r="G230" s="98"/>
      <c r="H230" s="98"/>
      <c r="I230" s="98"/>
    </row>
    <row r="231" spans="1:9" s="285" customFormat="1" hidden="1" x14ac:dyDescent="0.25">
      <c r="A231" s="118">
        <v>28</v>
      </c>
      <c r="B231" s="151">
        <v>1630</v>
      </c>
      <c r="C231" s="94" t="s">
        <v>76</v>
      </c>
      <c r="D231" s="122"/>
      <c r="E231" s="108"/>
      <c r="F231" s="98"/>
      <c r="G231" s="98"/>
      <c r="H231" s="98"/>
      <c r="I231" s="98"/>
    </row>
    <row r="232" spans="1:9" s="285" customFormat="1" hidden="1" x14ac:dyDescent="0.25">
      <c r="A232" s="118">
        <v>28</v>
      </c>
      <c r="B232" s="151">
        <v>1635</v>
      </c>
      <c r="C232" s="94" t="s">
        <v>180</v>
      </c>
      <c r="D232" s="122"/>
      <c r="E232" s="108"/>
      <c r="F232" s="98"/>
      <c r="G232" s="98"/>
      <c r="H232" s="98"/>
      <c r="I232" s="98"/>
    </row>
    <row r="233" spans="1:9" s="285" customFormat="1" hidden="1" x14ac:dyDescent="0.25">
      <c r="A233" s="118">
        <v>28</v>
      </c>
      <c r="B233" s="151">
        <v>1640</v>
      </c>
      <c r="C233" s="94" t="s">
        <v>184</v>
      </c>
      <c r="D233" s="122"/>
      <c r="E233" s="108"/>
      <c r="F233" s="98"/>
      <c r="G233" s="98"/>
      <c r="H233" s="98"/>
      <c r="I233" s="98"/>
    </row>
    <row r="234" spans="1:9" s="285" customFormat="1" hidden="1" x14ac:dyDescent="0.25">
      <c r="A234" s="118">
        <v>28</v>
      </c>
      <c r="B234" s="151">
        <v>1645</v>
      </c>
      <c r="C234" s="94" t="s">
        <v>77</v>
      </c>
      <c r="D234" s="122"/>
      <c r="E234" s="108"/>
      <c r="F234" s="98"/>
      <c r="G234" s="98"/>
      <c r="H234" s="98"/>
      <c r="I234" s="98"/>
    </row>
    <row r="235" spans="1:9" s="285" customFormat="1" hidden="1" x14ac:dyDescent="0.25">
      <c r="A235" s="118">
        <v>28</v>
      </c>
      <c r="B235" s="151">
        <v>1650</v>
      </c>
      <c r="C235" s="94" t="s">
        <v>78</v>
      </c>
      <c r="D235" s="122"/>
      <c r="E235" s="108"/>
      <c r="F235" s="98"/>
      <c r="G235" s="98"/>
      <c r="H235" s="98"/>
      <c r="I235" s="98"/>
    </row>
    <row r="236" spans="1:9" s="285" customFormat="1" hidden="1" x14ac:dyDescent="0.25">
      <c r="A236" s="118">
        <v>28</v>
      </c>
      <c r="B236" s="151"/>
      <c r="C236" s="94" t="s">
        <v>200</v>
      </c>
      <c r="D236" s="122"/>
      <c r="E236" s="108"/>
      <c r="F236" s="98"/>
      <c r="G236" s="98"/>
      <c r="H236" s="98"/>
      <c r="I236" s="98"/>
    </row>
    <row r="237" spans="1:9" s="285" customFormat="1" hidden="1" x14ac:dyDescent="0.25">
      <c r="A237" s="118">
        <v>28</v>
      </c>
      <c r="B237" s="151">
        <v>1660</v>
      </c>
      <c r="C237" s="94" t="s">
        <v>185</v>
      </c>
      <c r="D237" s="122"/>
      <c r="E237" s="108"/>
      <c r="F237" s="98"/>
      <c r="G237" s="98"/>
      <c r="H237" s="98"/>
      <c r="I237" s="98"/>
    </row>
    <row r="238" spans="1:9" s="285" customFormat="1" hidden="1" x14ac:dyDescent="0.25">
      <c r="A238" s="118">
        <v>28</v>
      </c>
      <c r="B238" s="151">
        <v>1665</v>
      </c>
      <c r="C238" s="94" t="s">
        <v>181</v>
      </c>
      <c r="D238" s="122"/>
      <c r="E238" s="108"/>
      <c r="F238" s="98"/>
      <c r="G238" s="98"/>
      <c r="H238" s="98"/>
      <c r="I238" s="98"/>
    </row>
    <row r="239" spans="1:9" s="285" customFormat="1" hidden="1" x14ac:dyDescent="0.25">
      <c r="A239" s="344"/>
      <c r="B239" s="151"/>
      <c r="C239" s="94"/>
      <c r="D239" s="99">
        <f>SUM(D226:D235)</f>
        <v>0</v>
      </c>
      <c r="E239" s="99">
        <f t="shared" ref="E239" si="51">SUM(E226:E238)</f>
        <v>0</v>
      </c>
      <c r="F239" s="99">
        <v>0</v>
      </c>
      <c r="G239" s="99"/>
      <c r="H239" s="99"/>
      <c r="I239" s="99"/>
    </row>
    <row r="240" spans="1:9" s="285" customFormat="1" hidden="1" x14ac:dyDescent="0.25">
      <c r="A240" s="344"/>
      <c r="B240" s="151"/>
      <c r="C240" s="93" t="s">
        <v>79</v>
      </c>
      <c r="D240" s="122"/>
      <c r="E240" s="98"/>
      <c r="F240" s="98"/>
      <c r="G240" s="98"/>
      <c r="H240" s="98"/>
      <c r="I240" s="98"/>
    </row>
    <row r="241" spans="1:9" s="285" customFormat="1" hidden="1" x14ac:dyDescent="0.25">
      <c r="A241" s="118">
        <v>28</v>
      </c>
      <c r="B241" s="151">
        <v>1705</v>
      </c>
      <c r="C241" s="94" t="s">
        <v>123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28</v>
      </c>
      <c r="B242" s="151">
        <v>1710</v>
      </c>
      <c r="C242" s="94" t="s">
        <v>242</v>
      </c>
      <c r="D242" s="122"/>
      <c r="E242" s="98"/>
      <c r="F242" s="98"/>
      <c r="G242" s="98"/>
      <c r="H242" s="98"/>
      <c r="I242" s="98"/>
    </row>
    <row r="243" spans="1:9" s="285" customFormat="1" hidden="1" x14ac:dyDescent="0.25">
      <c r="A243" s="118">
        <v>28</v>
      </c>
      <c r="B243" s="151">
        <v>1715</v>
      </c>
      <c r="C243" s="94" t="s">
        <v>183</v>
      </c>
      <c r="D243" s="122"/>
      <c r="E243" s="98"/>
      <c r="F243" s="98"/>
      <c r="G243" s="98"/>
      <c r="H243" s="98"/>
      <c r="I243" s="98"/>
    </row>
    <row r="244" spans="1:9" s="285" customFormat="1" hidden="1" x14ac:dyDescent="0.25">
      <c r="A244" s="118">
        <v>28</v>
      </c>
      <c r="B244" s="151">
        <v>1720</v>
      </c>
      <c r="C244" s="94" t="s">
        <v>103</v>
      </c>
      <c r="D244" s="122"/>
      <c r="E244" s="98"/>
      <c r="F244" s="98"/>
      <c r="G244" s="98"/>
      <c r="H244" s="98"/>
      <c r="I244" s="98"/>
    </row>
    <row r="245" spans="1:9" s="285" customFormat="1" hidden="1" x14ac:dyDescent="0.25">
      <c r="A245" s="118">
        <v>28</v>
      </c>
      <c r="B245" s="151">
        <v>1725</v>
      </c>
      <c r="C245" s="94" t="s">
        <v>107</v>
      </c>
      <c r="D245" s="122"/>
      <c r="E245" s="98"/>
      <c r="F245" s="98"/>
      <c r="G245" s="98"/>
      <c r="H245" s="98"/>
      <c r="I245" s="98"/>
    </row>
    <row r="246" spans="1:9" s="285" customFormat="1" hidden="1" x14ac:dyDescent="0.25">
      <c r="A246" s="118">
        <v>28</v>
      </c>
      <c r="B246" s="151">
        <v>1730</v>
      </c>
      <c r="C246" s="94" t="s">
        <v>256</v>
      </c>
      <c r="D246" s="122"/>
      <c r="E246" s="98"/>
      <c r="F246" s="98"/>
      <c r="G246" s="98"/>
      <c r="H246" s="98"/>
      <c r="I246" s="98"/>
    </row>
    <row r="247" spans="1:9" s="285" customFormat="1" hidden="1" x14ac:dyDescent="0.25">
      <c r="A247" s="344"/>
      <c r="B247" s="151"/>
      <c r="C247" s="94"/>
      <c r="D247" s="99">
        <f>D246</f>
        <v>0</v>
      </c>
      <c r="E247" s="99">
        <f t="shared" ref="E247" si="52">SUM(E241:E246)</f>
        <v>0</v>
      </c>
      <c r="F247" s="99">
        <v>0</v>
      </c>
      <c r="G247" s="99"/>
      <c r="H247" s="99"/>
      <c r="I247" s="99"/>
    </row>
    <row r="248" spans="1:9" s="285" customFormat="1" hidden="1" x14ac:dyDescent="0.25">
      <c r="A248" s="344"/>
      <c r="B248" s="151"/>
      <c r="C248" s="93" t="s">
        <v>80</v>
      </c>
      <c r="D248" s="122"/>
      <c r="E248" s="98"/>
      <c r="F248" s="98"/>
      <c r="G248" s="98"/>
      <c r="H248" s="98"/>
      <c r="I248" s="98"/>
    </row>
    <row r="249" spans="1:9" s="285" customFormat="1" hidden="1" x14ac:dyDescent="0.25">
      <c r="A249" s="118">
        <v>28</v>
      </c>
      <c r="B249" s="151">
        <v>1805</v>
      </c>
      <c r="C249" s="94" t="s">
        <v>81</v>
      </c>
      <c r="D249" s="122"/>
      <c r="E249" s="108"/>
      <c r="F249" s="98"/>
      <c r="G249" s="98"/>
      <c r="H249" s="98"/>
      <c r="I249" s="108"/>
    </row>
    <row r="250" spans="1:9" s="285" customFormat="1" ht="7.5" customHeight="1" x14ac:dyDescent="0.25">
      <c r="A250" s="344"/>
      <c r="B250" s="151"/>
      <c r="C250" s="94"/>
      <c r="D250" s="99">
        <f t="shared" ref="D250:E250" si="53">D249</f>
        <v>0</v>
      </c>
      <c r="E250" s="99">
        <f t="shared" si="53"/>
        <v>0</v>
      </c>
      <c r="F250" s="99">
        <v>0</v>
      </c>
      <c r="G250" s="99"/>
      <c r="H250" s="99"/>
      <c r="I250" s="99"/>
    </row>
    <row r="251" spans="1:9" s="285" customFormat="1" x14ac:dyDescent="0.25">
      <c r="A251" s="344"/>
      <c r="B251" s="346"/>
      <c r="C251" s="93" t="s">
        <v>192</v>
      </c>
      <c r="D251" s="117">
        <f t="shared" ref="D251:E251" si="54">SUM(D170:D250)/2</f>
        <v>1330</v>
      </c>
      <c r="E251" s="117">
        <f t="shared" si="54"/>
        <v>-141069.24800000002</v>
      </c>
      <c r="F251" s="117">
        <f t="shared" ref="F251:I251" si="55">SUM(F170:F250)/2</f>
        <v>-142535.80000000005</v>
      </c>
      <c r="G251" s="117">
        <f t="shared" si="55"/>
        <v>-158681.55200000003</v>
      </c>
      <c r="H251" s="117">
        <f t="shared" si="55"/>
        <v>-174424.05200000003</v>
      </c>
      <c r="I251" s="117">
        <f t="shared" si="55"/>
        <v>-191740.80200000005</v>
      </c>
    </row>
    <row r="252" spans="1:9" s="285" customFormat="1" hidden="1" x14ac:dyDescent="0.25">
      <c r="A252" s="344"/>
      <c r="B252" s="151"/>
      <c r="C252" s="94"/>
      <c r="D252" s="117"/>
      <c r="E252" s="117"/>
      <c r="F252" s="117"/>
      <c r="G252" s="117"/>
      <c r="H252" s="117"/>
      <c r="I252" s="117"/>
    </row>
    <row r="253" spans="1:9" s="285" customFormat="1" hidden="1" x14ac:dyDescent="0.25">
      <c r="A253" s="344"/>
      <c r="B253" s="151"/>
      <c r="C253" s="145" t="s">
        <v>193</v>
      </c>
      <c r="D253" s="124"/>
      <c r="E253" s="146"/>
      <c r="F253" s="146"/>
      <c r="G253" s="146"/>
      <c r="H253" s="146"/>
      <c r="I253" s="146"/>
    </row>
    <row r="254" spans="1:9" s="285" customFormat="1" hidden="1" x14ac:dyDescent="0.25">
      <c r="A254" s="118">
        <v>28</v>
      </c>
      <c r="B254" s="151">
        <v>1905</v>
      </c>
      <c r="C254" s="118" t="s">
        <v>194</v>
      </c>
      <c r="D254" s="127"/>
      <c r="E254" s="147"/>
      <c r="F254" s="147"/>
      <c r="G254" s="147"/>
      <c r="H254" s="147"/>
      <c r="I254" s="147"/>
    </row>
    <row r="255" spans="1:9" s="285" customFormat="1" hidden="1" x14ac:dyDescent="0.25">
      <c r="A255" s="344"/>
      <c r="B255" s="151"/>
      <c r="C255" s="94"/>
      <c r="D255" s="117">
        <f t="shared" ref="D255:E255" si="56">SUM(D254)</f>
        <v>0</v>
      </c>
      <c r="E255" s="117">
        <f t="shared" si="56"/>
        <v>0</v>
      </c>
      <c r="F255" s="117">
        <f t="shared" ref="F255:I255" si="57">SUM(F254)</f>
        <v>0</v>
      </c>
      <c r="G255" s="117">
        <f t="shared" si="57"/>
        <v>0</v>
      </c>
      <c r="H255" s="117">
        <f t="shared" si="57"/>
        <v>0</v>
      </c>
      <c r="I255" s="117">
        <f t="shared" si="57"/>
        <v>0</v>
      </c>
    </row>
    <row r="256" spans="1:9" s="285" customFormat="1" x14ac:dyDescent="0.25">
      <c r="A256" s="344"/>
      <c r="B256" s="151"/>
      <c r="C256" s="93" t="s">
        <v>189</v>
      </c>
      <c r="D256" s="117">
        <f t="shared" ref="D256:E256" si="58">D251+D255</f>
        <v>1330</v>
      </c>
      <c r="E256" s="117">
        <f t="shared" si="58"/>
        <v>-141069.24800000002</v>
      </c>
      <c r="F256" s="117">
        <f t="shared" ref="F256:I256" si="59">F251+F255</f>
        <v>-142535.80000000005</v>
      </c>
      <c r="G256" s="117">
        <f t="shared" si="59"/>
        <v>-158681.55200000003</v>
      </c>
      <c r="H256" s="117">
        <f t="shared" si="59"/>
        <v>-174424.05200000003</v>
      </c>
      <c r="I256" s="117">
        <f t="shared" si="59"/>
        <v>-191740.80200000005</v>
      </c>
    </row>
    <row r="257" spans="1:11" s="285" customFormat="1" hidden="1" x14ac:dyDescent="0.25">
      <c r="A257" s="344"/>
      <c r="B257" s="151"/>
      <c r="C257" s="145" t="s">
        <v>195</v>
      </c>
      <c r="D257" s="124"/>
      <c r="E257" s="148"/>
      <c r="F257" s="148"/>
      <c r="G257" s="148"/>
      <c r="H257" s="148"/>
      <c r="I257" s="148"/>
    </row>
    <row r="258" spans="1:11" s="285" customFormat="1" hidden="1" x14ac:dyDescent="0.25">
      <c r="A258" s="118">
        <v>28</v>
      </c>
      <c r="B258" s="151">
        <v>1950</v>
      </c>
      <c r="C258" s="118" t="s">
        <v>196</v>
      </c>
      <c r="D258" s="127"/>
      <c r="E258" s="147"/>
      <c r="F258" s="147"/>
      <c r="G258" s="147"/>
      <c r="H258" s="147"/>
      <c r="I258" s="147"/>
    </row>
    <row r="259" spans="1:11" s="285" customFormat="1" hidden="1" x14ac:dyDescent="0.25">
      <c r="A259" s="344"/>
      <c r="B259" s="346"/>
      <c r="C259" s="94"/>
      <c r="D259" s="124">
        <f t="shared" ref="D259:E259" si="60">D258</f>
        <v>0</v>
      </c>
      <c r="E259" s="124">
        <f t="shared" si="60"/>
        <v>0</v>
      </c>
      <c r="F259" s="124">
        <f t="shared" ref="F259:I259" si="61">F258</f>
        <v>0</v>
      </c>
      <c r="G259" s="124">
        <f t="shared" si="61"/>
        <v>0</v>
      </c>
      <c r="H259" s="124">
        <f t="shared" si="61"/>
        <v>0</v>
      </c>
      <c r="I259" s="124">
        <f t="shared" si="61"/>
        <v>0</v>
      </c>
    </row>
    <row r="260" spans="1:11" s="285" customFormat="1" x14ac:dyDescent="0.25">
      <c r="A260" s="348"/>
      <c r="B260" s="351"/>
      <c r="C260" s="93" t="s">
        <v>197</v>
      </c>
      <c r="D260" s="160">
        <f t="shared" ref="D260:E260" si="62">D256+D259</f>
        <v>1330</v>
      </c>
      <c r="E260" s="160">
        <f t="shared" si="62"/>
        <v>-141069.24800000002</v>
      </c>
      <c r="F260" s="160">
        <f t="shared" ref="F260:I260" si="63">F256+F259</f>
        <v>-142535.80000000005</v>
      </c>
      <c r="G260" s="160">
        <f t="shared" si="63"/>
        <v>-158681.55200000003</v>
      </c>
      <c r="H260" s="160">
        <f t="shared" si="63"/>
        <v>-174424.05200000003</v>
      </c>
      <c r="I260" s="160">
        <f t="shared" si="63"/>
        <v>-191740.80200000005</v>
      </c>
    </row>
    <row r="261" spans="1:11" s="285" customFormat="1" x14ac:dyDescent="0.25">
      <c r="A261" s="349"/>
      <c r="B261" s="154"/>
      <c r="C261" s="126" t="s">
        <v>82</v>
      </c>
      <c r="D261" s="161">
        <f>D260-D165</f>
        <v>-1879251</v>
      </c>
      <c r="E261" s="161">
        <f>E260-E165</f>
        <v>-5592941.1429999992</v>
      </c>
      <c r="F261" s="161">
        <f t="shared" ref="F261:I261" si="64">F260-F165</f>
        <v>-5765879.6949999994</v>
      </c>
      <c r="G261" s="161">
        <f t="shared" si="64"/>
        <v>-5639157.5520000001</v>
      </c>
      <c r="H261" s="161">
        <f t="shared" si="64"/>
        <v>-5743706.0520000001</v>
      </c>
      <c r="I261" s="161">
        <f t="shared" si="64"/>
        <v>-5865022.8020000001</v>
      </c>
    </row>
    <row r="262" spans="1:11" s="285" customFormat="1" x14ac:dyDescent="0.25">
      <c r="A262" s="284"/>
      <c r="B262" s="352"/>
      <c r="K262" s="96"/>
    </row>
    <row r="263" spans="1:11" x14ac:dyDescent="0.25">
      <c r="A263" s="101"/>
    </row>
    <row r="265" spans="1:11" x14ac:dyDescent="0.25">
      <c r="E265" s="128"/>
      <c r="F265" s="128"/>
      <c r="G265" s="128"/>
      <c r="H265" s="128"/>
    </row>
    <row r="266" spans="1:11" x14ac:dyDescent="0.25">
      <c r="E266" s="128"/>
      <c r="F266" s="128"/>
      <c r="G266" s="128"/>
      <c r="H266" s="128"/>
      <c r="I266" s="109"/>
    </row>
    <row r="267" spans="1:11" x14ac:dyDescent="0.25">
      <c r="E267" s="128"/>
      <c r="F267" s="128"/>
      <c r="G267" s="128"/>
      <c r="H267" s="128"/>
    </row>
  </sheetData>
  <mergeCells count="4">
    <mergeCell ref="A2:I2"/>
    <mergeCell ref="A4:B5"/>
    <mergeCell ref="B167:D167"/>
    <mergeCell ref="A168:B169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68"/>
  <sheetViews>
    <sheetView view="pageBreakPreview" zoomScaleSheetLayoutView="100" workbookViewId="0">
      <selection activeCell="G20" sqref="G20:I24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7" width="16.332031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358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03" t="s">
        <v>417</v>
      </c>
      <c r="B3" s="704"/>
      <c r="C3" s="705"/>
      <c r="D3" s="149"/>
      <c r="E3" s="338"/>
      <c r="F3" s="338"/>
      <c r="G3" s="425"/>
      <c r="H3" s="338"/>
      <c r="I3" s="338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30</v>
      </c>
      <c r="B7" s="155">
        <v>5005</v>
      </c>
      <c r="C7" s="94" t="s">
        <v>241</v>
      </c>
      <c r="D7" s="85"/>
      <c r="E7" s="85"/>
      <c r="F7" s="85">
        <f>0/8*12</f>
        <v>0</v>
      </c>
      <c r="G7" s="435">
        <f t="shared" ref="G7:I17" si="0">(F7*0.068)+F7</f>
        <v>0</v>
      </c>
      <c r="H7" s="435">
        <f t="shared" si="0"/>
        <v>0</v>
      </c>
      <c r="I7" s="435">
        <f t="shared" si="0"/>
        <v>0</v>
      </c>
    </row>
    <row r="8" spans="1:9" s="285" customFormat="1" x14ac:dyDescent="0.25">
      <c r="A8" s="118">
        <v>30</v>
      </c>
      <c r="B8" s="151">
        <v>5010</v>
      </c>
      <c r="C8" s="94" t="s">
        <v>34</v>
      </c>
      <c r="D8" s="85"/>
      <c r="E8" s="85"/>
      <c r="F8" s="85">
        <f t="shared" ref="F8:F13" si="1">0/8*12</f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30</v>
      </c>
      <c r="B9" s="151">
        <v>5015</v>
      </c>
      <c r="C9" s="94" t="s">
        <v>35</v>
      </c>
      <c r="D9" s="85"/>
      <c r="E9" s="85"/>
      <c r="F9" s="85">
        <f t="shared" si="1"/>
        <v>0</v>
      </c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x14ac:dyDescent="0.25">
      <c r="A10" s="118">
        <v>30</v>
      </c>
      <c r="B10" s="151">
        <v>5020</v>
      </c>
      <c r="C10" s="94" t="s">
        <v>350</v>
      </c>
      <c r="D10" s="85"/>
      <c r="E10" s="85"/>
      <c r="F10" s="85">
        <f t="shared" si="1"/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x14ac:dyDescent="0.25">
      <c r="A11" s="118">
        <v>30</v>
      </c>
      <c r="B11" s="151">
        <v>5025</v>
      </c>
      <c r="C11" s="94" t="s">
        <v>36</v>
      </c>
      <c r="D11" s="85"/>
      <c r="E11" s="85"/>
      <c r="F11" s="85">
        <f t="shared" si="1"/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30</v>
      </c>
      <c r="B12" s="151">
        <v>5030</v>
      </c>
      <c r="C12" s="94" t="s">
        <v>85</v>
      </c>
      <c r="D12" s="85">
        <v>961</v>
      </c>
      <c r="E12" s="85"/>
      <c r="F12" s="85">
        <f t="shared" si="1"/>
        <v>0</v>
      </c>
      <c r="G12" s="435">
        <f t="shared" si="0"/>
        <v>0</v>
      </c>
      <c r="H12" s="435">
        <f t="shared" si="0"/>
        <v>0</v>
      </c>
      <c r="I12" s="435">
        <f t="shared" si="0"/>
        <v>0</v>
      </c>
    </row>
    <row r="13" spans="1:9" s="285" customFormat="1" hidden="1" x14ac:dyDescent="0.25">
      <c r="A13" s="118">
        <v>30</v>
      </c>
      <c r="B13" s="151">
        <v>5035</v>
      </c>
      <c r="C13" s="94" t="s">
        <v>84</v>
      </c>
      <c r="D13" s="85"/>
      <c r="E13" s="85"/>
      <c r="F13" s="85">
        <f t="shared" si="1"/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30</v>
      </c>
      <c r="B14" s="151">
        <v>5040</v>
      </c>
      <c r="C14" s="94" t="s">
        <v>37</v>
      </c>
      <c r="D14" s="85">
        <v>8894</v>
      </c>
      <c r="E14" s="85">
        <v>45000</v>
      </c>
      <c r="F14" s="85">
        <v>45000</v>
      </c>
      <c r="G14" s="435">
        <f t="shared" si="0"/>
        <v>48060</v>
      </c>
      <c r="H14" s="435">
        <f t="shared" si="0"/>
        <v>51328.08</v>
      </c>
      <c r="I14" s="435">
        <f t="shared" si="0"/>
        <v>54818.389439999999</v>
      </c>
    </row>
    <row r="15" spans="1:9" s="285" customFormat="1" hidden="1" x14ac:dyDescent="0.25">
      <c r="A15" s="118">
        <v>30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30</v>
      </c>
      <c r="B16" s="151">
        <v>5050</v>
      </c>
      <c r="C16" s="94" t="s">
        <v>83</v>
      </c>
      <c r="D16" s="85">
        <v>9731</v>
      </c>
      <c r="E16" s="85"/>
      <c r="F16" s="85">
        <v>0</v>
      </c>
      <c r="G16" s="435">
        <f t="shared" si="0"/>
        <v>0</v>
      </c>
      <c r="H16" s="435">
        <f t="shared" si="0"/>
        <v>0</v>
      </c>
      <c r="I16" s="435">
        <f t="shared" si="0"/>
        <v>0</v>
      </c>
    </row>
    <row r="17" spans="1:9" s="285" customFormat="1" x14ac:dyDescent="0.25">
      <c r="A17" s="118">
        <v>30</v>
      </c>
      <c r="B17" s="151">
        <v>5055</v>
      </c>
      <c r="C17" s="94" t="s">
        <v>39</v>
      </c>
      <c r="D17" s="85">
        <f>22634*6</f>
        <v>135804</v>
      </c>
      <c r="E17" s="85">
        <v>535000</v>
      </c>
      <c r="F17" s="85">
        <v>535000</v>
      </c>
      <c r="G17" s="435">
        <f t="shared" si="0"/>
        <v>571380</v>
      </c>
      <c r="H17" s="435">
        <f t="shared" si="0"/>
        <v>610233.84</v>
      </c>
      <c r="I17" s="435">
        <f t="shared" si="0"/>
        <v>651729.74112000002</v>
      </c>
    </row>
    <row r="18" spans="1:9" s="285" customFormat="1" x14ac:dyDescent="0.25">
      <c r="A18" s="344"/>
      <c r="B18" s="151"/>
      <c r="C18" s="94"/>
      <c r="D18" s="89">
        <f t="shared" ref="D18:I18" si="2">SUM(D7:D17)</f>
        <v>155390</v>
      </c>
      <c r="E18" s="89">
        <f t="shared" si="2"/>
        <v>580000</v>
      </c>
      <c r="F18" s="89">
        <f t="shared" si="2"/>
        <v>580000</v>
      </c>
      <c r="G18" s="89">
        <f t="shared" si="2"/>
        <v>619440</v>
      </c>
      <c r="H18" s="89">
        <f t="shared" si="2"/>
        <v>661561.91999999993</v>
      </c>
      <c r="I18" s="89">
        <f t="shared" si="2"/>
        <v>706548.13055999996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30</v>
      </c>
      <c r="B20" s="151">
        <v>5105</v>
      </c>
      <c r="C20" s="94" t="s">
        <v>41</v>
      </c>
      <c r="D20" s="85"/>
      <c r="E20" s="85">
        <v>12800</v>
      </c>
      <c r="F20" s="85">
        <v>12800</v>
      </c>
      <c r="G20" s="435">
        <f t="shared" ref="G20:I24" si="3">(F20*0.068)+F20</f>
        <v>13670.4</v>
      </c>
      <c r="H20" s="435">
        <f t="shared" si="3"/>
        <v>14599.9872</v>
      </c>
      <c r="I20" s="435">
        <f t="shared" si="3"/>
        <v>15592.7863296</v>
      </c>
    </row>
    <row r="21" spans="1:9" s="285" customFormat="1" x14ac:dyDescent="0.25">
      <c r="A21" s="118">
        <v>30</v>
      </c>
      <c r="B21" s="151">
        <v>5115</v>
      </c>
      <c r="C21" s="94" t="s">
        <v>42</v>
      </c>
      <c r="D21" s="85">
        <f>2297*6</f>
        <v>13782</v>
      </c>
      <c r="E21" s="85">
        <v>82000</v>
      </c>
      <c r="F21" s="85">
        <v>82000</v>
      </c>
      <c r="G21" s="435">
        <f t="shared" si="3"/>
        <v>87576</v>
      </c>
      <c r="H21" s="435">
        <f t="shared" si="3"/>
        <v>93531.168000000005</v>
      </c>
      <c r="I21" s="435">
        <f t="shared" si="3"/>
        <v>99891.287424000009</v>
      </c>
    </row>
    <row r="22" spans="1:9" s="285" customFormat="1" x14ac:dyDescent="0.25">
      <c r="A22" s="118">
        <v>30</v>
      </c>
      <c r="B22" s="151">
        <v>5120</v>
      </c>
      <c r="C22" s="94" t="s">
        <v>43</v>
      </c>
      <c r="D22" s="85">
        <f>2092*6</f>
        <v>12552</v>
      </c>
      <c r="E22" s="85">
        <v>26000</v>
      </c>
      <c r="F22" s="85">
        <v>26000</v>
      </c>
      <c r="G22" s="435">
        <f t="shared" si="3"/>
        <v>27768</v>
      </c>
      <c r="H22" s="435">
        <f t="shared" si="3"/>
        <v>29656.224000000002</v>
      </c>
      <c r="I22" s="435">
        <f t="shared" si="3"/>
        <v>31672.847232000004</v>
      </c>
    </row>
    <row r="23" spans="1:9" s="285" customFormat="1" x14ac:dyDescent="0.25">
      <c r="A23" s="118">
        <v>30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30</v>
      </c>
      <c r="B24" s="151">
        <v>5130</v>
      </c>
      <c r="C24" s="94" t="s">
        <v>45</v>
      </c>
      <c r="D24" s="85">
        <f>265*6</f>
        <v>1590</v>
      </c>
      <c r="E24" s="85">
        <v>5600</v>
      </c>
      <c r="F24" s="85">
        <v>5600</v>
      </c>
      <c r="G24" s="435">
        <f t="shared" si="3"/>
        <v>5980.8</v>
      </c>
      <c r="H24" s="435">
        <f t="shared" si="3"/>
        <v>6387.4944000000005</v>
      </c>
      <c r="I24" s="435">
        <f t="shared" si="3"/>
        <v>6821.8440192000007</v>
      </c>
    </row>
    <row r="25" spans="1:9" s="285" customFormat="1" x14ac:dyDescent="0.25">
      <c r="A25" s="344"/>
      <c r="B25" s="151"/>
      <c r="C25" s="94"/>
      <c r="D25" s="89">
        <f t="shared" ref="D25:I25" si="4">SUM(D20:D24)</f>
        <v>27924</v>
      </c>
      <c r="E25" s="89">
        <f t="shared" si="4"/>
        <v>126400</v>
      </c>
      <c r="F25" s="89">
        <f t="shared" si="4"/>
        <v>126400</v>
      </c>
      <c r="G25" s="89">
        <f t="shared" si="4"/>
        <v>134995.19999999998</v>
      </c>
      <c r="H25" s="89">
        <f t="shared" si="4"/>
        <v>144174.87360000002</v>
      </c>
      <c r="I25" s="89">
        <f t="shared" si="4"/>
        <v>153978.76500480002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x14ac:dyDescent="0.25">
      <c r="A28" s="118">
        <v>30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>
        <f>E28*(1+INPUT!C$8)</f>
        <v>0</v>
      </c>
    </row>
    <row r="29" spans="1:9" s="285" customFormat="1" x14ac:dyDescent="0.25">
      <c r="A29" s="344"/>
      <c r="B29" s="151"/>
      <c r="C29" s="94"/>
      <c r="D29" s="89">
        <f t="shared" ref="D29:I29" si="5">D28</f>
        <v>0</v>
      </c>
      <c r="E29" s="89">
        <f t="shared" si="5"/>
        <v>0</v>
      </c>
      <c r="F29" s="89">
        <f t="shared" si="5"/>
        <v>0</v>
      </c>
      <c r="G29" s="89"/>
      <c r="H29" s="89"/>
      <c r="I29" s="89">
        <f t="shared" si="5"/>
        <v>0</v>
      </c>
    </row>
    <row r="30" spans="1:9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x14ac:dyDescent="0.25">
      <c r="A31" s="118">
        <v>30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</row>
    <row r="32" spans="1:9" s="285" customFormat="1" x14ac:dyDescent="0.25">
      <c r="A32" s="344"/>
      <c r="B32" s="151"/>
      <c r="C32" s="94"/>
      <c r="D32" s="89">
        <f t="shared" ref="D32:I32" si="6">SUM(D31)</f>
        <v>0</v>
      </c>
      <c r="E32" s="89">
        <f t="shared" si="6"/>
        <v>0</v>
      </c>
      <c r="F32" s="89">
        <f t="shared" si="6"/>
        <v>0</v>
      </c>
      <c r="G32" s="89"/>
      <c r="H32" s="89"/>
      <c r="I32" s="89">
        <f t="shared" si="6"/>
        <v>0</v>
      </c>
    </row>
    <row r="33" spans="1:9" s="285" customFormat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x14ac:dyDescent="0.25">
      <c r="A34" s="118">
        <v>30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x14ac:dyDescent="0.25">
      <c r="A35" s="344"/>
      <c r="B35" s="151"/>
      <c r="C35" s="94"/>
      <c r="D35" s="89">
        <f t="shared" ref="D35:I35" si="7">SUM(D34)</f>
        <v>0</v>
      </c>
      <c r="E35" s="89">
        <f t="shared" si="7"/>
        <v>0</v>
      </c>
      <c r="F35" s="89">
        <f t="shared" si="7"/>
        <v>0</v>
      </c>
      <c r="G35" s="89"/>
      <c r="H35" s="89"/>
      <c r="I35" s="89">
        <f t="shared" si="7"/>
        <v>0</v>
      </c>
    </row>
    <row r="36" spans="1:9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x14ac:dyDescent="0.25">
      <c r="A37" s="118">
        <v>30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</row>
    <row r="38" spans="1:9" s="285" customFormat="1" x14ac:dyDescent="0.25">
      <c r="A38" s="344"/>
      <c r="B38" s="151"/>
      <c r="C38" s="94"/>
      <c r="D38" s="89">
        <f t="shared" ref="D38:I38" si="8">D37</f>
        <v>0</v>
      </c>
      <c r="E38" s="89">
        <f t="shared" si="8"/>
        <v>0</v>
      </c>
      <c r="F38" s="89">
        <f t="shared" si="8"/>
        <v>0</v>
      </c>
      <c r="G38" s="89"/>
      <c r="H38" s="89"/>
      <c r="I38" s="89">
        <f t="shared" si="8"/>
        <v>0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x14ac:dyDescent="0.25">
      <c r="A40" s="118">
        <v>30</v>
      </c>
      <c r="B40" s="151">
        <v>5200</v>
      </c>
      <c r="C40" s="94" t="s">
        <v>55</v>
      </c>
      <c r="D40" s="85"/>
      <c r="E40" s="108"/>
      <c r="F40" s="85"/>
      <c r="G40" s="85"/>
      <c r="H40" s="85"/>
      <c r="I40" s="85">
        <f>E40+H40</f>
        <v>0</v>
      </c>
    </row>
    <row r="41" spans="1:9" s="285" customFormat="1" x14ac:dyDescent="0.25">
      <c r="A41" s="118">
        <v>30</v>
      </c>
      <c r="B41" s="151">
        <v>5205</v>
      </c>
      <c r="C41" s="94" t="s">
        <v>56</v>
      </c>
      <c r="D41" s="85"/>
      <c r="E41" s="85"/>
      <c r="F41" s="85"/>
      <c r="G41" s="85"/>
      <c r="H41" s="85"/>
      <c r="I41" s="85">
        <f>E41+H41</f>
        <v>0</v>
      </c>
    </row>
    <row r="42" spans="1:9" s="285" customFormat="1" x14ac:dyDescent="0.25">
      <c r="A42" s="118">
        <v>30</v>
      </c>
      <c r="B42" s="151">
        <v>5210</v>
      </c>
      <c r="C42" s="94" t="s">
        <v>57</v>
      </c>
      <c r="D42" s="85"/>
      <c r="E42" s="85"/>
      <c r="F42" s="85"/>
      <c r="G42" s="85"/>
      <c r="H42" s="85"/>
      <c r="I42" s="85">
        <f>E42+H42</f>
        <v>0</v>
      </c>
    </row>
    <row r="43" spans="1:9" s="285" customFormat="1" x14ac:dyDescent="0.25">
      <c r="A43" s="118">
        <v>30</v>
      </c>
      <c r="B43" s="151">
        <v>5215</v>
      </c>
      <c r="C43" s="94" t="s">
        <v>95</v>
      </c>
      <c r="D43" s="85"/>
      <c r="E43" s="85"/>
      <c r="F43" s="85"/>
      <c r="G43" s="85"/>
      <c r="H43" s="85"/>
      <c r="I43" s="85">
        <f>E43+H43</f>
        <v>0</v>
      </c>
    </row>
    <row r="44" spans="1:9" s="285" customFormat="1" x14ac:dyDescent="0.25">
      <c r="A44" s="118">
        <v>30</v>
      </c>
      <c r="B44" s="151">
        <v>5220</v>
      </c>
      <c r="C44" s="94" t="s">
        <v>58</v>
      </c>
      <c r="D44" s="85">
        <v>83600</v>
      </c>
      <c r="E44" s="85">
        <v>35000</v>
      </c>
      <c r="F44" s="85">
        <v>95000</v>
      </c>
      <c r="G44" s="85">
        <v>35000</v>
      </c>
      <c r="H44" s="85">
        <v>40000</v>
      </c>
      <c r="I44" s="85">
        <v>45000</v>
      </c>
    </row>
    <row r="45" spans="1:9" s="285" customFormat="1" x14ac:dyDescent="0.25">
      <c r="A45" s="118">
        <v>30</v>
      </c>
      <c r="B45" s="151">
        <v>5225</v>
      </c>
      <c r="C45" s="94" t="s">
        <v>92</v>
      </c>
      <c r="D45" s="85"/>
      <c r="E45" s="85"/>
      <c r="F45" s="85">
        <v>0</v>
      </c>
      <c r="G45" s="85"/>
      <c r="H45" s="85"/>
      <c r="I45" s="85"/>
    </row>
    <row r="46" spans="1:9" s="285" customFormat="1" x14ac:dyDescent="0.25">
      <c r="A46" s="118">
        <v>30</v>
      </c>
      <c r="B46" s="151">
        <v>5230</v>
      </c>
      <c r="C46" s="94" t="s">
        <v>86</v>
      </c>
      <c r="D46" s="85"/>
      <c r="E46" s="85"/>
      <c r="F46" s="85">
        <v>0</v>
      </c>
      <c r="G46" s="85"/>
      <c r="H46" s="85"/>
      <c r="I46" s="85"/>
    </row>
    <row r="47" spans="1:9" s="285" customFormat="1" x14ac:dyDescent="0.25">
      <c r="A47" s="118">
        <v>30</v>
      </c>
      <c r="B47" s="151">
        <v>5235</v>
      </c>
      <c r="C47" s="94" t="s">
        <v>124</v>
      </c>
      <c r="D47" s="85"/>
      <c r="E47" s="85"/>
      <c r="F47" s="85">
        <v>0</v>
      </c>
      <c r="G47" s="85"/>
      <c r="H47" s="85"/>
      <c r="I47" s="85"/>
    </row>
    <row r="48" spans="1:9" s="285" customFormat="1" x14ac:dyDescent="0.25">
      <c r="A48" s="118">
        <v>30</v>
      </c>
      <c r="B48" s="151">
        <v>5240</v>
      </c>
      <c r="C48" s="94" t="s">
        <v>59</v>
      </c>
      <c r="D48" s="85"/>
      <c r="E48" s="85"/>
      <c r="F48" s="85">
        <v>0</v>
      </c>
      <c r="G48" s="85"/>
      <c r="H48" s="85"/>
      <c r="I48" s="85"/>
    </row>
    <row r="49" spans="1:9" s="285" customFormat="1" x14ac:dyDescent="0.25">
      <c r="A49" s="118">
        <v>30</v>
      </c>
      <c r="B49" s="151">
        <v>5245</v>
      </c>
      <c r="C49" s="94" t="s">
        <v>91</v>
      </c>
      <c r="D49" s="85"/>
      <c r="E49" s="85"/>
      <c r="F49" s="85">
        <v>0</v>
      </c>
      <c r="G49" s="85"/>
      <c r="H49" s="85"/>
      <c r="I49" s="85"/>
    </row>
    <row r="50" spans="1:9" s="285" customFormat="1" x14ac:dyDescent="0.25">
      <c r="A50" s="118">
        <v>30</v>
      </c>
      <c r="B50" s="151">
        <v>5250</v>
      </c>
      <c r="C50" s="94" t="s">
        <v>88</v>
      </c>
      <c r="D50" s="85">
        <v>22381</v>
      </c>
      <c r="E50" s="85">
        <v>35000</v>
      </c>
      <c r="F50" s="85">
        <v>35000</v>
      </c>
      <c r="G50" s="85">
        <v>45000</v>
      </c>
      <c r="H50" s="85">
        <v>50000</v>
      </c>
      <c r="I50" s="85">
        <v>55000</v>
      </c>
    </row>
    <row r="51" spans="1:9" s="285" customFormat="1" x14ac:dyDescent="0.25">
      <c r="A51" s="118">
        <v>30</v>
      </c>
      <c r="B51" s="151">
        <v>5255</v>
      </c>
      <c r="C51" s="94" t="s">
        <v>125</v>
      </c>
      <c r="D51" s="85"/>
      <c r="E51" s="108"/>
      <c r="F51" s="85">
        <v>0</v>
      </c>
      <c r="G51" s="85"/>
      <c r="H51" s="85"/>
      <c r="I51" s="85"/>
    </row>
    <row r="52" spans="1:9" s="285" customFormat="1" x14ac:dyDescent="0.25">
      <c r="A52" s="118">
        <v>30</v>
      </c>
      <c r="B52" s="151">
        <v>5260</v>
      </c>
      <c r="C52" s="94" t="s">
        <v>90</v>
      </c>
      <c r="D52" s="85"/>
      <c r="E52" s="108"/>
      <c r="F52" s="85">
        <v>0</v>
      </c>
      <c r="G52" s="85"/>
      <c r="H52" s="85"/>
      <c r="I52" s="85"/>
    </row>
    <row r="53" spans="1:9" s="285" customFormat="1" x14ac:dyDescent="0.25">
      <c r="A53" s="118">
        <v>30</v>
      </c>
      <c r="B53" s="151">
        <v>5265</v>
      </c>
      <c r="C53" s="94" t="s">
        <v>87</v>
      </c>
      <c r="D53" s="85"/>
      <c r="E53" s="108"/>
      <c r="F53" s="85">
        <v>0</v>
      </c>
      <c r="G53" s="85"/>
      <c r="H53" s="85"/>
      <c r="I53" s="85"/>
    </row>
    <row r="54" spans="1:9" s="285" customFormat="1" x14ac:dyDescent="0.25">
      <c r="A54" s="118">
        <v>30</v>
      </c>
      <c r="B54" s="151">
        <v>5270</v>
      </c>
      <c r="C54" s="94" t="s">
        <v>89</v>
      </c>
      <c r="D54" s="85"/>
      <c r="E54" s="108"/>
      <c r="F54" s="85">
        <v>0</v>
      </c>
      <c r="G54" s="85"/>
      <c r="H54" s="85"/>
      <c r="I54" s="85"/>
    </row>
    <row r="55" spans="1:9" s="285" customFormat="1" x14ac:dyDescent="0.25">
      <c r="A55" s="118">
        <v>30</v>
      </c>
      <c r="B55" s="151">
        <v>5275</v>
      </c>
      <c r="C55" s="94" t="s">
        <v>93</v>
      </c>
      <c r="D55" s="85"/>
      <c r="E55" s="108"/>
      <c r="F55" s="85">
        <v>0</v>
      </c>
      <c r="G55" s="85"/>
      <c r="H55" s="85"/>
      <c r="I55" s="85"/>
    </row>
    <row r="56" spans="1:9" s="285" customFormat="1" x14ac:dyDescent="0.25">
      <c r="A56" s="118">
        <v>30</v>
      </c>
      <c r="B56" s="151">
        <v>5280</v>
      </c>
      <c r="C56" s="94" t="s">
        <v>94</v>
      </c>
      <c r="D56" s="85"/>
      <c r="E56" s="108"/>
      <c r="F56" s="85">
        <v>0</v>
      </c>
      <c r="G56" s="85"/>
      <c r="H56" s="85"/>
      <c r="I56" s="85"/>
    </row>
    <row r="57" spans="1:9" s="285" customFormat="1" x14ac:dyDescent="0.25">
      <c r="A57" s="118">
        <v>30</v>
      </c>
      <c r="B57" s="151">
        <v>5285</v>
      </c>
      <c r="C57" s="94" t="s">
        <v>60</v>
      </c>
      <c r="D57" s="85"/>
      <c r="E57" s="85"/>
      <c r="F57" s="85">
        <v>0</v>
      </c>
      <c r="G57" s="85"/>
      <c r="H57" s="85"/>
      <c r="I57" s="85"/>
    </row>
    <row r="58" spans="1:9" s="285" customFormat="1" x14ac:dyDescent="0.25">
      <c r="A58" s="118">
        <v>30</v>
      </c>
      <c r="B58" s="151">
        <v>5290</v>
      </c>
      <c r="C58" s="94" t="s">
        <v>186</v>
      </c>
      <c r="D58" s="85"/>
      <c r="E58" s="108"/>
      <c r="F58" s="85">
        <v>0</v>
      </c>
      <c r="G58" s="85"/>
      <c r="H58" s="85"/>
      <c r="I58" s="85"/>
    </row>
    <row r="59" spans="1:9" s="285" customFormat="1" x14ac:dyDescent="0.25">
      <c r="A59" s="344"/>
      <c r="B59" s="151"/>
      <c r="C59" s="94"/>
      <c r="D59" s="110">
        <f t="shared" ref="D59:I59" si="9">SUM(D40:D58)</f>
        <v>105981</v>
      </c>
      <c r="E59" s="110">
        <f t="shared" si="9"/>
        <v>70000</v>
      </c>
      <c r="F59" s="110">
        <f t="shared" si="9"/>
        <v>130000</v>
      </c>
      <c r="G59" s="110">
        <f t="shared" si="9"/>
        <v>80000</v>
      </c>
      <c r="H59" s="110">
        <f t="shared" si="9"/>
        <v>90000</v>
      </c>
      <c r="I59" s="110">
        <f t="shared" si="9"/>
        <v>100000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x14ac:dyDescent="0.25">
      <c r="A61" s="118">
        <v>30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</row>
    <row r="62" spans="1:9" s="285" customFormat="1" x14ac:dyDescent="0.25">
      <c r="A62" s="118">
        <v>30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85"/>
      <c r="H62" s="85"/>
      <c r="I62" s="108"/>
    </row>
    <row r="63" spans="1:9" s="285" customFormat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89"/>
      <c r="H63" s="89"/>
      <c r="I63" s="89">
        <f>SUM(I61:I62)</f>
        <v>0</v>
      </c>
    </row>
    <row r="64" spans="1:9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x14ac:dyDescent="0.25">
      <c r="A65" s="118">
        <v>30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108"/>
    </row>
    <row r="66" spans="1:9" s="285" customFormat="1" x14ac:dyDescent="0.25">
      <c r="A66" s="344"/>
      <c r="B66" s="151"/>
      <c r="C66" s="94"/>
      <c r="D66" s="89">
        <f t="shared" ref="D66:I66" si="10">D65</f>
        <v>0</v>
      </c>
      <c r="E66" s="89">
        <f t="shared" si="10"/>
        <v>0</v>
      </c>
      <c r="F66" s="89">
        <f t="shared" si="10"/>
        <v>0</v>
      </c>
      <c r="G66" s="89"/>
      <c r="H66" s="89"/>
      <c r="I66" s="89">
        <f t="shared" si="10"/>
        <v>0</v>
      </c>
    </row>
    <row r="67" spans="1:9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x14ac:dyDescent="0.25">
      <c r="A68" s="118">
        <v>30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>
        <f>F68*(1+INPUT!C11)</f>
        <v>0</v>
      </c>
    </row>
    <row r="69" spans="1:9" s="285" customFormat="1" x14ac:dyDescent="0.25">
      <c r="A69" s="118">
        <v>30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x14ac:dyDescent="0.25">
      <c r="A70" s="344"/>
      <c r="B70" s="151"/>
      <c r="C70" s="94"/>
      <c r="D70" s="110">
        <f t="shared" ref="D70:I70" si="11">SUM(D68:D69)</f>
        <v>0</v>
      </c>
      <c r="E70" s="110">
        <f t="shared" si="11"/>
        <v>0</v>
      </c>
      <c r="F70" s="110">
        <f t="shared" si="11"/>
        <v>0</v>
      </c>
      <c r="G70" s="110"/>
      <c r="H70" s="110"/>
      <c r="I70" s="110">
        <f t="shared" si="11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30</v>
      </c>
      <c r="B72" s="151">
        <v>5505</v>
      </c>
      <c r="C72" s="94" t="s">
        <v>259</v>
      </c>
      <c r="D72" s="85">
        <v>23839</v>
      </c>
      <c r="E72" s="85">
        <v>26000</v>
      </c>
      <c r="F72" s="85">
        <v>26000</v>
      </c>
      <c r="G72" s="85"/>
      <c r="H72" s="85"/>
      <c r="I72" s="85"/>
    </row>
    <row r="73" spans="1:9" s="285" customFormat="1" x14ac:dyDescent="0.25">
      <c r="A73" s="118">
        <v>30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85"/>
      <c r="H73" s="85"/>
      <c r="I73" s="85"/>
    </row>
    <row r="74" spans="1:9" s="285" customFormat="1" x14ac:dyDescent="0.25">
      <c r="A74" s="118">
        <v>30</v>
      </c>
      <c r="B74" s="151">
        <v>5520</v>
      </c>
      <c r="C74" s="94" t="s">
        <v>260</v>
      </c>
      <c r="D74" s="85">
        <v>25000</v>
      </c>
      <c r="E74" s="85">
        <v>64553</v>
      </c>
      <c r="F74" s="85">
        <v>64553</v>
      </c>
      <c r="G74" s="85">
        <v>86070</v>
      </c>
      <c r="H74" s="85">
        <v>90000</v>
      </c>
      <c r="I74" s="85">
        <v>95000</v>
      </c>
    </row>
    <row r="75" spans="1:9" s="285" customFormat="1" x14ac:dyDescent="0.25">
      <c r="A75" s="118">
        <v>30</v>
      </c>
      <c r="B75" s="151">
        <v>5525</v>
      </c>
      <c r="C75" s="94" t="s">
        <v>261</v>
      </c>
      <c r="D75" s="85"/>
      <c r="E75" s="85"/>
      <c r="F75" s="85">
        <v>0</v>
      </c>
      <c r="G75" s="85"/>
      <c r="H75" s="85"/>
      <c r="I75" s="85"/>
    </row>
    <row r="76" spans="1:9" s="285" customFormat="1" x14ac:dyDescent="0.25">
      <c r="A76" s="118">
        <v>30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85"/>
      <c r="I76" s="85"/>
    </row>
    <row r="77" spans="1:9" s="285" customFormat="1" x14ac:dyDescent="0.25">
      <c r="A77" s="118">
        <v>30</v>
      </c>
      <c r="B77" s="151">
        <v>5535</v>
      </c>
      <c r="C77" s="94" t="s">
        <v>263</v>
      </c>
      <c r="D77" s="85"/>
      <c r="E77" s="85"/>
      <c r="F77" s="85">
        <v>0</v>
      </c>
      <c r="G77" s="85"/>
      <c r="H77" s="85"/>
      <c r="I77" s="85"/>
    </row>
    <row r="78" spans="1:9" s="285" customFormat="1" x14ac:dyDescent="0.25">
      <c r="A78" s="118">
        <v>30</v>
      </c>
      <c r="B78" s="151">
        <v>5540</v>
      </c>
      <c r="C78" s="94" t="s">
        <v>264</v>
      </c>
      <c r="D78" s="85"/>
      <c r="E78" s="85"/>
      <c r="F78" s="85">
        <v>0</v>
      </c>
      <c r="G78" s="85"/>
      <c r="H78" s="85"/>
      <c r="I78" s="85"/>
    </row>
    <row r="79" spans="1:9" s="285" customFormat="1" ht="13.5" customHeight="1" x14ac:dyDescent="0.25">
      <c r="A79" s="118">
        <v>30</v>
      </c>
      <c r="B79" s="151">
        <v>5545</v>
      </c>
      <c r="C79" s="94" t="s">
        <v>265</v>
      </c>
      <c r="D79" s="85"/>
      <c r="E79" s="85"/>
      <c r="F79" s="85">
        <v>0</v>
      </c>
      <c r="G79" s="85"/>
      <c r="H79" s="85"/>
      <c r="I79" s="85"/>
    </row>
    <row r="80" spans="1:9" s="285" customFormat="1" x14ac:dyDescent="0.25">
      <c r="A80" s="118">
        <v>30</v>
      </c>
      <c r="B80" s="151">
        <v>5550</v>
      </c>
      <c r="C80" s="94" t="s">
        <v>267</v>
      </c>
      <c r="D80" s="85"/>
      <c r="E80" s="85"/>
      <c r="F80" s="85">
        <v>0</v>
      </c>
      <c r="G80" s="85"/>
      <c r="H80" s="85"/>
      <c r="I80" s="85"/>
    </row>
    <row r="81" spans="1:9" s="285" customFormat="1" x14ac:dyDescent="0.25">
      <c r="A81" s="118">
        <v>30</v>
      </c>
      <c r="B81" s="151">
        <v>5555</v>
      </c>
      <c r="C81" s="94" t="s">
        <v>268</v>
      </c>
      <c r="D81" s="85"/>
      <c r="E81" s="85"/>
      <c r="F81" s="85">
        <v>0</v>
      </c>
      <c r="G81" s="85"/>
      <c r="H81" s="85"/>
      <c r="I81" s="85"/>
    </row>
    <row r="82" spans="1:9" s="285" customFormat="1" x14ac:dyDescent="0.25">
      <c r="A82" s="118">
        <v>30</v>
      </c>
      <c r="B82" s="151">
        <v>5560</v>
      </c>
      <c r="C82" s="94" t="s">
        <v>269</v>
      </c>
      <c r="D82" s="85"/>
      <c r="E82" s="85"/>
      <c r="F82" s="85">
        <v>0</v>
      </c>
      <c r="G82" s="85"/>
      <c r="H82" s="85"/>
      <c r="I82" s="85"/>
    </row>
    <row r="83" spans="1:9" s="285" customFormat="1" x14ac:dyDescent="0.25">
      <c r="A83" s="118">
        <v>30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85"/>
      <c r="I83" s="85"/>
    </row>
    <row r="84" spans="1:9" s="285" customFormat="1" x14ac:dyDescent="0.25">
      <c r="A84" s="118">
        <v>30</v>
      </c>
      <c r="B84" s="151">
        <v>5570</v>
      </c>
      <c r="C84" s="94" t="s">
        <v>270</v>
      </c>
      <c r="D84" s="85"/>
      <c r="E84" s="85">
        <v>3418.2</v>
      </c>
      <c r="F84" s="85">
        <v>3418.2</v>
      </c>
      <c r="G84" s="85"/>
      <c r="H84" s="85"/>
      <c r="I84" s="85"/>
    </row>
    <row r="85" spans="1:9" s="285" customFormat="1" x14ac:dyDescent="0.25">
      <c r="A85" s="118">
        <v>30</v>
      </c>
      <c r="B85" s="151">
        <v>5575</v>
      </c>
      <c r="C85" s="94" t="s">
        <v>271</v>
      </c>
      <c r="D85" s="85"/>
      <c r="E85" s="85"/>
      <c r="F85" s="85">
        <v>0</v>
      </c>
      <c r="G85" s="85"/>
      <c r="H85" s="85"/>
      <c r="I85" s="85"/>
    </row>
    <row r="86" spans="1:9" s="285" customFormat="1" x14ac:dyDescent="0.25">
      <c r="A86" s="118">
        <v>30</v>
      </c>
      <c r="B86" s="151">
        <v>5580</v>
      </c>
      <c r="C86" s="94" t="s">
        <v>272</v>
      </c>
      <c r="D86" s="85"/>
      <c r="E86" s="85"/>
      <c r="F86" s="85">
        <f t="shared" ref="F86:F103" si="12">E86-D86</f>
        <v>0</v>
      </c>
      <c r="G86" s="85"/>
      <c r="H86" s="85"/>
      <c r="I86" s="85">
        <f t="shared" ref="I86:I109" si="13">E86+H86</f>
        <v>0</v>
      </c>
    </row>
    <row r="87" spans="1:9" s="285" customFormat="1" x14ac:dyDescent="0.25">
      <c r="A87" s="118">
        <v>30</v>
      </c>
      <c r="B87" s="151">
        <v>5585</v>
      </c>
      <c r="C87" s="94" t="s">
        <v>273</v>
      </c>
      <c r="D87" s="86"/>
      <c r="E87" s="85"/>
      <c r="F87" s="85">
        <f t="shared" si="12"/>
        <v>0</v>
      </c>
      <c r="G87" s="85"/>
      <c r="H87" s="85"/>
      <c r="I87" s="85">
        <f t="shared" si="13"/>
        <v>0</v>
      </c>
    </row>
    <row r="88" spans="1:9" s="285" customFormat="1" x14ac:dyDescent="0.25">
      <c r="A88" s="118">
        <v>30</v>
      </c>
      <c r="B88" s="151">
        <v>5590</v>
      </c>
      <c r="C88" s="94" t="s">
        <v>274</v>
      </c>
      <c r="D88" s="86"/>
      <c r="E88" s="85"/>
      <c r="F88" s="85">
        <f t="shared" si="12"/>
        <v>0</v>
      </c>
      <c r="G88" s="85"/>
      <c r="H88" s="85"/>
      <c r="I88" s="85">
        <f t="shared" si="13"/>
        <v>0</v>
      </c>
    </row>
    <row r="89" spans="1:9" s="285" customFormat="1" x14ac:dyDescent="0.25">
      <c r="A89" s="118">
        <v>30</v>
      </c>
      <c r="B89" s="151">
        <v>5595</v>
      </c>
      <c r="C89" s="94" t="s">
        <v>275</v>
      </c>
      <c r="D89" s="85"/>
      <c r="E89" s="85"/>
      <c r="F89" s="85">
        <f t="shared" si="12"/>
        <v>0</v>
      </c>
      <c r="G89" s="85"/>
      <c r="H89" s="85"/>
      <c r="I89" s="85">
        <f t="shared" si="13"/>
        <v>0</v>
      </c>
    </row>
    <row r="90" spans="1:9" s="285" customFormat="1" x14ac:dyDescent="0.25">
      <c r="A90" s="118">
        <v>30</v>
      </c>
      <c r="B90" s="151">
        <v>5600</v>
      </c>
      <c r="C90" s="159" t="s">
        <v>276</v>
      </c>
      <c r="D90" s="85"/>
      <c r="E90" s="85"/>
      <c r="F90" s="85">
        <f t="shared" si="12"/>
        <v>0</v>
      </c>
      <c r="G90" s="85"/>
      <c r="H90" s="85"/>
      <c r="I90" s="85">
        <f t="shared" si="13"/>
        <v>0</v>
      </c>
    </row>
    <row r="91" spans="1:9" s="285" customFormat="1" x14ac:dyDescent="0.25">
      <c r="A91" s="118">
        <v>30</v>
      </c>
      <c r="B91" s="151">
        <v>5605</v>
      </c>
      <c r="C91" s="159" t="s">
        <v>277</v>
      </c>
      <c r="D91" s="85"/>
      <c r="E91" s="85"/>
      <c r="F91" s="85">
        <f t="shared" si="12"/>
        <v>0</v>
      </c>
      <c r="G91" s="85"/>
      <c r="H91" s="85"/>
      <c r="I91" s="85">
        <f t="shared" si="13"/>
        <v>0</v>
      </c>
    </row>
    <row r="92" spans="1:9" s="285" customFormat="1" x14ac:dyDescent="0.25">
      <c r="A92" s="118">
        <v>30</v>
      </c>
      <c r="B92" s="151">
        <v>5610</v>
      </c>
      <c r="C92" s="159" t="s">
        <v>278</v>
      </c>
      <c r="D92" s="85"/>
      <c r="E92" s="85"/>
      <c r="F92" s="85">
        <f t="shared" si="12"/>
        <v>0</v>
      </c>
      <c r="G92" s="85"/>
      <c r="H92" s="85"/>
      <c r="I92" s="85">
        <f t="shared" si="13"/>
        <v>0</v>
      </c>
    </row>
    <row r="93" spans="1:9" s="285" customFormat="1" x14ac:dyDescent="0.25">
      <c r="A93" s="118">
        <v>30</v>
      </c>
      <c r="B93" s="151">
        <v>5615</v>
      </c>
      <c r="C93" s="159" t="s">
        <v>279</v>
      </c>
      <c r="D93" s="85"/>
      <c r="E93" s="85"/>
      <c r="F93" s="85">
        <f t="shared" si="12"/>
        <v>0</v>
      </c>
      <c r="G93" s="85"/>
      <c r="H93" s="85"/>
      <c r="I93" s="85">
        <f t="shared" si="13"/>
        <v>0</v>
      </c>
    </row>
    <row r="94" spans="1:9" s="285" customFormat="1" x14ac:dyDescent="0.25">
      <c r="A94" s="118">
        <v>30</v>
      </c>
      <c r="B94" s="151">
        <v>5620</v>
      </c>
      <c r="C94" s="159" t="s">
        <v>280</v>
      </c>
      <c r="D94" s="85"/>
      <c r="E94" s="85"/>
      <c r="F94" s="85">
        <f t="shared" si="12"/>
        <v>0</v>
      </c>
      <c r="G94" s="85"/>
      <c r="H94" s="85"/>
      <c r="I94" s="85">
        <f t="shared" si="13"/>
        <v>0</v>
      </c>
    </row>
    <row r="95" spans="1:9" s="285" customFormat="1" x14ac:dyDescent="0.25">
      <c r="A95" s="118">
        <v>30</v>
      </c>
      <c r="B95" s="151">
        <v>5625</v>
      </c>
      <c r="C95" s="159" t="s">
        <v>281</v>
      </c>
      <c r="D95" s="85"/>
      <c r="E95" s="85"/>
      <c r="F95" s="85">
        <f t="shared" si="12"/>
        <v>0</v>
      </c>
      <c r="G95" s="85"/>
      <c r="H95" s="85"/>
      <c r="I95" s="85">
        <f t="shared" si="13"/>
        <v>0</v>
      </c>
    </row>
    <row r="96" spans="1:9" s="285" customFormat="1" x14ac:dyDescent="0.25">
      <c r="A96" s="118">
        <v>30</v>
      </c>
      <c r="B96" s="151">
        <v>5630</v>
      </c>
      <c r="C96" s="159" t="s">
        <v>282</v>
      </c>
      <c r="D96" s="85"/>
      <c r="E96" s="85"/>
      <c r="F96" s="85">
        <f t="shared" si="12"/>
        <v>0</v>
      </c>
      <c r="G96" s="85"/>
      <c r="H96" s="85"/>
      <c r="I96" s="85">
        <f t="shared" si="13"/>
        <v>0</v>
      </c>
    </row>
    <row r="97" spans="1:9" s="285" customFormat="1" x14ac:dyDescent="0.25">
      <c r="A97" s="118">
        <v>30</v>
      </c>
      <c r="B97" s="151">
        <v>5635</v>
      </c>
      <c r="C97" s="159" t="s">
        <v>283</v>
      </c>
      <c r="D97" s="85"/>
      <c r="E97" s="85"/>
      <c r="F97" s="85">
        <f t="shared" si="12"/>
        <v>0</v>
      </c>
      <c r="G97" s="85"/>
      <c r="H97" s="85"/>
      <c r="I97" s="85">
        <f t="shared" si="13"/>
        <v>0</v>
      </c>
    </row>
    <row r="98" spans="1:9" s="285" customFormat="1" x14ac:dyDescent="0.25">
      <c r="A98" s="118">
        <v>30</v>
      </c>
      <c r="B98" s="151">
        <v>5640</v>
      </c>
      <c r="C98" s="159" t="s">
        <v>284</v>
      </c>
      <c r="D98" s="85"/>
      <c r="E98" s="85"/>
      <c r="F98" s="85">
        <f t="shared" si="12"/>
        <v>0</v>
      </c>
      <c r="G98" s="85"/>
      <c r="H98" s="85"/>
      <c r="I98" s="85">
        <f t="shared" si="13"/>
        <v>0</v>
      </c>
    </row>
    <row r="99" spans="1:9" s="285" customFormat="1" x14ac:dyDescent="0.25">
      <c r="A99" s="118">
        <v>30</v>
      </c>
      <c r="B99" s="151">
        <v>5645</v>
      </c>
      <c r="C99" s="159" t="s">
        <v>285</v>
      </c>
      <c r="D99" s="85"/>
      <c r="E99" s="85"/>
      <c r="F99" s="85">
        <f t="shared" si="12"/>
        <v>0</v>
      </c>
      <c r="G99" s="85"/>
      <c r="H99" s="85"/>
      <c r="I99" s="85">
        <f t="shared" si="13"/>
        <v>0</v>
      </c>
    </row>
    <row r="100" spans="1:9" s="285" customFormat="1" x14ac:dyDescent="0.25">
      <c r="A100" s="118">
        <v>30</v>
      </c>
      <c r="B100" s="151">
        <v>5650</v>
      </c>
      <c r="C100" s="159" t="s">
        <v>286</v>
      </c>
      <c r="D100" s="85"/>
      <c r="E100" s="85"/>
      <c r="F100" s="85">
        <f t="shared" si="12"/>
        <v>0</v>
      </c>
      <c r="G100" s="85"/>
      <c r="H100" s="85"/>
      <c r="I100" s="85">
        <f t="shared" si="13"/>
        <v>0</v>
      </c>
    </row>
    <row r="101" spans="1:9" s="285" customFormat="1" x14ac:dyDescent="0.25">
      <c r="A101" s="118">
        <v>30</v>
      </c>
      <c r="B101" s="151">
        <v>5655</v>
      </c>
      <c r="C101" s="159" t="s">
        <v>287</v>
      </c>
      <c r="D101" s="85"/>
      <c r="E101" s="85"/>
      <c r="F101" s="85">
        <f t="shared" si="12"/>
        <v>0</v>
      </c>
      <c r="G101" s="85"/>
      <c r="H101" s="85"/>
      <c r="I101" s="85">
        <f t="shared" si="13"/>
        <v>0</v>
      </c>
    </row>
    <row r="102" spans="1:9" s="285" customFormat="1" x14ac:dyDescent="0.25">
      <c r="A102" s="118">
        <v>30</v>
      </c>
      <c r="B102" s="151">
        <v>5660</v>
      </c>
      <c r="C102" s="159" t="s">
        <v>288</v>
      </c>
      <c r="D102" s="85"/>
      <c r="E102" s="85"/>
      <c r="F102" s="85">
        <f t="shared" si="12"/>
        <v>0</v>
      </c>
      <c r="G102" s="85"/>
      <c r="H102" s="85"/>
      <c r="I102" s="85">
        <f t="shared" si="13"/>
        <v>0</v>
      </c>
    </row>
    <row r="103" spans="1:9" s="285" customFormat="1" x14ac:dyDescent="0.25">
      <c r="A103" s="118">
        <v>30</v>
      </c>
      <c r="B103" s="151">
        <v>5665</v>
      </c>
      <c r="C103" s="94" t="s">
        <v>289</v>
      </c>
      <c r="D103" s="85"/>
      <c r="E103" s="85"/>
      <c r="F103" s="85">
        <f t="shared" si="12"/>
        <v>0</v>
      </c>
      <c r="G103" s="85"/>
      <c r="H103" s="85"/>
      <c r="I103" s="85">
        <f t="shared" si="13"/>
        <v>0</v>
      </c>
    </row>
    <row r="104" spans="1:9" s="285" customFormat="1" x14ac:dyDescent="0.25">
      <c r="A104" s="118">
        <v>30</v>
      </c>
      <c r="B104" s="151">
        <v>5670</v>
      </c>
      <c r="C104" s="94" t="s">
        <v>290</v>
      </c>
      <c r="D104" s="85"/>
      <c r="E104" s="85"/>
      <c r="F104" s="85">
        <f t="shared" ref="F104:F109" si="14">E104-D104</f>
        <v>0</v>
      </c>
      <c r="G104" s="85"/>
      <c r="H104" s="85"/>
      <c r="I104" s="85">
        <f t="shared" si="13"/>
        <v>0</v>
      </c>
    </row>
    <row r="105" spans="1:9" s="285" customFormat="1" x14ac:dyDescent="0.25">
      <c r="A105" s="118">
        <v>30</v>
      </c>
      <c r="B105" s="151">
        <v>5675</v>
      </c>
      <c r="C105" s="94" t="s">
        <v>291</v>
      </c>
      <c r="D105" s="85"/>
      <c r="E105" s="85"/>
      <c r="F105" s="85">
        <f t="shared" si="14"/>
        <v>0</v>
      </c>
      <c r="G105" s="85"/>
      <c r="H105" s="85"/>
      <c r="I105" s="85">
        <f t="shared" si="13"/>
        <v>0</v>
      </c>
    </row>
    <row r="106" spans="1:9" s="285" customFormat="1" x14ac:dyDescent="0.25">
      <c r="A106" s="118">
        <v>30</v>
      </c>
      <c r="B106" s="151">
        <v>5680</v>
      </c>
      <c r="C106" s="94" t="s">
        <v>292</v>
      </c>
      <c r="D106" s="85"/>
      <c r="E106" s="85"/>
      <c r="F106" s="85">
        <f t="shared" si="14"/>
        <v>0</v>
      </c>
      <c r="G106" s="85"/>
      <c r="H106" s="85"/>
      <c r="I106" s="85">
        <f t="shared" si="13"/>
        <v>0</v>
      </c>
    </row>
    <row r="107" spans="1:9" s="285" customFormat="1" x14ac:dyDescent="0.25">
      <c r="A107" s="118">
        <v>30</v>
      </c>
      <c r="B107" s="151">
        <v>5685</v>
      </c>
      <c r="C107" s="94" t="s">
        <v>293</v>
      </c>
      <c r="D107" s="85"/>
      <c r="E107" s="85"/>
      <c r="F107" s="85">
        <f t="shared" si="14"/>
        <v>0</v>
      </c>
      <c r="G107" s="85"/>
      <c r="H107" s="85"/>
      <c r="I107" s="85">
        <f t="shared" si="13"/>
        <v>0</v>
      </c>
    </row>
    <row r="108" spans="1:9" s="285" customFormat="1" x14ac:dyDescent="0.25">
      <c r="A108" s="118">
        <v>30</v>
      </c>
      <c r="B108" s="151">
        <v>5690</v>
      </c>
      <c r="C108" s="94" t="s">
        <v>247</v>
      </c>
      <c r="D108" s="85"/>
      <c r="E108" s="85"/>
      <c r="F108" s="85">
        <f t="shared" si="14"/>
        <v>0</v>
      </c>
      <c r="G108" s="85"/>
      <c r="H108" s="85"/>
      <c r="I108" s="85">
        <f t="shared" si="13"/>
        <v>0</v>
      </c>
    </row>
    <row r="109" spans="1:9" s="285" customFormat="1" x14ac:dyDescent="0.25">
      <c r="A109" s="118">
        <v>30</v>
      </c>
      <c r="B109" s="151">
        <v>5695</v>
      </c>
      <c r="C109" s="94" t="s">
        <v>294</v>
      </c>
      <c r="D109" s="85"/>
      <c r="E109" s="85"/>
      <c r="F109" s="85">
        <f t="shared" si="14"/>
        <v>0</v>
      </c>
      <c r="G109" s="85"/>
      <c r="H109" s="85"/>
      <c r="I109" s="85">
        <f t="shared" si="13"/>
        <v>0</v>
      </c>
    </row>
    <row r="110" spans="1:9" s="285" customFormat="1" x14ac:dyDescent="0.25">
      <c r="A110" s="118">
        <v>30</v>
      </c>
      <c r="B110" s="151">
        <v>5700</v>
      </c>
      <c r="C110" s="94" t="s">
        <v>295</v>
      </c>
      <c r="D110" s="85"/>
      <c r="E110" s="85">
        <v>79000</v>
      </c>
      <c r="F110" s="85">
        <v>19000</v>
      </c>
      <c r="G110" s="85">
        <v>93530</v>
      </c>
      <c r="H110" s="85">
        <v>98530</v>
      </c>
      <c r="I110" s="85">
        <v>103000</v>
      </c>
    </row>
    <row r="111" spans="1:9" s="285" customFormat="1" x14ac:dyDescent="0.25">
      <c r="A111" s="118">
        <v>30</v>
      </c>
      <c r="B111" s="151">
        <v>5710</v>
      </c>
      <c r="C111" s="94" t="s">
        <v>297</v>
      </c>
      <c r="D111" s="85"/>
      <c r="E111" s="85"/>
      <c r="F111" s="85">
        <v>0</v>
      </c>
      <c r="G111" s="85"/>
      <c r="H111" s="85"/>
      <c r="I111" s="85"/>
    </row>
    <row r="112" spans="1:9" s="285" customFormat="1" x14ac:dyDescent="0.25">
      <c r="A112" s="118">
        <v>30</v>
      </c>
      <c r="B112" s="151">
        <v>5715</v>
      </c>
      <c r="C112" s="94" t="s">
        <v>298</v>
      </c>
      <c r="D112" s="85"/>
      <c r="E112" s="85">
        <v>8000</v>
      </c>
      <c r="F112" s="85">
        <v>8000</v>
      </c>
      <c r="G112" s="85">
        <v>229000</v>
      </c>
      <c r="H112" s="85">
        <v>229000</v>
      </c>
      <c r="I112" s="85">
        <v>229000</v>
      </c>
    </row>
    <row r="113" spans="1:9" s="285" customFormat="1" x14ac:dyDescent="0.25">
      <c r="A113" s="118">
        <v>30</v>
      </c>
      <c r="B113" s="151">
        <v>5720</v>
      </c>
      <c r="C113" s="94" t="s">
        <v>299</v>
      </c>
      <c r="D113" s="85"/>
      <c r="E113" s="85"/>
      <c r="F113" s="85">
        <v>0</v>
      </c>
      <c r="G113" s="85"/>
      <c r="H113" s="85"/>
      <c r="I113" s="85"/>
    </row>
    <row r="114" spans="1:9" s="285" customFormat="1" x14ac:dyDescent="0.25">
      <c r="A114" s="118">
        <v>30</v>
      </c>
      <c r="B114" s="151">
        <v>5730</v>
      </c>
      <c r="C114" s="94" t="s">
        <v>300</v>
      </c>
      <c r="D114" s="85"/>
      <c r="E114" s="85"/>
      <c r="F114" s="85">
        <v>0</v>
      </c>
      <c r="G114" s="85"/>
      <c r="H114" s="85"/>
      <c r="I114" s="85"/>
    </row>
    <row r="115" spans="1:9" s="285" customFormat="1" x14ac:dyDescent="0.25">
      <c r="A115" s="118">
        <v>30</v>
      </c>
      <c r="B115" s="151">
        <v>5735</v>
      </c>
      <c r="C115" s="94" t="s">
        <v>301</v>
      </c>
      <c r="D115" s="85"/>
      <c r="E115" s="85"/>
      <c r="F115" s="85">
        <v>0</v>
      </c>
      <c r="G115" s="85"/>
      <c r="H115" s="85"/>
      <c r="I115" s="85"/>
    </row>
    <row r="116" spans="1:9" s="285" customFormat="1" x14ac:dyDescent="0.25">
      <c r="A116" s="118">
        <v>30</v>
      </c>
      <c r="B116" s="151">
        <v>5740</v>
      </c>
      <c r="C116" s="94" t="s">
        <v>302</v>
      </c>
      <c r="D116" s="85"/>
      <c r="E116" s="85"/>
      <c r="F116" s="85">
        <v>0</v>
      </c>
      <c r="G116" s="85"/>
      <c r="H116" s="85"/>
      <c r="I116" s="85"/>
    </row>
    <row r="117" spans="1:9" s="285" customFormat="1" x14ac:dyDescent="0.25">
      <c r="A117" s="118">
        <v>30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85"/>
      <c r="I117" s="85"/>
    </row>
    <row r="118" spans="1:9" s="285" customFormat="1" x14ac:dyDescent="0.25">
      <c r="A118" s="118">
        <v>30</v>
      </c>
      <c r="B118" s="151">
        <v>5750</v>
      </c>
      <c r="C118" s="94" t="s">
        <v>304</v>
      </c>
      <c r="D118" s="85">
        <v>71</v>
      </c>
      <c r="E118" s="85">
        <v>650</v>
      </c>
      <c r="F118" s="85">
        <v>650</v>
      </c>
      <c r="G118" s="85">
        <v>650</v>
      </c>
      <c r="H118" s="85">
        <v>680</v>
      </c>
      <c r="I118" s="85">
        <v>695</v>
      </c>
    </row>
    <row r="119" spans="1:9" s="285" customFormat="1" x14ac:dyDescent="0.25">
      <c r="A119" s="118">
        <v>30</v>
      </c>
      <c r="B119" s="151">
        <v>5755</v>
      </c>
      <c r="C119" s="94" t="s">
        <v>305</v>
      </c>
      <c r="D119" s="85">
        <v>856</v>
      </c>
      <c r="E119" s="85">
        <v>5500</v>
      </c>
      <c r="F119" s="85">
        <v>5500</v>
      </c>
      <c r="G119" s="85">
        <v>5500</v>
      </c>
      <c r="H119" s="85">
        <v>5600</v>
      </c>
      <c r="I119" s="85">
        <v>5700</v>
      </c>
    </row>
    <row r="120" spans="1:9" s="285" customFormat="1" ht="12" customHeight="1" x14ac:dyDescent="0.25">
      <c r="A120" s="118">
        <v>30</v>
      </c>
      <c r="B120" s="151">
        <v>5760</v>
      </c>
      <c r="C120" s="94" t="s">
        <v>306</v>
      </c>
      <c r="D120" s="85"/>
      <c r="E120" s="85"/>
      <c r="F120" s="85">
        <v>0</v>
      </c>
      <c r="G120" s="85"/>
      <c r="H120" s="85"/>
      <c r="I120" s="85"/>
    </row>
    <row r="121" spans="1:9" s="285" customFormat="1" x14ac:dyDescent="0.25">
      <c r="A121" s="118">
        <v>30</v>
      </c>
      <c r="B121" s="151">
        <v>5765</v>
      </c>
      <c r="C121" s="94" t="s">
        <v>307</v>
      </c>
      <c r="D121" s="85"/>
      <c r="E121" s="85"/>
      <c r="F121" s="85">
        <v>0</v>
      </c>
      <c r="G121" s="85"/>
      <c r="H121" s="85"/>
      <c r="I121" s="85"/>
    </row>
    <row r="122" spans="1:9" s="285" customFormat="1" x14ac:dyDescent="0.25">
      <c r="A122" s="118">
        <v>30</v>
      </c>
      <c r="B122" s="151">
        <v>5770</v>
      </c>
      <c r="C122" s="94" t="s">
        <v>308</v>
      </c>
      <c r="D122" s="85"/>
      <c r="E122" s="85"/>
      <c r="F122" s="85">
        <v>0</v>
      </c>
      <c r="G122" s="85"/>
      <c r="H122" s="85"/>
      <c r="I122" s="85"/>
    </row>
    <row r="123" spans="1:9" s="285" customFormat="1" x14ac:dyDescent="0.25">
      <c r="A123" s="118">
        <v>30</v>
      </c>
      <c r="B123" s="151">
        <v>5775</v>
      </c>
      <c r="C123" s="94" t="s">
        <v>309</v>
      </c>
      <c r="D123" s="85"/>
      <c r="E123" s="85"/>
      <c r="F123" s="85">
        <v>0</v>
      </c>
      <c r="G123" s="85"/>
      <c r="H123" s="85"/>
      <c r="I123" s="85"/>
    </row>
    <row r="124" spans="1:9" s="285" customFormat="1" x14ac:dyDescent="0.25">
      <c r="A124" s="118">
        <v>30</v>
      </c>
      <c r="B124" s="151">
        <v>5780</v>
      </c>
      <c r="C124" s="94" t="s">
        <v>310</v>
      </c>
      <c r="D124" s="85"/>
      <c r="E124" s="85"/>
      <c r="F124" s="85">
        <v>0</v>
      </c>
      <c r="G124" s="85"/>
      <c r="H124" s="85"/>
      <c r="I124" s="85"/>
    </row>
    <row r="125" spans="1:9" s="285" customFormat="1" x14ac:dyDescent="0.25">
      <c r="A125" s="118">
        <v>30</v>
      </c>
      <c r="B125" s="151">
        <v>5785</v>
      </c>
      <c r="C125" s="94" t="s">
        <v>311</v>
      </c>
      <c r="D125" s="85"/>
      <c r="E125" s="85"/>
      <c r="F125" s="85">
        <v>0</v>
      </c>
      <c r="G125" s="85"/>
      <c r="H125" s="85"/>
      <c r="I125" s="85"/>
    </row>
    <row r="126" spans="1:9" s="285" customFormat="1" x14ac:dyDescent="0.25">
      <c r="A126" s="118">
        <v>30</v>
      </c>
      <c r="B126" s="151">
        <v>5790</v>
      </c>
      <c r="C126" s="94" t="s">
        <v>312</v>
      </c>
      <c r="D126" s="85"/>
      <c r="E126" s="85"/>
      <c r="F126" s="85">
        <v>0</v>
      </c>
      <c r="G126" s="85"/>
      <c r="H126" s="85"/>
      <c r="I126" s="85"/>
    </row>
    <row r="127" spans="1:9" s="285" customFormat="1" x14ac:dyDescent="0.25">
      <c r="A127" s="118">
        <v>30</v>
      </c>
      <c r="B127" s="151">
        <v>5795</v>
      </c>
      <c r="C127" s="94" t="s">
        <v>313</v>
      </c>
      <c r="D127" s="85"/>
      <c r="E127" s="85"/>
      <c r="F127" s="85">
        <v>0</v>
      </c>
      <c r="G127" s="85"/>
      <c r="H127" s="85"/>
      <c r="I127" s="85"/>
    </row>
    <row r="128" spans="1:9" s="285" customFormat="1" x14ac:dyDescent="0.25">
      <c r="A128" s="118">
        <v>30</v>
      </c>
      <c r="B128" s="151">
        <v>5800</v>
      </c>
      <c r="C128" s="94" t="s">
        <v>314</v>
      </c>
      <c r="D128" s="85"/>
      <c r="E128" s="85"/>
      <c r="F128" s="85">
        <v>0</v>
      </c>
      <c r="G128" s="85"/>
      <c r="H128" s="85"/>
      <c r="I128" s="85"/>
    </row>
    <row r="129" spans="1:9" s="285" customFormat="1" x14ac:dyDescent="0.25">
      <c r="A129" s="118">
        <v>30</v>
      </c>
      <c r="B129" s="151">
        <v>5805</v>
      </c>
      <c r="C129" s="94" t="s">
        <v>315</v>
      </c>
      <c r="D129" s="85"/>
      <c r="E129" s="85"/>
      <c r="F129" s="85">
        <v>0</v>
      </c>
      <c r="G129" s="85"/>
      <c r="H129" s="85"/>
      <c r="I129" s="85"/>
    </row>
    <row r="130" spans="1:9" s="285" customFormat="1" x14ac:dyDescent="0.25">
      <c r="A130" s="118">
        <v>30</v>
      </c>
      <c r="B130" s="151">
        <v>5810</v>
      </c>
      <c r="C130" s="94" t="s">
        <v>316</v>
      </c>
      <c r="D130" s="85"/>
      <c r="E130" s="85"/>
      <c r="F130" s="85">
        <v>0</v>
      </c>
      <c r="G130" s="85"/>
      <c r="H130" s="85"/>
      <c r="I130" s="85"/>
    </row>
    <row r="131" spans="1:9" s="285" customFormat="1" x14ac:dyDescent="0.25">
      <c r="A131" s="118">
        <v>30</v>
      </c>
      <c r="B131" s="151">
        <v>5815</v>
      </c>
      <c r="C131" s="94" t="s">
        <v>99</v>
      </c>
      <c r="D131" s="85"/>
      <c r="E131" s="85"/>
      <c r="F131" s="85">
        <v>0</v>
      </c>
      <c r="G131" s="85"/>
      <c r="H131" s="85"/>
      <c r="I131" s="85"/>
    </row>
    <row r="132" spans="1:9" s="285" customFormat="1" x14ac:dyDescent="0.25">
      <c r="A132" s="118">
        <v>30</v>
      </c>
      <c r="B132" s="151">
        <v>5820</v>
      </c>
      <c r="C132" s="94" t="s">
        <v>114</v>
      </c>
      <c r="D132" s="86"/>
      <c r="E132" s="85"/>
      <c r="F132" s="85">
        <v>0</v>
      </c>
      <c r="G132" s="85"/>
      <c r="H132" s="85"/>
      <c r="I132" s="85"/>
    </row>
    <row r="133" spans="1:9" s="285" customFormat="1" x14ac:dyDescent="0.25">
      <c r="A133" s="118">
        <v>30</v>
      </c>
      <c r="B133" s="151">
        <v>5825</v>
      </c>
      <c r="C133" s="94" t="s">
        <v>317</v>
      </c>
      <c r="D133" s="86"/>
      <c r="E133" s="85">
        <v>98400</v>
      </c>
      <c r="F133" s="85">
        <v>98400</v>
      </c>
      <c r="G133" s="85">
        <v>98400</v>
      </c>
      <c r="H133" s="85">
        <v>98400</v>
      </c>
      <c r="I133" s="85">
        <v>98400</v>
      </c>
    </row>
    <row r="134" spans="1:9" s="285" customFormat="1" x14ac:dyDescent="0.25">
      <c r="A134" s="118">
        <v>30</v>
      </c>
      <c r="B134" s="151">
        <v>5830</v>
      </c>
      <c r="C134" s="94" t="s">
        <v>318</v>
      </c>
      <c r="D134" s="86"/>
      <c r="E134" s="85"/>
      <c r="F134" s="85">
        <v>0</v>
      </c>
      <c r="G134" s="85"/>
      <c r="H134" s="85"/>
      <c r="I134" s="85"/>
    </row>
    <row r="135" spans="1:9" s="285" customFormat="1" x14ac:dyDescent="0.25">
      <c r="A135" s="118">
        <v>30</v>
      </c>
      <c r="B135" s="151">
        <v>5835</v>
      </c>
      <c r="C135" s="94" t="s">
        <v>319</v>
      </c>
      <c r="D135" s="86"/>
      <c r="E135" s="85"/>
      <c r="F135" s="85">
        <f t="shared" ref="F135:F147" si="15">0/8*12</f>
        <v>0</v>
      </c>
      <c r="G135" s="85"/>
      <c r="H135" s="85"/>
      <c r="I135" s="85">
        <f>F135*(1+INPUT!C$10)</f>
        <v>0</v>
      </c>
    </row>
    <row r="136" spans="1:9" s="285" customFormat="1" x14ac:dyDescent="0.25">
      <c r="A136" s="118">
        <v>30</v>
      </c>
      <c r="B136" s="151">
        <v>5840</v>
      </c>
      <c r="C136" s="94" t="s">
        <v>332</v>
      </c>
      <c r="D136" s="115"/>
      <c r="E136" s="85"/>
      <c r="F136" s="85">
        <f t="shared" si="15"/>
        <v>0</v>
      </c>
      <c r="G136" s="85"/>
      <c r="H136" s="85"/>
      <c r="I136" s="85">
        <f>F136*(1+INPUT!C$10)</f>
        <v>0</v>
      </c>
    </row>
    <row r="137" spans="1:9" s="285" customFormat="1" x14ac:dyDescent="0.25">
      <c r="A137" s="118">
        <v>30</v>
      </c>
      <c r="B137" s="151">
        <v>5845</v>
      </c>
      <c r="C137" s="94" t="s">
        <v>320</v>
      </c>
      <c r="D137" s="86"/>
      <c r="E137" s="85"/>
      <c r="F137" s="85">
        <f t="shared" si="15"/>
        <v>0</v>
      </c>
      <c r="G137" s="85"/>
      <c r="H137" s="85"/>
      <c r="I137" s="85">
        <f>F137*(1+INPUT!C$10)</f>
        <v>0</v>
      </c>
    </row>
    <row r="138" spans="1:9" s="285" customFormat="1" x14ac:dyDescent="0.25">
      <c r="A138" s="118">
        <v>30</v>
      </c>
      <c r="B138" s="151">
        <v>5855</v>
      </c>
      <c r="C138" s="94" t="s">
        <v>321</v>
      </c>
      <c r="D138" s="85"/>
      <c r="E138" s="85"/>
      <c r="F138" s="85">
        <f t="shared" si="15"/>
        <v>0</v>
      </c>
      <c r="G138" s="85"/>
      <c r="H138" s="85"/>
      <c r="I138" s="85">
        <f>F138*(1+INPUT!C$10)</f>
        <v>0</v>
      </c>
    </row>
    <row r="139" spans="1:9" s="285" customFormat="1" x14ac:dyDescent="0.25">
      <c r="A139" s="118">
        <v>30</v>
      </c>
      <c r="B139" s="151">
        <v>5860</v>
      </c>
      <c r="C139" s="94" t="s">
        <v>322</v>
      </c>
      <c r="D139" s="85"/>
      <c r="E139" s="85"/>
      <c r="F139" s="85">
        <f t="shared" si="15"/>
        <v>0</v>
      </c>
      <c r="G139" s="85"/>
      <c r="H139" s="85"/>
      <c r="I139" s="85">
        <f>F139*(1+INPUT!C$10)</f>
        <v>0</v>
      </c>
    </row>
    <row r="140" spans="1:9" s="285" customFormat="1" x14ac:dyDescent="0.25">
      <c r="A140" s="118">
        <v>30</v>
      </c>
      <c r="B140" s="151">
        <v>5865</v>
      </c>
      <c r="C140" s="94" t="s">
        <v>323</v>
      </c>
      <c r="D140" s="85"/>
      <c r="E140" s="85"/>
      <c r="F140" s="85">
        <f t="shared" si="15"/>
        <v>0</v>
      </c>
      <c r="G140" s="85"/>
      <c r="H140" s="85"/>
      <c r="I140" s="85">
        <f>F140*(1+INPUT!C$10)</f>
        <v>0</v>
      </c>
    </row>
    <row r="141" spans="1:9" s="285" customFormat="1" x14ac:dyDescent="0.25">
      <c r="A141" s="118">
        <v>30</v>
      </c>
      <c r="B141" s="151">
        <v>5870</v>
      </c>
      <c r="C141" s="94" t="s">
        <v>324</v>
      </c>
      <c r="D141" s="85"/>
      <c r="E141" s="85"/>
      <c r="F141" s="85">
        <f t="shared" si="15"/>
        <v>0</v>
      </c>
      <c r="G141" s="85"/>
      <c r="H141" s="85"/>
      <c r="I141" s="85">
        <f>F141*(1+INPUT!C$10)</f>
        <v>0</v>
      </c>
    </row>
    <row r="142" spans="1:9" s="285" customFormat="1" x14ac:dyDescent="0.25">
      <c r="A142" s="118">
        <v>30</v>
      </c>
      <c r="B142" s="151">
        <v>5875</v>
      </c>
      <c r="C142" s="94" t="s">
        <v>325</v>
      </c>
      <c r="D142" s="85"/>
      <c r="E142" s="85"/>
      <c r="F142" s="85">
        <f t="shared" si="15"/>
        <v>0</v>
      </c>
      <c r="G142" s="85"/>
      <c r="H142" s="85"/>
      <c r="I142" s="85">
        <f>F142*(1+INPUT!C$10)</f>
        <v>0</v>
      </c>
    </row>
    <row r="143" spans="1:9" s="285" customFormat="1" x14ac:dyDescent="0.25">
      <c r="A143" s="118">
        <v>30</v>
      </c>
      <c r="B143" s="151">
        <v>5880</v>
      </c>
      <c r="C143" s="94" t="s">
        <v>326</v>
      </c>
      <c r="D143" s="85"/>
      <c r="E143" s="85"/>
      <c r="F143" s="85">
        <f t="shared" si="15"/>
        <v>0</v>
      </c>
      <c r="G143" s="85"/>
      <c r="H143" s="85"/>
      <c r="I143" s="85">
        <f>F143*(1+INPUT!C$10)</f>
        <v>0</v>
      </c>
    </row>
    <row r="144" spans="1:9" s="285" customFormat="1" x14ac:dyDescent="0.25">
      <c r="A144" s="118">
        <v>30</v>
      </c>
      <c r="B144" s="151">
        <v>5885</v>
      </c>
      <c r="C144" s="94" t="s">
        <v>331</v>
      </c>
      <c r="D144" s="85"/>
      <c r="E144" s="85"/>
      <c r="F144" s="85">
        <f t="shared" si="15"/>
        <v>0</v>
      </c>
      <c r="G144" s="85"/>
      <c r="H144" s="85"/>
      <c r="I144" s="85">
        <f>F144*(1+INPUT!C$10)</f>
        <v>0</v>
      </c>
    </row>
    <row r="145" spans="1:9" s="285" customFormat="1" x14ac:dyDescent="0.25">
      <c r="A145" s="118">
        <v>30</v>
      </c>
      <c r="B145" s="151">
        <v>5890</v>
      </c>
      <c r="C145" s="94" t="s">
        <v>327</v>
      </c>
      <c r="D145" s="85"/>
      <c r="E145" s="85"/>
      <c r="F145" s="85">
        <f t="shared" si="15"/>
        <v>0</v>
      </c>
      <c r="G145" s="85"/>
      <c r="H145" s="85"/>
      <c r="I145" s="85">
        <f>F145*(1+INPUT!C$10)</f>
        <v>0</v>
      </c>
    </row>
    <row r="146" spans="1:9" s="285" customFormat="1" x14ac:dyDescent="0.25">
      <c r="A146" s="118">
        <v>30</v>
      </c>
      <c r="B146" s="151">
        <v>5895</v>
      </c>
      <c r="C146" s="94" t="s">
        <v>328</v>
      </c>
      <c r="D146" s="85"/>
      <c r="E146" s="85"/>
      <c r="F146" s="85">
        <f t="shared" si="15"/>
        <v>0</v>
      </c>
      <c r="G146" s="85"/>
      <c r="H146" s="85"/>
      <c r="I146" s="85">
        <f>F146*(1+INPUT!C$10)</f>
        <v>0</v>
      </c>
    </row>
    <row r="147" spans="1:9" s="285" customFormat="1" x14ac:dyDescent="0.25">
      <c r="A147" s="118">
        <v>30</v>
      </c>
      <c r="B147" s="151">
        <v>5910</v>
      </c>
      <c r="C147" s="94" t="s">
        <v>330</v>
      </c>
      <c r="D147" s="85"/>
      <c r="E147" s="85"/>
      <c r="F147" s="85">
        <f t="shared" si="15"/>
        <v>0</v>
      </c>
      <c r="G147" s="85"/>
      <c r="H147" s="85"/>
      <c r="I147" s="85">
        <f>F147*(1+INPUT!C$10)</f>
        <v>0</v>
      </c>
    </row>
    <row r="148" spans="1:9" s="285" customFormat="1" x14ac:dyDescent="0.25">
      <c r="A148" s="344"/>
      <c r="B148" s="151"/>
      <c r="C148" s="94"/>
      <c r="D148" s="89">
        <f t="shared" ref="D148:I148" si="16">SUM(D72:D147)</f>
        <v>49766</v>
      </c>
      <c r="E148" s="89">
        <f t="shared" si="16"/>
        <v>285521.2</v>
      </c>
      <c r="F148" s="89">
        <f t="shared" si="16"/>
        <v>225521.2</v>
      </c>
      <c r="G148" s="89">
        <f t="shared" si="16"/>
        <v>513150</v>
      </c>
      <c r="H148" s="89">
        <f t="shared" si="16"/>
        <v>522210</v>
      </c>
      <c r="I148" s="89">
        <f t="shared" si="16"/>
        <v>531795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30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85"/>
      <c r="H150" s="85"/>
      <c r="I150" s="108"/>
    </row>
    <row r="151" spans="1:9" s="285" customFormat="1" x14ac:dyDescent="0.25">
      <c r="A151" s="344"/>
      <c r="B151" s="151"/>
      <c r="C151" s="94"/>
      <c r="D151" s="89">
        <f t="shared" ref="D151:I151" si="17">SUM(D150)</f>
        <v>0</v>
      </c>
      <c r="E151" s="89">
        <f t="shared" si="17"/>
        <v>0</v>
      </c>
      <c r="F151" s="89">
        <f t="shared" si="17"/>
        <v>0</v>
      </c>
      <c r="G151" s="89"/>
      <c r="H151" s="89"/>
      <c r="I151" s="89">
        <f t="shared" si="17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30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85"/>
      <c r="H153" s="85"/>
      <c r="I153" s="108"/>
    </row>
    <row r="154" spans="1:9" s="285" customFormat="1" x14ac:dyDescent="0.25">
      <c r="A154" s="118">
        <v>30</v>
      </c>
      <c r="B154" s="151">
        <v>6110</v>
      </c>
      <c r="C154" s="94" t="s">
        <v>337</v>
      </c>
      <c r="D154" s="85">
        <v>26250</v>
      </c>
      <c r="E154" s="108">
        <v>1231113</v>
      </c>
      <c r="F154" s="85">
        <v>1231113</v>
      </c>
      <c r="G154" s="85">
        <v>5593587</v>
      </c>
      <c r="H154" s="85">
        <v>1500000</v>
      </c>
      <c r="I154" s="108">
        <v>1500000</v>
      </c>
    </row>
    <row r="155" spans="1:9" s="285" customFormat="1" x14ac:dyDescent="0.25">
      <c r="A155" s="118">
        <v>30</v>
      </c>
      <c r="B155" s="151">
        <v>6115</v>
      </c>
      <c r="C155" s="94" t="s">
        <v>60</v>
      </c>
      <c r="D155" s="85"/>
      <c r="E155" s="108">
        <v>0</v>
      </c>
      <c r="F155" s="85"/>
      <c r="G155" s="85">
        <v>2455000</v>
      </c>
      <c r="H155" s="85">
        <v>2000000</v>
      </c>
      <c r="I155" s="108">
        <v>2000000</v>
      </c>
    </row>
    <row r="156" spans="1:9" s="285" customFormat="1" x14ac:dyDescent="0.25">
      <c r="A156" s="344"/>
      <c r="B156" s="151"/>
      <c r="C156" s="94"/>
      <c r="D156" s="89">
        <f t="shared" ref="D156:I156" si="18">SUM(D153:D155)</f>
        <v>26250</v>
      </c>
      <c r="E156" s="89">
        <f t="shared" si="18"/>
        <v>1231113</v>
      </c>
      <c r="F156" s="89">
        <f t="shared" si="18"/>
        <v>1231113</v>
      </c>
      <c r="G156" s="89">
        <f t="shared" si="18"/>
        <v>8048587</v>
      </c>
      <c r="H156" s="89">
        <f t="shared" si="18"/>
        <v>3500000</v>
      </c>
      <c r="I156" s="89">
        <f t="shared" si="18"/>
        <v>3500000</v>
      </c>
    </row>
    <row r="157" spans="1:9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hidden="1" x14ac:dyDescent="0.25">
      <c r="A158" s="118">
        <v>30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/>
      <c r="I158" s="85">
        <f>F158*(1+INPUT!C$10)</f>
        <v>0</v>
      </c>
    </row>
    <row r="159" spans="1:9" s="285" customFormat="1" hidden="1" x14ac:dyDescent="0.25">
      <c r="A159" s="118">
        <v>30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/>
      <c r="I159" s="85">
        <f>F159*(1+INPUT!C$10)</f>
        <v>0</v>
      </c>
    </row>
    <row r="160" spans="1:9" s="285" customFormat="1" hidden="1" x14ac:dyDescent="0.25">
      <c r="A160" s="344"/>
      <c r="B160" s="346"/>
      <c r="C160" s="347"/>
      <c r="D160" s="116">
        <f t="shared" ref="D160:I160" si="19">SUM(D158:D159)</f>
        <v>0</v>
      </c>
      <c r="E160" s="116">
        <f t="shared" si="19"/>
        <v>0</v>
      </c>
      <c r="F160" s="116">
        <f t="shared" si="19"/>
        <v>0</v>
      </c>
      <c r="G160" s="116"/>
      <c r="H160" s="116"/>
      <c r="I160" s="116">
        <f t="shared" si="19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I161" si="20">D160+D156+D151+D148+D70+D66+D63+D59+D38+D35+D32+D29+D25+D18</f>
        <v>365311</v>
      </c>
      <c r="E161" s="116">
        <f t="shared" si="20"/>
        <v>2293034.2000000002</v>
      </c>
      <c r="F161" s="116">
        <f t="shared" si="20"/>
        <v>2293034.2000000002</v>
      </c>
      <c r="G161" s="116">
        <f t="shared" si="20"/>
        <v>9396172.1999999993</v>
      </c>
      <c r="H161" s="116">
        <f t="shared" si="20"/>
        <v>4917946.7935999995</v>
      </c>
      <c r="I161" s="116">
        <f t="shared" si="20"/>
        <v>4992321.8955648001</v>
      </c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x14ac:dyDescent="0.25">
      <c r="A163" s="118">
        <v>30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85"/>
      <c r="H163" s="85">
        <f>0/8*12</f>
        <v>0</v>
      </c>
      <c r="I163" s="85"/>
    </row>
    <row r="164" spans="1:9" s="285" customFormat="1" x14ac:dyDescent="0.25">
      <c r="A164" s="344"/>
      <c r="B164" s="151"/>
      <c r="C164" s="94"/>
      <c r="D164" s="116">
        <f t="shared" ref="D164:I164" si="21">D163</f>
        <v>0</v>
      </c>
      <c r="E164" s="116">
        <f t="shared" si="21"/>
        <v>0</v>
      </c>
      <c r="F164" s="116">
        <f t="shared" si="21"/>
        <v>0</v>
      </c>
      <c r="G164" s="116"/>
      <c r="H164" s="116">
        <f t="shared" ref="H164" si="22">H163</f>
        <v>0</v>
      </c>
      <c r="I164" s="116">
        <f t="shared" si="21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23">SUM(D161+D164)</f>
        <v>365311</v>
      </c>
      <c r="E165" s="160">
        <f t="shared" si="23"/>
        <v>2293034.2000000002</v>
      </c>
      <c r="F165" s="160">
        <f t="shared" si="23"/>
        <v>2293034.2000000002</v>
      </c>
      <c r="G165" s="160">
        <f t="shared" si="23"/>
        <v>9396172.1999999993</v>
      </c>
      <c r="H165" s="160">
        <f t="shared" si="23"/>
        <v>4917946.7935999995</v>
      </c>
      <c r="I165" s="160">
        <f t="shared" si="23"/>
        <v>4992321.8955648001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425"/>
      <c r="H168" s="338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30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08">
        <f>F172*(1+INPUT!C15)</f>
        <v>0</v>
      </c>
    </row>
    <row r="173" spans="1:9" s="285" customFormat="1" hidden="1" x14ac:dyDescent="0.25">
      <c r="A173" s="118">
        <v>30</v>
      </c>
      <c r="B173" s="151">
        <v>5725</v>
      </c>
      <c r="C173" s="94" t="s">
        <v>402</v>
      </c>
      <c r="D173" s="85">
        <v>0</v>
      </c>
      <c r="E173" s="85">
        <v>0</v>
      </c>
      <c r="F173" s="85">
        <f>(0/8*12)*-1</f>
        <v>0</v>
      </c>
      <c r="G173" s="85"/>
      <c r="H173" s="85"/>
      <c r="I173" s="85">
        <f>F173*(1+INPUT!C$10)</f>
        <v>0</v>
      </c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30</v>
      </c>
      <c r="B176" s="151">
        <v>1147</v>
      </c>
      <c r="C176" s="94" t="s">
        <v>102</v>
      </c>
      <c r="D176" s="122"/>
      <c r="E176" s="98"/>
      <c r="F176" s="98"/>
      <c r="G176" s="98"/>
      <c r="H176" s="98"/>
      <c r="I176" s="98">
        <f>F176*(1+INPUT!C18)</f>
        <v>0</v>
      </c>
    </row>
    <row r="177" spans="1:9" s="285" customFormat="1" x14ac:dyDescent="0.25">
      <c r="A177" s="118">
        <v>30</v>
      </c>
      <c r="B177" s="151">
        <v>1202</v>
      </c>
      <c r="C177" s="94" t="s">
        <v>343</v>
      </c>
      <c r="D177" s="122">
        <v>43508</v>
      </c>
      <c r="E177" s="98">
        <v>77630.16</v>
      </c>
      <c r="F177" s="85">
        <v>77630.16</v>
      </c>
      <c r="G177" s="86">
        <f>(F177*0.1)+F177</f>
        <v>85393.176000000007</v>
      </c>
      <c r="H177" s="86">
        <f t="shared" ref="H177:I177" si="24">(G177*0.1)+G177</f>
        <v>93932.493600000002</v>
      </c>
      <c r="I177" s="86">
        <f t="shared" si="24"/>
        <v>103325.74296</v>
      </c>
    </row>
    <row r="178" spans="1:9" s="285" customFormat="1" hidden="1" x14ac:dyDescent="0.25">
      <c r="A178" s="118">
        <v>30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f t="shared" ref="G178:I178" si="25">(F178*0.1)+F178</f>
        <v>0</v>
      </c>
      <c r="H178" s="86">
        <f t="shared" si="25"/>
        <v>0</v>
      </c>
      <c r="I178" s="86">
        <f t="shared" si="25"/>
        <v>0</v>
      </c>
    </row>
    <row r="179" spans="1:9" s="285" customFormat="1" hidden="1" x14ac:dyDescent="0.25">
      <c r="A179" s="118">
        <v>30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f t="shared" ref="G179:I179" si="26">(F179*0.1)+F179</f>
        <v>0</v>
      </c>
      <c r="H179" s="86">
        <f t="shared" si="26"/>
        <v>0</v>
      </c>
      <c r="I179" s="86">
        <f t="shared" si="26"/>
        <v>0</v>
      </c>
    </row>
    <row r="180" spans="1:9" s="285" customFormat="1" hidden="1" x14ac:dyDescent="0.25">
      <c r="A180" s="118">
        <v>30</v>
      </c>
      <c r="B180" s="151">
        <v>1143</v>
      </c>
      <c r="C180" s="94" t="s">
        <v>109</v>
      </c>
      <c r="D180" s="122"/>
      <c r="E180" s="98"/>
      <c r="F180" s="85">
        <v>0</v>
      </c>
      <c r="G180" s="86">
        <f t="shared" ref="G180:I180" si="27">(F180*0.1)+F180</f>
        <v>0</v>
      </c>
      <c r="H180" s="86">
        <f t="shared" si="27"/>
        <v>0</v>
      </c>
      <c r="I180" s="86">
        <f t="shared" si="27"/>
        <v>0</v>
      </c>
    </row>
    <row r="181" spans="1:9" s="285" customFormat="1" x14ac:dyDescent="0.25">
      <c r="A181" s="118">
        <v>30</v>
      </c>
      <c r="B181" s="151">
        <v>5500</v>
      </c>
      <c r="C181" s="94" t="s">
        <v>266</v>
      </c>
      <c r="D181" s="85"/>
      <c r="E181" s="85">
        <v>-11226.336000000001</v>
      </c>
      <c r="F181" s="85">
        <v>-11226.336000000001</v>
      </c>
      <c r="G181" s="86">
        <f t="shared" ref="G181:I181" si="28">(F181*0.1)+F181</f>
        <v>-12348.9696</v>
      </c>
      <c r="H181" s="86">
        <f t="shared" si="28"/>
        <v>-13583.86656</v>
      </c>
      <c r="I181" s="86">
        <f t="shared" si="28"/>
        <v>-14942.253216000001</v>
      </c>
    </row>
    <row r="182" spans="1:9" s="285" customFormat="1" hidden="1" x14ac:dyDescent="0.25">
      <c r="A182" s="118">
        <v>30</v>
      </c>
      <c r="B182" s="151">
        <v>5705</v>
      </c>
      <c r="C182" s="94" t="s">
        <v>296</v>
      </c>
      <c r="D182" s="85"/>
      <c r="E182" s="85">
        <v>0</v>
      </c>
      <c r="F182" s="85">
        <v>0</v>
      </c>
      <c r="G182" s="86">
        <f t="shared" ref="G182:I182" si="29">(F182*0.1)+F182</f>
        <v>0</v>
      </c>
      <c r="H182" s="86">
        <f t="shared" si="29"/>
        <v>0</v>
      </c>
      <c r="I182" s="86">
        <f t="shared" si="29"/>
        <v>0</v>
      </c>
    </row>
    <row r="183" spans="1:9" s="285" customFormat="1" hidden="1" x14ac:dyDescent="0.25">
      <c r="A183" s="118">
        <v>30</v>
      </c>
      <c r="B183" s="151">
        <v>1140</v>
      </c>
      <c r="C183" s="94" t="s">
        <v>113</v>
      </c>
      <c r="D183" s="122"/>
      <c r="E183" s="98">
        <v>0</v>
      </c>
      <c r="F183" s="85">
        <v>0</v>
      </c>
      <c r="G183" s="86">
        <f t="shared" ref="G183:I183" si="30">(F183*0.1)+F183</f>
        <v>0</v>
      </c>
      <c r="H183" s="86">
        <f t="shared" si="30"/>
        <v>0</v>
      </c>
      <c r="I183" s="86">
        <f t="shared" si="30"/>
        <v>0</v>
      </c>
    </row>
    <row r="184" spans="1:9" s="285" customFormat="1" hidden="1" x14ac:dyDescent="0.25">
      <c r="A184" s="118">
        <v>30</v>
      </c>
      <c r="B184" s="151">
        <v>1145</v>
      </c>
      <c r="C184" s="94" t="s">
        <v>132</v>
      </c>
      <c r="D184" s="122"/>
      <c r="E184" s="98">
        <v>0</v>
      </c>
      <c r="F184" s="85">
        <v>0</v>
      </c>
      <c r="G184" s="86">
        <f t="shared" ref="G184:I184" si="31">(F184*0.1)+F184</f>
        <v>0</v>
      </c>
      <c r="H184" s="86">
        <f t="shared" si="31"/>
        <v>0</v>
      </c>
      <c r="I184" s="86">
        <f t="shared" si="31"/>
        <v>0</v>
      </c>
    </row>
    <row r="185" spans="1:9" s="285" customFormat="1" hidden="1" x14ac:dyDescent="0.25">
      <c r="A185" s="118">
        <v>30</v>
      </c>
      <c r="B185" s="151">
        <v>1150</v>
      </c>
      <c r="C185" s="94" t="s">
        <v>120</v>
      </c>
      <c r="D185" s="122"/>
      <c r="E185" s="98">
        <v>0</v>
      </c>
      <c r="F185" s="85">
        <v>0</v>
      </c>
      <c r="G185" s="86">
        <f t="shared" ref="G185:I185" si="32">(F185*0.1)+F185</f>
        <v>0</v>
      </c>
      <c r="H185" s="86">
        <f t="shared" si="32"/>
        <v>0</v>
      </c>
      <c r="I185" s="86">
        <f t="shared" si="32"/>
        <v>0</v>
      </c>
    </row>
    <row r="186" spans="1:9" s="285" customFormat="1" hidden="1" x14ac:dyDescent="0.25">
      <c r="A186" s="118">
        <v>30</v>
      </c>
      <c r="B186" s="151">
        <v>1155</v>
      </c>
      <c r="C186" s="94" t="s">
        <v>116</v>
      </c>
      <c r="D186" s="122"/>
      <c r="E186" s="98">
        <v>0</v>
      </c>
      <c r="F186" s="85">
        <v>0</v>
      </c>
      <c r="G186" s="86">
        <f t="shared" ref="G186:I186" si="33">(F186*0.1)+F186</f>
        <v>0</v>
      </c>
      <c r="H186" s="86">
        <f t="shared" si="33"/>
        <v>0</v>
      </c>
      <c r="I186" s="86">
        <f t="shared" si="33"/>
        <v>0</v>
      </c>
    </row>
    <row r="187" spans="1:9" s="285" customFormat="1" hidden="1" x14ac:dyDescent="0.25">
      <c r="A187" s="118">
        <v>30</v>
      </c>
      <c r="B187" s="151">
        <v>1160</v>
      </c>
      <c r="C187" s="94" t="s">
        <v>101</v>
      </c>
      <c r="D187" s="122"/>
      <c r="E187" s="98">
        <v>0</v>
      </c>
      <c r="F187" s="85">
        <v>0</v>
      </c>
      <c r="G187" s="86">
        <f t="shared" ref="G187:I187" si="34">(F187*0.1)+F187</f>
        <v>0</v>
      </c>
      <c r="H187" s="86">
        <f t="shared" si="34"/>
        <v>0</v>
      </c>
      <c r="I187" s="86">
        <f t="shared" si="34"/>
        <v>0</v>
      </c>
    </row>
    <row r="188" spans="1:9" s="285" customFormat="1" hidden="1" x14ac:dyDescent="0.25">
      <c r="A188" s="118">
        <v>30</v>
      </c>
      <c r="B188" s="151">
        <v>1165</v>
      </c>
      <c r="C188" s="94" t="s">
        <v>114</v>
      </c>
      <c r="D188" s="122"/>
      <c r="E188" s="98">
        <v>0</v>
      </c>
      <c r="F188" s="85">
        <v>0</v>
      </c>
      <c r="G188" s="86">
        <f t="shared" ref="G188:I188" si="35">(F188*0.1)+F188</f>
        <v>0</v>
      </c>
      <c r="H188" s="86">
        <f t="shared" si="35"/>
        <v>0</v>
      </c>
      <c r="I188" s="86">
        <f t="shared" si="35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>
        <v>0</v>
      </c>
      <c r="F189" s="85">
        <v>0</v>
      </c>
      <c r="G189" s="86">
        <f t="shared" ref="G189:I189" si="36">(F189*0.1)+F189</f>
        <v>0</v>
      </c>
      <c r="H189" s="86">
        <f t="shared" si="36"/>
        <v>0</v>
      </c>
      <c r="I189" s="86">
        <f t="shared" si="36"/>
        <v>0</v>
      </c>
    </row>
    <row r="190" spans="1:9" s="285" customFormat="1" hidden="1" x14ac:dyDescent="0.25">
      <c r="A190" s="118">
        <v>30</v>
      </c>
      <c r="B190" s="151">
        <v>1180</v>
      </c>
      <c r="C190" s="94" t="s">
        <v>404</v>
      </c>
      <c r="D190" s="122"/>
      <c r="E190" s="98">
        <v>0</v>
      </c>
      <c r="F190" s="85">
        <v>0</v>
      </c>
      <c r="G190" s="86">
        <f t="shared" ref="G190:I190" si="37">(F190*0.1)+F190</f>
        <v>0</v>
      </c>
      <c r="H190" s="86">
        <f t="shared" si="37"/>
        <v>0</v>
      </c>
      <c r="I190" s="86">
        <f t="shared" si="37"/>
        <v>0</v>
      </c>
    </row>
    <row r="191" spans="1:9" s="285" customFormat="1" hidden="1" x14ac:dyDescent="0.25">
      <c r="A191" s="118">
        <v>30</v>
      </c>
      <c r="B191" s="151">
        <v>1185</v>
      </c>
      <c r="C191" s="94" t="s">
        <v>405</v>
      </c>
      <c r="D191" s="122"/>
      <c r="E191" s="98">
        <v>0</v>
      </c>
      <c r="F191" s="85">
        <v>0</v>
      </c>
      <c r="G191" s="86">
        <f t="shared" ref="G191:I191" si="38">(F191*0.1)+F191</f>
        <v>0</v>
      </c>
      <c r="H191" s="86">
        <f t="shared" si="38"/>
        <v>0</v>
      </c>
      <c r="I191" s="86">
        <f t="shared" si="38"/>
        <v>0</v>
      </c>
    </row>
    <row r="192" spans="1:9" s="285" customFormat="1" hidden="1" x14ac:dyDescent="0.25">
      <c r="A192" s="118">
        <v>30</v>
      </c>
      <c r="B192" s="151">
        <v>1190</v>
      </c>
      <c r="C192" s="94" t="s">
        <v>406</v>
      </c>
      <c r="D192" s="122"/>
      <c r="E192" s="98">
        <v>0</v>
      </c>
      <c r="F192" s="85">
        <v>0</v>
      </c>
      <c r="G192" s="86">
        <f t="shared" ref="G192:I192" si="39">(F192*0.1)+F192</f>
        <v>0</v>
      </c>
      <c r="H192" s="86">
        <f t="shared" si="39"/>
        <v>0</v>
      </c>
      <c r="I192" s="86">
        <f t="shared" si="39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>
        <v>0</v>
      </c>
      <c r="F193" s="85">
        <v>0</v>
      </c>
      <c r="G193" s="86">
        <f t="shared" ref="G193:I193" si="40">(F193*0.1)+F193</f>
        <v>0</v>
      </c>
      <c r="H193" s="86">
        <f t="shared" si="40"/>
        <v>0</v>
      </c>
      <c r="I193" s="86">
        <f t="shared" si="40"/>
        <v>0</v>
      </c>
    </row>
    <row r="194" spans="1:9" s="285" customFormat="1" hidden="1" x14ac:dyDescent="0.25">
      <c r="A194" s="118">
        <v>30</v>
      </c>
      <c r="B194" s="151">
        <v>1195</v>
      </c>
      <c r="C194" s="94" t="s">
        <v>199</v>
      </c>
      <c r="D194" s="122"/>
      <c r="E194" s="98">
        <v>0</v>
      </c>
      <c r="F194" s="85">
        <v>0</v>
      </c>
      <c r="G194" s="86">
        <f t="shared" ref="G194:I194" si="41">(F194*0.1)+F194</f>
        <v>0</v>
      </c>
      <c r="H194" s="86">
        <f t="shared" si="41"/>
        <v>0</v>
      </c>
      <c r="I194" s="86">
        <f t="shared" si="41"/>
        <v>0</v>
      </c>
    </row>
    <row r="195" spans="1:9" s="285" customFormat="1" hidden="1" x14ac:dyDescent="0.25">
      <c r="A195" s="118">
        <v>30</v>
      </c>
      <c r="B195" s="151">
        <v>1200</v>
      </c>
      <c r="C195" s="94" t="s">
        <v>117</v>
      </c>
      <c r="D195" s="122"/>
      <c r="E195" s="98">
        <v>0</v>
      </c>
      <c r="F195" s="85">
        <v>0</v>
      </c>
      <c r="G195" s="86">
        <f t="shared" ref="G195:I195" si="42">(F195*0.1)+F195</f>
        <v>0</v>
      </c>
      <c r="H195" s="86">
        <f t="shared" si="42"/>
        <v>0</v>
      </c>
      <c r="I195" s="86">
        <f t="shared" si="42"/>
        <v>0</v>
      </c>
    </row>
    <row r="196" spans="1:9" s="285" customFormat="1" hidden="1" x14ac:dyDescent="0.25">
      <c r="A196" s="118">
        <v>30</v>
      </c>
      <c r="B196" s="151">
        <v>1205</v>
      </c>
      <c r="C196" s="115" t="s">
        <v>105</v>
      </c>
      <c r="D196" s="122"/>
      <c r="E196" s="98">
        <v>0</v>
      </c>
      <c r="F196" s="85">
        <v>0</v>
      </c>
      <c r="G196" s="86">
        <f t="shared" ref="G196:I196" si="43">(F196*0.1)+F196</f>
        <v>0</v>
      </c>
      <c r="H196" s="86">
        <f t="shared" si="43"/>
        <v>0</v>
      </c>
      <c r="I196" s="86">
        <f t="shared" si="43"/>
        <v>0</v>
      </c>
    </row>
    <row r="197" spans="1:9" s="285" customFormat="1" hidden="1" x14ac:dyDescent="0.25">
      <c r="A197" s="118">
        <v>30</v>
      </c>
      <c r="B197" s="151">
        <v>1210</v>
      </c>
      <c r="C197" s="94" t="s">
        <v>118</v>
      </c>
      <c r="D197" s="122"/>
      <c r="E197" s="98">
        <v>0</v>
      </c>
      <c r="F197" s="85">
        <v>0</v>
      </c>
      <c r="G197" s="86">
        <f t="shared" ref="G197:I197" si="44">(F197*0.1)+F197</f>
        <v>0</v>
      </c>
      <c r="H197" s="86">
        <f t="shared" si="44"/>
        <v>0</v>
      </c>
      <c r="I197" s="86">
        <f t="shared" si="44"/>
        <v>0</v>
      </c>
    </row>
    <row r="198" spans="1:9" s="285" customFormat="1" hidden="1" x14ac:dyDescent="0.25">
      <c r="A198" s="118">
        <v>30</v>
      </c>
      <c r="B198" s="151">
        <v>1215</v>
      </c>
      <c r="C198" s="94" t="s">
        <v>133</v>
      </c>
      <c r="D198" s="122"/>
      <c r="E198" s="98">
        <v>0</v>
      </c>
      <c r="F198" s="85">
        <v>0</v>
      </c>
      <c r="G198" s="86">
        <f t="shared" ref="G198:I198" si="45">(F198*0.1)+F198</f>
        <v>0</v>
      </c>
      <c r="H198" s="86">
        <f t="shared" si="45"/>
        <v>0</v>
      </c>
      <c r="I198" s="86">
        <f t="shared" si="45"/>
        <v>0</v>
      </c>
    </row>
    <row r="199" spans="1:9" s="285" customFormat="1" hidden="1" x14ac:dyDescent="0.25">
      <c r="A199" s="118">
        <v>30</v>
      </c>
      <c r="B199" s="151">
        <v>5905</v>
      </c>
      <c r="C199" s="94" t="s">
        <v>329</v>
      </c>
      <c r="D199" s="85"/>
      <c r="E199" s="85">
        <v>0</v>
      </c>
      <c r="F199" s="85">
        <v>0</v>
      </c>
      <c r="G199" s="86">
        <f t="shared" ref="G199:I199" si="46">(F199*0.1)+F199</f>
        <v>0</v>
      </c>
      <c r="H199" s="86">
        <f t="shared" si="46"/>
        <v>0</v>
      </c>
      <c r="I199" s="86">
        <f t="shared" si="46"/>
        <v>0</v>
      </c>
    </row>
    <row r="200" spans="1:9" s="285" customFormat="1" x14ac:dyDescent="0.25">
      <c r="A200" s="118">
        <v>30</v>
      </c>
      <c r="B200" s="151">
        <v>5900</v>
      </c>
      <c r="C200" s="94" t="s">
        <v>333</v>
      </c>
      <c r="D200" s="85">
        <v>0</v>
      </c>
      <c r="E200" s="85">
        <v>-56760</v>
      </c>
      <c r="F200" s="85">
        <v>-56760</v>
      </c>
      <c r="G200" s="86">
        <f t="shared" ref="G200:I200" si="47">(F200*0.1)+F200</f>
        <v>-62436</v>
      </c>
      <c r="H200" s="86">
        <f t="shared" si="47"/>
        <v>-68679.600000000006</v>
      </c>
      <c r="I200" s="86">
        <f t="shared" si="47"/>
        <v>-75547.560000000012</v>
      </c>
    </row>
    <row r="201" spans="1:9" s="285" customFormat="1" hidden="1" x14ac:dyDescent="0.25">
      <c r="A201" s="118">
        <v>30</v>
      </c>
      <c r="B201" s="151">
        <v>1220</v>
      </c>
      <c r="C201" s="94" t="s">
        <v>340</v>
      </c>
      <c r="D201" s="122"/>
      <c r="E201" s="98"/>
      <c r="F201" s="98">
        <f t="shared" ref="F201:F204" si="48">E201/8*12</f>
        <v>0</v>
      </c>
      <c r="G201" s="98"/>
      <c r="H201" s="98"/>
      <c r="I201" s="98">
        <f>F201*(1+INPUT!C37)</f>
        <v>0</v>
      </c>
    </row>
    <row r="202" spans="1:9" s="285" customFormat="1" hidden="1" x14ac:dyDescent="0.25">
      <c r="A202" s="118">
        <v>30</v>
      </c>
      <c r="B202" s="151">
        <v>1225</v>
      </c>
      <c r="C202" s="94" t="s">
        <v>372</v>
      </c>
      <c r="D202" s="122"/>
      <c r="E202" s="98"/>
      <c r="F202" s="98">
        <f t="shared" si="48"/>
        <v>0</v>
      </c>
      <c r="G202" s="98"/>
      <c r="H202" s="98"/>
      <c r="I202" s="98">
        <f>F202*(1+INPUT!C38)</f>
        <v>0</v>
      </c>
    </row>
    <row r="203" spans="1:9" s="285" customFormat="1" hidden="1" x14ac:dyDescent="0.25">
      <c r="A203" s="118">
        <v>30</v>
      </c>
      <c r="B203" s="151">
        <v>1230</v>
      </c>
      <c r="C203" s="94" t="s">
        <v>119</v>
      </c>
      <c r="D203" s="122"/>
      <c r="E203" s="98"/>
      <c r="F203" s="98">
        <f t="shared" si="48"/>
        <v>0</v>
      </c>
      <c r="G203" s="98"/>
      <c r="H203" s="98"/>
      <c r="I203" s="98">
        <f>F203*(1+INPUT!C39)</f>
        <v>0</v>
      </c>
    </row>
    <row r="204" spans="1:9" s="285" customFormat="1" hidden="1" x14ac:dyDescent="0.25">
      <c r="A204" s="118">
        <v>30</v>
      </c>
      <c r="B204" s="151">
        <v>1235</v>
      </c>
      <c r="C204" s="94" t="s">
        <v>347</v>
      </c>
      <c r="D204" s="122"/>
      <c r="E204" s="98"/>
      <c r="F204" s="98">
        <f t="shared" si="48"/>
        <v>0</v>
      </c>
      <c r="G204" s="98"/>
      <c r="H204" s="98"/>
      <c r="I204" s="98">
        <f>F204*(1+INPUT!C40)</f>
        <v>0</v>
      </c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x14ac:dyDescent="0.25">
      <c r="A206" s="344"/>
      <c r="B206" s="151"/>
      <c r="C206" s="94"/>
      <c r="D206" s="100">
        <f t="shared" ref="D206:I206" si="49">SUM(D176:D204)</f>
        <v>43508</v>
      </c>
      <c r="E206" s="100">
        <f t="shared" si="49"/>
        <v>9643.8240000000078</v>
      </c>
      <c r="F206" s="100">
        <f t="shared" si="49"/>
        <v>9643.8240000000078</v>
      </c>
      <c r="G206" s="100">
        <f t="shared" si="49"/>
        <v>10608.20640000001</v>
      </c>
      <c r="H206" s="100">
        <f t="shared" si="49"/>
        <v>11669.027040000001</v>
      </c>
      <c r="I206" s="100">
        <f t="shared" si="49"/>
        <v>12835.929743999994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30</v>
      </c>
      <c r="B208" s="151">
        <v>1305</v>
      </c>
      <c r="C208" s="94" t="s">
        <v>342</v>
      </c>
      <c r="D208" s="122"/>
      <c r="E208" s="98"/>
      <c r="F208" s="98">
        <f t="shared" ref="F208:F211" si="50">E208/8*12</f>
        <v>0</v>
      </c>
      <c r="G208" s="98">
        <f t="shared" ref="G208:G211" si="51">F208/8*12</f>
        <v>0</v>
      </c>
      <c r="H208" s="98">
        <f t="shared" ref="H208:H211" si="52">G208/8*12</f>
        <v>0</v>
      </c>
      <c r="I208" s="98">
        <f t="shared" ref="I208:I211" si="53">H208/8*12</f>
        <v>0</v>
      </c>
    </row>
    <row r="209" spans="1:9" s="285" customFormat="1" hidden="1" x14ac:dyDescent="0.25">
      <c r="A209" s="118">
        <v>30</v>
      </c>
      <c r="B209" s="151">
        <v>1310</v>
      </c>
      <c r="C209" s="94" t="s">
        <v>344</v>
      </c>
      <c r="D209" s="122"/>
      <c r="E209" s="98"/>
      <c r="F209" s="98">
        <f t="shared" si="50"/>
        <v>0</v>
      </c>
      <c r="G209" s="98">
        <f t="shared" si="51"/>
        <v>0</v>
      </c>
      <c r="H209" s="98">
        <f t="shared" si="52"/>
        <v>0</v>
      </c>
      <c r="I209" s="98">
        <f t="shared" si="53"/>
        <v>0</v>
      </c>
    </row>
    <row r="210" spans="1:9" s="285" customFormat="1" hidden="1" x14ac:dyDescent="0.25">
      <c r="A210" s="118">
        <v>30</v>
      </c>
      <c r="B210" s="151">
        <v>1320</v>
      </c>
      <c r="C210" s="94" t="s">
        <v>345</v>
      </c>
      <c r="D210" s="122"/>
      <c r="E210" s="98"/>
      <c r="F210" s="98">
        <f t="shared" si="50"/>
        <v>0</v>
      </c>
      <c r="G210" s="98">
        <f t="shared" si="51"/>
        <v>0</v>
      </c>
      <c r="H210" s="98">
        <f t="shared" si="52"/>
        <v>0</v>
      </c>
      <c r="I210" s="98">
        <f t="shared" si="53"/>
        <v>0</v>
      </c>
    </row>
    <row r="211" spans="1:9" s="285" customFormat="1" hidden="1" x14ac:dyDescent="0.25">
      <c r="A211" s="118">
        <v>30</v>
      </c>
      <c r="B211" s="151">
        <v>1315</v>
      </c>
      <c r="C211" s="94" t="s">
        <v>346</v>
      </c>
      <c r="D211" s="122"/>
      <c r="E211" s="108"/>
      <c r="F211" s="98">
        <f t="shared" si="50"/>
        <v>0</v>
      </c>
      <c r="G211" s="98">
        <f t="shared" si="51"/>
        <v>0</v>
      </c>
      <c r="H211" s="98">
        <f t="shared" si="52"/>
        <v>0</v>
      </c>
      <c r="I211" s="98">
        <f t="shared" si="53"/>
        <v>0</v>
      </c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 t="shared" ref="E212:F212" si="54">SUM(E208:E211)</f>
        <v>0</v>
      </c>
      <c r="F212" s="99">
        <f t="shared" si="54"/>
        <v>0</v>
      </c>
      <c r="G212" s="99">
        <f t="shared" ref="G212:I212" si="55">SUM(G208:G211)</f>
        <v>0</v>
      </c>
      <c r="H212" s="99">
        <f t="shared" si="55"/>
        <v>0</v>
      </c>
      <c r="I212" s="99">
        <f t="shared" si="55"/>
        <v>0</v>
      </c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30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98">
        <f t="shared" ref="G214:I214" si="56">F214/8*12</f>
        <v>0</v>
      </c>
      <c r="H214" s="98">
        <f t="shared" si="56"/>
        <v>0</v>
      </c>
      <c r="I214" s="98">
        <f t="shared" si="56"/>
        <v>0</v>
      </c>
    </row>
    <row r="215" spans="1:9" s="285" customFormat="1" hidden="1" x14ac:dyDescent="0.25">
      <c r="A215" s="118">
        <v>30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98">
        <f t="shared" ref="G215:I215" si="57">F215/8*12</f>
        <v>0</v>
      </c>
      <c r="H215" s="98">
        <f t="shared" si="57"/>
        <v>0</v>
      </c>
      <c r="I215" s="98">
        <f t="shared" si="57"/>
        <v>0</v>
      </c>
    </row>
    <row r="216" spans="1:9" s="285" customFormat="1" hidden="1" x14ac:dyDescent="0.25">
      <c r="A216" s="344"/>
      <c r="B216" s="151"/>
      <c r="C216" s="94"/>
      <c r="D216" s="99">
        <f t="shared" ref="D216:F216" si="58">SUM(D214:D215)</f>
        <v>0</v>
      </c>
      <c r="E216" s="99">
        <f t="shared" si="58"/>
        <v>0</v>
      </c>
      <c r="F216" s="99">
        <f t="shared" si="58"/>
        <v>0</v>
      </c>
      <c r="G216" s="99">
        <f t="shared" ref="G216:I216" si="59">SUM(G214:G215)</f>
        <v>0</v>
      </c>
      <c r="H216" s="99">
        <f t="shared" si="59"/>
        <v>0</v>
      </c>
      <c r="I216" s="99">
        <f t="shared" si="59"/>
        <v>0</v>
      </c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30</v>
      </c>
      <c r="B218" s="151">
        <v>1500</v>
      </c>
      <c r="C218" s="94" t="s">
        <v>106</v>
      </c>
      <c r="D218" s="122"/>
      <c r="E218" s="108"/>
      <c r="F218" s="98">
        <f t="shared" ref="F218:F220" si="60">E218/8*12</f>
        <v>0</v>
      </c>
      <c r="G218" s="98">
        <f t="shared" ref="G218:G220" si="61">F218/8*12</f>
        <v>0</v>
      </c>
      <c r="H218" s="98">
        <f t="shared" ref="H218:H220" si="62">G218/8*12</f>
        <v>0</v>
      </c>
      <c r="I218" s="98">
        <f t="shared" ref="I218:I220" si="63">H218/8*12</f>
        <v>0</v>
      </c>
    </row>
    <row r="219" spans="1:9" s="285" customFormat="1" hidden="1" x14ac:dyDescent="0.25">
      <c r="A219" s="118">
        <v>30</v>
      </c>
      <c r="B219" s="151">
        <v>1505</v>
      </c>
      <c r="C219" s="94" t="s">
        <v>71</v>
      </c>
      <c r="D219" s="122"/>
      <c r="E219" s="108"/>
      <c r="F219" s="98">
        <f t="shared" si="60"/>
        <v>0</v>
      </c>
      <c r="G219" s="98">
        <f t="shared" si="61"/>
        <v>0</v>
      </c>
      <c r="H219" s="98">
        <f t="shared" si="62"/>
        <v>0</v>
      </c>
      <c r="I219" s="98">
        <f t="shared" si="63"/>
        <v>0</v>
      </c>
    </row>
    <row r="220" spans="1:9" s="285" customFormat="1" hidden="1" x14ac:dyDescent="0.25">
      <c r="A220" s="118">
        <v>30</v>
      </c>
      <c r="B220" s="151">
        <v>1510</v>
      </c>
      <c r="C220" s="94" t="s">
        <v>72</v>
      </c>
      <c r="D220" s="122"/>
      <c r="E220" s="108"/>
      <c r="F220" s="98">
        <f t="shared" si="60"/>
        <v>0</v>
      </c>
      <c r="G220" s="98">
        <f t="shared" si="61"/>
        <v>0</v>
      </c>
      <c r="H220" s="98">
        <f t="shared" si="62"/>
        <v>0</v>
      </c>
      <c r="I220" s="98">
        <f t="shared" si="63"/>
        <v>0</v>
      </c>
    </row>
    <row r="221" spans="1:9" s="285" customFormat="1" hidden="1" x14ac:dyDescent="0.25">
      <c r="A221" s="344"/>
      <c r="B221" s="151"/>
      <c r="C221" s="94"/>
      <c r="D221" s="99">
        <f t="shared" ref="D221:F221" si="64">SUM(D218:D220)</f>
        <v>0</v>
      </c>
      <c r="E221" s="99">
        <f t="shared" si="64"/>
        <v>0</v>
      </c>
      <c r="F221" s="99">
        <f t="shared" si="64"/>
        <v>0</v>
      </c>
      <c r="G221" s="99">
        <f t="shared" ref="G221:I221" si="65">SUM(G218:G220)</f>
        <v>0</v>
      </c>
      <c r="H221" s="99">
        <f t="shared" si="65"/>
        <v>0</v>
      </c>
      <c r="I221" s="99">
        <f t="shared" si="65"/>
        <v>0</v>
      </c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30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98">
        <f t="shared" ref="G223:I223" si="66">F223/8*12</f>
        <v>0</v>
      </c>
      <c r="H223" s="98">
        <f t="shared" si="66"/>
        <v>0</v>
      </c>
      <c r="I223" s="98">
        <f t="shared" si="66"/>
        <v>0</v>
      </c>
    </row>
    <row r="224" spans="1:9" s="285" customFormat="1" hidden="1" x14ac:dyDescent="0.25">
      <c r="A224" s="118">
        <v>30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98">
        <f t="shared" ref="G224:I224" si="67">F224/8*12</f>
        <v>0</v>
      </c>
      <c r="H224" s="98">
        <f t="shared" si="67"/>
        <v>0</v>
      </c>
      <c r="I224" s="98">
        <f t="shared" si="67"/>
        <v>0</v>
      </c>
    </row>
    <row r="225" spans="1:9" s="285" customFormat="1" hidden="1" x14ac:dyDescent="0.25">
      <c r="A225" s="344"/>
      <c r="B225" s="151"/>
      <c r="C225" s="94"/>
      <c r="D225" s="100">
        <f t="shared" ref="D225:F225" si="68">SUM(D223:D224)</f>
        <v>0</v>
      </c>
      <c r="E225" s="100">
        <f t="shared" si="68"/>
        <v>0</v>
      </c>
      <c r="F225" s="100">
        <f t="shared" si="68"/>
        <v>0</v>
      </c>
      <c r="G225" s="100">
        <f t="shared" ref="G225:I225" si="69">SUM(G223:G224)</f>
        <v>0</v>
      </c>
      <c r="H225" s="100">
        <f t="shared" si="69"/>
        <v>0</v>
      </c>
      <c r="I225" s="100">
        <f t="shared" si="69"/>
        <v>0</v>
      </c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30</v>
      </c>
      <c r="B227" s="151">
        <v>1605</v>
      </c>
      <c r="C227" s="94" t="s">
        <v>75</v>
      </c>
      <c r="D227" s="122"/>
      <c r="E227" s="98"/>
      <c r="F227" s="98">
        <f t="shared" ref="F227:F239" si="70">E227/8*12</f>
        <v>0</v>
      </c>
      <c r="G227" s="98">
        <f t="shared" ref="G227:G239" si="71">F227/8*12</f>
        <v>0</v>
      </c>
      <c r="H227" s="98">
        <f t="shared" ref="H227:H239" si="72">G227/8*12</f>
        <v>0</v>
      </c>
      <c r="I227" s="98">
        <f t="shared" ref="I227:I239" si="73">H227/8*12</f>
        <v>0</v>
      </c>
    </row>
    <row r="228" spans="1:9" s="285" customFormat="1" hidden="1" x14ac:dyDescent="0.25">
      <c r="A228" s="118">
        <v>30</v>
      </c>
      <c r="B228" s="151">
        <v>1610</v>
      </c>
      <c r="C228" s="94" t="s">
        <v>131</v>
      </c>
      <c r="D228" s="122"/>
      <c r="E228" s="108"/>
      <c r="F228" s="98">
        <f t="shared" si="70"/>
        <v>0</v>
      </c>
      <c r="G228" s="98">
        <f t="shared" si="71"/>
        <v>0</v>
      </c>
      <c r="H228" s="98">
        <f t="shared" si="72"/>
        <v>0</v>
      </c>
      <c r="I228" s="98">
        <f t="shared" si="73"/>
        <v>0</v>
      </c>
    </row>
    <row r="229" spans="1:9" s="285" customFormat="1" hidden="1" x14ac:dyDescent="0.25">
      <c r="A229" s="118">
        <v>30</v>
      </c>
      <c r="B229" s="151">
        <v>1615</v>
      </c>
      <c r="C229" s="94" t="s">
        <v>182</v>
      </c>
      <c r="D229" s="122"/>
      <c r="E229" s="108"/>
      <c r="F229" s="98">
        <f t="shared" si="70"/>
        <v>0</v>
      </c>
      <c r="G229" s="98">
        <f t="shared" si="71"/>
        <v>0</v>
      </c>
      <c r="H229" s="98">
        <f t="shared" si="72"/>
        <v>0</v>
      </c>
      <c r="I229" s="98">
        <f t="shared" si="73"/>
        <v>0</v>
      </c>
    </row>
    <row r="230" spans="1:9" s="285" customFormat="1" hidden="1" x14ac:dyDescent="0.25">
      <c r="A230" s="118">
        <v>30</v>
      </c>
      <c r="B230" s="151">
        <v>1620</v>
      </c>
      <c r="C230" s="94" t="s">
        <v>255</v>
      </c>
      <c r="D230" s="122"/>
      <c r="E230" s="108"/>
      <c r="F230" s="98">
        <f t="shared" si="70"/>
        <v>0</v>
      </c>
      <c r="G230" s="98">
        <f t="shared" si="71"/>
        <v>0</v>
      </c>
      <c r="H230" s="98">
        <f t="shared" si="72"/>
        <v>0</v>
      </c>
      <c r="I230" s="98">
        <f t="shared" si="73"/>
        <v>0</v>
      </c>
    </row>
    <row r="231" spans="1:9" s="285" customFormat="1" hidden="1" x14ac:dyDescent="0.25">
      <c r="A231" s="118">
        <v>30</v>
      </c>
      <c r="B231" s="151">
        <v>1625</v>
      </c>
      <c r="C231" s="94" t="s">
        <v>108</v>
      </c>
      <c r="D231" s="122"/>
      <c r="E231" s="108"/>
      <c r="F231" s="98">
        <f t="shared" si="70"/>
        <v>0</v>
      </c>
      <c r="G231" s="98">
        <f t="shared" si="71"/>
        <v>0</v>
      </c>
      <c r="H231" s="98">
        <f t="shared" si="72"/>
        <v>0</v>
      </c>
      <c r="I231" s="98">
        <f t="shared" si="73"/>
        <v>0</v>
      </c>
    </row>
    <row r="232" spans="1:9" s="285" customFormat="1" hidden="1" x14ac:dyDescent="0.25">
      <c r="A232" s="118">
        <v>30</v>
      </c>
      <c r="B232" s="151">
        <v>1630</v>
      </c>
      <c r="C232" s="94" t="s">
        <v>76</v>
      </c>
      <c r="D232" s="122"/>
      <c r="E232" s="108"/>
      <c r="F232" s="98">
        <f t="shared" si="70"/>
        <v>0</v>
      </c>
      <c r="G232" s="98">
        <f t="shared" si="71"/>
        <v>0</v>
      </c>
      <c r="H232" s="98">
        <f t="shared" si="72"/>
        <v>0</v>
      </c>
      <c r="I232" s="98">
        <f t="shared" si="73"/>
        <v>0</v>
      </c>
    </row>
    <row r="233" spans="1:9" s="285" customFormat="1" hidden="1" x14ac:dyDescent="0.25">
      <c r="A233" s="118">
        <v>30</v>
      </c>
      <c r="B233" s="151">
        <v>1635</v>
      </c>
      <c r="C233" s="94" t="s">
        <v>180</v>
      </c>
      <c r="D233" s="122"/>
      <c r="E233" s="108"/>
      <c r="F233" s="98">
        <f t="shared" si="70"/>
        <v>0</v>
      </c>
      <c r="G233" s="98">
        <f t="shared" si="71"/>
        <v>0</v>
      </c>
      <c r="H233" s="98">
        <f t="shared" si="72"/>
        <v>0</v>
      </c>
      <c r="I233" s="98">
        <f t="shared" si="73"/>
        <v>0</v>
      </c>
    </row>
    <row r="234" spans="1:9" s="285" customFormat="1" hidden="1" x14ac:dyDescent="0.25">
      <c r="A234" s="118">
        <v>30</v>
      </c>
      <c r="B234" s="151">
        <v>1640</v>
      </c>
      <c r="C234" s="94" t="s">
        <v>184</v>
      </c>
      <c r="D234" s="122"/>
      <c r="E234" s="108"/>
      <c r="F234" s="98">
        <f t="shared" si="70"/>
        <v>0</v>
      </c>
      <c r="G234" s="98">
        <f t="shared" si="71"/>
        <v>0</v>
      </c>
      <c r="H234" s="98">
        <f t="shared" si="72"/>
        <v>0</v>
      </c>
      <c r="I234" s="98">
        <f t="shared" si="73"/>
        <v>0</v>
      </c>
    </row>
    <row r="235" spans="1:9" s="285" customFormat="1" hidden="1" x14ac:dyDescent="0.25">
      <c r="A235" s="118">
        <v>30</v>
      </c>
      <c r="B235" s="151">
        <v>1645</v>
      </c>
      <c r="C235" s="94" t="s">
        <v>77</v>
      </c>
      <c r="D235" s="122"/>
      <c r="E235" s="108"/>
      <c r="F235" s="98">
        <f t="shared" si="70"/>
        <v>0</v>
      </c>
      <c r="G235" s="98">
        <f t="shared" si="71"/>
        <v>0</v>
      </c>
      <c r="H235" s="98">
        <f t="shared" si="72"/>
        <v>0</v>
      </c>
      <c r="I235" s="98">
        <f t="shared" si="73"/>
        <v>0</v>
      </c>
    </row>
    <row r="236" spans="1:9" s="285" customFormat="1" hidden="1" x14ac:dyDescent="0.25">
      <c r="A236" s="118">
        <v>30</v>
      </c>
      <c r="B236" s="151">
        <v>1650</v>
      </c>
      <c r="C236" s="94" t="s">
        <v>78</v>
      </c>
      <c r="D236" s="122"/>
      <c r="E236" s="108"/>
      <c r="F236" s="98">
        <f t="shared" si="70"/>
        <v>0</v>
      </c>
      <c r="G236" s="98">
        <f t="shared" si="71"/>
        <v>0</v>
      </c>
      <c r="H236" s="98">
        <f t="shared" si="72"/>
        <v>0</v>
      </c>
      <c r="I236" s="98">
        <f t="shared" si="73"/>
        <v>0</v>
      </c>
    </row>
    <row r="237" spans="1:9" s="285" customFormat="1" hidden="1" x14ac:dyDescent="0.25">
      <c r="A237" s="118">
        <v>30</v>
      </c>
      <c r="B237" s="151"/>
      <c r="C237" s="94" t="s">
        <v>200</v>
      </c>
      <c r="D237" s="122"/>
      <c r="E237" s="108"/>
      <c r="F237" s="98">
        <f t="shared" si="70"/>
        <v>0</v>
      </c>
      <c r="G237" s="98">
        <f t="shared" si="71"/>
        <v>0</v>
      </c>
      <c r="H237" s="98">
        <f t="shared" si="72"/>
        <v>0</v>
      </c>
      <c r="I237" s="98">
        <f t="shared" si="73"/>
        <v>0</v>
      </c>
    </row>
    <row r="238" spans="1:9" s="285" customFormat="1" hidden="1" x14ac:dyDescent="0.25">
      <c r="A238" s="118">
        <v>30</v>
      </c>
      <c r="B238" s="151">
        <v>1660</v>
      </c>
      <c r="C238" s="94" t="s">
        <v>185</v>
      </c>
      <c r="D238" s="122"/>
      <c r="E238" s="108"/>
      <c r="F238" s="98">
        <f t="shared" si="70"/>
        <v>0</v>
      </c>
      <c r="G238" s="98">
        <f t="shared" si="71"/>
        <v>0</v>
      </c>
      <c r="H238" s="98">
        <f t="shared" si="72"/>
        <v>0</v>
      </c>
      <c r="I238" s="98">
        <f t="shared" si="73"/>
        <v>0</v>
      </c>
    </row>
    <row r="239" spans="1:9" s="285" customFormat="1" hidden="1" x14ac:dyDescent="0.25">
      <c r="A239" s="118">
        <v>30</v>
      </c>
      <c r="B239" s="151">
        <v>1665</v>
      </c>
      <c r="C239" s="94" t="s">
        <v>181</v>
      </c>
      <c r="D239" s="122"/>
      <c r="E239" s="108"/>
      <c r="F239" s="98">
        <f t="shared" si="70"/>
        <v>0</v>
      </c>
      <c r="G239" s="98">
        <f t="shared" si="71"/>
        <v>0</v>
      </c>
      <c r="H239" s="98">
        <f t="shared" si="72"/>
        <v>0</v>
      </c>
      <c r="I239" s="98">
        <f t="shared" si="73"/>
        <v>0</v>
      </c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:F240" si="74">SUM(E227:E239)</f>
        <v>0</v>
      </c>
      <c r="F240" s="99">
        <f t="shared" si="74"/>
        <v>0</v>
      </c>
      <c r="G240" s="99">
        <f t="shared" ref="G240:I240" si="75">SUM(G227:G239)</f>
        <v>0</v>
      </c>
      <c r="H240" s="99">
        <f t="shared" si="75"/>
        <v>0</v>
      </c>
      <c r="I240" s="99">
        <f t="shared" si="75"/>
        <v>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30</v>
      </c>
      <c r="B242" s="151">
        <v>1705</v>
      </c>
      <c r="C242" s="94" t="s">
        <v>123</v>
      </c>
      <c r="D242" s="122"/>
      <c r="E242" s="98"/>
      <c r="F242" s="98">
        <f t="shared" ref="F242:F247" si="76">E242/8*12</f>
        <v>0</v>
      </c>
      <c r="G242" s="98">
        <f t="shared" ref="G242:G247" si="77">F242/8*12</f>
        <v>0</v>
      </c>
      <c r="H242" s="98">
        <f t="shared" ref="H242:H247" si="78">G242/8*12</f>
        <v>0</v>
      </c>
      <c r="I242" s="98">
        <f t="shared" ref="I242:I247" si="79">H242/8*12</f>
        <v>0</v>
      </c>
    </row>
    <row r="243" spans="1:9" s="285" customFormat="1" hidden="1" x14ac:dyDescent="0.25">
      <c r="A243" s="118">
        <v>30</v>
      </c>
      <c r="B243" s="151">
        <v>1710</v>
      </c>
      <c r="C243" s="94" t="s">
        <v>242</v>
      </c>
      <c r="D243" s="122"/>
      <c r="E243" s="98"/>
      <c r="F243" s="98">
        <f t="shared" si="76"/>
        <v>0</v>
      </c>
      <c r="G243" s="98">
        <f t="shared" si="77"/>
        <v>0</v>
      </c>
      <c r="H243" s="98">
        <f t="shared" si="78"/>
        <v>0</v>
      </c>
      <c r="I243" s="98">
        <f t="shared" si="79"/>
        <v>0</v>
      </c>
    </row>
    <row r="244" spans="1:9" s="285" customFormat="1" hidden="1" x14ac:dyDescent="0.25">
      <c r="A244" s="118">
        <v>30</v>
      </c>
      <c r="B244" s="151">
        <v>1715</v>
      </c>
      <c r="C244" s="94" t="s">
        <v>183</v>
      </c>
      <c r="D244" s="122"/>
      <c r="E244" s="98"/>
      <c r="F244" s="98">
        <f t="shared" si="76"/>
        <v>0</v>
      </c>
      <c r="G244" s="98">
        <f t="shared" si="77"/>
        <v>0</v>
      </c>
      <c r="H244" s="98">
        <f t="shared" si="78"/>
        <v>0</v>
      </c>
      <c r="I244" s="98">
        <f t="shared" si="79"/>
        <v>0</v>
      </c>
    </row>
    <row r="245" spans="1:9" s="285" customFormat="1" hidden="1" x14ac:dyDescent="0.25">
      <c r="A245" s="118">
        <v>30</v>
      </c>
      <c r="B245" s="151">
        <v>1720</v>
      </c>
      <c r="C245" s="94" t="s">
        <v>103</v>
      </c>
      <c r="D245" s="122"/>
      <c r="E245" s="98"/>
      <c r="F245" s="98">
        <f t="shared" si="76"/>
        <v>0</v>
      </c>
      <c r="G245" s="98">
        <f t="shared" si="77"/>
        <v>0</v>
      </c>
      <c r="H245" s="98">
        <f t="shared" si="78"/>
        <v>0</v>
      </c>
      <c r="I245" s="98">
        <f t="shared" si="79"/>
        <v>0</v>
      </c>
    </row>
    <row r="246" spans="1:9" s="285" customFormat="1" hidden="1" x14ac:dyDescent="0.25">
      <c r="A246" s="118">
        <v>30</v>
      </c>
      <c r="B246" s="151">
        <v>1725</v>
      </c>
      <c r="C246" s="94" t="s">
        <v>107</v>
      </c>
      <c r="D246" s="122"/>
      <c r="E246" s="98"/>
      <c r="F246" s="98">
        <f t="shared" si="76"/>
        <v>0</v>
      </c>
      <c r="G246" s="98">
        <f t="shared" si="77"/>
        <v>0</v>
      </c>
      <c r="H246" s="98">
        <f t="shared" si="78"/>
        <v>0</v>
      </c>
      <c r="I246" s="98">
        <f t="shared" si="79"/>
        <v>0</v>
      </c>
    </row>
    <row r="247" spans="1:9" s="285" customFormat="1" hidden="1" x14ac:dyDescent="0.25">
      <c r="A247" s="118">
        <v>30</v>
      </c>
      <c r="B247" s="151">
        <v>1730</v>
      </c>
      <c r="C247" s="94" t="s">
        <v>256</v>
      </c>
      <c r="D247" s="122"/>
      <c r="E247" s="98"/>
      <c r="F247" s="98">
        <f t="shared" si="76"/>
        <v>0</v>
      </c>
      <c r="G247" s="98">
        <f t="shared" si="77"/>
        <v>0</v>
      </c>
      <c r="H247" s="98">
        <f t="shared" si="78"/>
        <v>0</v>
      </c>
      <c r="I247" s="98">
        <f t="shared" si="79"/>
        <v>0</v>
      </c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:F248" si="80">SUM(E242:E247)</f>
        <v>0</v>
      </c>
      <c r="F248" s="99">
        <f t="shared" si="80"/>
        <v>0</v>
      </c>
      <c r="G248" s="99">
        <f t="shared" ref="G248:I248" si="81">SUM(G242:G247)</f>
        <v>0</v>
      </c>
      <c r="H248" s="99">
        <f t="shared" si="81"/>
        <v>0</v>
      </c>
      <c r="I248" s="99">
        <f t="shared" si="81"/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30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98">
        <f t="shared" ref="G250:I250" si="82">F250/8*12</f>
        <v>0</v>
      </c>
      <c r="H250" s="98">
        <f t="shared" si="82"/>
        <v>0</v>
      </c>
      <c r="I250" s="98">
        <f t="shared" si="82"/>
        <v>0</v>
      </c>
    </row>
    <row r="251" spans="1:9" s="285" customFormat="1" hidden="1" x14ac:dyDescent="0.25">
      <c r="A251" s="344"/>
      <c r="B251" s="151"/>
      <c r="C251" s="94"/>
      <c r="D251" s="99">
        <f t="shared" ref="D251:F251" si="83">D250</f>
        <v>0</v>
      </c>
      <c r="E251" s="99">
        <f t="shared" si="83"/>
        <v>0</v>
      </c>
      <c r="F251" s="99">
        <f t="shared" si="83"/>
        <v>0</v>
      </c>
      <c r="G251" s="99">
        <f t="shared" ref="G251:I251" si="84">G250</f>
        <v>0</v>
      </c>
      <c r="H251" s="99">
        <f t="shared" si="84"/>
        <v>0</v>
      </c>
      <c r="I251" s="99">
        <f t="shared" si="84"/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F252" si="85">SUM(D171:D251)/2</f>
        <v>43508</v>
      </c>
      <c r="E252" s="117">
        <f t="shared" si="85"/>
        <v>9643.8240000000078</v>
      </c>
      <c r="F252" s="117">
        <f t="shared" si="85"/>
        <v>9643.8240000000078</v>
      </c>
      <c r="G252" s="117">
        <f t="shared" ref="G252:I252" si="86">SUM(G171:G251)/2</f>
        <v>10608.20640000001</v>
      </c>
      <c r="H252" s="117">
        <f t="shared" si="86"/>
        <v>11669.027040000001</v>
      </c>
      <c r="I252" s="117">
        <f t="shared" si="86"/>
        <v>12835.929743999994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9" s="285" customFormat="1" hidden="1" x14ac:dyDescent="0.25">
      <c r="A255" s="118">
        <v>30</v>
      </c>
      <c r="B255" s="151">
        <v>1905</v>
      </c>
      <c r="C255" s="118" t="s">
        <v>194</v>
      </c>
      <c r="D255" s="127"/>
      <c r="E255" s="147"/>
      <c r="F255" s="98">
        <f>E255/8*12</f>
        <v>0</v>
      </c>
      <c r="G255" s="98">
        <f t="shared" ref="G255:I255" si="87">F255/8*12</f>
        <v>0</v>
      </c>
      <c r="H255" s="98">
        <f t="shared" si="87"/>
        <v>0</v>
      </c>
      <c r="I255" s="98">
        <f t="shared" si="87"/>
        <v>0</v>
      </c>
    </row>
    <row r="256" spans="1:9" s="285" customFormat="1" hidden="1" x14ac:dyDescent="0.25">
      <c r="A256" s="344"/>
      <c r="B256" s="151"/>
      <c r="C256" s="94"/>
      <c r="D256" s="117">
        <f t="shared" ref="D256:F256" si="88">SUM(D255)</f>
        <v>0</v>
      </c>
      <c r="E256" s="117">
        <f t="shared" si="88"/>
        <v>0</v>
      </c>
      <c r="F256" s="117">
        <f t="shared" si="88"/>
        <v>0</v>
      </c>
      <c r="G256" s="117">
        <f t="shared" ref="G256:I256" si="89">SUM(G255)</f>
        <v>0</v>
      </c>
      <c r="H256" s="117">
        <f t="shared" si="89"/>
        <v>0</v>
      </c>
      <c r="I256" s="117">
        <f t="shared" si="89"/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F257" si="90">D252+D256</f>
        <v>43508</v>
      </c>
      <c r="E257" s="117">
        <f t="shared" si="90"/>
        <v>9643.8240000000078</v>
      </c>
      <c r="F257" s="117">
        <f t="shared" si="90"/>
        <v>9643.8240000000078</v>
      </c>
      <c r="G257" s="117">
        <f t="shared" ref="G257:I257" si="91">G252+G256</f>
        <v>10608.20640000001</v>
      </c>
      <c r="H257" s="117">
        <f t="shared" si="91"/>
        <v>11669.027040000001</v>
      </c>
      <c r="I257" s="117">
        <f t="shared" si="91"/>
        <v>12835.929743999994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9" s="285" customFormat="1" hidden="1" x14ac:dyDescent="0.25">
      <c r="A259" s="118">
        <v>30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98">
        <f t="shared" ref="G259:I259" si="92">F259/8*12</f>
        <v>0</v>
      </c>
      <c r="H259" s="98">
        <f t="shared" si="92"/>
        <v>0</v>
      </c>
      <c r="I259" s="98">
        <f t="shared" si="92"/>
        <v>0</v>
      </c>
    </row>
    <row r="260" spans="1:9" s="285" customFormat="1" hidden="1" x14ac:dyDescent="0.25">
      <c r="A260" s="344"/>
      <c r="B260" s="346"/>
      <c r="C260" s="94"/>
      <c r="D260" s="124">
        <f t="shared" ref="D260:F260" si="93">D259</f>
        <v>0</v>
      </c>
      <c r="E260" s="124">
        <f t="shared" si="93"/>
        <v>0</v>
      </c>
      <c r="F260" s="124">
        <f t="shared" si="93"/>
        <v>0</v>
      </c>
      <c r="G260" s="124">
        <f t="shared" ref="G260:I260" si="94">G259</f>
        <v>0</v>
      </c>
      <c r="H260" s="124">
        <f t="shared" si="94"/>
        <v>0</v>
      </c>
      <c r="I260" s="124">
        <f t="shared" si="94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F261" si="95">D257+D260</f>
        <v>43508</v>
      </c>
      <c r="E261" s="160">
        <f t="shared" si="95"/>
        <v>9643.8240000000078</v>
      </c>
      <c r="F261" s="160">
        <f t="shared" si="95"/>
        <v>9643.8240000000078</v>
      </c>
      <c r="G261" s="160">
        <f t="shared" ref="G261:I261" si="96">G257+G260</f>
        <v>10608.20640000001</v>
      </c>
      <c r="H261" s="160">
        <f t="shared" si="96"/>
        <v>11669.027040000001</v>
      </c>
      <c r="I261" s="160">
        <f t="shared" si="96"/>
        <v>12835.929743999994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I262" si="97">D261-D165</f>
        <v>-321803</v>
      </c>
      <c r="E262" s="161">
        <f t="shared" si="97"/>
        <v>-2283390.3760000002</v>
      </c>
      <c r="F262" s="161">
        <f t="shared" si="97"/>
        <v>-2283390.3760000002</v>
      </c>
      <c r="G262" s="161">
        <f t="shared" si="97"/>
        <v>-9385563.9935999997</v>
      </c>
      <c r="H262" s="161">
        <f t="shared" si="97"/>
        <v>-4906277.7665599994</v>
      </c>
      <c r="I262" s="161">
        <f t="shared" si="97"/>
        <v>-4979485.9658208005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30" orientation="portrait" r:id="rId1"/>
  <headerFooter alignWithMargins="0"/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68"/>
  <sheetViews>
    <sheetView view="pageBreakPreview" zoomScaleSheetLayoutView="100" workbookViewId="0">
      <selection activeCell="G20" sqref="G20:I24"/>
    </sheetView>
  </sheetViews>
  <sheetFormatPr defaultColWidth="9.109375" defaultRowHeight="13.2" x14ac:dyDescent="0.25"/>
  <cols>
    <col min="1" max="1" width="4.66406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7" width="16.332031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359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03" t="s">
        <v>417</v>
      </c>
      <c r="B3" s="704"/>
      <c r="C3" s="705"/>
      <c r="D3" s="149"/>
      <c r="E3" s="338"/>
      <c r="F3" s="338"/>
      <c r="G3" s="425"/>
      <c r="H3" s="338"/>
      <c r="I3" s="338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32</v>
      </c>
      <c r="B7" s="155">
        <v>5005</v>
      </c>
      <c r="C7" s="94" t="s">
        <v>241</v>
      </c>
      <c r="D7" s="85"/>
      <c r="E7" s="85"/>
      <c r="F7" s="85">
        <f>0/8*12</f>
        <v>0</v>
      </c>
      <c r="G7" s="435">
        <f t="shared" ref="G7:I17" si="0">(F7*0.068)+F7</f>
        <v>0</v>
      </c>
      <c r="H7" s="435">
        <f t="shared" si="0"/>
        <v>0</v>
      </c>
      <c r="I7" s="435">
        <f t="shared" si="0"/>
        <v>0</v>
      </c>
    </row>
    <row r="8" spans="1:9" s="285" customFormat="1" x14ac:dyDescent="0.25">
      <c r="A8" s="118">
        <v>32</v>
      </c>
      <c r="B8" s="151">
        <v>5010</v>
      </c>
      <c r="C8" s="94" t="s">
        <v>34</v>
      </c>
      <c r="D8" s="85"/>
      <c r="E8" s="85"/>
      <c r="F8" s="85">
        <f>0/8*12</f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32</v>
      </c>
      <c r="B9" s="151">
        <v>5015</v>
      </c>
      <c r="C9" s="94" t="s">
        <v>35</v>
      </c>
      <c r="D9" s="356"/>
      <c r="E9" s="345"/>
      <c r="F9" s="85">
        <f t="shared" ref="F9:F13" si="1">E9-D9</f>
        <v>0</v>
      </c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x14ac:dyDescent="0.25">
      <c r="A10" s="118">
        <v>32</v>
      </c>
      <c r="B10" s="151">
        <v>5020</v>
      </c>
      <c r="C10" s="94" t="s">
        <v>350</v>
      </c>
      <c r="D10" s="85"/>
      <c r="E10" s="85"/>
      <c r="F10" s="85">
        <f t="shared" si="1"/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x14ac:dyDescent="0.25">
      <c r="A11" s="118">
        <v>32</v>
      </c>
      <c r="B11" s="151">
        <v>5025</v>
      </c>
      <c r="C11" s="94" t="s">
        <v>36</v>
      </c>
      <c r="D11" s="85"/>
      <c r="E11" s="85"/>
      <c r="F11" s="85">
        <f t="shared" si="1"/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32</v>
      </c>
      <c r="B12" s="151">
        <v>5030</v>
      </c>
      <c r="C12" s="94" t="s">
        <v>85</v>
      </c>
      <c r="D12" s="85"/>
      <c r="E12" s="85"/>
      <c r="F12" s="85">
        <f t="shared" si="1"/>
        <v>0</v>
      </c>
      <c r="G12" s="435">
        <f t="shared" si="0"/>
        <v>0</v>
      </c>
      <c r="H12" s="435">
        <f t="shared" si="0"/>
        <v>0</v>
      </c>
      <c r="I12" s="435">
        <f t="shared" si="0"/>
        <v>0</v>
      </c>
    </row>
    <row r="13" spans="1:9" s="285" customFormat="1" x14ac:dyDescent="0.25">
      <c r="A13" s="118">
        <v>32</v>
      </c>
      <c r="B13" s="151">
        <v>5035</v>
      </c>
      <c r="C13" s="94" t="s">
        <v>84</v>
      </c>
      <c r="D13" s="85"/>
      <c r="E13" s="85"/>
      <c r="F13" s="85">
        <f t="shared" si="1"/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32</v>
      </c>
      <c r="B14" s="151">
        <v>5040</v>
      </c>
      <c r="C14" s="94" t="s">
        <v>37</v>
      </c>
      <c r="D14" s="85">
        <v>24709</v>
      </c>
      <c r="E14" s="85">
        <v>69000</v>
      </c>
      <c r="F14" s="85">
        <v>69000</v>
      </c>
      <c r="G14" s="435">
        <f t="shared" si="0"/>
        <v>73692</v>
      </c>
      <c r="H14" s="435">
        <f t="shared" si="0"/>
        <v>78703.055999999997</v>
      </c>
      <c r="I14" s="435">
        <f t="shared" si="0"/>
        <v>84054.863807999995</v>
      </c>
    </row>
    <row r="15" spans="1:9" s="285" customFormat="1" hidden="1" x14ac:dyDescent="0.25">
      <c r="A15" s="118">
        <v>32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32</v>
      </c>
      <c r="B16" s="151">
        <v>5050</v>
      </c>
      <c r="C16" s="94" t="s">
        <v>83</v>
      </c>
      <c r="D16" s="85">
        <v>878</v>
      </c>
      <c r="E16" s="85"/>
      <c r="F16" s="85">
        <v>0</v>
      </c>
      <c r="G16" s="435">
        <f t="shared" si="0"/>
        <v>0</v>
      </c>
      <c r="H16" s="435">
        <f t="shared" si="0"/>
        <v>0</v>
      </c>
      <c r="I16" s="435">
        <f t="shared" si="0"/>
        <v>0</v>
      </c>
    </row>
    <row r="17" spans="1:9" s="285" customFormat="1" x14ac:dyDescent="0.25">
      <c r="A17" s="118">
        <v>32</v>
      </c>
      <c r="B17" s="151">
        <v>5055</v>
      </c>
      <c r="C17" s="94" t="s">
        <v>39</v>
      </c>
      <c r="D17" s="85">
        <f>68578*12</f>
        <v>822936</v>
      </c>
      <c r="E17" s="85">
        <v>824000</v>
      </c>
      <c r="F17" s="85">
        <v>824000</v>
      </c>
      <c r="G17" s="435">
        <f t="shared" si="0"/>
        <v>880032</v>
      </c>
      <c r="H17" s="435">
        <f t="shared" si="0"/>
        <v>939874.17599999998</v>
      </c>
      <c r="I17" s="435">
        <f t="shared" si="0"/>
        <v>1003785.619968</v>
      </c>
    </row>
    <row r="18" spans="1:9" s="285" customFormat="1" x14ac:dyDescent="0.25">
      <c r="A18" s="344"/>
      <c r="B18" s="151"/>
      <c r="C18" s="94"/>
      <c r="D18" s="89">
        <f t="shared" ref="D18:I18" si="2">SUM(D7:D17)</f>
        <v>848523</v>
      </c>
      <c r="E18" s="89">
        <f t="shared" si="2"/>
        <v>893000</v>
      </c>
      <c r="F18" s="89">
        <f t="shared" si="2"/>
        <v>893000</v>
      </c>
      <c r="G18" s="89">
        <f t="shared" si="2"/>
        <v>953724</v>
      </c>
      <c r="H18" s="89">
        <f t="shared" si="2"/>
        <v>1018577.232</v>
      </c>
      <c r="I18" s="89">
        <f t="shared" si="2"/>
        <v>1087840.4837759999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32</v>
      </c>
      <c r="B20" s="151">
        <v>5105</v>
      </c>
      <c r="C20" s="94" t="s">
        <v>41</v>
      </c>
      <c r="D20" s="85">
        <f>7850*6</f>
        <v>47100</v>
      </c>
      <c r="E20" s="85">
        <v>101000</v>
      </c>
      <c r="F20" s="85">
        <v>101000</v>
      </c>
      <c r="G20" s="435">
        <f t="shared" ref="G20:I24" si="3">(F20*0.068)+F20</f>
        <v>107868</v>
      </c>
      <c r="H20" s="435">
        <f t="shared" si="3"/>
        <v>115203.024</v>
      </c>
      <c r="I20" s="435">
        <f t="shared" si="3"/>
        <v>123036.82963200001</v>
      </c>
    </row>
    <row r="21" spans="1:9" s="285" customFormat="1" x14ac:dyDescent="0.25">
      <c r="A21" s="118">
        <v>32</v>
      </c>
      <c r="B21" s="151">
        <v>5115</v>
      </c>
      <c r="C21" s="94" t="s">
        <v>42</v>
      </c>
      <c r="D21" s="85">
        <f>10135*6</f>
        <v>60810</v>
      </c>
      <c r="E21" s="85">
        <v>122000</v>
      </c>
      <c r="F21" s="85">
        <v>122000</v>
      </c>
      <c r="G21" s="435">
        <f t="shared" si="3"/>
        <v>130296</v>
      </c>
      <c r="H21" s="435">
        <f t="shared" si="3"/>
        <v>139156.128</v>
      </c>
      <c r="I21" s="435">
        <f t="shared" si="3"/>
        <v>148618.74470400001</v>
      </c>
    </row>
    <row r="22" spans="1:9" s="285" customFormat="1" x14ac:dyDescent="0.25">
      <c r="A22" s="118">
        <v>32</v>
      </c>
      <c r="B22" s="151">
        <v>5120</v>
      </c>
      <c r="C22" s="94" t="s">
        <v>43</v>
      </c>
      <c r="D22" s="85">
        <f>3578*6</f>
        <v>21468</v>
      </c>
      <c r="E22" s="85">
        <v>43000</v>
      </c>
      <c r="F22" s="85">
        <v>43000</v>
      </c>
      <c r="G22" s="435">
        <f t="shared" si="3"/>
        <v>45924</v>
      </c>
      <c r="H22" s="435">
        <f t="shared" si="3"/>
        <v>49046.832000000002</v>
      </c>
      <c r="I22" s="435">
        <f t="shared" si="3"/>
        <v>52382.016576000002</v>
      </c>
    </row>
    <row r="23" spans="1:9" s="285" customFormat="1" x14ac:dyDescent="0.25">
      <c r="A23" s="118">
        <v>32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32</v>
      </c>
      <c r="B24" s="151">
        <v>5130</v>
      </c>
      <c r="C24" s="94" t="s">
        <v>45</v>
      </c>
      <c r="D24" s="85">
        <f>764*6</f>
        <v>4584</v>
      </c>
      <c r="E24" s="85">
        <v>11100</v>
      </c>
      <c r="F24" s="85">
        <v>11100</v>
      </c>
      <c r="G24" s="435">
        <f t="shared" si="3"/>
        <v>11854.8</v>
      </c>
      <c r="H24" s="435">
        <f t="shared" si="3"/>
        <v>12660.926399999998</v>
      </c>
      <c r="I24" s="435">
        <f t="shared" si="3"/>
        <v>13521.869395199998</v>
      </c>
    </row>
    <row r="25" spans="1:9" s="285" customFormat="1" x14ac:dyDescent="0.25">
      <c r="A25" s="344"/>
      <c r="B25" s="151"/>
      <c r="C25" s="94"/>
      <c r="D25" s="89">
        <f t="shared" ref="D25:I25" si="4">SUM(D20:D24)</f>
        <v>133962</v>
      </c>
      <c r="E25" s="89">
        <f t="shared" si="4"/>
        <v>277100</v>
      </c>
      <c r="F25" s="89">
        <f t="shared" si="4"/>
        <v>277100</v>
      </c>
      <c r="G25" s="89">
        <f t="shared" si="4"/>
        <v>295942.8</v>
      </c>
      <c r="H25" s="89">
        <f t="shared" si="4"/>
        <v>316066.91039999999</v>
      </c>
      <c r="I25" s="89">
        <f t="shared" si="4"/>
        <v>337559.46030720003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x14ac:dyDescent="0.25">
      <c r="A28" s="118">
        <v>32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>
        <f>E28*(1+INPUT!C$8)</f>
        <v>0</v>
      </c>
    </row>
    <row r="29" spans="1:9" s="285" customFormat="1" x14ac:dyDescent="0.25">
      <c r="A29" s="344"/>
      <c r="B29" s="151"/>
      <c r="C29" s="94"/>
      <c r="D29" s="89">
        <f t="shared" ref="D29:I29" si="5">D28</f>
        <v>0</v>
      </c>
      <c r="E29" s="89">
        <f t="shared" si="5"/>
        <v>0</v>
      </c>
      <c r="F29" s="89">
        <f t="shared" si="5"/>
        <v>0</v>
      </c>
      <c r="G29" s="89"/>
      <c r="H29" s="89"/>
      <c r="I29" s="89">
        <f t="shared" si="5"/>
        <v>0</v>
      </c>
    </row>
    <row r="30" spans="1:9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x14ac:dyDescent="0.25">
      <c r="A31" s="118">
        <v>32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</row>
    <row r="32" spans="1:9" s="285" customFormat="1" x14ac:dyDescent="0.25">
      <c r="A32" s="344"/>
      <c r="B32" s="151"/>
      <c r="C32" s="94"/>
      <c r="D32" s="89">
        <f t="shared" ref="D32:I32" si="6">SUM(D31)</f>
        <v>0</v>
      </c>
      <c r="E32" s="89">
        <f t="shared" si="6"/>
        <v>0</v>
      </c>
      <c r="F32" s="89">
        <f t="shared" si="6"/>
        <v>0</v>
      </c>
      <c r="G32" s="89"/>
      <c r="H32" s="89"/>
      <c r="I32" s="89">
        <f t="shared" si="6"/>
        <v>0</v>
      </c>
    </row>
    <row r="33" spans="1:9" s="285" customFormat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x14ac:dyDescent="0.25">
      <c r="A34" s="118">
        <v>32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x14ac:dyDescent="0.25">
      <c r="A35" s="344"/>
      <c r="B35" s="151"/>
      <c r="C35" s="94"/>
      <c r="D35" s="89">
        <f t="shared" ref="D35:I35" si="7">SUM(D34)</f>
        <v>0</v>
      </c>
      <c r="E35" s="89">
        <f t="shared" si="7"/>
        <v>0</v>
      </c>
      <c r="F35" s="89">
        <f t="shared" si="7"/>
        <v>0</v>
      </c>
      <c r="G35" s="89"/>
      <c r="H35" s="89"/>
      <c r="I35" s="89">
        <f t="shared" si="7"/>
        <v>0</v>
      </c>
    </row>
    <row r="36" spans="1:9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x14ac:dyDescent="0.25">
      <c r="A37" s="118">
        <v>32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85"/>
      <c r="H37" s="85"/>
      <c r="I37" s="85"/>
    </row>
    <row r="38" spans="1:9" s="285" customFormat="1" x14ac:dyDescent="0.25">
      <c r="A38" s="344"/>
      <c r="B38" s="151"/>
      <c r="C38" s="94"/>
      <c r="D38" s="89">
        <f t="shared" ref="D38:I38" si="8">D37</f>
        <v>0</v>
      </c>
      <c r="E38" s="89">
        <f t="shared" si="8"/>
        <v>0</v>
      </c>
      <c r="F38" s="89">
        <f t="shared" si="8"/>
        <v>0</v>
      </c>
      <c r="G38" s="89"/>
      <c r="H38" s="89"/>
      <c r="I38" s="89">
        <f t="shared" si="8"/>
        <v>0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x14ac:dyDescent="0.25">
      <c r="A40" s="118">
        <v>32</v>
      </c>
      <c r="B40" s="151">
        <v>5200</v>
      </c>
      <c r="C40" s="94" t="s">
        <v>55</v>
      </c>
      <c r="D40" s="85"/>
      <c r="E40" s="108"/>
      <c r="F40" s="85">
        <f t="shared" ref="F40:F58" si="9">0/8*12</f>
        <v>0</v>
      </c>
      <c r="G40" s="85"/>
      <c r="H40" s="85"/>
      <c r="I40" s="85">
        <f>F40*(1+INPUT!C$10)</f>
        <v>0</v>
      </c>
    </row>
    <row r="41" spans="1:9" s="285" customFormat="1" x14ac:dyDescent="0.25">
      <c r="A41" s="118">
        <v>32</v>
      </c>
      <c r="B41" s="151">
        <v>5205</v>
      </c>
      <c r="C41" s="94" t="s">
        <v>56</v>
      </c>
      <c r="D41" s="85"/>
      <c r="E41" s="108"/>
      <c r="F41" s="85"/>
      <c r="G41" s="85">
        <v>24000</v>
      </c>
      <c r="H41" s="85">
        <v>28000</v>
      </c>
      <c r="I41" s="85">
        <v>28000</v>
      </c>
    </row>
    <row r="42" spans="1:9" s="285" customFormat="1" x14ac:dyDescent="0.25">
      <c r="A42" s="118">
        <v>32</v>
      </c>
      <c r="B42" s="151">
        <v>5210</v>
      </c>
      <c r="C42" s="94" t="s">
        <v>57</v>
      </c>
      <c r="D42" s="85"/>
      <c r="E42" s="108"/>
      <c r="F42" s="85">
        <f t="shared" si="9"/>
        <v>0</v>
      </c>
      <c r="G42" s="85"/>
      <c r="H42" s="85"/>
      <c r="I42" s="85"/>
    </row>
    <row r="43" spans="1:9" s="285" customFormat="1" x14ac:dyDescent="0.25">
      <c r="A43" s="118">
        <v>32</v>
      </c>
      <c r="B43" s="151">
        <v>5215</v>
      </c>
      <c r="C43" s="94" t="s">
        <v>95</v>
      </c>
      <c r="D43" s="85"/>
      <c r="E43" s="108"/>
      <c r="F43" s="85">
        <f t="shared" si="9"/>
        <v>0</v>
      </c>
      <c r="G43" s="85"/>
      <c r="H43" s="85"/>
      <c r="I43" s="85"/>
    </row>
    <row r="44" spans="1:9" s="285" customFormat="1" x14ac:dyDescent="0.25">
      <c r="A44" s="118">
        <v>32</v>
      </c>
      <c r="B44" s="151">
        <v>5220</v>
      </c>
      <c r="C44" s="94" t="s">
        <v>58</v>
      </c>
      <c r="D44" s="85"/>
      <c r="E44" s="108"/>
      <c r="F44" s="85">
        <f t="shared" si="9"/>
        <v>0</v>
      </c>
      <c r="G44" s="85"/>
      <c r="H44" s="85"/>
      <c r="I44" s="85"/>
    </row>
    <row r="45" spans="1:9" s="285" customFormat="1" x14ac:dyDescent="0.25">
      <c r="A45" s="118">
        <v>32</v>
      </c>
      <c r="B45" s="151">
        <v>5225</v>
      </c>
      <c r="C45" s="94" t="s">
        <v>92</v>
      </c>
      <c r="D45" s="85"/>
      <c r="E45" s="108"/>
      <c r="F45" s="85">
        <f t="shared" si="9"/>
        <v>0</v>
      </c>
      <c r="G45" s="85"/>
      <c r="H45" s="85"/>
      <c r="I45" s="85"/>
    </row>
    <row r="46" spans="1:9" s="285" customFormat="1" x14ac:dyDescent="0.25">
      <c r="A46" s="118">
        <v>32</v>
      </c>
      <c r="B46" s="151">
        <v>5230</v>
      </c>
      <c r="C46" s="94" t="s">
        <v>86</v>
      </c>
      <c r="D46" s="85"/>
      <c r="E46" s="108"/>
      <c r="F46" s="85">
        <f t="shared" si="9"/>
        <v>0</v>
      </c>
      <c r="G46" s="85"/>
      <c r="H46" s="85"/>
      <c r="I46" s="85"/>
    </row>
    <row r="47" spans="1:9" s="285" customFormat="1" x14ac:dyDescent="0.25">
      <c r="A47" s="118">
        <v>32</v>
      </c>
      <c r="B47" s="151">
        <v>5235</v>
      </c>
      <c r="C47" s="94" t="s">
        <v>124</v>
      </c>
      <c r="D47" s="85"/>
      <c r="E47" s="108"/>
      <c r="F47" s="85">
        <f t="shared" si="9"/>
        <v>0</v>
      </c>
      <c r="G47" s="85"/>
      <c r="H47" s="85"/>
      <c r="I47" s="85"/>
    </row>
    <row r="48" spans="1:9" s="285" customFormat="1" x14ac:dyDescent="0.25">
      <c r="A48" s="118">
        <v>32</v>
      </c>
      <c r="B48" s="151">
        <v>5240</v>
      </c>
      <c r="C48" s="94" t="s">
        <v>59</v>
      </c>
      <c r="D48" s="85"/>
      <c r="E48" s="108"/>
      <c r="F48" s="85">
        <f t="shared" si="9"/>
        <v>0</v>
      </c>
      <c r="G48" s="85"/>
      <c r="H48" s="85"/>
      <c r="I48" s="85"/>
    </row>
    <row r="49" spans="1:9" s="285" customFormat="1" x14ac:dyDescent="0.25">
      <c r="A49" s="118">
        <v>32</v>
      </c>
      <c r="B49" s="151">
        <v>5245</v>
      </c>
      <c r="C49" s="94" t="s">
        <v>91</v>
      </c>
      <c r="D49" s="85"/>
      <c r="E49" s="108"/>
      <c r="F49" s="85">
        <f t="shared" si="9"/>
        <v>0</v>
      </c>
      <c r="G49" s="85"/>
      <c r="H49" s="85"/>
      <c r="I49" s="85"/>
    </row>
    <row r="50" spans="1:9" s="285" customFormat="1" x14ac:dyDescent="0.25">
      <c r="A50" s="118">
        <v>32</v>
      </c>
      <c r="B50" s="151">
        <v>5250</v>
      </c>
      <c r="C50" s="94" t="s">
        <v>88</v>
      </c>
      <c r="D50" s="85"/>
      <c r="E50" s="108"/>
      <c r="F50" s="85">
        <f t="shared" si="9"/>
        <v>0</v>
      </c>
      <c r="G50" s="85">
        <v>20000</v>
      </c>
      <c r="H50" s="85">
        <v>20000</v>
      </c>
      <c r="I50" s="85">
        <v>20000</v>
      </c>
    </row>
    <row r="51" spans="1:9" s="285" customFormat="1" x14ac:dyDescent="0.25">
      <c r="A51" s="118">
        <v>32</v>
      </c>
      <c r="B51" s="151">
        <v>5255</v>
      </c>
      <c r="C51" s="94" t="s">
        <v>125</v>
      </c>
      <c r="D51" s="85"/>
      <c r="E51" s="108"/>
      <c r="F51" s="85">
        <f t="shared" si="9"/>
        <v>0</v>
      </c>
      <c r="G51" s="85"/>
      <c r="H51" s="85"/>
      <c r="I51" s="85">
        <f>F51*(1+INPUT!C$10)</f>
        <v>0</v>
      </c>
    </row>
    <row r="52" spans="1:9" s="285" customFormat="1" x14ac:dyDescent="0.25">
      <c r="A52" s="118">
        <v>32</v>
      </c>
      <c r="B52" s="151">
        <v>5260</v>
      </c>
      <c r="C52" s="94" t="s">
        <v>90</v>
      </c>
      <c r="D52" s="85"/>
      <c r="E52" s="108"/>
      <c r="F52" s="85">
        <f t="shared" si="9"/>
        <v>0</v>
      </c>
      <c r="G52" s="85"/>
      <c r="H52" s="85"/>
      <c r="I52" s="85">
        <f>F52*(1+INPUT!C$10)</f>
        <v>0</v>
      </c>
    </row>
    <row r="53" spans="1:9" s="285" customFormat="1" x14ac:dyDescent="0.25">
      <c r="A53" s="118">
        <v>32</v>
      </c>
      <c r="B53" s="151">
        <v>5265</v>
      </c>
      <c r="C53" s="94" t="s">
        <v>87</v>
      </c>
      <c r="D53" s="85"/>
      <c r="E53" s="108"/>
      <c r="F53" s="85">
        <f t="shared" si="9"/>
        <v>0</v>
      </c>
      <c r="G53" s="85"/>
      <c r="H53" s="85"/>
      <c r="I53" s="85">
        <f>F53*(1+INPUT!C$10)</f>
        <v>0</v>
      </c>
    </row>
    <row r="54" spans="1:9" s="285" customFormat="1" x14ac:dyDescent="0.25">
      <c r="A54" s="118">
        <v>32</v>
      </c>
      <c r="B54" s="151">
        <v>5270</v>
      </c>
      <c r="C54" s="94" t="s">
        <v>89</v>
      </c>
      <c r="D54" s="85"/>
      <c r="E54" s="108"/>
      <c r="F54" s="85">
        <f t="shared" si="9"/>
        <v>0</v>
      </c>
      <c r="G54" s="85"/>
      <c r="H54" s="85"/>
      <c r="I54" s="85">
        <f>F54*(1+INPUT!C$10)</f>
        <v>0</v>
      </c>
    </row>
    <row r="55" spans="1:9" s="285" customFormat="1" x14ac:dyDescent="0.25">
      <c r="A55" s="118">
        <v>32</v>
      </c>
      <c r="B55" s="151">
        <v>5275</v>
      </c>
      <c r="C55" s="94" t="s">
        <v>93</v>
      </c>
      <c r="D55" s="85"/>
      <c r="E55" s="108"/>
      <c r="F55" s="85">
        <f t="shared" si="9"/>
        <v>0</v>
      </c>
      <c r="G55" s="85"/>
      <c r="H55" s="85"/>
      <c r="I55" s="85">
        <f>F55*(1+INPUT!C$10)</f>
        <v>0</v>
      </c>
    </row>
    <row r="56" spans="1:9" s="285" customFormat="1" x14ac:dyDescent="0.25">
      <c r="A56" s="118">
        <v>32</v>
      </c>
      <c r="B56" s="151">
        <v>5280</v>
      </c>
      <c r="C56" s="94" t="s">
        <v>94</v>
      </c>
      <c r="D56" s="85"/>
      <c r="E56" s="108"/>
      <c r="F56" s="85">
        <f t="shared" si="9"/>
        <v>0</v>
      </c>
      <c r="G56" s="85"/>
      <c r="H56" s="85"/>
      <c r="I56" s="85">
        <f>F56*(1+INPUT!C$10)</f>
        <v>0</v>
      </c>
    </row>
    <row r="57" spans="1:9" s="285" customFormat="1" x14ac:dyDescent="0.25">
      <c r="A57" s="118">
        <v>32</v>
      </c>
      <c r="B57" s="151">
        <v>5285</v>
      </c>
      <c r="C57" s="94" t="s">
        <v>60</v>
      </c>
      <c r="D57" s="85"/>
      <c r="E57" s="85"/>
      <c r="F57" s="85">
        <f t="shared" si="9"/>
        <v>0</v>
      </c>
      <c r="G57" s="85"/>
      <c r="H57" s="85"/>
      <c r="I57" s="85">
        <f>F57*(1+INPUT!C$10)</f>
        <v>0</v>
      </c>
    </row>
    <row r="58" spans="1:9" s="285" customFormat="1" x14ac:dyDescent="0.25">
      <c r="A58" s="118">
        <v>32</v>
      </c>
      <c r="B58" s="151">
        <v>5290</v>
      </c>
      <c r="C58" s="94" t="s">
        <v>186</v>
      </c>
      <c r="D58" s="85"/>
      <c r="E58" s="108"/>
      <c r="F58" s="85">
        <f t="shared" si="9"/>
        <v>0</v>
      </c>
      <c r="G58" s="85"/>
      <c r="H58" s="85"/>
      <c r="I58" s="85">
        <f>F58*(1+INPUT!C$10)</f>
        <v>0</v>
      </c>
    </row>
    <row r="59" spans="1:9" s="285" customFormat="1" x14ac:dyDescent="0.25">
      <c r="A59" s="344"/>
      <c r="B59" s="151"/>
      <c r="C59" s="94"/>
      <c r="D59" s="110">
        <f t="shared" ref="D59:I59" si="10">SUM(D40:D58)</f>
        <v>0</v>
      </c>
      <c r="E59" s="110">
        <f t="shared" si="10"/>
        <v>0</v>
      </c>
      <c r="F59" s="110">
        <f t="shared" si="10"/>
        <v>0</v>
      </c>
      <c r="G59" s="446">
        <f t="shared" si="10"/>
        <v>44000</v>
      </c>
      <c r="H59" s="446">
        <f t="shared" si="10"/>
        <v>48000</v>
      </c>
      <c r="I59" s="446">
        <f t="shared" si="10"/>
        <v>48000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x14ac:dyDescent="0.25">
      <c r="A61" s="118">
        <v>32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</row>
    <row r="62" spans="1:9" s="285" customFormat="1" x14ac:dyDescent="0.25">
      <c r="A62" s="118">
        <v>32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85"/>
      <c r="H62" s="85"/>
      <c r="I62" s="108"/>
    </row>
    <row r="63" spans="1:9" s="285" customFormat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f>SUM(F61:F62)</f>
        <v>0</v>
      </c>
      <c r="G63" s="436">
        <f t="shared" ref="G63:I63" si="11">SUM(G61:G62)</f>
        <v>0</v>
      </c>
      <c r="H63" s="436">
        <f t="shared" si="11"/>
        <v>0</v>
      </c>
      <c r="I63" s="436">
        <f t="shared" si="11"/>
        <v>0</v>
      </c>
    </row>
    <row r="64" spans="1:9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x14ac:dyDescent="0.25">
      <c r="A65" s="118">
        <v>32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108"/>
    </row>
    <row r="66" spans="1:9" s="285" customFormat="1" x14ac:dyDescent="0.25">
      <c r="A66" s="344"/>
      <c r="B66" s="151"/>
      <c r="C66" s="94"/>
      <c r="D66" s="89">
        <f t="shared" ref="D66:I66" si="12">D65</f>
        <v>0</v>
      </c>
      <c r="E66" s="89">
        <f t="shared" si="12"/>
        <v>0</v>
      </c>
      <c r="F66" s="89">
        <f t="shared" si="12"/>
        <v>0</v>
      </c>
      <c r="G66" s="436">
        <f t="shared" si="12"/>
        <v>0</v>
      </c>
      <c r="H66" s="436">
        <f t="shared" si="12"/>
        <v>0</v>
      </c>
      <c r="I66" s="436">
        <f t="shared" si="12"/>
        <v>0</v>
      </c>
    </row>
    <row r="67" spans="1:9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x14ac:dyDescent="0.25">
      <c r="A68" s="118">
        <v>32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>
        <f>F68*(1+INPUT!C11)</f>
        <v>0</v>
      </c>
    </row>
    <row r="69" spans="1:9" s="285" customFormat="1" x14ac:dyDescent="0.25">
      <c r="A69" s="118">
        <v>32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x14ac:dyDescent="0.25">
      <c r="A70" s="344"/>
      <c r="B70" s="151"/>
      <c r="C70" s="94"/>
      <c r="D70" s="110">
        <f t="shared" ref="D70:I70" si="13">SUM(D68:D69)</f>
        <v>0</v>
      </c>
      <c r="E70" s="110">
        <f t="shared" si="13"/>
        <v>0</v>
      </c>
      <c r="F70" s="110">
        <f t="shared" si="13"/>
        <v>0</v>
      </c>
      <c r="G70" s="446">
        <f t="shared" si="13"/>
        <v>0</v>
      </c>
      <c r="H70" s="446">
        <f t="shared" si="13"/>
        <v>0</v>
      </c>
      <c r="I70" s="446">
        <f t="shared" si="13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32</v>
      </c>
      <c r="B72" s="151">
        <v>5505</v>
      </c>
      <c r="C72" s="94" t="s">
        <v>259</v>
      </c>
      <c r="D72" s="85"/>
      <c r="E72" s="85"/>
      <c r="F72" s="85">
        <f t="shared" ref="F72:F77" si="14">0/8*12</f>
        <v>0</v>
      </c>
      <c r="G72" s="85"/>
      <c r="H72" s="85"/>
      <c r="I72" s="85">
        <f>F72*(1+INPUT!C$10)</f>
        <v>0</v>
      </c>
    </row>
    <row r="73" spans="1:9" s="285" customFormat="1" x14ac:dyDescent="0.25">
      <c r="A73" s="118">
        <v>32</v>
      </c>
      <c r="B73" s="151">
        <v>5510</v>
      </c>
      <c r="C73" s="94" t="s">
        <v>63</v>
      </c>
      <c r="D73" s="85"/>
      <c r="E73" s="85"/>
      <c r="F73" s="85">
        <f t="shared" si="14"/>
        <v>0</v>
      </c>
      <c r="G73" s="85"/>
      <c r="H73" s="85"/>
      <c r="I73" s="85">
        <f>F73*(1+INPUT!C$10)</f>
        <v>0</v>
      </c>
    </row>
    <row r="74" spans="1:9" s="285" customFormat="1" x14ac:dyDescent="0.25">
      <c r="A74" s="118">
        <v>32</v>
      </c>
      <c r="B74" s="151">
        <v>5520</v>
      </c>
      <c r="C74" s="94" t="s">
        <v>260</v>
      </c>
      <c r="D74" s="85"/>
      <c r="E74" s="85"/>
      <c r="F74" s="85">
        <f t="shared" si="14"/>
        <v>0</v>
      </c>
      <c r="G74" s="85"/>
      <c r="H74" s="85"/>
      <c r="I74" s="85">
        <f>F74*(1+INPUT!C$10)</f>
        <v>0</v>
      </c>
    </row>
    <row r="75" spans="1:9" s="285" customFormat="1" x14ac:dyDescent="0.25">
      <c r="A75" s="118">
        <v>32</v>
      </c>
      <c r="B75" s="151">
        <v>5525</v>
      </c>
      <c r="C75" s="94" t="s">
        <v>261</v>
      </c>
      <c r="D75" s="85"/>
      <c r="E75" s="85"/>
      <c r="F75" s="85">
        <f t="shared" si="14"/>
        <v>0</v>
      </c>
      <c r="G75" s="85"/>
      <c r="H75" s="85"/>
      <c r="I75" s="85">
        <f>F75*(1+INPUT!C$10)</f>
        <v>0</v>
      </c>
    </row>
    <row r="76" spans="1:9" s="285" customFormat="1" x14ac:dyDescent="0.25">
      <c r="A76" s="118">
        <v>32</v>
      </c>
      <c r="B76" s="151">
        <v>5530</v>
      </c>
      <c r="C76" s="94" t="s">
        <v>262</v>
      </c>
      <c r="D76" s="85"/>
      <c r="E76" s="85"/>
      <c r="F76" s="85">
        <f t="shared" si="14"/>
        <v>0</v>
      </c>
      <c r="G76" s="85"/>
      <c r="H76" s="85"/>
      <c r="I76" s="85">
        <f>F76*(1+INPUT!C$10)</f>
        <v>0</v>
      </c>
    </row>
    <row r="77" spans="1:9" s="285" customFormat="1" x14ac:dyDescent="0.25">
      <c r="A77" s="118">
        <v>32</v>
      </c>
      <c r="B77" s="151">
        <v>5535</v>
      </c>
      <c r="C77" s="94" t="s">
        <v>263</v>
      </c>
      <c r="D77" s="85"/>
      <c r="E77" s="85"/>
      <c r="F77" s="85">
        <f t="shared" si="14"/>
        <v>0</v>
      </c>
      <c r="G77" s="85"/>
      <c r="H77" s="85"/>
      <c r="I77" s="85">
        <f>F77*(1+INPUT!C$10)</f>
        <v>0</v>
      </c>
    </row>
    <row r="78" spans="1:9" s="285" customFormat="1" x14ac:dyDescent="0.25">
      <c r="A78" s="118">
        <v>5607</v>
      </c>
      <c r="B78" s="151">
        <v>5540</v>
      </c>
      <c r="C78" s="94" t="s">
        <v>264</v>
      </c>
      <c r="D78" s="85"/>
      <c r="E78" s="85">
        <v>7271</v>
      </c>
      <c r="F78" s="85">
        <v>7271</v>
      </c>
      <c r="G78" s="85"/>
      <c r="H78" s="85"/>
      <c r="I78" s="85"/>
    </row>
    <row r="79" spans="1:9" s="285" customFormat="1" ht="13.5" customHeight="1" x14ac:dyDescent="0.25">
      <c r="A79" s="118">
        <v>32</v>
      </c>
      <c r="B79" s="151">
        <v>5545</v>
      </c>
      <c r="C79" s="94" t="s">
        <v>265</v>
      </c>
      <c r="D79" s="85"/>
      <c r="E79" s="85">
        <v>11394</v>
      </c>
      <c r="F79" s="85">
        <v>11394</v>
      </c>
      <c r="G79" s="85"/>
      <c r="H79" s="85"/>
      <c r="I79" s="85"/>
    </row>
    <row r="80" spans="1:9" s="285" customFormat="1" x14ac:dyDescent="0.25">
      <c r="A80" s="118">
        <v>32</v>
      </c>
      <c r="B80" s="151">
        <v>5550</v>
      </c>
      <c r="C80" s="94" t="s">
        <v>267</v>
      </c>
      <c r="D80" s="85"/>
      <c r="E80" s="85"/>
      <c r="F80" s="85">
        <f t="shared" ref="F80:F117" si="15">E80-D80</f>
        <v>0</v>
      </c>
      <c r="G80" s="85"/>
      <c r="H80" s="85"/>
      <c r="I80" s="85"/>
    </row>
    <row r="81" spans="1:9" s="285" customFormat="1" x14ac:dyDescent="0.25">
      <c r="A81" s="118">
        <v>32</v>
      </c>
      <c r="B81" s="151">
        <v>5555</v>
      </c>
      <c r="C81" s="94" t="s">
        <v>268</v>
      </c>
      <c r="D81" s="85"/>
      <c r="E81" s="85"/>
      <c r="F81" s="85">
        <f t="shared" si="15"/>
        <v>0</v>
      </c>
      <c r="G81" s="85"/>
      <c r="H81" s="85"/>
      <c r="I81" s="85"/>
    </row>
    <row r="82" spans="1:9" s="285" customFormat="1" x14ac:dyDescent="0.25">
      <c r="A82" s="118">
        <v>32</v>
      </c>
      <c r="B82" s="151">
        <v>5560</v>
      </c>
      <c r="C82" s="94" t="s">
        <v>269</v>
      </c>
      <c r="D82" s="85"/>
      <c r="E82" s="85"/>
      <c r="F82" s="85">
        <f t="shared" si="15"/>
        <v>0</v>
      </c>
      <c r="G82" s="85"/>
      <c r="H82" s="85"/>
      <c r="I82" s="85"/>
    </row>
    <row r="83" spans="1:9" s="285" customFormat="1" x14ac:dyDescent="0.25">
      <c r="A83" s="118">
        <v>32</v>
      </c>
      <c r="B83" s="151">
        <v>5565</v>
      </c>
      <c r="C83" s="94" t="s">
        <v>246</v>
      </c>
      <c r="D83" s="85"/>
      <c r="E83" s="85"/>
      <c r="F83" s="85">
        <f t="shared" si="15"/>
        <v>0</v>
      </c>
      <c r="G83" s="85"/>
      <c r="H83" s="85"/>
      <c r="I83" s="85">
        <f t="shared" ref="I83" si="16">E83+H83</f>
        <v>0</v>
      </c>
    </row>
    <row r="84" spans="1:9" s="285" customFormat="1" x14ac:dyDescent="0.25">
      <c r="A84" s="118">
        <v>32</v>
      </c>
      <c r="B84" s="151">
        <v>5570</v>
      </c>
      <c r="C84" s="94" t="s">
        <v>270</v>
      </c>
      <c r="D84" s="85"/>
      <c r="E84" s="85"/>
      <c r="F84" s="85">
        <f t="shared" si="15"/>
        <v>0</v>
      </c>
      <c r="G84" s="85">
        <v>4700</v>
      </c>
      <c r="H84" s="85">
        <v>4700</v>
      </c>
      <c r="I84" s="85">
        <v>4700</v>
      </c>
    </row>
    <row r="85" spans="1:9" s="285" customFormat="1" x14ac:dyDescent="0.25">
      <c r="A85" s="118">
        <v>32</v>
      </c>
      <c r="B85" s="151">
        <v>5575</v>
      </c>
      <c r="C85" s="94" t="s">
        <v>271</v>
      </c>
      <c r="D85" s="85"/>
      <c r="E85" s="85"/>
      <c r="F85" s="85">
        <f t="shared" si="15"/>
        <v>0</v>
      </c>
      <c r="G85" s="85"/>
      <c r="H85" s="85"/>
      <c r="I85" s="85"/>
    </row>
    <row r="86" spans="1:9" s="285" customFormat="1" x14ac:dyDescent="0.25">
      <c r="A86" s="118">
        <v>32</v>
      </c>
      <c r="B86" s="151">
        <v>5580</v>
      </c>
      <c r="C86" s="94" t="s">
        <v>272</v>
      </c>
      <c r="D86" s="85"/>
      <c r="E86" s="85"/>
      <c r="F86" s="85">
        <f t="shared" si="15"/>
        <v>0</v>
      </c>
      <c r="G86" s="85"/>
      <c r="H86" s="85"/>
      <c r="I86" s="85"/>
    </row>
    <row r="87" spans="1:9" s="285" customFormat="1" x14ac:dyDescent="0.25">
      <c r="A87" s="118">
        <v>32</v>
      </c>
      <c r="B87" s="151">
        <v>5585</v>
      </c>
      <c r="C87" s="94" t="s">
        <v>273</v>
      </c>
      <c r="D87" s="86"/>
      <c r="E87" s="85"/>
      <c r="F87" s="85">
        <f t="shared" si="15"/>
        <v>0</v>
      </c>
      <c r="G87" s="85"/>
      <c r="H87" s="85"/>
      <c r="I87" s="85"/>
    </row>
    <row r="88" spans="1:9" s="285" customFormat="1" x14ac:dyDescent="0.25">
      <c r="A88" s="118">
        <v>32</v>
      </c>
      <c r="B88" s="151">
        <v>5590</v>
      </c>
      <c r="C88" s="94" t="s">
        <v>274</v>
      </c>
      <c r="D88" s="86"/>
      <c r="E88" s="85"/>
      <c r="F88" s="85">
        <f t="shared" si="15"/>
        <v>0</v>
      </c>
      <c r="G88" s="85"/>
      <c r="H88" s="85"/>
      <c r="I88" s="85"/>
    </row>
    <row r="89" spans="1:9" s="285" customFormat="1" x14ac:dyDescent="0.25">
      <c r="A89" s="118">
        <v>32</v>
      </c>
      <c r="B89" s="151">
        <v>5595</v>
      </c>
      <c r="C89" s="94" t="s">
        <v>275</v>
      </c>
      <c r="D89" s="85"/>
      <c r="E89" s="85"/>
      <c r="F89" s="85">
        <f t="shared" si="15"/>
        <v>0</v>
      </c>
      <c r="G89" s="85"/>
      <c r="H89" s="85"/>
      <c r="I89" s="85"/>
    </row>
    <row r="90" spans="1:9" s="285" customFormat="1" x14ac:dyDescent="0.25">
      <c r="A90" s="118">
        <v>32</v>
      </c>
      <c r="B90" s="151">
        <v>5600</v>
      </c>
      <c r="C90" s="159" t="s">
        <v>276</v>
      </c>
      <c r="D90" s="85"/>
      <c r="E90" s="85"/>
      <c r="F90" s="85">
        <f t="shared" si="15"/>
        <v>0</v>
      </c>
      <c r="G90" s="85"/>
      <c r="H90" s="85"/>
      <c r="I90" s="85"/>
    </row>
    <row r="91" spans="1:9" s="285" customFormat="1" x14ac:dyDescent="0.25">
      <c r="A91" s="118">
        <v>32</v>
      </c>
      <c r="B91" s="151">
        <v>5605</v>
      </c>
      <c r="C91" s="159" t="s">
        <v>277</v>
      </c>
      <c r="D91" s="85"/>
      <c r="E91" s="85"/>
      <c r="F91" s="85">
        <f t="shared" si="15"/>
        <v>0</v>
      </c>
      <c r="G91" s="85"/>
      <c r="H91" s="85"/>
      <c r="I91" s="85"/>
    </row>
    <row r="92" spans="1:9" s="285" customFormat="1" x14ac:dyDescent="0.25">
      <c r="A92" s="118">
        <v>32</v>
      </c>
      <c r="B92" s="151">
        <v>5610</v>
      </c>
      <c r="C92" s="159" t="s">
        <v>278</v>
      </c>
      <c r="D92" s="85"/>
      <c r="E92" s="85"/>
      <c r="F92" s="85">
        <f t="shared" si="15"/>
        <v>0</v>
      </c>
      <c r="G92" s="85"/>
      <c r="H92" s="85"/>
      <c r="I92" s="85"/>
    </row>
    <row r="93" spans="1:9" s="285" customFormat="1" x14ac:dyDescent="0.25">
      <c r="A93" s="118">
        <v>32</v>
      </c>
      <c r="B93" s="151">
        <v>5615</v>
      </c>
      <c r="C93" s="159" t="s">
        <v>279</v>
      </c>
      <c r="D93" s="85"/>
      <c r="E93" s="85"/>
      <c r="F93" s="85">
        <f t="shared" si="15"/>
        <v>0</v>
      </c>
      <c r="G93" s="85"/>
      <c r="H93" s="85"/>
      <c r="I93" s="85"/>
    </row>
    <row r="94" spans="1:9" s="285" customFormat="1" x14ac:dyDescent="0.25">
      <c r="A94" s="118">
        <v>32</v>
      </c>
      <c r="B94" s="151">
        <v>5620</v>
      </c>
      <c r="C94" s="159" t="s">
        <v>280</v>
      </c>
      <c r="D94" s="85"/>
      <c r="E94" s="85"/>
      <c r="F94" s="85">
        <f t="shared" si="15"/>
        <v>0</v>
      </c>
      <c r="G94" s="85"/>
      <c r="H94" s="85"/>
      <c r="I94" s="85"/>
    </row>
    <row r="95" spans="1:9" s="285" customFormat="1" x14ac:dyDescent="0.25">
      <c r="A95" s="118">
        <v>32</v>
      </c>
      <c r="B95" s="151">
        <v>5625</v>
      </c>
      <c r="C95" s="159" t="s">
        <v>281</v>
      </c>
      <c r="D95" s="85"/>
      <c r="E95" s="85"/>
      <c r="F95" s="85">
        <f t="shared" si="15"/>
        <v>0</v>
      </c>
      <c r="G95" s="85"/>
      <c r="H95" s="85"/>
      <c r="I95" s="85"/>
    </row>
    <row r="96" spans="1:9" s="285" customFormat="1" x14ac:dyDescent="0.25">
      <c r="A96" s="118">
        <v>32</v>
      </c>
      <c r="B96" s="151">
        <v>5630</v>
      </c>
      <c r="C96" s="159" t="s">
        <v>282</v>
      </c>
      <c r="D96" s="85"/>
      <c r="E96" s="85"/>
      <c r="F96" s="85">
        <f t="shared" si="15"/>
        <v>0</v>
      </c>
      <c r="G96" s="85"/>
      <c r="H96" s="85"/>
      <c r="I96" s="85"/>
    </row>
    <row r="97" spans="1:9" s="285" customFormat="1" x14ac:dyDescent="0.25">
      <c r="A97" s="118">
        <v>32</v>
      </c>
      <c r="B97" s="151">
        <v>5635</v>
      </c>
      <c r="C97" s="159" t="s">
        <v>283</v>
      </c>
      <c r="D97" s="85"/>
      <c r="E97" s="85"/>
      <c r="F97" s="85">
        <f t="shared" si="15"/>
        <v>0</v>
      </c>
      <c r="G97" s="85"/>
      <c r="H97" s="85"/>
      <c r="I97" s="85"/>
    </row>
    <row r="98" spans="1:9" s="285" customFormat="1" x14ac:dyDescent="0.25">
      <c r="A98" s="118">
        <v>32</v>
      </c>
      <c r="B98" s="151">
        <v>5640</v>
      </c>
      <c r="C98" s="159" t="s">
        <v>284</v>
      </c>
      <c r="D98" s="85"/>
      <c r="E98" s="85"/>
      <c r="F98" s="85">
        <f t="shared" si="15"/>
        <v>0</v>
      </c>
      <c r="G98" s="85"/>
      <c r="H98" s="85"/>
      <c r="I98" s="85"/>
    </row>
    <row r="99" spans="1:9" s="285" customFormat="1" x14ac:dyDescent="0.25">
      <c r="A99" s="118">
        <v>32</v>
      </c>
      <c r="B99" s="151">
        <v>5645</v>
      </c>
      <c r="C99" s="159" t="s">
        <v>285</v>
      </c>
      <c r="D99" s="85"/>
      <c r="E99" s="85"/>
      <c r="F99" s="85">
        <f t="shared" si="15"/>
        <v>0</v>
      </c>
      <c r="G99" s="85"/>
      <c r="H99" s="85"/>
      <c r="I99" s="85"/>
    </row>
    <row r="100" spans="1:9" s="285" customFormat="1" x14ac:dyDescent="0.25">
      <c r="A100" s="118">
        <v>32</v>
      </c>
      <c r="B100" s="151">
        <v>5650</v>
      </c>
      <c r="C100" s="159" t="s">
        <v>286</v>
      </c>
      <c r="D100" s="85"/>
      <c r="E100" s="85"/>
      <c r="F100" s="85">
        <f t="shared" si="15"/>
        <v>0</v>
      </c>
      <c r="G100" s="85"/>
      <c r="H100" s="85"/>
      <c r="I100" s="85"/>
    </row>
    <row r="101" spans="1:9" s="285" customFormat="1" x14ac:dyDescent="0.25">
      <c r="A101" s="118">
        <v>32</v>
      </c>
      <c r="B101" s="151">
        <v>5655</v>
      </c>
      <c r="C101" s="159" t="s">
        <v>287</v>
      </c>
      <c r="D101" s="85"/>
      <c r="E101" s="85"/>
      <c r="F101" s="85">
        <f t="shared" si="15"/>
        <v>0</v>
      </c>
      <c r="G101" s="85"/>
      <c r="H101" s="85"/>
      <c r="I101" s="85"/>
    </row>
    <row r="102" spans="1:9" s="285" customFormat="1" x14ac:dyDescent="0.25">
      <c r="A102" s="118">
        <v>32</v>
      </c>
      <c r="B102" s="151">
        <v>5660</v>
      </c>
      <c r="C102" s="159" t="s">
        <v>288</v>
      </c>
      <c r="D102" s="85"/>
      <c r="E102" s="85"/>
      <c r="F102" s="85">
        <f t="shared" si="15"/>
        <v>0</v>
      </c>
      <c r="G102" s="85"/>
      <c r="H102" s="85"/>
      <c r="I102" s="85"/>
    </row>
    <row r="103" spans="1:9" s="285" customFormat="1" x14ac:dyDescent="0.25">
      <c r="A103" s="118">
        <v>32</v>
      </c>
      <c r="B103" s="151">
        <v>5665</v>
      </c>
      <c r="C103" s="94" t="s">
        <v>289</v>
      </c>
      <c r="D103" s="85"/>
      <c r="E103" s="85"/>
      <c r="F103" s="85">
        <f t="shared" si="15"/>
        <v>0</v>
      </c>
      <c r="G103" s="85"/>
      <c r="H103" s="85"/>
      <c r="I103" s="85"/>
    </row>
    <row r="104" spans="1:9" s="285" customFormat="1" x14ac:dyDescent="0.25">
      <c r="A104" s="118">
        <v>32</v>
      </c>
      <c r="B104" s="151">
        <v>5670</v>
      </c>
      <c r="C104" s="94" t="s">
        <v>290</v>
      </c>
      <c r="D104" s="85"/>
      <c r="E104" s="85"/>
      <c r="F104" s="85">
        <f t="shared" si="15"/>
        <v>0</v>
      </c>
      <c r="G104" s="85"/>
      <c r="H104" s="85"/>
      <c r="I104" s="85"/>
    </row>
    <row r="105" spans="1:9" s="285" customFormat="1" x14ac:dyDescent="0.25">
      <c r="A105" s="118">
        <v>32</v>
      </c>
      <c r="B105" s="151">
        <v>5675</v>
      </c>
      <c r="C105" s="94" t="s">
        <v>291</v>
      </c>
      <c r="D105" s="85"/>
      <c r="E105" s="85"/>
      <c r="F105" s="85">
        <f t="shared" si="15"/>
        <v>0</v>
      </c>
      <c r="G105" s="85"/>
      <c r="H105" s="85"/>
      <c r="I105" s="85"/>
    </row>
    <row r="106" spans="1:9" s="285" customFormat="1" x14ac:dyDescent="0.25">
      <c r="A106" s="118">
        <v>32</v>
      </c>
      <c r="B106" s="151">
        <v>5680</v>
      </c>
      <c r="C106" s="94" t="s">
        <v>292</v>
      </c>
      <c r="D106" s="85"/>
      <c r="E106" s="85"/>
      <c r="F106" s="85">
        <f t="shared" si="15"/>
        <v>0</v>
      </c>
      <c r="G106" s="85"/>
      <c r="H106" s="85"/>
      <c r="I106" s="85"/>
    </row>
    <row r="107" spans="1:9" s="285" customFormat="1" x14ac:dyDescent="0.25">
      <c r="A107" s="118">
        <v>32</v>
      </c>
      <c r="B107" s="151">
        <v>5685</v>
      </c>
      <c r="C107" s="94" t="s">
        <v>293</v>
      </c>
      <c r="D107" s="85"/>
      <c r="E107" s="85"/>
      <c r="F107" s="85">
        <f t="shared" si="15"/>
        <v>0</v>
      </c>
      <c r="G107" s="85"/>
      <c r="H107" s="85"/>
      <c r="I107" s="85"/>
    </row>
    <row r="108" spans="1:9" s="285" customFormat="1" x14ac:dyDescent="0.25">
      <c r="A108" s="118">
        <v>32</v>
      </c>
      <c r="B108" s="151">
        <v>5690</v>
      </c>
      <c r="C108" s="94" t="s">
        <v>247</v>
      </c>
      <c r="D108" s="85"/>
      <c r="E108" s="85"/>
      <c r="F108" s="85">
        <f t="shared" si="15"/>
        <v>0</v>
      </c>
      <c r="G108" s="85"/>
      <c r="H108" s="85"/>
      <c r="I108" s="85"/>
    </row>
    <row r="109" spans="1:9" s="285" customFormat="1" x14ac:dyDescent="0.25">
      <c r="A109" s="118">
        <v>32</v>
      </c>
      <c r="B109" s="151">
        <v>5695</v>
      </c>
      <c r="C109" s="94" t="s">
        <v>294</v>
      </c>
      <c r="D109" s="85"/>
      <c r="E109" s="85"/>
      <c r="F109" s="85">
        <f t="shared" si="15"/>
        <v>0</v>
      </c>
      <c r="G109" s="85"/>
      <c r="H109" s="85"/>
      <c r="I109" s="85"/>
    </row>
    <row r="110" spans="1:9" s="285" customFormat="1" x14ac:dyDescent="0.25">
      <c r="A110" s="118">
        <v>32</v>
      </c>
      <c r="B110" s="151">
        <v>5700</v>
      </c>
      <c r="C110" s="94" t="s">
        <v>295</v>
      </c>
      <c r="D110" s="85"/>
      <c r="E110" s="85"/>
      <c r="F110" s="85">
        <f t="shared" si="15"/>
        <v>0</v>
      </c>
      <c r="G110" s="85">
        <v>106000</v>
      </c>
      <c r="H110" s="85">
        <v>126000</v>
      </c>
      <c r="I110" s="85">
        <v>138000</v>
      </c>
    </row>
    <row r="111" spans="1:9" s="285" customFormat="1" x14ac:dyDescent="0.25">
      <c r="A111" s="118">
        <v>32</v>
      </c>
      <c r="B111" s="151">
        <v>5710</v>
      </c>
      <c r="C111" s="94" t="s">
        <v>297</v>
      </c>
      <c r="D111" s="85"/>
      <c r="E111" s="85"/>
      <c r="F111" s="85">
        <f t="shared" si="15"/>
        <v>0</v>
      </c>
      <c r="G111" s="85"/>
      <c r="H111" s="85"/>
      <c r="I111" s="85"/>
    </row>
    <row r="112" spans="1:9" s="285" customFormat="1" x14ac:dyDescent="0.25">
      <c r="A112" s="118">
        <v>32</v>
      </c>
      <c r="B112" s="151">
        <v>5715</v>
      </c>
      <c r="C112" s="94" t="s">
        <v>298</v>
      </c>
      <c r="D112" s="85"/>
      <c r="E112" s="85"/>
      <c r="F112" s="85">
        <f t="shared" si="15"/>
        <v>0</v>
      </c>
      <c r="G112" s="85"/>
      <c r="H112" s="85"/>
      <c r="I112" s="85"/>
    </row>
    <row r="113" spans="1:9" s="285" customFormat="1" x14ac:dyDescent="0.25">
      <c r="A113" s="118">
        <v>32</v>
      </c>
      <c r="B113" s="151">
        <v>5720</v>
      </c>
      <c r="C113" s="94" t="s">
        <v>299</v>
      </c>
      <c r="D113" s="85"/>
      <c r="E113" s="85"/>
      <c r="F113" s="85">
        <f t="shared" si="15"/>
        <v>0</v>
      </c>
      <c r="G113" s="85"/>
      <c r="H113" s="85"/>
      <c r="I113" s="85"/>
    </row>
    <row r="114" spans="1:9" s="285" customFormat="1" x14ac:dyDescent="0.25">
      <c r="A114" s="118">
        <v>32</v>
      </c>
      <c r="B114" s="151">
        <v>5730</v>
      </c>
      <c r="C114" s="94" t="s">
        <v>300</v>
      </c>
      <c r="D114" s="85"/>
      <c r="E114" s="85"/>
      <c r="F114" s="85">
        <f t="shared" si="15"/>
        <v>0</v>
      </c>
      <c r="G114" s="85"/>
      <c r="H114" s="85"/>
      <c r="I114" s="85"/>
    </row>
    <row r="115" spans="1:9" s="285" customFormat="1" x14ac:dyDescent="0.25">
      <c r="A115" s="118">
        <v>32</v>
      </c>
      <c r="B115" s="151">
        <v>5735</v>
      </c>
      <c r="C115" s="94" t="s">
        <v>301</v>
      </c>
      <c r="D115" s="85"/>
      <c r="E115" s="85"/>
      <c r="F115" s="85">
        <f t="shared" si="15"/>
        <v>0</v>
      </c>
      <c r="G115" s="85"/>
      <c r="H115" s="85"/>
      <c r="I115" s="85"/>
    </row>
    <row r="116" spans="1:9" s="285" customFormat="1" x14ac:dyDescent="0.25">
      <c r="A116" s="118">
        <v>32</v>
      </c>
      <c r="B116" s="151">
        <v>5740</v>
      </c>
      <c r="C116" s="94" t="s">
        <v>302</v>
      </c>
      <c r="D116" s="85"/>
      <c r="E116" s="85"/>
      <c r="F116" s="85">
        <f t="shared" si="15"/>
        <v>0</v>
      </c>
      <c r="G116" s="85"/>
      <c r="H116" s="85"/>
      <c r="I116" s="85"/>
    </row>
    <row r="117" spans="1:9" s="285" customFormat="1" x14ac:dyDescent="0.25">
      <c r="A117" s="118">
        <v>32</v>
      </c>
      <c r="B117" s="151">
        <v>5745</v>
      </c>
      <c r="C117" s="94" t="s">
        <v>303</v>
      </c>
      <c r="D117" s="85"/>
      <c r="E117" s="85"/>
      <c r="F117" s="85">
        <f t="shared" si="15"/>
        <v>0</v>
      </c>
      <c r="G117" s="85"/>
      <c r="H117" s="85"/>
      <c r="I117" s="85"/>
    </row>
    <row r="118" spans="1:9" s="285" customFormat="1" x14ac:dyDescent="0.25">
      <c r="A118" s="118">
        <v>32</v>
      </c>
      <c r="B118" s="151">
        <v>5750</v>
      </c>
      <c r="C118" s="94" t="s">
        <v>304</v>
      </c>
      <c r="D118" s="85"/>
      <c r="E118" s="85">
        <v>780</v>
      </c>
      <c r="F118" s="85">
        <v>780</v>
      </c>
      <c r="G118" s="85">
        <v>620</v>
      </c>
      <c r="H118" s="85">
        <v>620</v>
      </c>
      <c r="I118" s="85">
        <v>620</v>
      </c>
    </row>
    <row r="119" spans="1:9" s="285" customFormat="1" x14ac:dyDescent="0.25">
      <c r="A119" s="118">
        <v>32</v>
      </c>
      <c r="B119" s="151">
        <v>5755</v>
      </c>
      <c r="C119" s="94" t="s">
        <v>305</v>
      </c>
      <c r="D119" s="85"/>
      <c r="E119" s="85">
        <v>10600</v>
      </c>
      <c r="F119" s="85">
        <v>10600</v>
      </c>
      <c r="G119" s="85">
        <v>9600</v>
      </c>
      <c r="H119" s="85">
        <v>9600</v>
      </c>
      <c r="I119" s="85">
        <v>9600</v>
      </c>
    </row>
    <row r="120" spans="1:9" s="285" customFormat="1" ht="12" customHeight="1" x14ac:dyDescent="0.25">
      <c r="A120" s="118">
        <v>32</v>
      </c>
      <c r="B120" s="151">
        <v>5760</v>
      </c>
      <c r="C120" s="94" t="s">
        <v>306</v>
      </c>
      <c r="D120" s="85"/>
      <c r="E120" s="85"/>
      <c r="F120" s="85"/>
      <c r="G120" s="85"/>
      <c r="H120" s="85"/>
      <c r="I120" s="85">
        <f>F120*(1+INPUT!C$10)</f>
        <v>0</v>
      </c>
    </row>
    <row r="121" spans="1:9" s="285" customFormat="1" x14ac:dyDescent="0.25">
      <c r="A121" s="118">
        <v>32</v>
      </c>
      <c r="B121" s="151">
        <v>5765</v>
      </c>
      <c r="C121" s="94" t="s">
        <v>307</v>
      </c>
      <c r="D121" s="85"/>
      <c r="E121" s="85"/>
      <c r="F121" s="85"/>
      <c r="G121" s="85"/>
      <c r="H121" s="85"/>
      <c r="I121" s="85">
        <f>F121*(1+INPUT!C$10)</f>
        <v>0</v>
      </c>
    </row>
    <row r="122" spans="1:9" s="285" customFormat="1" x14ac:dyDescent="0.25">
      <c r="A122" s="118">
        <v>32</v>
      </c>
      <c r="B122" s="151">
        <v>5770</v>
      </c>
      <c r="C122" s="94" t="s">
        <v>308</v>
      </c>
      <c r="D122" s="85"/>
      <c r="E122" s="85"/>
      <c r="F122" s="85"/>
      <c r="G122" s="85"/>
      <c r="H122" s="85"/>
      <c r="I122" s="85">
        <f>F122*(1+INPUT!C$10)</f>
        <v>0</v>
      </c>
    </row>
    <row r="123" spans="1:9" s="285" customFormat="1" x14ac:dyDescent="0.25">
      <c r="A123" s="118">
        <v>32</v>
      </c>
      <c r="B123" s="151">
        <v>5775</v>
      </c>
      <c r="C123" s="94" t="s">
        <v>309</v>
      </c>
      <c r="D123" s="85"/>
      <c r="E123" s="85"/>
      <c r="F123" s="85"/>
      <c r="G123" s="85"/>
      <c r="H123" s="85"/>
      <c r="I123" s="85">
        <f>F123*(1+INPUT!C$10)</f>
        <v>0</v>
      </c>
    </row>
    <row r="124" spans="1:9" s="285" customFormat="1" x14ac:dyDescent="0.25">
      <c r="A124" s="118">
        <v>32</v>
      </c>
      <c r="B124" s="151">
        <v>5780</v>
      </c>
      <c r="C124" s="94" t="s">
        <v>310</v>
      </c>
      <c r="D124" s="85"/>
      <c r="E124" s="85"/>
      <c r="F124" s="85"/>
      <c r="G124" s="85"/>
      <c r="H124" s="85"/>
      <c r="I124" s="85">
        <f>F124*(1+INPUT!C$10)</f>
        <v>0</v>
      </c>
    </row>
    <row r="125" spans="1:9" s="285" customFormat="1" x14ac:dyDescent="0.25">
      <c r="A125" s="118">
        <v>32</v>
      </c>
      <c r="B125" s="151">
        <v>5785</v>
      </c>
      <c r="C125" s="94" t="s">
        <v>311</v>
      </c>
      <c r="D125" s="85"/>
      <c r="E125" s="85"/>
      <c r="F125" s="85"/>
      <c r="G125" s="85"/>
      <c r="H125" s="85"/>
      <c r="I125" s="85">
        <f>F125*(1+INPUT!C$10)</f>
        <v>0</v>
      </c>
    </row>
    <row r="126" spans="1:9" s="285" customFormat="1" x14ac:dyDescent="0.25">
      <c r="A126" s="118">
        <v>32</v>
      </c>
      <c r="B126" s="151">
        <v>5790</v>
      </c>
      <c r="C126" s="94" t="s">
        <v>312</v>
      </c>
      <c r="D126" s="85"/>
      <c r="E126" s="85"/>
      <c r="F126" s="85"/>
      <c r="G126" s="85"/>
      <c r="H126" s="85"/>
      <c r="I126" s="85">
        <f>F126*(1+INPUT!C$10)</f>
        <v>0</v>
      </c>
    </row>
    <row r="127" spans="1:9" s="285" customFormat="1" x14ac:dyDescent="0.25">
      <c r="A127" s="118">
        <v>32</v>
      </c>
      <c r="B127" s="151">
        <v>5795</v>
      </c>
      <c r="C127" s="94" t="s">
        <v>313</v>
      </c>
      <c r="D127" s="85"/>
      <c r="E127" s="85"/>
      <c r="F127" s="85"/>
      <c r="G127" s="85"/>
      <c r="H127" s="85"/>
      <c r="I127" s="85">
        <f>F127*(1+INPUT!C$10)</f>
        <v>0</v>
      </c>
    </row>
    <row r="128" spans="1:9" s="285" customFormat="1" x14ac:dyDescent="0.25">
      <c r="A128" s="118">
        <v>32</v>
      </c>
      <c r="B128" s="151">
        <v>5800</v>
      </c>
      <c r="C128" s="94" t="s">
        <v>314</v>
      </c>
      <c r="D128" s="85"/>
      <c r="E128" s="85"/>
      <c r="F128" s="85"/>
      <c r="G128" s="85"/>
      <c r="H128" s="85"/>
      <c r="I128" s="85">
        <f>F128*(1+INPUT!C$10)</f>
        <v>0</v>
      </c>
    </row>
    <row r="129" spans="1:9" s="285" customFormat="1" x14ac:dyDescent="0.25">
      <c r="A129" s="118">
        <v>32</v>
      </c>
      <c r="B129" s="151">
        <v>5805</v>
      </c>
      <c r="C129" s="94" t="s">
        <v>315</v>
      </c>
      <c r="D129" s="85"/>
      <c r="E129" s="85"/>
      <c r="F129" s="85"/>
      <c r="G129" s="85"/>
      <c r="H129" s="85"/>
      <c r="I129" s="85">
        <f>F129*(1+INPUT!C$10)</f>
        <v>0</v>
      </c>
    </row>
    <row r="130" spans="1:9" s="285" customFormat="1" x14ac:dyDescent="0.25">
      <c r="A130" s="118">
        <v>32</v>
      </c>
      <c r="B130" s="151">
        <v>5810</v>
      </c>
      <c r="C130" s="94" t="s">
        <v>316</v>
      </c>
      <c r="D130" s="85"/>
      <c r="E130" s="85"/>
      <c r="F130" s="85"/>
      <c r="G130" s="85"/>
      <c r="H130" s="85"/>
      <c r="I130" s="85">
        <f>F130*(1+INPUT!C$10)</f>
        <v>0</v>
      </c>
    </row>
    <row r="131" spans="1:9" s="285" customFormat="1" x14ac:dyDescent="0.25">
      <c r="A131" s="118">
        <v>32</v>
      </c>
      <c r="B131" s="151">
        <v>5815</v>
      </c>
      <c r="C131" s="94" t="s">
        <v>99</v>
      </c>
      <c r="D131" s="85"/>
      <c r="E131" s="85"/>
      <c r="F131" s="85"/>
      <c r="G131" s="85"/>
      <c r="H131" s="85"/>
      <c r="I131" s="85">
        <f>F131*(1+INPUT!C$10)</f>
        <v>0</v>
      </c>
    </row>
    <row r="132" spans="1:9" s="285" customFormat="1" x14ac:dyDescent="0.25">
      <c r="A132" s="118">
        <v>32</v>
      </c>
      <c r="B132" s="151">
        <v>5820</v>
      </c>
      <c r="C132" s="94" t="s">
        <v>114</v>
      </c>
      <c r="D132" s="86"/>
      <c r="E132" s="85"/>
      <c r="F132" s="85"/>
      <c r="G132" s="85"/>
      <c r="H132" s="85"/>
      <c r="I132" s="85">
        <f>F132*(1+INPUT!C$10)</f>
        <v>0</v>
      </c>
    </row>
    <row r="133" spans="1:9" s="285" customFormat="1" x14ac:dyDescent="0.25">
      <c r="A133" s="118">
        <v>32</v>
      </c>
      <c r="B133" s="151">
        <v>5825</v>
      </c>
      <c r="C133" s="94" t="s">
        <v>317</v>
      </c>
      <c r="D133" s="86"/>
      <c r="E133" s="85"/>
      <c r="F133" s="85"/>
      <c r="G133" s="85"/>
      <c r="H133" s="85"/>
      <c r="I133" s="85">
        <f>F133*(1+INPUT!C$10)</f>
        <v>0</v>
      </c>
    </row>
    <row r="134" spans="1:9" s="285" customFormat="1" x14ac:dyDescent="0.25">
      <c r="A134" s="118">
        <v>32</v>
      </c>
      <c r="B134" s="151">
        <v>5830</v>
      </c>
      <c r="C134" s="94" t="s">
        <v>318</v>
      </c>
      <c r="D134" s="86"/>
      <c r="E134" s="85"/>
      <c r="F134" s="85"/>
      <c r="G134" s="85"/>
      <c r="H134" s="85"/>
      <c r="I134" s="85">
        <f>F134*(1+INPUT!C$10)</f>
        <v>0</v>
      </c>
    </row>
    <row r="135" spans="1:9" s="285" customFormat="1" x14ac:dyDescent="0.25">
      <c r="A135" s="118">
        <v>32</v>
      </c>
      <c r="B135" s="151">
        <v>5835</v>
      </c>
      <c r="C135" s="94" t="s">
        <v>319</v>
      </c>
      <c r="D135" s="86"/>
      <c r="E135" s="85"/>
      <c r="F135" s="85"/>
      <c r="G135" s="85"/>
      <c r="H135" s="85"/>
      <c r="I135" s="85">
        <f>F135*(1+INPUT!C$10)</f>
        <v>0</v>
      </c>
    </row>
    <row r="136" spans="1:9" s="285" customFormat="1" x14ac:dyDescent="0.25">
      <c r="A136" s="118">
        <v>32</v>
      </c>
      <c r="B136" s="151">
        <v>5840</v>
      </c>
      <c r="C136" s="94" t="s">
        <v>332</v>
      </c>
      <c r="D136" s="115"/>
      <c r="E136" s="85"/>
      <c r="F136" s="85"/>
      <c r="G136" s="85"/>
      <c r="H136" s="85"/>
      <c r="I136" s="85">
        <f>F136*(1+INPUT!C$10)</f>
        <v>0</v>
      </c>
    </row>
    <row r="137" spans="1:9" s="285" customFormat="1" x14ac:dyDescent="0.25">
      <c r="A137" s="118">
        <v>32</v>
      </c>
      <c r="B137" s="151">
        <v>5845</v>
      </c>
      <c r="C137" s="94" t="s">
        <v>320</v>
      </c>
      <c r="D137" s="86"/>
      <c r="E137" s="85"/>
      <c r="F137" s="85"/>
      <c r="G137" s="85"/>
      <c r="H137" s="85"/>
      <c r="I137" s="85">
        <f>F137*(1+INPUT!C$10)</f>
        <v>0</v>
      </c>
    </row>
    <row r="138" spans="1:9" s="285" customFormat="1" x14ac:dyDescent="0.25">
      <c r="A138" s="118">
        <v>32</v>
      </c>
      <c r="B138" s="151">
        <v>5855</v>
      </c>
      <c r="C138" s="94" t="s">
        <v>321</v>
      </c>
      <c r="D138" s="85"/>
      <c r="E138" s="85"/>
      <c r="F138" s="85"/>
      <c r="G138" s="85"/>
      <c r="H138" s="85"/>
      <c r="I138" s="85">
        <f>F138*(1+INPUT!C$10)</f>
        <v>0</v>
      </c>
    </row>
    <row r="139" spans="1:9" s="285" customFormat="1" x14ac:dyDescent="0.25">
      <c r="A139" s="118">
        <v>32</v>
      </c>
      <c r="B139" s="151">
        <v>5860</v>
      </c>
      <c r="C139" s="94" t="s">
        <v>322</v>
      </c>
      <c r="D139" s="85"/>
      <c r="E139" s="85"/>
      <c r="F139" s="85"/>
      <c r="G139" s="85"/>
      <c r="H139" s="85"/>
      <c r="I139" s="85">
        <f>F139*(1+INPUT!C$10)</f>
        <v>0</v>
      </c>
    </row>
    <row r="140" spans="1:9" s="285" customFormat="1" x14ac:dyDescent="0.25">
      <c r="A140" s="118">
        <v>32</v>
      </c>
      <c r="B140" s="151">
        <v>5865</v>
      </c>
      <c r="C140" s="94" t="s">
        <v>323</v>
      </c>
      <c r="D140" s="85"/>
      <c r="E140" s="85"/>
      <c r="F140" s="85"/>
      <c r="G140" s="85"/>
      <c r="H140" s="85"/>
      <c r="I140" s="85">
        <f>F140*(1+INPUT!C$10)</f>
        <v>0</v>
      </c>
    </row>
    <row r="141" spans="1:9" s="285" customFormat="1" x14ac:dyDescent="0.25">
      <c r="A141" s="118">
        <v>32</v>
      </c>
      <c r="B141" s="151">
        <v>5870</v>
      </c>
      <c r="C141" s="94" t="s">
        <v>324</v>
      </c>
      <c r="D141" s="85"/>
      <c r="E141" s="85"/>
      <c r="F141" s="85"/>
      <c r="G141" s="85"/>
      <c r="H141" s="85"/>
      <c r="I141" s="85">
        <f>F141*(1+INPUT!C$10)</f>
        <v>0</v>
      </c>
    </row>
    <row r="142" spans="1:9" s="285" customFormat="1" x14ac:dyDescent="0.25">
      <c r="A142" s="118">
        <v>32</v>
      </c>
      <c r="B142" s="151">
        <v>5875</v>
      </c>
      <c r="C142" s="94" t="s">
        <v>325</v>
      </c>
      <c r="D142" s="85"/>
      <c r="E142" s="85"/>
      <c r="F142" s="85"/>
      <c r="G142" s="85"/>
      <c r="H142" s="85"/>
      <c r="I142" s="85">
        <f>F142*(1+INPUT!C$10)</f>
        <v>0</v>
      </c>
    </row>
    <row r="143" spans="1:9" s="285" customFormat="1" x14ac:dyDescent="0.25">
      <c r="A143" s="118">
        <v>32</v>
      </c>
      <c r="B143" s="151">
        <v>5880</v>
      </c>
      <c r="C143" s="94" t="s">
        <v>326</v>
      </c>
      <c r="D143" s="85"/>
      <c r="E143" s="85"/>
      <c r="F143" s="85"/>
      <c r="G143" s="85"/>
      <c r="H143" s="85"/>
      <c r="I143" s="85">
        <f>F143*(1+INPUT!C$10)</f>
        <v>0</v>
      </c>
    </row>
    <row r="144" spans="1:9" s="285" customFormat="1" x14ac:dyDescent="0.25">
      <c r="A144" s="118">
        <v>32</v>
      </c>
      <c r="B144" s="151">
        <v>5885</v>
      </c>
      <c r="C144" s="94" t="s">
        <v>331</v>
      </c>
      <c r="D144" s="85"/>
      <c r="E144" s="85">
        <v>0</v>
      </c>
      <c r="F144" s="85"/>
      <c r="G144" s="85"/>
      <c r="H144" s="85"/>
      <c r="I144" s="85">
        <v>0</v>
      </c>
    </row>
    <row r="145" spans="1:9" s="285" customFormat="1" x14ac:dyDescent="0.25">
      <c r="A145" s="118">
        <v>32</v>
      </c>
      <c r="B145" s="151">
        <v>5890</v>
      </c>
      <c r="C145" s="94" t="s">
        <v>327</v>
      </c>
      <c r="D145" s="85"/>
      <c r="E145" s="85"/>
      <c r="F145" s="85">
        <f>0/8*12</f>
        <v>0</v>
      </c>
      <c r="G145" s="85"/>
      <c r="H145" s="85"/>
      <c r="I145" s="85">
        <f>F145*(1+INPUT!C$10)</f>
        <v>0</v>
      </c>
    </row>
    <row r="146" spans="1:9" s="285" customFormat="1" x14ac:dyDescent="0.25">
      <c r="A146" s="118">
        <v>32</v>
      </c>
      <c r="B146" s="151">
        <v>5895</v>
      </c>
      <c r="C146" s="94" t="s">
        <v>328</v>
      </c>
      <c r="D146" s="85"/>
      <c r="E146" s="85"/>
      <c r="F146" s="85">
        <f>0/8*12</f>
        <v>0</v>
      </c>
      <c r="G146" s="85"/>
      <c r="H146" s="85"/>
      <c r="I146" s="85">
        <f>F146*(1+INPUT!C$10)</f>
        <v>0</v>
      </c>
    </row>
    <row r="147" spans="1:9" s="285" customFormat="1" x14ac:dyDescent="0.25">
      <c r="A147" s="118">
        <v>32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85"/>
      <c r="H147" s="85"/>
      <c r="I147" s="85">
        <f>F147*(1+INPUT!C$10)</f>
        <v>0</v>
      </c>
    </row>
    <row r="148" spans="1:9" s="285" customFormat="1" x14ac:dyDescent="0.25">
      <c r="A148" s="344"/>
      <c r="B148" s="151"/>
      <c r="C148" s="94"/>
      <c r="D148" s="89">
        <f t="shared" ref="D148:I148" si="17">SUM(D72:D147)</f>
        <v>0</v>
      </c>
      <c r="E148" s="89">
        <f t="shared" si="17"/>
        <v>30045</v>
      </c>
      <c r="F148" s="89">
        <f t="shared" si="17"/>
        <v>30045</v>
      </c>
      <c r="G148" s="89">
        <f t="shared" si="17"/>
        <v>120920</v>
      </c>
      <c r="H148" s="89">
        <f t="shared" si="17"/>
        <v>140920</v>
      </c>
      <c r="I148" s="89">
        <f t="shared" si="17"/>
        <v>152920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32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85"/>
      <c r="H150" s="85">
        <f>0/8*12</f>
        <v>0</v>
      </c>
      <c r="I150" s="108"/>
    </row>
    <row r="151" spans="1:9" s="285" customFormat="1" x14ac:dyDescent="0.25">
      <c r="A151" s="344"/>
      <c r="B151" s="151"/>
      <c r="C151" s="94"/>
      <c r="D151" s="89">
        <f t="shared" ref="D151:I151" si="18">SUM(D150)</f>
        <v>0</v>
      </c>
      <c r="E151" s="89">
        <f t="shared" si="18"/>
        <v>0</v>
      </c>
      <c r="F151" s="89">
        <f t="shared" si="18"/>
        <v>0</v>
      </c>
      <c r="G151" s="436">
        <f t="shared" si="18"/>
        <v>0</v>
      </c>
      <c r="H151" s="436">
        <f t="shared" si="18"/>
        <v>0</v>
      </c>
      <c r="I151" s="436">
        <f t="shared" si="18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32</v>
      </c>
      <c r="B153" s="151">
        <v>6105</v>
      </c>
      <c r="C153" s="94" t="s">
        <v>336</v>
      </c>
      <c r="D153" s="85"/>
      <c r="E153" s="108"/>
      <c r="F153" s="85">
        <f t="shared" ref="F153:H155" si="19">0/8*12</f>
        <v>0</v>
      </c>
      <c r="G153" s="85"/>
      <c r="H153" s="85">
        <f t="shared" si="19"/>
        <v>0</v>
      </c>
      <c r="I153" s="108"/>
    </row>
    <row r="154" spans="1:9" s="285" customFormat="1" x14ac:dyDescent="0.25">
      <c r="A154" s="118">
        <v>32</v>
      </c>
      <c r="B154" s="151">
        <v>6110</v>
      </c>
      <c r="C154" s="94" t="s">
        <v>337</v>
      </c>
      <c r="D154" s="85"/>
      <c r="E154" s="108"/>
      <c r="F154" s="85">
        <f t="shared" si="19"/>
        <v>0</v>
      </c>
      <c r="G154" s="85"/>
      <c r="H154" s="85">
        <f t="shared" si="19"/>
        <v>0</v>
      </c>
      <c r="I154" s="108"/>
    </row>
    <row r="155" spans="1:9" s="285" customFormat="1" x14ac:dyDescent="0.25">
      <c r="A155" s="118">
        <v>32</v>
      </c>
      <c r="B155" s="151">
        <v>6115</v>
      </c>
      <c r="C155" s="94" t="s">
        <v>60</v>
      </c>
      <c r="D155" s="85"/>
      <c r="E155" s="108"/>
      <c r="F155" s="85">
        <f t="shared" si="19"/>
        <v>0</v>
      </c>
      <c r="G155" s="85"/>
      <c r="H155" s="85">
        <f t="shared" si="19"/>
        <v>0</v>
      </c>
      <c r="I155" s="108"/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:I156" si="20">SUM(E153:E155)</f>
        <v>0</v>
      </c>
      <c r="F156" s="89">
        <f t="shared" si="20"/>
        <v>0</v>
      </c>
      <c r="G156" s="436">
        <f t="shared" si="20"/>
        <v>0</v>
      </c>
      <c r="H156" s="436">
        <f t="shared" si="20"/>
        <v>0</v>
      </c>
      <c r="I156" s="436">
        <f t="shared" si="20"/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x14ac:dyDescent="0.25">
      <c r="A158" s="118">
        <v>32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>
        <f>0/8*12</f>
        <v>0</v>
      </c>
      <c r="I158" s="85">
        <f>F158*(1+INPUT!C$10)</f>
        <v>0</v>
      </c>
    </row>
    <row r="159" spans="1:9" s="285" customFormat="1" x14ac:dyDescent="0.25">
      <c r="A159" s="118">
        <v>32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>
        <f>0/8*12</f>
        <v>0</v>
      </c>
      <c r="I159" s="85">
        <f>F159*(1+INPUT!C$10)</f>
        <v>0</v>
      </c>
    </row>
    <row r="160" spans="1:9" s="285" customFormat="1" x14ac:dyDescent="0.25">
      <c r="A160" s="344"/>
      <c r="B160" s="346"/>
      <c r="C160" s="347"/>
      <c r="D160" s="116">
        <f t="shared" ref="D160:I160" si="21">SUM(D158:D159)</f>
        <v>0</v>
      </c>
      <c r="E160" s="116">
        <f t="shared" si="21"/>
        <v>0</v>
      </c>
      <c r="F160" s="116">
        <f t="shared" si="21"/>
        <v>0</v>
      </c>
      <c r="G160" s="116"/>
      <c r="H160" s="116">
        <f t="shared" ref="H160" si="22">SUM(H158:H159)</f>
        <v>0</v>
      </c>
      <c r="I160" s="116">
        <f t="shared" si="21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I161" si="23">D160+D156+D151+D148+D70+D66+D63+D59+D38+D35+D32+D29+D25+D18</f>
        <v>982485</v>
      </c>
      <c r="E161" s="116">
        <f t="shared" si="23"/>
        <v>1200145</v>
      </c>
      <c r="F161" s="116">
        <f t="shared" si="23"/>
        <v>1200145</v>
      </c>
      <c r="G161" s="116">
        <f t="shared" si="23"/>
        <v>1414586.8</v>
      </c>
      <c r="H161" s="116">
        <f t="shared" si="23"/>
        <v>1523564.1424</v>
      </c>
      <c r="I161" s="116">
        <f t="shared" si="23"/>
        <v>1626319.9440831998</v>
      </c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x14ac:dyDescent="0.25">
      <c r="A163" s="118">
        <v>32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435">
        <f>0/8*12</f>
        <v>0</v>
      </c>
      <c r="H163" s="435">
        <f>0/8*12</f>
        <v>0</v>
      </c>
      <c r="I163" s="435">
        <f>0/8*12</f>
        <v>0</v>
      </c>
    </row>
    <row r="164" spans="1:9" s="285" customFormat="1" x14ac:dyDescent="0.25">
      <c r="A164" s="344"/>
      <c r="B164" s="151"/>
      <c r="C164" s="94"/>
      <c r="D164" s="116">
        <f t="shared" ref="D164:F164" si="24">D163</f>
        <v>0</v>
      </c>
      <c r="E164" s="116">
        <f t="shared" si="24"/>
        <v>0</v>
      </c>
      <c r="F164" s="116">
        <f t="shared" si="24"/>
        <v>0</v>
      </c>
      <c r="G164" s="448">
        <f t="shared" ref="G164:H164" si="25">G163</f>
        <v>0</v>
      </c>
      <c r="H164" s="448">
        <f t="shared" si="25"/>
        <v>0</v>
      </c>
      <c r="I164" s="448">
        <f t="shared" ref="I164" si="26">I163</f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27">SUM(D161+D164)</f>
        <v>982485</v>
      </c>
      <c r="E165" s="160">
        <f t="shared" si="27"/>
        <v>1200145</v>
      </c>
      <c r="F165" s="160">
        <f t="shared" si="27"/>
        <v>1200145</v>
      </c>
      <c r="G165" s="160">
        <f t="shared" si="27"/>
        <v>1414586.8</v>
      </c>
      <c r="H165" s="160">
        <f t="shared" si="27"/>
        <v>1523564.1424</v>
      </c>
      <c r="I165" s="160">
        <f t="shared" si="27"/>
        <v>1626319.9440831998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425"/>
      <c r="H168" s="338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32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08">
        <f>F172*(1+INPUT!C15)</f>
        <v>0</v>
      </c>
    </row>
    <row r="173" spans="1:9" s="285" customFormat="1" hidden="1" x14ac:dyDescent="0.25">
      <c r="A173" s="118">
        <v>32</v>
      </c>
      <c r="B173" s="151">
        <v>5725</v>
      </c>
      <c r="C173" s="94" t="s">
        <v>402</v>
      </c>
      <c r="D173" s="85">
        <v>0</v>
      </c>
      <c r="E173" s="85">
        <v>0</v>
      </c>
      <c r="F173" s="85">
        <f>(0/8*12)*-1</f>
        <v>0</v>
      </c>
      <c r="G173" s="85"/>
      <c r="H173" s="85"/>
      <c r="I173" s="85">
        <f>F173*(1+INPUT!C$10)</f>
        <v>0</v>
      </c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32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98"/>
      <c r="H176" s="98"/>
      <c r="I176" s="98">
        <f>F176*(1+INPUT!C18)</f>
        <v>0</v>
      </c>
    </row>
    <row r="177" spans="1:9" s="285" customFormat="1" hidden="1" x14ac:dyDescent="0.25">
      <c r="A177" s="118">
        <v>32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98"/>
      <c r="H177" s="98"/>
      <c r="I177" s="98">
        <f>F177*(1+INPUT!C19)</f>
        <v>0</v>
      </c>
    </row>
    <row r="178" spans="1:9" s="285" customFormat="1" hidden="1" x14ac:dyDescent="0.25">
      <c r="A178" s="118">
        <v>32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98"/>
      <c r="H178" s="98"/>
      <c r="I178" s="98">
        <f>F178*(1+INPUT!C20)</f>
        <v>0</v>
      </c>
    </row>
    <row r="179" spans="1:9" s="285" customFormat="1" hidden="1" x14ac:dyDescent="0.25">
      <c r="A179" s="118">
        <v>32</v>
      </c>
      <c r="B179" s="151">
        <v>1153</v>
      </c>
      <c r="C179" s="94" t="s">
        <v>115</v>
      </c>
      <c r="D179" s="122"/>
      <c r="E179" s="98"/>
      <c r="F179" s="98">
        <f t="shared" ref="F179:F204" si="28">E179/8*12</f>
        <v>0</v>
      </c>
      <c r="G179" s="98"/>
      <c r="H179" s="98"/>
      <c r="I179" s="98">
        <f>F179*(1+INPUT!C21)</f>
        <v>0</v>
      </c>
    </row>
    <row r="180" spans="1:9" s="285" customFormat="1" hidden="1" x14ac:dyDescent="0.25">
      <c r="A180" s="118">
        <v>32</v>
      </c>
      <c r="B180" s="151">
        <v>1143</v>
      </c>
      <c r="C180" s="94" t="s">
        <v>109</v>
      </c>
      <c r="D180" s="122"/>
      <c r="E180" s="98"/>
      <c r="F180" s="98">
        <f t="shared" si="28"/>
        <v>0</v>
      </c>
      <c r="G180" s="98"/>
      <c r="H180" s="98"/>
      <c r="I180" s="98">
        <f>F180*(1+INPUT!C22)</f>
        <v>0</v>
      </c>
    </row>
    <row r="181" spans="1:9" s="285" customFormat="1" x14ac:dyDescent="0.25">
      <c r="A181" s="118">
        <v>32</v>
      </c>
      <c r="B181" s="151">
        <v>5500</v>
      </c>
      <c r="C181" s="94" t="s">
        <v>266</v>
      </c>
      <c r="D181" s="85"/>
      <c r="E181" s="85">
        <v>-48020</v>
      </c>
      <c r="F181" s="85">
        <f t="shared" ref="F181:F200" si="29">E181-D181</f>
        <v>-48020</v>
      </c>
      <c r="G181" s="85">
        <f>(F181*0.1)+F181</f>
        <v>-52822</v>
      </c>
      <c r="H181" s="85">
        <f t="shared" ref="H181:I181" si="30">(G181*0.1)+G181</f>
        <v>-58104.2</v>
      </c>
      <c r="I181" s="85">
        <f t="shared" si="30"/>
        <v>-63914.619999999995</v>
      </c>
    </row>
    <row r="182" spans="1:9" s="285" customFormat="1" hidden="1" x14ac:dyDescent="0.25">
      <c r="A182" s="118">
        <v>32</v>
      </c>
      <c r="B182" s="151">
        <v>5705</v>
      </c>
      <c r="C182" s="94" t="s">
        <v>296</v>
      </c>
      <c r="D182" s="85"/>
      <c r="E182" s="85"/>
      <c r="F182" s="85">
        <f t="shared" si="29"/>
        <v>0</v>
      </c>
      <c r="G182" s="85">
        <f t="shared" ref="G182:I182" si="31">(F182*0.1)+F182</f>
        <v>0</v>
      </c>
      <c r="H182" s="85">
        <f t="shared" si="31"/>
        <v>0</v>
      </c>
      <c r="I182" s="85">
        <f t="shared" si="31"/>
        <v>0</v>
      </c>
    </row>
    <row r="183" spans="1:9" s="285" customFormat="1" hidden="1" x14ac:dyDescent="0.25">
      <c r="A183" s="118">
        <v>32</v>
      </c>
      <c r="B183" s="151">
        <v>1140</v>
      </c>
      <c r="C183" s="94" t="s">
        <v>113</v>
      </c>
      <c r="D183" s="122"/>
      <c r="E183" s="98"/>
      <c r="F183" s="85">
        <f t="shared" si="29"/>
        <v>0</v>
      </c>
      <c r="G183" s="85">
        <f t="shared" ref="G183:I183" si="32">(F183*0.1)+F183</f>
        <v>0</v>
      </c>
      <c r="H183" s="85">
        <f t="shared" si="32"/>
        <v>0</v>
      </c>
      <c r="I183" s="85">
        <f t="shared" si="32"/>
        <v>0</v>
      </c>
    </row>
    <row r="184" spans="1:9" s="285" customFormat="1" hidden="1" x14ac:dyDescent="0.25">
      <c r="A184" s="118">
        <v>32</v>
      </c>
      <c r="B184" s="151">
        <v>1145</v>
      </c>
      <c r="C184" s="94" t="s">
        <v>132</v>
      </c>
      <c r="D184" s="122"/>
      <c r="E184" s="98"/>
      <c r="F184" s="85">
        <f t="shared" si="29"/>
        <v>0</v>
      </c>
      <c r="G184" s="85">
        <f t="shared" ref="G184:I184" si="33">(F184*0.1)+F184</f>
        <v>0</v>
      </c>
      <c r="H184" s="85">
        <f t="shared" si="33"/>
        <v>0</v>
      </c>
      <c r="I184" s="85">
        <f t="shared" si="33"/>
        <v>0</v>
      </c>
    </row>
    <row r="185" spans="1:9" s="285" customFormat="1" hidden="1" x14ac:dyDescent="0.25">
      <c r="A185" s="118">
        <v>32</v>
      </c>
      <c r="B185" s="151">
        <v>1150</v>
      </c>
      <c r="C185" s="94" t="s">
        <v>120</v>
      </c>
      <c r="D185" s="122"/>
      <c r="E185" s="98"/>
      <c r="F185" s="85">
        <f t="shared" si="29"/>
        <v>0</v>
      </c>
      <c r="G185" s="85">
        <f t="shared" ref="G185:I185" si="34">(F185*0.1)+F185</f>
        <v>0</v>
      </c>
      <c r="H185" s="85">
        <f t="shared" si="34"/>
        <v>0</v>
      </c>
      <c r="I185" s="85">
        <f t="shared" si="34"/>
        <v>0</v>
      </c>
    </row>
    <row r="186" spans="1:9" s="285" customFormat="1" hidden="1" x14ac:dyDescent="0.25">
      <c r="A186" s="118">
        <v>32</v>
      </c>
      <c r="B186" s="151">
        <v>1155</v>
      </c>
      <c r="C186" s="94" t="s">
        <v>116</v>
      </c>
      <c r="D186" s="122"/>
      <c r="E186" s="98"/>
      <c r="F186" s="85">
        <f t="shared" si="29"/>
        <v>0</v>
      </c>
      <c r="G186" s="85">
        <f t="shared" ref="G186:I186" si="35">(F186*0.1)+F186</f>
        <v>0</v>
      </c>
      <c r="H186" s="85">
        <f t="shared" si="35"/>
        <v>0</v>
      </c>
      <c r="I186" s="85">
        <f t="shared" si="35"/>
        <v>0</v>
      </c>
    </row>
    <row r="187" spans="1:9" s="285" customFormat="1" hidden="1" x14ac:dyDescent="0.25">
      <c r="A187" s="118">
        <v>32</v>
      </c>
      <c r="B187" s="151">
        <v>1160</v>
      </c>
      <c r="C187" s="94" t="s">
        <v>101</v>
      </c>
      <c r="D187" s="122"/>
      <c r="E187" s="98"/>
      <c r="F187" s="85">
        <f t="shared" si="29"/>
        <v>0</v>
      </c>
      <c r="G187" s="85">
        <f t="shared" ref="G187:I187" si="36">(F187*0.1)+F187</f>
        <v>0</v>
      </c>
      <c r="H187" s="85">
        <f t="shared" si="36"/>
        <v>0</v>
      </c>
      <c r="I187" s="85">
        <f t="shared" si="36"/>
        <v>0</v>
      </c>
    </row>
    <row r="188" spans="1:9" s="285" customFormat="1" hidden="1" x14ac:dyDescent="0.25">
      <c r="A188" s="118">
        <v>32</v>
      </c>
      <c r="B188" s="151">
        <v>1165</v>
      </c>
      <c r="C188" s="94" t="s">
        <v>114</v>
      </c>
      <c r="D188" s="122"/>
      <c r="E188" s="98"/>
      <c r="F188" s="85">
        <f t="shared" si="29"/>
        <v>0</v>
      </c>
      <c r="G188" s="85">
        <f t="shared" ref="G188:I188" si="37">(F188*0.1)+F188</f>
        <v>0</v>
      </c>
      <c r="H188" s="85">
        <f t="shared" si="37"/>
        <v>0</v>
      </c>
      <c r="I188" s="85">
        <f t="shared" si="37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85">
        <f t="shared" si="29"/>
        <v>0</v>
      </c>
      <c r="G189" s="85">
        <f t="shared" ref="G189:I189" si="38">(F189*0.1)+F189</f>
        <v>0</v>
      </c>
      <c r="H189" s="85">
        <f t="shared" si="38"/>
        <v>0</v>
      </c>
      <c r="I189" s="85">
        <f t="shared" si="38"/>
        <v>0</v>
      </c>
    </row>
    <row r="190" spans="1:9" s="285" customFormat="1" hidden="1" x14ac:dyDescent="0.25">
      <c r="A190" s="118">
        <v>32</v>
      </c>
      <c r="B190" s="151">
        <v>1180</v>
      </c>
      <c r="C190" s="94" t="s">
        <v>404</v>
      </c>
      <c r="D190" s="122"/>
      <c r="E190" s="98"/>
      <c r="F190" s="85">
        <f t="shared" si="29"/>
        <v>0</v>
      </c>
      <c r="G190" s="85">
        <f t="shared" ref="G190:I190" si="39">(F190*0.1)+F190</f>
        <v>0</v>
      </c>
      <c r="H190" s="85">
        <f t="shared" si="39"/>
        <v>0</v>
      </c>
      <c r="I190" s="85">
        <f t="shared" si="39"/>
        <v>0</v>
      </c>
    </row>
    <row r="191" spans="1:9" s="285" customFormat="1" hidden="1" x14ac:dyDescent="0.25">
      <c r="A191" s="118">
        <v>32</v>
      </c>
      <c r="B191" s="151">
        <v>1185</v>
      </c>
      <c r="C191" s="94" t="s">
        <v>405</v>
      </c>
      <c r="D191" s="122"/>
      <c r="E191" s="98"/>
      <c r="F191" s="85">
        <f t="shared" si="29"/>
        <v>0</v>
      </c>
      <c r="G191" s="85">
        <f t="shared" ref="G191:I191" si="40">(F191*0.1)+F191</f>
        <v>0</v>
      </c>
      <c r="H191" s="85">
        <f t="shared" si="40"/>
        <v>0</v>
      </c>
      <c r="I191" s="85">
        <f t="shared" si="40"/>
        <v>0</v>
      </c>
    </row>
    <row r="192" spans="1:9" s="285" customFormat="1" hidden="1" x14ac:dyDescent="0.25">
      <c r="A192" s="118">
        <v>32</v>
      </c>
      <c r="B192" s="151">
        <v>1190</v>
      </c>
      <c r="C192" s="94" t="s">
        <v>406</v>
      </c>
      <c r="D192" s="122"/>
      <c r="E192" s="98"/>
      <c r="F192" s="85">
        <f t="shared" si="29"/>
        <v>0</v>
      </c>
      <c r="G192" s="85">
        <f t="shared" ref="G192:I192" si="41">(F192*0.1)+F192</f>
        <v>0</v>
      </c>
      <c r="H192" s="85">
        <f t="shared" si="41"/>
        <v>0</v>
      </c>
      <c r="I192" s="85">
        <f t="shared" si="41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85">
        <f t="shared" si="29"/>
        <v>0</v>
      </c>
      <c r="G193" s="85">
        <f t="shared" ref="G193:I193" si="42">(F193*0.1)+F193</f>
        <v>0</v>
      </c>
      <c r="H193" s="85">
        <f t="shared" si="42"/>
        <v>0</v>
      </c>
      <c r="I193" s="85">
        <f t="shared" si="42"/>
        <v>0</v>
      </c>
    </row>
    <row r="194" spans="1:9" s="285" customFormat="1" hidden="1" x14ac:dyDescent="0.25">
      <c r="A194" s="118">
        <v>32</v>
      </c>
      <c r="B194" s="151">
        <v>1195</v>
      </c>
      <c r="C194" s="94" t="s">
        <v>199</v>
      </c>
      <c r="D194" s="122"/>
      <c r="E194" s="98"/>
      <c r="F194" s="85">
        <f t="shared" si="29"/>
        <v>0</v>
      </c>
      <c r="G194" s="85">
        <f t="shared" ref="G194:I194" si="43">(F194*0.1)+F194</f>
        <v>0</v>
      </c>
      <c r="H194" s="85">
        <f t="shared" si="43"/>
        <v>0</v>
      </c>
      <c r="I194" s="85">
        <f t="shared" si="43"/>
        <v>0</v>
      </c>
    </row>
    <row r="195" spans="1:9" s="285" customFormat="1" hidden="1" x14ac:dyDescent="0.25">
      <c r="A195" s="118">
        <v>32</v>
      </c>
      <c r="B195" s="151">
        <v>1200</v>
      </c>
      <c r="C195" s="94" t="s">
        <v>117</v>
      </c>
      <c r="D195" s="122"/>
      <c r="E195" s="98"/>
      <c r="F195" s="85">
        <f t="shared" si="29"/>
        <v>0</v>
      </c>
      <c r="G195" s="85">
        <f t="shared" ref="G195:I195" si="44">(F195*0.1)+F195</f>
        <v>0</v>
      </c>
      <c r="H195" s="85">
        <f t="shared" si="44"/>
        <v>0</v>
      </c>
      <c r="I195" s="85">
        <f t="shared" si="44"/>
        <v>0</v>
      </c>
    </row>
    <row r="196" spans="1:9" s="285" customFormat="1" hidden="1" x14ac:dyDescent="0.25">
      <c r="A196" s="118">
        <v>32</v>
      </c>
      <c r="B196" s="151">
        <v>1205</v>
      </c>
      <c r="C196" s="115" t="s">
        <v>105</v>
      </c>
      <c r="D196" s="122"/>
      <c r="E196" s="98"/>
      <c r="F196" s="85">
        <f t="shared" si="29"/>
        <v>0</v>
      </c>
      <c r="G196" s="85">
        <f t="shared" ref="G196:I196" si="45">(F196*0.1)+F196</f>
        <v>0</v>
      </c>
      <c r="H196" s="85">
        <f t="shared" si="45"/>
        <v>0</v>
      </c>
      <c r="I196" s="85">
        <f t="shared" si="45"/>
        <v>0</v>
      </c>
    </row>
    <row r="197" spans="1:9" s="285" customFormat="1" hidden="1" x14ac:dyDescent="0.25">
      <c r="A197" s="118">
        <v>32</v>
      </c>
      <c r="B197" s="151">
        <v>1210</v>
      </c>
      <c r="C197" s="94" t="s">
        <v>118</v>
      </c>
      <c r="D197" s="122"/>
      <c r="E197" s="98"/>
      <c r="F197" s="85">
        <f t="shared" si="29"/>
        <v>0</v>
      </c>
      <c r="G197" s="85">
        <f t="shared" ref="G197:I197" si="46">(F197*0.1)+F197</f>
        <v>0</v>
      </c>
      <c r="H197" s="85">
        <f t="shared" si="46"/>
        <v>0</v>
      </c>
      <c r="I197" s="85">
        <f t="shared" si="46"/>
        <v>0</v>
      </c>
    </row>
    <row r="198" spans="1:9" s="285" customFormat="1" hidden="1" x14ac:dyDescent="0.25">
      <c r="A198" s="118">
        <v>32</v>
      </c>
      <c r="B198" s="151">
        <v>1215</v>
      </c>
      <c r="C198" s="94" t="s">
        <v>133</v>
      </c>
      <c r="D198" s="122"/>
      <c r="E198" s="98"/>
      <c r="F198" s="85">
        <f t="shared" si="29"/>
        <v>0</v>
      </c>
      <c r="G198" s="85">
        <f t="shared" ref="G198:I198" si="47">(F198*0.1)+F198</f>
        <v>0</v>
      </c>
      <c r="H198" s="85">
        <f t="shared" si="47"/>
        <v>0</v>
      </c>
      <c r="I198" s="85">
        <f t="shared" si="47"/>
        <v>0</v>
      </c>
    </row>
    <row r="199" spans="1:9" s="285" customFormat="1" hidden="1" x14ac:dyDescent="0.25">
      <c r="A199" s="118">
        <v>32</v>
      </c>
      <c r="B199" s="151">
        <v>5905</v>
      </c>
      <c r="C199" s="94" t="s">
        <v>329</v>
      </c>
      <c r="D199" s="85"/>
      <c r="E199" s="85"/>
      <c r="F199" s="85">
        <f t="shared" si="29"/>
        <v>0</v>
      </c>
      <c r="G199" s="85">
        <f t="shared" ref="G199:I199" si="48">(F199*0.1)+F199</f>
        <v>0</v>
      </c>
      <c r="H199" s="85">
        <f t="shared" si="48"/>
        <v>0</v>
      </c>
      <c r="I199" s="85">
        <f t="shared" si="48"/>
        <v>0</v>
      </c>
    </row>
    <row r="200" spans="1:9" s="285" customFormat="1" x14ac:dyDescent="0.25">
      <c r="A200" s="118">
        <v>32</v>
      </c>
      <c r="B200" s="151">
        <v>5900</v>
      </c>
      <c r="C200" s="94" t="s">
        <v>333</v>
      </c>
      <c r="D200" s="85">
        <v>0</v>
      </c>
      <c r="E200" s="85">
        <v>-16125</v>
      </c>
      <c r="F200" s="85">
        <f t="shared" si="29"/>
        <v>-16125</v>
      </c>
      <c r="G200" s="85">
        <f t="shared" ref="G200:I200" si="49">(F200*0.1)+F200</f>
        <v>-17737.5</v>
      </c>
      <c r="H200" s="85">
        <f t="shared" si="49"/>
        <v>-19511.25</v>
      </c>
      <c r="I200" s="85">
        <f t="shared" si="49"/>
        <v>-21462.375</v>
      </c>
    </row>
    <row r="201" spans="1:9" s="285" customFormat="1" hidden="1" x14ac:dyDescent="0.25">
      <c r="A201" s="118">
        <v>32</v>
      </c>
      <c r="B201" s="151">
        <v>1220</v>
      </c>
      <c r="C201" s="94" t="s">
        <v>340</v>
      </c>
      <c r="D201" s="122"/>
      <c r="E201" s="98"/>
      <c r="F201" s="98">
        <f t="shared" si="28"/>
        <v>0</v>
      </c>
      <c r="G201" s="98"/>
      <c r="H201" s="98"/>
      <c r="I201" s="98"/>
    </row>
    <row r="202" spans="1:9" s="285" customFormat="1" hidden="1" x14ac:dyDescent="0.25">
      <c r="A202" s="118">
        <v>32</v>
      </c>
      <c r="B202" s="151">
        <v>1225</v>
      </c>
      <c r="C202" s="94" t="s">
        <v>372</v>
      </c>
      <c r="D202" s="122"/>
      <c r="E202" s="98"/>
      <c r="F202" s="98">
        <f t="shared" si="28"/>
        <v>0</v>
      </c>
      <c r="G202" s="98"/>
      <c r="H202" s="98"/>
      <c r="I202" s="98"/>
    </row>
    <row r="203" spans="1:9" s="285" customFormat="1" hidden="1" x14ac:dyDescent="0.25">
      <c r="A203" s="118">
        <v>32</v>
      </c>
      <c r="B203" s="151">
        <v>1230</v>
      </c>
      <c r="C203" s="94" t="s">
        <v>119</v>
      </c>
      <c r="D203" s="122"/>
      <c r="E203" s="98"/>
      <c r="F203" s="98">
        <f t="shared" si="28"/>
        <v>0</v>
      </c>
      <c r="G203" s="98"/>
      <c r="H203" s="98"/>
      <c r="I203" s="98"/>
    </row>
    <row r="204" spans="1:9" s="285" customFormat="1" hidden="1" x14ac:dyDescent="0.25">
      <c r="A204" s="118">
        <v>32</v>
      </c>
      <c r="B204" s="151">
        <v>1235</v>
      </c>
      <c r="C204" s="94" t="s">
        <v>347</v>
      </c>
      <c r="D204" s="122"/>
      <c r="E204" s="98"/>
      <c r="F204" s="98">
        <f t="shared" si="28"/>
        <v>0</v>
      </c>
      <c r="G204" s="98"/>
      <c r="H204" s="98"/>
      <c r="I204" s="98"/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x14ac:dyDescent="0.25">
      <c r="A206" s="344"/>
      <c r="B206" s="151"/>
      <c r="C206" s="94"/>
      <c r="D206" s="100">
        <f t="shared" ref="D206:I206" si="50">SUM(D176:D204)</f>
        <v>0</v>
      </c>
      <c r="E206" s="100">
        <f t="shared" si="50"/>
        <v>-64145</v>
      </c>
      <c r="F206" s="100">
        <f t="shared" si="50"/>
        <v>-64145</v>
      </c>
      <c r="G206" s="100">
        <f t="shared" si="50"/>
        <v>-70559.5</v>
      </c>
      <c r="H206" s="100">
        <f t="shared" si="50"/>
        <v>-77615.45</v>
      </c>
      <c r="I206" s="100">
        <f t="shared" si="50"/>
        <v>-85376.994999999995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32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98"/>
      <c r="H208" s="98"/>
      <c r="I208" s="98"/>
    </row>
    <row r="209" spans="1:9" s="285" customFormat="1" hidden="1" x14ac:dyDescent="0.25">
      <c r="A209" s="118">
        <v>32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98"/>
      <c r="H209" s="98"/>
      <c r="I209" s="98"/>
    </row>
    <row r="210" spans="1:9" s="285" customFormat="1" hidden="1" x14ac:dyDescent="0.25">
      <c r="A210" s="118">
        <v>32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98"/>
      <c r="H210" s="98"/>
      <c r="I210" s="98"/>
    </row>
    <row r="211" spans="1:9" s="285" customFormat="1" hidden="1" x14ac:dyDescent="0.25">
      <c r="A211" s="118">
        <v>32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98"/>
      <c r="H211" s="98"/>
      <c r="I211" s="108"/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>SUM(E208:E211)</f>
        <v>0</v>
      </c>
      <c r="F212" s="99">
        <f>SUM(F208:F211)</f>
        <v>0</v>
      </c>
      <c r="G212" s="99"/>
      <c r="H212" s="99"/>
      <c r="I212" s="99"/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32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98"/>
      <c r="H214" s="98"/>
      <c r="I214" s="108"/>
    </row>
    <row r="215" spans="1:9" s="285" customFormat="1" hidden="1" x14ac:dyDescent="0.25">
      <c r="A215" s="118">
        <v>32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98"/>
      <c r="H215" s="98"/>
      <c r="I215" s="108"/>
    </row>
    <row r="216" spans="1:9" s="285" customFormat="1" hidden="1" x14ac:dyDescent="0.25">
      <c r="A216" s="344"/>
      <c r="B216" s="151"/>
      <c r="C216" s="94"/>
      <c r="D216" s="99">
        <f t="shared" ref="D216:F216" si="51">SUM(D214:D215)</f>
        <v>0</v>
      </c>
      <c r="E216" s="99">
        <f t="shared" si="51"/>
        <v>0</v>
      </c>
      <c r="F216" s="99">
        <f t="shared" si="51"/>
        <v>0</v>
      </c>
      <c r="G216" s="99"/>
      <c r="H216" s="99"/>
      <c r="I216" s="99"/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32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98"/>
      <c r="H218" s="98"/>
      <c r="I218" s="108"/>
    </row>
    <row r="219" spans="1:9" s="285" customFormat="1" hidden="1" x14ac:dyDescent="0.25">
      <c r="A219" s="118">
        <v>32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98"/>
      <c r="H219" s="98"/>
      <c r="I219" s="108"/>
    </row>
    <row r="220" spans="1:9" s="285" customFormat="1" hidden="1" x14ac:dyDescent="0.25">
      <c r="A220" s="118">
        <v>32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98"/>
      <c r="H220" s="98"/>
      <c r="I220" s="108"/>
    </row>
    <row r="221" spans="1:9" s="285" customFormat="1" hidden="1" x14ac:dyDescent="0.25">
      <c r="A221" s="344"/>
      <c r="B221" s="151"/>
      <c r="C221" s="94"/>
      <c r="D221" s="99">
        <f t="shared" ref="D221:F221" si="52">SUM(D218:D220)</f>
        <v>0</v>
      </c>
      <c r="E221" s="99">
        <f t="shared" si="52"/>
        <v>0</v>
      </c>
      <c r="F221" s="99">
        <f t="shared" si="52"/>
        <v>0</v>
      </c>
      <c r="G221" s="99"/>
      <c r="H221" s="99"/>
      <c r="I221" s="99"/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32</v>
      </c>
      <c r="B223" s="151">
        <v>1550</v>
      </c>
      <c r="C223" s="94" t="s">
        <v>349</v>
      </c>
      <c r="D223" s="122"/>
      <c r="E223" s="98"/>
      <c r="F223" s="98"/>
      <c r="G223" s="98"/>
      <c r="H223" s="98"/>
      <c r="I223" s="98"/>
    </row>
    <row r="224" spans="1:9" s="285" customFormat="1" hidden="1" x14ac:dyDescent="0.25">
      <c r="A224" s="118">
        <v>32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98"/>
      <c r="H224" s="98"/>
      <c r="I224" s="108"/>
    </row>
    <row r="225" spans="1:9" s="285" customFormat="1" hidden="1" x14ac:dyDescent="0.25">
      <c r="A225" s="344"/>
      <c r="B225" s="151"/>
      <c r="C225" s="94"/>
      <c r="D225" s="100">
        <f t="shared" ref="D225:F225" si="53">SUM(D223:D224)</f>
        <v>0</v>
      </c>
      <c r="E225" s="100">
        <f t="shared" si="53"/>
        <v>0</v>
      </c>
      <c r="F225" s="100">
        <f t="shared" si="53"/>
        <v>0</v>
      </c>
      <c r="G225" s="100"/>
      <c r="H225" s="100">
        <f t="shared" ref="H225" si="54">SUM(H223:H224)</f>
        <v>0</v>
      </c>
      <c r="I225" s="100"/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32</v>
      </c>
      <c r="B227" s="151">
        <v>1605</v>
      </c>
      <c r="C227" s="94" t="s">
        <v>75</v>
      </c>
      <c r="D227" s="122"/>
      <c r="E227" s="98"/>
      <c r="F227" s="98">
        <f t="shared" ref="F227:F239" si="55">E227/8*12</f>
        <v>0</v>
      </c>
      <c r="G227" s="98"/>
      <c r="H227" s="98">
        <f t="shared" ref="H227:H232" si="56">F227/8*12</f>
        <v>0</v>
      </c>
      <c r="I227" s="98"/>
    </row>
    <row r="228" spans="1:9" s="285" customFormat="1" hidden="1" x14ac:dyDescent="0.25">
      <c r="A228" s="118">
        <v>32</v>
      </c>
      <c r="B228" s="151">
        <v>1610</v>
      </c>
      <c r="C228" s="94" t="s">
        <v>131</v>
      </c>
      <c r="D228" s="122"/>
      <c r="E228" s="108"/>
      <c r="F228" s="98">
        <f t="shared" si="55"/>
        <v>0</v>
      </c>
      <c r="G228" s="98"/>
      <c r="H228" s="98">
        <f t="shared" si="56"/>
        <v>0</v>
      </c>
      <c r="I228" s="98"/>
    </row>
    <row r="229" spans="1:9" s="285" customFormat="1" hidden="1" x14ac:dyDescent="0.25">
      <c r="A229" s="118">
        <v>32</v>
      </c>
      <c r="B229" s="151">
        <v>1615</v>
      </c>
      <c r="C229" s="94" t="s">
        <v>182</v>
      </c>
      <c r="D229" s="122"/>
      <c r="E229" s="108"/>
      <c r="F229" s="98">
        <f t="shared" si="55"/>
        <v>0</v>
      </c>
      <c r="G229" s="98"/>
      <c r="H229" s="98">
        <f t="shared" si="56"/>
        <v>0</v>
      </c>
      <c r="I229" s="98"/>
    </row>
    <row r="230" spans="1:9" s="285" customFormat="1" hidden="1" x14ac:dyDescent="0.25">
      <c r="A230" s="118">
        <v>32</v>
      </c>
      <c r="B230" s="151">
        <v>1620</v>
      </c>
      <c r="C230" s="94" t="s">
        <v>255</v>
      </c>
      <c r="D230" s="122"/>
      <c r="E230" s="108"/>
      <c r="F230" s="98">
        <f t="shared" si="55"/>
        <v>0</v>
      </c>
      <c r="G230" s="98"/>
      <c r="H230" s="98">
        <f t="shared" si="56"/>
        <v>0</v>
      </c>
      <c r="I230" s="98"/>
    </row>
    <row r="231" spans="1:9" s="285" customFormat="1" hidden="1" x14ac:dyDescent="0.25">
      <c r="A231" s="118">
        <v>32</v>
      </c>
      <c r="B231" s="151">
        <v>1625</v>
      </c>
      <c r="C231" s="94" t="s">
        <v>108</v>
      </c>
      <c r="D231" s="122"/>
      <c r="E231" s="108"/>
      <c r="F231" s="98">
        <f t="shared" si="55"/>
        <v>0</v>
      </c>
      <c r="G231" s="98"/>
      <c r="H231" s="98">
        <f t="shared" si="56"/>
        <v>0</v>
      </c>
      <c r="I231" s="98"/>
    </row>
    <row r="232" spans="1:9" s="285" customFormat="1" hidden="1" x14ac:dyDescent="0.25">
      <c r="A232" s="118">
        <v>32</v>
      </c>
      <c r="B232" s="151">
        <v>1630</v>
      </c>
      <c r="C232" s="94" t="s">
        <v>76</v>
      </c>
      <c r="D232" s="122"/>
      <c r="E232" s="108"/>
      <c r="F232" s="98">
        <f t="shared" si="55"/>
        <v>0</v>
      </c>
      <c r="G232" s="98"/>
      <c r="H232" s="98">
        <f t="shared" si="56"/>
        <v>0</v>
      </c>
      <c r="I232" s="98"/>
    </row>
    <row r="233" spans="1:9" s="285" customFormat="1" hidden="1" x14ac:dyDescent="0.25">
      <c r="A233" s="118">
        <v>32</v>
      </c>
      <c r="B233" s="151">
        <v>1635</v>
      </c>
      <c r="C233" s="94" t="s">
        <v>180</v>
      </c>
      <c r="D233" s="122"/>
      <c r="E233" s="98"/>
      <c r="F233" s="98">
        <v>0</v>
      </c>
      <c r="G233" s="98"/>
      <c r="H233" s="98">
        <v>0</v>
      </c>
      <c r="I233" s="98"/>
    </row>
    <row r="234" spans="1:9" s="285" customFormat="1" hidden="1" x14ac:dyDescent="0.25">
      <c r="A234" s="118">
        <v>32</v>
      </c>
      <c r="B234" s="151">
        <v>1640</v>
      </c>
      <c r="C234" s="94" t="s">
        <v>184</v>
      </c>
      <c r="D234" s="122"/>
      <c r="E234" s="108"/>
      <c r="F234" s="98">
        <f t="shared" si="55"/>
        <v>0</v>
      </c>
      <c r="G234" s="98"/>
      <c r="H234" s="98">
        <f t="shared" ref="H234:H239" si="57">F234/8*12</f>
        <v>0</v>
      </c>
      <c r="I234" s="98"/>
    </row>
    <row r="235" spans="1:9" s="285" customFormat="1" hidden="1" x14ac:dyDescent="0.25">
      <c r="A235" s="118">
        <v>32</v>
      </c>
      <c r="B235" s="151">
        <v>1645</v>
      </c>
      <c r="C235" s="94" t="s">
        <v>77</v>
      </c>
      <c r="D235" s="122"/>
      <c r="E235" s="108"/>
      <c r="F235" s="98">
        <f t="shared" si="55"/>
        <v>0</v>
      </c>
      <c r="G235" s="98"/>
      <c r="H235" s="98">
        <f t="shared" si="57"/>
        <v>0</v>
      </c>
      <c r="I235" s="98"/>
    </row>
    <row r="236" spans="1:9" s="285" customFormat="1" hidden="1" x14ac:dyDescent="0.25">
      <c r="A236" s="118">
        <v>32</v>
      </c>
      <c r="B236" s="151">
        <v>1650</v>
      </c>
      <c r="C236" s="94" t="s">
        <v>78</v>
      </c>
      <c r="D236" s="122"/>
      <c r="E236" s="108"/>
      <c r="F236" s="98">
        <f t="shared" si="55"/>
        <v>0</v>
      </c>
      <c r="G236" s="98"/>
      <c r="H236" s="98">
        <f t="shared" si="57"/>
        <v>0</v>
      </c>
      <c r="I236" s="98"/>
    </row>
    <row r="237" spans="1:9" s="285" customFormat="1" hidden="1" x14ac:dyDescent="0.25">
      <c r="A237" s="118">
        <v>32</v>
      </c>
      <c r="B237" s="151"/>
      <c r="C237" s="94" t="s">
        <v>200</v>
      </c>
      <c r="D237" s="122"/>
      <c r="E237" s="108"/>
      <c r="F237" s="98">
        <f t="shared" si="55"/>
        <v>0</v>
      </c>
      <c r="G237" s="98"/>
      <c r="H237" s="98">
        <f t="shared" si="57"/>
        <v>0</v>
      </c>
      <c r="I237" s="98"/>
    </row>
    <row r="238" spans="1:9" s="285" customFormat="1" hidden="1" x14ac:dyDescent="0.25">
      <c r="A238" s="118">
        <v>32</v>
      </c>
      <c r="B238" s="151">
        <v>1660</v>
      </c>
      <c r="C238" s="94" t="s">
        <v>185</v>
      </c>
      <c r="D238" s="122"/>
      <c r="E238" s="108"/>
      <c r="F238" s="98">
        <f t="shared" si="55"/>
        <v>0</v>
      </c>
      <c r="G238" s="98"/>
      <c r="H238" s="98">
        <f t="shared" si="57"/>
        <v>0</v>
      </c>
      <c r="I238" s="98"/>
    </row>
    <row r="239" spans="1:9" s="285" customFormat="1" hidden="1" x14ac:dyDescent="0.25">
      <c r="A239" s="118">
        <v>32</v>
      </c>
      <c r="B239" s="151">
        <v>1665</v>
      </c>
      <c r="C239" s="94" t="s">
        <v>181</v>
      </c>
      <c r="D239" s="122"/>
      <c r="E239" s="108"/>
      <c r="F239" s="98">
        <f t="shared" si="55"/>
        <v>0</v>
      </c>
      <c r="G239" s="98"/>
      <c r="H239" s="98">
        <f t="shared" si="57"/>
        <v>0</v>
      </c>
      <c r="I239" s="98"/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:H240" si="58">SUM(E227:E239)</f>
        <v>0</v>
      </c>
      <c r="F240" s="99">
        <f t="shared" si="58"/>
        <v>0</v>
      </c>
      <c r="G240" s="99"/>
      <c r="H240" s="99">
        <f t="shared" si="58"/>
        <v>0</v>
      </c>
      <c r="I240" s="99"/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32</v>
      </c>
      <c r="B242" s="151">
        <v>1705</v>
      </c>
      <c r="C242" s="94" t="s">
        <v>123</v>
      </c>
      <c r="D242" s="122"/>
      <c r="E242" s="98"/>
      <c r="F242" s="98">
        <f t="shared" ref="F242:F247" si="59">E242/8*12</f>
        <v>0</v>
      </c>
      <c r="G242" s="98"/>
      <c r="H242" s="98">
        <f t="shared" ref="H242:H247" si="60">F242/8*12</f>
        <v>0</v>
      </c>
      <c r="I242" s="98"/>
    </row>
    <row r="243" spans="1:9" s="285" customFormat="1" hidden="1" x14ac:dyDescent="0.25">
      <c r="A243" s="118">
        <v>32</v>
      </c>
      <c r="B243" s="151">
        <v>1710</v>
      </c>
      <c r="C243" s="94" t="s">
        <v>242</v>
      </c>
      <c r="D243" s="122"/>
      <c r="E243" s="98"/>
      <c r="F243" s="98">
        <f t="shared" si="59"/>
        <v>0</v>
      </c>
      <c r="G243" s="98"/>
      <c r="H243" s="98">
        <f t="shared" si="60"/>
        <v>0</v>
      </c>
      <c r="I243" s="98"/>
    </row>
    <row r="244" spans="1:9" s="285" customFormat="1" hidden="1" x14ac:dyDescent="0.25">
      <c r="A244" s="118">
        <v>32</v>
      </c>
      <c r="B244" s="151">
        <v>1715</v>
      </c>
      <c r="C244" s="94" t="s">
        <v>183</v>
      </c>
      <c r="D244" s="122"/>
      <c r="E244" s="98"/>
      <c r="F244" s="98">
        <f t="shared" si="59"/>
        <v>0</v>
      </c>
      <c r="G244" s="98"/>
      <c r="H244" s="98">
        <f t="shared" si="60"/>
        <v>0</v>
      </c>
      <c r="I244" s="98"/>
    </row>
    <row r="245" spans="1:9" s="285" customFormat="1" hidden="1" x14ac:dyDescent="0.25">
      <c r="A245" s="118">
        <v>32</v>
      </c>
      <c r="B245" s="151">
        <v>1720</v>
      </c>
      <c r="C245" s="94" t="s">
        <v>103</v>
      </c>
      <c r="D245" s="122"/>
      <c r="E245" s="98"/>
      <c r="F245" s="98">
        <f t="shared" si="59"/>
        <v>0</v>
      </c>
      <c r="G245" s="98"/>
      <c r="H245" s="98">
        <f t="shared" si="60"/>
        <v>0</v>
      </c>
      <c r="I245" s="98"/>
    </row>
    <row r="246" spans="1:9" s="285" customFormat="1" hidden="1" x14ac:dyDescent="0.25">
      <c r="A246" s="118">
        <v>32</v>
      </c>
      <c r="B246" s="151">
        <v>1725</v>
      </c>
      <c r="C246" s="94" t="s">
        <v>107</v>
      </c>
      <c r="D246" s="122"/>
      <c r="E246" s="98"/>
      <c r="F246" s="98">
        <f t="shared" si="59"/>
        <v>0</v>
      </c>
      <c r="G246" s="98"/>
      <c r="H246" s="98">
        <f t="shared" si="60"/>
        <v>0</v>
      </c>
      <c r="I246" s="98"/>
    </row>
    <row r="247" spans="1:9" s="285" customFormat="1" hidden="1" x14ac:dyDescent="0.25">
      <c r="A247" s="118">
        <v>32</v>
      </c>
      <c r="B247" s="151">
        <v>1730</v>
      </c>
      <c r="C247" s="94" t="s">
        <v>256</v>
      </c>
      <c r="D247" s="122"/>
      <c r="E247" s="98"/>
      <c r="F247" s="98">
        <f t="shared" si="59"/>
        <v>0</v>
      </c>
      <c r="G247" s="98"/>
      <c r="H247" s="98">
        <f t="shared" si="60"/>
        <v>0</v>
      </c>
      <c r="I247" s="98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:H248" si="61">SUM(E242:E247)</f>
        <v>0</v>
      </c>
      <c r="F248" s="99">
        <f t="shared" si="61"/>
        <v>0</v>
      </c>
      <c r="G248" s="99"/>
      <c r="H248" s="99">
        <f t="shared" si="61"/>
        <v>0</v>
      </c>
      <c r="I248" s="99"/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32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98"/>
      <c r="H250" s="98">
        <f>F250/8*12</f>
        <v>0</v>
      </c>
      <c r="I250" s="108"/>
    </row>
    <row r="251" spans="1:9" s="285" customFormat="1" hidden="1" x14ac:dyDescent="0.25">
      <c r="A251" s="344"/>
      <c r="B251" s="151"/>
      <c r="C251" s="94"/>
      <c r="D251" s="99">
        <f t="shared" ref="D251:F251" si="62">D250</f>
        <v>0</v>
      </c>
      <c r="E251" s="99">
        <f t="shared" si="62"/>
        <v>0</v>
      </c>
      <c r="F251" s="99">
        <f t="shared" si="62"/>
        <v>0</v>
      </c>
      <c r="G251" s="99"/>
      <c r="H251" s="99">
        <f t="shared" ref="H251" si="63">H250</f>
        <v>0</v>
      </c>
      <c r="I251" s="99"/>
    </row>
    <row r="252" spans="1:9" s="285" customFormat="1" x14ac:dyDescent="0.25">
      <c r="A252" s="344"/>
      <c r="B252" s="346"/>
      <c r="C252" s="93" t="s">
        <v>192</v>
      </c>
      <c r="D252" s="117">
        <f t="shared" ref="D252:F252" si="64">SUM(D171:D251)/2</f>
        <v>0</v>
      </c>
      <c r="E252" s="117">
        <f t="shared" si="64"/>
        <v>-64145</v>
      </c>
      <c r="F252" s="117">
        <f t="shared" si="64"/>
        <v>-64145</v>
      </c>
      <c r="G252" s="117">
        <f t="shared" ref="G252" si="65">SUM(G171:G251)/2</f>
        <v>-70559.5</v>
      </c>
      <c r="H252" s="117">
        <f t="shared" ref="H252:I252" si="66">SUM(H171:H251)/2</f>
        <v>-77615.45</v>
      </c>
      <c r="I252" s="117">
        <f t="shared" si="66"/>
        <v>-85376.994999999995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9" s="285" customFormat="1" hidden="1" x14ac:dyDescent="0.25">
      <c r="A255" s="118">
        <v>32</v>
      </c>
      <c r="B255" s="151">
        <v>1905</v>
      </c>
      <c r="C255" s="118" t="s">
        <v>194</v>
      </c>
      <c r="D255" s="127"/>
      <c r="E255" s="147"/>
      <c r="F255" s="98">
        <f>E255/8*12</f>
        <v>0</v>
      </c>
      <c r="G255" s="98">
        <f>F255/8*12</f>
        <v>0</v>
      </c>
      <c r="H255" s="98">
        <f>F255/8*12</f>
        <v>0</v>
      </c>
      <c r="I255" s="98">
        <f>G255/8*12</f>
        <v>0</v>
      </c>
    </row>
    <row r="256" spans="1:9" s="285" customFormat="1" hidden="1" x14ac:dyDescent="0.25">
      <c r="A256" s="344"/>
      <c r="B256" s="151"/>
      <c r="C256" s="94"/>
      <c r="D256" s="117">
        <f t="shared" ref="D256:F256" si="67">SUM(D255)</f>
        <v>0</v>
      </c>
      <c r="E256" s="117">
        <f t="shared" si="67"/>
        <v>0</v>
      </c>
      <c r="F256" s="117">
        <f t="shared" si="67"/>
        <v>0</v>
      </c>
      <c r="G256" s="117">
        <f t="shared" ref="G256" si="68">SUM(G255)</f>
        <v>0</v>
      </c>
      <c r="H256" s="117">
        <f t="shared" ref="H256:I256" si="69">SUM(H255)</f>
        <v>0</v>
      </c>
      <c r="I256" s="117">
        <f t="shared" si="69"/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F257" si="70">D252+D256</f>
        <v>0</v>
      </c>
      <c r="E257" s="117">
        <f t="shared" si="70"/>
        <v>-64145</v>
      </c>
      <c r="F257" s="117">
        <f t="shared" si="70"/>
        <v>-64145</v>
      </c>
      <c r="G257" s="117">
        <f t="shared" ref="G257" si="71">G252+G256</f>
        <v>-70559.5</v>
      </c>
      <c r="H257" s="117">
        <f t="shared" ref="H257:I257" si="72">H252+H256</f>
        <v>-77615.45</v>
      </c>
      <c r="I257" s="117">
        <f t="shared" si="72"/>
        <v>-85376.994999999995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9" s="285" customFormat="1" hidden="1" x14ac:dyDescent="0.25">
      <c r="A259" s="118">
        <v>32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98"/>
      <c r="H259" s="98">
        <f>F259/8*12</f>
        <v>0</v>
      </c>
      <c r="I259" s="123"/>
    </row>
    <row r="260" spans="1:9" s="285" customFormat="1" hidden="1" x14ac:dyDescent="0.25">
      <c r="A260" s="344"/>
      <c r="B260" s="346"/>
      <c r="C260" s="94"/>
      <c r="D260" s="124">
        <f t="shared" ref="D260:F260" si="73">D259</f>
        <v>0</v>
      </c>
      <c r="E260" s="124">
        <f t="shared" si="73"/>
        <v>0</v>
      </c>
      <c r="F260" s="124">
        <f t="shared" si="73"/>
        <v>0</v>
      </c>
      <c r="G260" s="124"/>
      <c r="H260" s="124">
        <f t="shared" ref="H260" si="74">H259</f>
        <v>0</v>
      </c>
      <c r="I260" s="124"/>
    </row>
    <row r="261" spans="1:9" s="285" customFormat="1" x14ac:dyDescent="0.25">
      <c r="A261" s="348"/>
      <c r="B261" s="351"/>
      <c r="C261" s="93" t="s">
        <v>197</v>
      </c>
      <c r="D261" s="160">
        <f t="shared" ref="D261:I261" si="75">D257+D260</f>
        <v>0</v>
      </c>
      <c r="E261" s="160">
        <f t="shared" si="75"/>
        <v>-64145</v>
      </c>
      <c r="F261" s="160">
        <f t="shared" si="75"/>
        <v>-64145</v>
      </c>
      <c r="G261" s="160">
        <f t="shared" si="75"/>
        <v>-70559.5</v>
      </c>
      <c r="H261" s="160">
        <f t="shared" si="75"/>
        <v>-77615.45</v>
      </c>
      <c r="I261" s="160">
        <f t="shared" si="75"/>
        <v>-85376.994999999995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I262" si="76">D261-D165</f>
        <v>-982485</v>
      </c>
      <c r="E262" s="161">
        <f t="shared" si="76"/>
        <v>-1264290</v>
      </c>
      <c r="F262" s="161">
        <f t="shared" si="76"/>
        <v>-1264290</v>
      </c>
      <c r="G262" s="161">
        <f t="shared" si="76"/>
        <v>-1485146.3</v>
      </c>
      <c r="H262" s="161">
        <f t="shared" si="76"/>
        <v>-1601179.5924</v>
      </c>
      <c r="I262" s="161">
        <f t="shared" si="76"/>
        <v>-1711696.9390831999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2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68"/>
  <sheetViews>
    <sheetView view="pageBreakPreview" topLeftCell="A4" zoomScaleSheetLayoutView="100" workbookViewId="0">
      <selection activeCell="G20" sqref="G20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" style="96" customWidth="1"/>
    <col min="6" max="6" width="12.5546875" style="96" customWidth="1"/>
    <col min="7" max="7" width="14.441406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360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03" t="s">
        <v>417</v>
      </c>
      <c r="B3" s="704"/>
      <c r="C3" s="705"/>
      <c r="D3" s="149"/>
      <c r="E3" s="338"/>
      <c r="F3" s="338"/>
      <c r="G3" s="425"/>
      <c r="H3" s="338"/>
      <c r="I3" s="338"/>
    </row>
    <row r="4" spans="1:9" s="285" customFormat="1" ht="10.5" customHeigh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ht="11.25" customHeigh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34</v>
      </c>
      <c r="B7" s="155">
        <v>5005</v>
      </c>
      <c r="C7" s="94" t="s">
        <v>241</v>
      </c>
      <c r="D7" s="85"/>
      <c r="E7" s="85"/>
      <c r="F7" s="85">
        <v>0</v>
      </c>
      <c r="G7" s="435">
        <f t="shared" ref="G7:I17" si="0">(F7*0.068)+F7</f>
        <v>0</v>
      </c>
      <c r="H7" s="435">
        <f t="shared" si="0"/>
        <v>0</v>
      </c>
      <c r="I7" s="435">
        <f t="shared" si="0"/>
        <v>0</v>
      </c>
    </row>
    <row r="8" spans="1:9" s="285" customFormat="1" x14ac:dyDescent="0.25">
      <c r="A8" s="118">
        <v>34</v>
      </c>
      <c r="B8" s="151">
        <v>5010</v>
      </c>
      <c r="C8" s="94" t="s">
        <v>34</v>
      </c>
      <c r="D8" s="85"/>
      <c r="E8" s="85"/>
      <c r="F8" s="85"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34</v>
      </c>
      <c r="B9" s="151">
        <v>5015</v>
      </c>
      <c r="C9" s="94" t="s">
        <v>35</v>
      </c>
      <c r="D9" s="85"/>
      <c r="E9" s="85"/>
      <c r="F9" s="85">
        <v>0</v>
      </c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x14ac:dyDescent="0.25">
      <c r="A10" s="118">
        <v>34</v>
      </c>
      <c r="B10" s="151">
        <v>5020</v>
      </c>
      <c r="C10" s="94" t="s">
        <v>350</v>
      </c>
      <c r="D10" s="85"/>
      <c r="E10" s="85"/>
      <c r="F10" s="85"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hidden="1" x14ac:dyDescent="0.25">
      <c r="A11" s="118">
        <v>34</v>
      </c>
      <c r="B11" s="151">
        <v>5025</v>
      </c>
      <c r="C11" s="94" t="s">
        <v>36</v>
      </c>
      <c r="D11" s="85"/>
      <c r="E11" s="85"/>
      <c r="F11" s="85"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34</v>
      </c>
      <c r="B12" s="151">
        <v>5030</v>
      </c>
      <c r="C12" s="94" t="s">
        <v>85</v>
      </c>
      <c r="D12" s="85">
        <v>2956</v>
      </c>
      <c r="E12" s="85">
        <v>16500</v>
      </c>
      <c r="F12" s="85">
        <v>16500</v>
      </c>
      <c r="G12" s="435">
        <f t="shared" si="0"/>
        <v>17622</v>
      </c>
      <c r="H12" s="435">
        <f t="shared" si="0"/>
        <v>18820.295999999998</v>
      </c>
      <c r="I12" s="435">
        <f t="shared" si="0"/>
        <v>20100.076127999997</v>
      </c>
    </row>
    <row r="13" spans="1:9" s="285" customFormat="1" x14ac:dyDescent="0.25">
      <c r="A13" s="118">
        <v>34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34</v>
      </c>
      <c r="B14" s="151">
        <v>5040</v>
      </c>
      <c r="C14" s="94" t="s">
        <v>37</v>
      </c>
      <c r="D14" s="85">
        <v>18235</v>
      </c>
      <c r="E14" s="85">
        <v>64000</v>
      </c>
      <c r="F14" s="85">
        <v>64000</v>
      </c>
      <c r="G14" s="435">
        <f t="shared" si="0"/>
        <v>68352</v>
      </c>
      <c r="H14" s="435">
        <f t="shared" si="0"/>
        <v>72999.936000000002</v>
      </c>
      <c r="I14" s="435">
        <f t="shared" si="0"/>
        <v>77963.931647999998</v>
      </c>
    </row>
    <row r="15" spans="1:9" s="285" customFormat="1" hidden="1" x14ac:dyDescent="0.25">
      <c r="A15" s="118">
        <v>34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34</v>
      </c>
      <c r="B16" s="151">
        <v>5050</v>
      </c>
      <c r="C16" s="94" t="s">
        <v>83</v>
      </c>
      <c r="D16" s="85">
        <v>18174</v>
      </c>
      <c r="E16" s="85">
        <v>12000</v>
      </c>
      <c r="F16" s="85">
        <v>12000</v>
      </c>
      <c r="G16" s="435">
        <f t="shared" si="0"/>
        <v>12816</v>
      </c>
      <c r="H16" s="435">
        <f t="shared" si="0"/>
        <v>13687.487999999999</v>
      </c>
      <c r="I16" s="435">
        <f t="shared" si="0"/>
        <v>14618.237184</v>
      </c>
    </row>
    <row r="17" spans="1:9" s="285" customFormat="1" x14ac:dyDescent="0.25">
      <c r="A17" s="118">
        <v>34</v>
      </c>
      <c r="B17" s="151">
        <v>5055</v>
      </c>
      <c r="C17" s="94" t="s">
        <v>39</v>
      </c>
      <c r="D17" s="85">
        <f>43618*6</f>
        <v>261708</v>
      </c>
      <c r="E17" s="85">
        <v>765000</v>
      </c>
      <c r="F17" s="85">
        <v>765000</v>
      </c>
      <c r="G17" s="435">
        <f t="shared" si="0"/>
        <v>817020</v>
      </c>
      <c r="H17" s="435">
        <f t="shared" si="0"/>
        <v>872577.36</v>
      </c>
      <c r="I17" s="435">
        <f t="shared" si="0"/>
        <v>931912.62048000004</v>
      </c>
    </row>
    <row r="18" spans="1:9" s="285" customFormat="1" x14ac:dyDescent="0.25">
      <c r="A18" s="344"/>
      <c r="B18" s="151"/>
      <c r="C18" s="94"/>
      <c r="D18" s="89">
        <f t="shared" ref="D18:I18" si="1">SUM(D7:D17)</f>
        <v>301073</v>
      </c>
      <c r="E18" s="89">
        <f t="shared" si="1"/>
        <v>857500</v>
      </c>
      <c r="F18" s="89">
        <f t="shared" si="1"/>
        <v>857500</v>
      </c>
      <c r="G18" s="89">
        <f t="shared" si="1"/>
        <v>915810</v>
      </c>
      <c r="H18" s="89">
        <f t="shared" si="1"/>
        <v>978085.08</v>
      </c>
      <c r="I18" s="89">
        <f t="shared" si="1"/>
        <v>1044594.8654400001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34</v>
      </c>
      <c r="B20" s="151">
        <v>5105</v>
      </c>
      <c r="C20" s="94" t="s">
        <v>41</v>
      </c>
      <c r="D20" s="85">
        <f>6487*6</f>
        <v>38922</v>
      </c>
      <c r="E20" s="85">
        <v>58000</v>
      </c>
      <c r="F20" s="85">
        <v>58000</v>
      </c>
      <c r="G20" s="435">
        <f t="shared" ref="G20:I24" si="2">(F20*0.068)+F20</f>
        <v>61944</v>
      </c>
      <c r="H20" s="435">
        <f t="shared" si="2"/>
        <v>66156.191999999995</v>
      </c>
      <c r="I20" s="435">
        <f t="shared" si="2"/>
        <v>70654.813055999999</v>
      </c>
    </row>
    <row r="21" spans="1:9" s="285" customFormat="1" x14ac:dyDescent="0.25">
      <c r="A21" s="118">
        <v>34</v>
      </c>
      <c r="B21" s="151">
        <v>5115</v>
      </c>
      <c r="C21" s="94" t="s">
        <v>42</v>
      </c>
      <c r="D21" s="85">
        <f>6407*6</f>
        <v>38442</v>
      </c>
      <c r="E21" s="85">
        <v>108000</v>
      </c>
      <c r="F21" s="85">
        <v>108000</v>
      </c>
      <c r="G21" s="435">
        <f t="shared" si="2"/>
        <v>115344</v>
      </c>
      <c r="H21" s="435">
        <f t="shared" si="2"/>
        <v>123187.39200000001</v>
      </c>
      <c r="I21" s="435">
        <f t="shared" si="2"/>
        <v>131564.13465600001</v>
      </c>
    </row>
    <row r="22" spans="1:9" s="285" customFormat="1" x14ac:dyDescent="0.25">
      <c r="A22" s="118">
        <v>34</v>
      </c>
      <c r="B22" s="151">
        <v>5120</v>
      </c>
      <c r="C22" s="94" t="s">
        <v>43</v>
      </c>
      <c r="D22" s="85">
        <f>2092*6</f>
        <v>12552</v>
      </c>
      <c r="E22" s="85">
        <v>27000</v>
      </c>
      <c r="F22" s="85">
        <v>27000</v>
      </c>
      <c r="G22" s="435">
        <f t="shared" si="2"/>
        <v>28836</v>
      </c>
      <c r="H22" s="435">
        <f t="shared" si="2"/>
        <v>30796.848000000002</v>
      </c>
      <c r="I22" s="435">
        <f t="shared" si="2"/>
        <v>32891.033664000002</v>
      </c>
    </row>
    <row r="23" spans="1:9" s="285" customFormat="1" hidden="1" x14ac:dyDescent="0.25">
      <c r="A23" s="118">
        <v>34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9" s="285" customFormat="1" x14ac:dyDescent="0.25">
      <c r="A24" s="118">
        <v>34</v>
      </c>
      <c r="B24" s="151">
        <v>5130</v>
      </c>
      <c r="C24" s="94" t="s">
        <v>45</v>
      </c>
      <c r="D24" s="85">
        <f>649*6</f>
        <v>3894</v>
      </c>
      <c r="E24" s="85">
        <v>10000</v>
      </c>
      <c r="F24" s="85">
        <v>10000</v>
      </c>
      <c r="G24" s="435">
        <f t="shared" si="2"/>
        <v>10680</v>
      </c>
      <c r="H24" s="435">
        <f t="shared" si="2"/>
        <v>11406.24</v>
      </c>
      <c r="I24" s="435">
        <f t="shared" si="2"/>
        <v>12181.864320000001</v>
      </c>
    </row>
    <row r="25" spans="1:9" s="285" customFormat="1" x14ac:dyDescent="0.25">
      <c r="A25" s="344"/>
      <c r="B25" s="151"/>
      <c r="C25" s="94"/>
      <c r="D25" s="89">
        <f t="shared" ref="D25" si="3">SUM(D20:D24)</f>
        <v>93810</v>
      </c>
      <c r="E25" s="89">
        <f>SUM(E20:E24)</f>
        <v>203000</v>
      </c>
      <c r="F25" s="436">
        <f t="shared" ref="F25:I25" si="4">SUM(F20:F24)</f>
        <v>203000</v>
      </c>
      <c r="G25" s="436">
        <f t="shared" si="4"/>
        <v>216804</v>
      </c>
      <c r="H25" s="436">
        <f t="shared" si="4"/>
        <v>231546.67199999999</v>
      </c>
      <c r="I25" s="436">
        <f t="shared" si="4"/>
        <v>247291.84569599997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34</v>
      </c>
      <c r="B28" s="151">
        <v>5150</v>
      </c>
      <c r="C28" s="94" t="s">
        <v>48</v>
      </c>
      <c r="D28" s="85"/>
      <c r="E28" s="85"/>
      <c r="F28" s="85"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E29" si="5">D28</f>
        <v>0</v>
      </c>
      <c r="E29" s="89">
        <f t="shared" si="5"/>
        <v>0</v>
      </c>
      <c r="F29" s="89">
        <v>0</v>
      </c>
      <c r="G29" s="89"/>
      <c r="H29" s="89"/>
      <c r="I29" s="89"/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hidden="1" x14ac:dyDescent="0.25">
      <c r="A31" s="118">
        <v>34</v>
      </c>
      <c r="B31" s="151">
        <v>5170</v>
      </c>
      <c r="C31" s="94" t="s">
        <v>341</v>
      </c>
      <c r="D31" s="85"/>
      <c r="E31" s="108"/>
      <c r="F31" s="85"/>
      <c r="G31" s="85"/>
      <c r="H31" s="85"/>
      <c r="I31" s="85"/>
    </row>
    <row r="32" spans="1:9" s="285" customFormat="1" hidden="1" x14ac:dyDescent="0.25">
      <c r="A32" s="344"/>
      <c r="B32" s="151"/>
      <c r="C32" s="94"/>
      <c r="D32" s="89">
        <f t="shared" ref="D32:E32" si="6">SUM(D31)</f>
        <v>0</v>
      </c>
      <c r="E32" s="89">
        <f t="shared" si="6"/>
        <v>0</v>
      </c>
      <c r="F32" s="89">
        <v>0</v>
      </c>
      <c r="G32" s="89"/>
      <c r="H32" s="89"/>
      <c r="I32" s="89"/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34</v>
      </c>
      <c r="B34" s="151">
        <v>5180</v>
      </c>
      <c r="C34" s="94" t="s">
        <v>51</v>
      </c>
      <c r="D34" s="85"/>
      <c r="E34" s="108"/>
      <c r="F34" s="85"/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E35" si="7">SUM(D34)</f>
        <v>0</v>
      </c>
      <c r="E35" s="89">
        <f t="shared" si="7"/>
        <v>0</v>
      </c>
      <c r="F35" s="89">
        <v>0</v>
      </c>
      <c r="G35" s="89"/>
      <c r="H35" s="89"/>
      <c r="I35" s="89"/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34</v>
      </c>
      <c r="B37" s="151">
        <v>5190</v>
      </c>
      <c r="C37" s="94" t="s">
        <v>53</v>
      </c>
      <c r="D37" s="85"/>
      <c r="E37" s="108"/>
      <c r="F37" s="85"/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E38" si="8">D37</f>
        <v>0</v>
      </c>
      <c r="E38" s="89">
        <f t="shared" si="8"/>
        <v>0</v>
      </c>
      <c r="F38" s="89">
        <v>0</v>
      </c>
      <c r="G38" s="89"/>
      <c r="H38" s="89"/>
      <c r="I38" s="89"/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x14ac:dyDescent="0.25">
      <c r="A40" s="118">
        <v>34</v>
      </c>
      <c r="B40" s="151">
        <v>5200</v>
      </c>
      <c r="C40" s="94" t="s">
        <v>55</v>
      </c>
      <c r="D40" s="85"/>
      <c r="E40" s="108"/>
      <c r="F40" s="85">
        <v>0</v>
      </c>
      <c r="G40" s="85"/>
      <c r="H40" s="85"/>
      <c r="I40" s="85"/>
    </row>
    <row r="41" spans="1:9" s="285" customFormat="1" x14ac:dyDescent="0.25">
      <c r="A41" s="118">
        <v>34</v>
      </c>
      <c r="B41" s="151">
        <v>5205</v>
      </c>
      <c r="C41" s="94" t="s">
        <v>56</v>
      </c>
      <c r="D41" s="85"/>
      <c r="E41" s="85">
        <v>18000</v>
      </c>
      <c r="F41" s="85">
        <v>18000</v>
      </c>
      <c r="G41" s="85">
        <v>24000</v>
      </c>
      <c r="H41" s="85">
        <v>28000</v>
      </c>
      <c r="I41" s="85">
        <v>28000</v>
      </c>
    </row>
    <row r="42" spans="1:9" s="285" customFormat="1" x14ac:dyDescent="0.25">
      <c r="A42" s="118">
        <v>34</v>
      </c>
      <c r="B42" s="151">
        <v>5210</v>
      </c>
      <c r="C42" s="94" t="s">
        <v>57</v>
      </c>
      <c r="D42" s="85"/>
      <c r="E42" s="108"/>
      <c r="F42" s="85">
        <v>0</v>
      </c>
      <c r="G42" s="85"/>
      <c r="H42" s="85"/>
      <c r="I42" s="85"/>
    </row>
    <row r="43" spans="1:9" s="285" customFormat="1" x14ac:dyDescent="0.25">
      <c r="A43" s="118">
        <v>34</v>
      </c>
      <c r="B43" s="151">
        <v>5215</v>
      </c>
      <c r="C43" s="94" t="s">
        <v>95</v>
      </c>
      <c r="D43" s="85"/>
      <c r="E43" s="108"/>
      <c r="F43" s="85">
        <v>0</v>
      </c>
      <c r="G43" s="85"/>
      <c r="H43" s="85"/>
      <c r="I43" s="85"/>
    </row>
    <row r="44" spans="1:9" s="285" customFormat="1" x14ac:dyDescent="0.25">
      <c r="A44" s="118">
        <v>34</v>
      </c>
      <c r="B44" s="151">
        <v>5220</v>
      </c>
      <c r="C44" s="94" t="s">
        <v>58</v>
      </c>
      <c r="D44" s="85"/>
      <c r="E44" s="108"/>
      <c r="F44" s="85">
        <v>0</v>
      </c>
      <c r="G44" s="85"/>
      <c r="H44" s="85"/>
      <c r="I44" s="85"/>
    </row>
    <row r="45" spans="1:9" s="285" customFormat="1" x14ac:dyDescent="0.25">
      <c r="A45" s="118">
        <v>34</v>
      </c>
      <c r="B45" s="151">
        <v>5225</v>
      </c>
      <c r="C45" s="94" t="s">
        <v>92</v>
      </c>
      <c r="D45" s="85"/>
      <c r="E45" s="108"/>
      <c r="F45" s="85">
        <v>0</v>
      </c>
      <c r="G45" s="85"/>
      <c r="H45" s="85"/>
      <c r="I45" s="85"/>
    </row>
    <row r="46" spans="1:9" s="285" customFormat="1" x14ac:dyDescent="0.25">
      <c r="A46" s="118">
        <v>34</v>
      </c>
      <c r="B46" s="151">
        <v>5230</v>
      </c>
      <c r="C46" s="94" t="s">
        <v>86</v>
      </c>
      <c r="D46" s="85"/>
      <c r="E46" s="108"/>
      <c r="F46" s="85">
        <v>0</v>
      </c>
      <c r="G46" s="85"/>
      <c r="H46" s="85"/>
      <c r="I46" s="85"/>
    </row>
    <row r="47" spans="1:9" s="285" customFormat="1" x14ac:dyDescent="0.25">
      <c r="A47" s="118">
        <v>34</v>
      </c>
      <c r="B47" s="151">
        <v>5235</v>
      </c>
      <c r="C47" s="94" t="s">
        <v>124</v>
      </c>
      <c r="D47" s="85"/>
      <c r="E47" s="108"/>
      <c r="F47" s="85">
        <v>0</v>
      </c>
      <c r="G47" s="85"/>
      <c r="H47" s="85"/>
      <c r="I47" s="85"/>
    </row>
    <row r="48" spans="1:9" s="285" customFormat="1" x14ac:dyDescent="0.25">
      <c r="A48" s="118">
        <v>34</v>
      </c>
      <c r="B48" s="151">
        <v>5240</v>
      </c>
      <c r="C48" s="94" t="s">
        <v>59</v>
      </c>
      <c r="D48" s="85"/>
      <c r="E48" s="108"/>
      <c r="F48" s="85">
        <v>0</v>
      </c>
      <c r="G48" s="85"/>
      <c r="H48" s="85"/>
      <c r="I48" s="85"/>
    </row>
    <row r="49" spans="1:9" s="285" customFormat="1" x14ac:dyDescent="0.25">
      <c r="A49" s="118">
        <v>34</v>
      </c>
      <c r="B49" s="151">
        <v>5245</v>
      </c>
      <c r="C49" s="94" t="s">
        <v>91</v>
      </c>
      <c r="D49" s="85"/>
      <c r="E49" s="108"/>
      <c r="F49" s="85">
        <v>0</v>
      </c>
      <c r="G49" s="85"/>
      <c r="H49" s="85"/>
      <c r="I49" s="85"/>
    </row>
    <row r="50" spans="1:9" s="285" customFormat="1" x14ac:dyDescent="0.25">
      <c r="A50" s="118">
        <v>34</v>
      </c>
      <c r="B50" s="151">
        <v>5250</v>
      </c>
      <c r="C50" s="94" t="s">
        <v>88</v>
      </c>
      <c r="D50" s="85"/>
      <c r="E50" s="108">
        <v>18000</v>
      </c>
      <c r="F50" s="85">
        <v>18000</v>
      </c>
      <c r="G50" s="85">
        <v>20000</v>
      </c>
      <c r="H50" s="85">
        <v>20000</v>
      </c>
      <c r="I50" s="85">
        <v>20000</v>
      </c>
    </row>
    <row r="51" spans="1:9" s="285" customFormat="1" x14ac:dyDescent="0.25">
      <c r="A51" s="118">
        <v>34</v>
      </c>
      <c r="B51" s="151">
        <v>5255</v>
      </c>
      <c r="C51" s="94" t="s">
        <v>125</v>
      </c>
      <c r="D51" s="85"/>
      <c r="E51" s="108"/>
      <c r="F51" s="85">
        <v>0</v>
      </c>
      <c r="G51" s="85"/>
      <c r="H51" s="85"/>
      <c r="I51" s="85"/>
    </row>
    <row r="52" spans="1:9" s="285" customFormat="1" x14ac:dyDescent="0.25">
      <c r="A52" s="118">
        <v>34</v>
      </c>
      <c r="B52" s="151">
        <v>5260</v>
      </c>
      <c r="C52" s="94" t="s">
        <v>90</v>
      </c>
      <c r="D52" s="85"/>
      <c r="E52" s="108"/>
      <c r="F52" s="85">
        <v>0</v>
      </c>
      <c r="G52" s="85"/>
      <c r="H52" s="85"/>
      <c r="I52" s="85"/>
    </row>
    <row r="53" spans="1:9" s="285" customFormat="1" x14ac:dyDescent="0.25">
      <c r="A53" s="118">
        <v>34</v>
      </c>
      <c r="B53" s="151">
        <v>5265</v>
      </c>
      <c r="C53" s="94" t="s">
        <v>87</v>
      </c>
      <c r="D53" s="85"/>
      <c r="E53" s="108"/>
      <c r="F53" s="85">
        <v>0</v>
      </c>
      <c r="G53" s="85"/>
      <c r="H53" s="85"/>
      <c r="I53" s="85"/>
    </row>
    <row r="54" spans="1:9" s="285" customFormat="1" x14ac:dyDescent="0.25">
      <c r="A54" s="118">
        <v>34</v>
      </c>
      <c r="B54" s="151">
        <v>5270</v>
      </c>
      <c r="C54" s="94" t="s">
        <v>89</v>
      </c>
      <c r="D54" s="85"/>
      <c r="E54" s="108"/>
      <c r="F54" s="85">
        <v>0</v>
      </c>
      <c r="G54" s="85"/>
      <c r="H54" s="85"/>
      <c r="I54" s="85"/>
    </row>
    <row r="55" spans="1:9" s="285" customFormat="1" x14ac:dyDescent="0.25">
      <c r="A55" s="118">
        <v>34</v>
      </c>
      <c r="B55" s="151">
        <v>5275</v>
      </c>
      <c r="C55" s="94" t="s">
        <v>93</v>
      </c>
      <c r="D55" s="85"/>
      <c r="E55" s="108"/>
      <c r="F55" s="85">
        <v>0</v>
      </c>
      <c r="G55" s="85"/>
      <c r="H55" s="85"/>
      <c r="I55" s="85"/>
    </row>
    <row r="56" spans="1:9" s="285" customFormat="1" x14ac:dyDescent="0.25">
      <c r="A56" s="118">
        <v>34</v>
      </c>
      <c r="B56" s="151">
        <v>5280</v>
      </c>
      <c r="C56" s="94" t="s">
        <v>94</v>
      </c>
      <c r="D56" s="85"/>
      <c r="E56" s="108"/>
      <c r="F56" s="85">
        <v>0</v>
      </c>
      <c r="G56" s="85"/>
      <c r="H56" s="85"/>
      <c r="I56" s="85"/>
    </row>
    <row r="57" spans="1:9" s="285" customFormat="1" x14ac:dyDescent="0.25">
      <c r="A57" s="118">
        <v>34</v>
      </c>
      <c r="B57" s="151">
        <v>5285</v>
      </c>
      <c r="C57" s="94" t="s">
        <v>60</v>
      </c>
      <c r="D57" s="85"/>
      <c r="E57" s="85"/>
      <c r="F57" s="85">
        <v>0</v>
      </c>
      <c r="G57" s="85"/>
      <c r="H57" s="85"/>
      <c r="I57" s="85"/>
    </row>
    <row r="58" spans="1:9" s="285" customFormat="1" x14ac:dyDescent="0.25">
      <c r="A58" s="118">
        <v>34</v>
      </c>
      <c r="B58" s="151">
        <v>5290</v>
      </c>
      <c r="C58" s="94" t="s">
        <v>186</v>
      </c>
      <c r="D58" s="85"/>
      <c r="E58" s="108"/>
      <c r="F58" s="85">
        <v>0</v>
      </c>
      <c r="G58" s="85"/>
      <c r="H58" s="85"/>
      <c r="I58" s="85"/>
    </row>
    <row r="59" spans="1:9" s="285" customFormat="1" x14ac:dyDescent="0.25">
      <c r="A59" s="344"/>
      <c r="B59" s="151"/>
      <c r="C59" s="94"/>
      <c r="D59" s="110">
        <f t="shared" ref="D59:I59" si="9">SUM(D40:D58)</f>
        <v>0</v>
      </c>
      <c r="E59" s="110">
        <f t="shared" si="9"/>
        <v>36000</v>
      </c>
      <c r="F59" s="110">
        <f t="shared" si="9"/>
        <v>36000</v>
      </c>
      <c r="G59" s="110">
        <f t="shared" si="9"/>
        <v>44000</v>
      </c>
      <c r="H59" s="110">
        <f t="shared" si="9"/>
        <v>48000</v>
      </c>
      <c r="I59" s="110">
        <f t="shared" si="9"/>
        <v>48000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x14ac:dyDescent="0.25">
      <c r="A61" s="118">
        <v>34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</row>
    <row r="62" spans="1:9" s="285" customFormat="1" x14ac:dyDescent="0.25">
      <c r="A62" s="118">
        <v>34</v>
      </c>
      <c r="B62" s="151">
        <v>5405</v>
      </c>
      <c r="C62" s="94" t="s">
        <v>335</v>
      </c>
      <c r="D62" s="85"/>
      <c r="E62" s="108"/>
      <c r="F62" s="85"/>
      <c r="G62" s="85"/>
      <c r="H62" s="85"/>
      <c r="I62" s="108"/>
    </row>
    <row r="63" spans="1:9" s="285" customFormat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v>0</v>
      </c>
      <c r="G63" s="436">
        <v>0</v>
      </c>
      <c r="H63" s="436">
        <v>0</v>
      </c>
      <c r="I63" s="436">
        <v>0</v>
      </c>
    </row>
    <row r="64" spans="1:9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x14ac:dyDescent="0.25">
      <c r="A65" s="118">
        <v>34</v>
      </c>
      <c r="B65" s="151">
        <v>5450</v>
      </c>
      <c r="C65" s="94" t="s">
        <v>351</v>
      </c>
      <c r="D65" s="85"/>
      <c r="E65" s="108"/>
      <c r="F65" s="85"/>
      <c r="G65" s="85"/>
      <c r="H65" s="85"/>
      <c r="I65" s="108"/>
    </row>
    <row r="66" spans="1:9" s="285" customFormat="1" x14ac:dyDescent="0.25">
      <c r="A66" s="344"/>
      <c r="B66" s="151"/>
      <c r="C66" s="94"/>
      <c r="D66" s="89">
        <f t="shared" ref="D66:E66" si="10">D65</f>
        <v>0</v>
      </c>
      <c r="E66" s="89">
        <f t="shared" si="10"/>
        <v>0</v>
      </c>
      <c r="F66" s="89">
        <v>0</v>
      </c>
      <c r="G66" s="436">
        <v>0</v>
      </c>
      <c r="H66" s="436">
        <v>0</v>
      </c>
      <c r="I66" s="436">
        <v>0</v>
      </c>
    </row>
    <row r="67" spans="1:9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x14ac:dyDescent="0.25">
      <c r="A68" s="118">
        <v>34</v>
      </c>
      <c r="B68" s="151">
        <v>5470</v>
      </c>
      <c r="C68" s="94" t="s">
        <v>97</v>
      </c>
      <c r="D68" s="85"/>
      <c r="E68" s="86"/>
      <c r="F68" s="85">
        <v>0</v>
      </c>
      <c r="G68" s="85"/>
      <c r="H68" s="85"/>
      <c r="I68" s="85"/>
    </row>
    <row r="69" spans="1:9" s="285" customFormat="1" x14ac:dyDescent="0.25">
      <c r="A69" s="118">
        <v>34</v>
      </c>
      <c r="B69" s="151">
        <v>5475</v>
      </c>
      <c r="C69" s="94" t="s">
        <v>134</v>
      </c>
      <c r="D69" s="85"/>
      <c r="E69" s="86"/>
      <c r="F69" s="85">
        <v>0</v>
      </c>
      <c r="G69" s="85"/>
      <c r="H69" s="85"/>
      <c r="I69" s="85"/>
    </row>
    <row r="70" spans="1:9" s="285" customFormat="1" x14ac:dyDescent="0.25">
      <c r="A70" s="344"/>
      <c r="B70" s="151"/>
      <c r="C70" s="94"/>
      <c r="D70" s="110">
        <f t="shared" ref="D70:E70" si="11">SUM(D68:D69)</f>
        <v>0</v>
      </c>
      <c r="E70" s="110">
        <f t="shared" si="11"/>
        <v>0</v>
      </c>
      <c r="F70" s="110">
        <v>0</v>
      </c>
      <c r="G70" s="446">
        <v>0</v>
      </c>
      <c r="H70" s="446">
        <v>0</v>
      </c>
      <c r="I70" s="446">
        <v>0</v>
      </c>
    </row>
    <row r="71" spans="1:9" s="285" customFormat="1" ht="13.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34</v>
      </c>
      <c r="B72" s="151">
        <v>5505</v>
      </c>
      <c r="C72" s="94" t="s">
        <v>259</v>
      </c>
      <c r="D72" s="85"/>
      <c r="E72" s="85"/>
      <c r="F72" s="85">
        <v>0</v>
      </c>
      <c r="G72" s="85"/>
      <c r="H72" s="85"/>
      <c r="I72" s="85"/>
    </row>
    <row r="73" spans="1:9" s="285" customFormat="1" x14ac:dyDescent="0.25">
      <c r="A73" s="118">
        <v>34</v>
      </c>
      <c r="B73" s="151">
        <v>5510</v>
      </c>
      <c r="C73" s="94" t="s">
        <v>63</v>
      </c>
      <c r="D73" s="85"/>
      <c r="E73" s="85"/>
      <c r="F73" s="85">
        <v>0</v>
      </c>
      <c r="G73" s="85"/>
      <c r="H73" s="85"/>
      <c r="I73" s="85"/>
    </row>
    <row r="74" spans="1:9" s="285" customFormat="1" x14ac:dyDescent="0.25">
      <c r="A74" s="118">
        <v>34</v>
      </c>
      <c r="B74" s="151">
        <v>5520</v>
      </c>
      <c r="C74" s="94" t="s">
        <v>260</v>
      </c>
      <c r="D74" s="85"/>
      <c r="E74" s="85"/>
      <c r="F74" s="85">
        <v>0</v>
      </c>
      <c r="G74" s="85"/>
      <c r="H74" s="85"/>
      <c r="I74" s="85"/>
    </row>
    <row r="75" spans="1:9" s="285" customFormat="1" x14ac:dyDescent="0.25">
      <c r="A75" s="118">
        <v>34</v>
      </c>
      <c r="B75" s="151">
        <v>5525</v>
      </c>
      <c r="C75" s="94" t="s">
        <v>261</v>
      </c>
      <c r="D75" s="85"/>
      <c r="E75" s="85"/>
      <c r="F75" s="85">
        <v>0</v>
      </c>
      <c r="G75" s="85"/>
      <c r="H75" s="85"/>
      <c r="I75" s="85"/>
    </row>
    <row r="76" spans="1:9" s="285" customFormat="1" x14ac:dyDescent="0.25">
      <c r="A76" s="118">
        <v>34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85"/>
      <c r="I76" s="85"/>
    </row>
    <row r="77" spans="1:9" s="285" customFormat="1" x14ac:dyDescent="0.25">
      <c r="A77" s="118">
        <v>34</v>
      </c>
      <c r="B77" s="151">
        <v>5535</v>
      </c>
      <c r="C77" s="94" t="s">
        <v>263</v>
      </c>
      <c r="D77" s="85"/>
      <c r="E77" s="85"/>
      <c r="F77" s="85">
        <v>0</v>
      </c>
      <c r="G77" s="85"/>
      <c r="H77" s="85"/>
      <c r="I77" s="85"/>
    </row>
    <row r="78" spans="1:9" s="285" customFormat="1" x14ac:dyDescent="0.25">
      <c r="A78" s="118">
        <v>34</v>
      </c>
      <c r="B78" s="151">
        <v>5540</v>
      </c>
      <c r="C78" s="94" t="s">
        <v>264</v>
      </c>
      <c r="D78" s="85"/>
      <c r="E78" s="85">
        <v>0</v>
      </c>
      <c r="F78" s="85">
        <v>0</v>
      </c>
      <c r="G78" s="85"/>
      <c r="H78" s="85"/>
      <c r="I78" s="85"/>
    </row>
    <row r="79" spans="1:9" s="285" customFormat="1" ht="13.5" customHeight="1" x14ac:dyDescent="0.25">
      <c r="A79" s="118">
        <v>34</v>
      </c>
      <c r="B79" s="151">
        <v>5545</v>
      </c>
      <c r="C79" s="94" t="s">
        <v>265</v>
      </c>
      <c r="D79" s="85"/>
      <c r="E79" s="85">
        <v>0</v>
      </c>
      <c r="F79" s="85">
        <v>0</v>
      </c>
      <c r="G79" s="85"/>
      <c r="H79" s="85"/>
      <c r="I79" s="85"/>
    </row>
    <row r="80" spans="1:9" s="285" customFormat="1" x14ac:dyDescent="0.25">
      <c r="A80" s="118">
        <v>34</v>
      </c>
      <c r="B80" s="151">
        <v>5550</v>
      </c>
      <c r="C80" s="94" t="s">
        <v>267</v>
      </c>
      <c r="D80" s="85"/>
      <c r="E80" s="85"/>
      <c r="F80" s="85">
        <v>0</v>
      </c>
      <c r="G80" s="85"/>
      <c r="H80" s="85"/>
      <c r="I80" s="85"/>
    </row>
    <row r="81" spans="1:9" s="285" customFormat="1" x14ac:dyDescent="0.25">
      <c r="A81" s="118">
        <v>34</v>
      </c>
      <c r="B81" s="151">
        <v>5555</v>
      </c>
      <c r="C81" s="94" t="s">
        <v>268</v>
      </c>
      <c r="D81" s="85"/>
      <c r="E81" s="85"/>
      <c r="F81" s="85">
        <v>0</v>
      </c>
      <c r="G81" s="85"/>
      <c r="H81" s="85"/>
      <c r="I81" s="85"/>
    </row>
    <row r="82" spans="1:9" s="285" customFormat="1" x14ac:dyDescent="0.25">
      <c r="A82" s="118">
        <v>34</v>
      </c>
      <c r="B82" s="151">
        <v>5560</v>
      </c>
      <c r="C82" s="94" t="s">
        <v>269</v>
      </c>
      <c r="D82" s="85"/>
      <c r="E82" s="85"/>
      <c r="F82" s="85">
        <v>0</v>
      </c>
      <c r="G82" s="85"/>
      <c r="H82" s="85"/>
      <c r="I82" s="85"/>
    </row>
    <row r="83" spans="1:9" s="285" customFormat="1" x14ac:dyDescent="0.25">
      <c r="A83" s="118">
        <v>34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85"/>
      <c r="I83" s="85"/>
    </row>
    <row r="84" spans="1:9" s="285" customFormat="1" x14ac:dyDescent="0.25">
      <c r="A84" s="118">
        <v>34</v>
      </c>
      <c r="B84" s="151">
        <v>5570</v>
      </c>
      <c r="C84" s="94" t="s">
        <v>270</v>
      </c>
      <c r="D84" s="85"/>
      <c r="E84" s="85">
        <v>4747.5</v>
      </c>
      <c r="F84" s="85">
        <v>4747.5</v>
      </c>
      <c r="G84" s="85">
        <v>4700</v>
      </c>
      <c r="H84" s="85">
        <v>4700</v>
      </c>
      <c r="I84" s="85">
        <v>4700</v>
      </c>
    </row>
    <row r="85" spans="1:9" s="285" customFormat="1" x14ac:dyDescent="0.25">
      <c r="A85" s="118">
        <v>34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85"/>
      <c r="H85" s="85"/>
      <c r="I85" s="85"/>
    </row>
    <row r="86" spans="1:9" s="285" customFormat="1" x14ac:dyDescent="0.25">
      <c r="A86" s="118">
        <v>34</v>
      </c>
      <c r="B86" s="151">
        <v>5580</v>
      </c>
      <c r="C86" s="94" t="s">
        <v>272</v>
      </c>
      <c r="D86" s="85"/>
      <c r="E86" s="85"/>
      <c r="F86" s="85">
        <v>0</v>
      </c>
      <c r="G86" s="85"/>
      <c r="H86" s="85"/>
      <c r="I86" s="85"/>
    </row>
    <row r="87" spans="1:9" s="285" customFormat="1" x14ac:dyDescent="0.25">
      <c r="A87" s="118">
        <v>34</v>
      </c>
      <c r="B87" s="151">
        <v>5585</v>
      </c>
      <c r="C87" s="94" t="s">
        <v>273</v>
      </c>
      <c r="D87" s="86"/>
      <c r="E87" s="85"/>
      <c r="F87" s="85">
        <v>0</v>
      </c>
      <c r="G87" s="85"/>
      <c r="H87" s="85"/>
      <c r="I87" s="85"/>
    </row>
    <row r="88" spans="1:9" s="285" customFormat="1" x14ac:dyDescent="0.25">
      <c r="A88" s="118">
        <v>34</v>
      </c>
      <c r="B88" s="151">
        <v>5590</v>
      </c>
      <c r="C88" s="94" t="s">
        <v>274</v>
      </c>
      <c r="D88" s="86"/>
      <c r="E88" s="85"/>
      <c r="F88" s="85">
        <v>0</v>
      </c>
      <c r="G88" s="85"/>
      <c r="H88" s="85"/>
      <c r="I88" s="85"/>
    </row>
    <row r="89" spans="1:9" s="285" customFormat="1" x14ac:dyDescent="0.25">
      <c r="A89" s="118">
        <v>34</v>
      </c>
      <c r="B89" s="151">
        <v>5595</v>
      </c>
      <c r="C89" s="94" t="s">
        <v>275</v>
      </c>
      <c r="D89" s="85"/>
      <c r="E89" s="85"/>
      <c r="F89" s="85">
        <v>0</v>
      </c>
      <c r="G89" s="85"/>
      <c r="H89" s="85"/>
      <c r="I89" s="85"/>
    </row>
    <row r="90" spans="1:9" s="285" customFormat="1" x14ac:dyDescent="0.25">
      <c r="A90" s="118">
        <v>34</v>
      </c>
      <c r="B90" s="151">
        <v>5600</v>
      </c>
      <c r="C90" s="159" t="s">
        <v>276</v>
      </c>
      <c r="D90" s="85"/>
      <c r="E90" s="85"/>
      <c r="F90" s="85">
        <v>0</v>
      </c>
      <c r="G90" s="85"/>
      <c r="H90" s="85"/>
      <c r="I90" s="85"/>
    </row>
    <row r="91" spans="1:9" s="285" customFormat="1" x14ac:dyDescent="0.25">
      <c r="A91" s="118">
        <v>34</v>
      </c>
      <c r="B91" s="151">
        <v>5605</v>
      </c>
      <c r="C91" s="159" t="s">
        <v>277</v>
      </c>
      <c r="D91" s="85"/>
      <c r="E91" s="85"/>
      <c r="F91" s="85">
        <v>0</v>
      </c>
      <c r="G91" s="85"/>
      <c r="H91" s="85"/>
      <c r="I91" s="85"/>
    </row>
    <row r="92" spans="1:9" s="285" customFormat="1" x14ac:dyDescent="0.25">
      <c r="A92" s="118">
        <v>34</v>
      </c>
      <c r="B92" s="151">
        <v>5610</v>
      </c>
      <c r="C92" s="159" t="s">
        <v>278</v>
      </c>
      <c r="D92" s="85"/>
      <c r="E92" s="85"/>
      <c r="F92" s="85">
        <v>0</v>
      </c>
      <c r="G92" s="85"/>
      <c r="H92" s="85"/>
      <c r="I92" s="85"/>
    </row>
    <row r="93" spans="1:9" s="285" customFormat="1" x14ac:dyDescent="0.25">
      <c r="A93" s="118">
        <v>34</v>
      </c>
      <c r="B93" s="151">
        <v>5615</v>
      </c>
      <c r="C93" s="159" t="s">
        <v>279</v>
      </c>
      <c r="D93" s="85"/>
      <c r="E93" s="85"/>
      <c r="F93" s="85">
        <v>0</v>
      </c>
      <c r="G93" s="85"/>
      <c r="H93" s="85"/>
      <c r="I93" s="85"/>
    </row>
    <row r="94" spans="1:9" s="285" customFormat="1" x14ac:dyDescent="0.25">
      <c r="A94" s="118">
        <v>34</v>
      </c>
      <c r="B94" s="151">
        <v>5620</v>
      </c>
      <c r="C94" s="159" t="s">
        <v>280</v>
      </c>
      <c r="D94" s="85"/>
      <c r="E94" s="85"/>
      <c r="F94" s="85">
        <v>0</v>
      </c>
      <c r="G94" s="85"/>
      <c r="H94" s="85"/>
      <c r="I94" s="85"/>
    </row>
    <row r="95" spans="1:9" s="285" customFormat="1" x14ac:dyDescent="0.25">
      <c r="A95" s="118">
        <v>34</v>
      </c>
      <c r="B95" s="151">
        <v>5625</v>
      </c>
      <c r="C95" s="159" t="s">
        <v>281</v>
      </c>
      <c r="D95" s="85"/>
      <c r="E95" s="85"/>
      <c r="F95" s="85">
        <v>0</v>
      </c>
      <c r="G95" s="85"/>
      <c r="H95" s="85"/>
      <c r="I95" s="85"/>
    </row>
    <row r="96" spans="1:9" s="285" customFormat="1" x14ac:dyDescent="0.25">
      <c r="A96" s="118">
        <v>34</v>
      </c>
      <c r="B96" s="151">
        <v>5630</v>
      </c>
      <c r="C96" s="159" t="s">
        <v>282</v>
      </c>
      <c r="D96" s="85"/>
      <c r="E96" s="85"/>
      <c r="F96" s="85">
        <v>0</v>
      </c>
      <c r="G96" s="85"/>
      <c r="H96" s="85"/>
      <c r="I96" s="85"/>
    </row>
    <row r="97" spans="1:9" s="285" customFormat="1" x14ac:dyDescent="0.25">
      <c r="A97" s="118">
        <v>34</v>
      </c>
      <c r="B97" s="151">
        <v>5635</v>
      </c>
      <c r="C97" s="159" t="s">
        <v>283</v>
      </c>
      <c r="D97" s="85"/>
      <c r="E97" s="85"/>
      <c r="F97" s="85">
        <v>0</v>
      </c>
      <c r="G97" s="85"/>
      <c r="H97" s="85"/>
      <c r="I97" s="85"/>
    </row>
    <row r="98" spans="1:9" s="285" customFormat="1" x14ac:dyDescent="0.25">
      <c r="A98" s="118">
        <v>34</v>
      </c>
      <c r="B98" s="151">
        <v>5640</v>
      </c>
      <c r="C98" s="159" t="s">
        <v>284</v>
      </c>
      <c r="D98" s="85"/>
      <c r="E98" s="85"/>
      <c r="F98" s="85">
        <v>0</v>
      </c>
      <c r="G98" s="85"/>
      <c r="H98" s="85"/>
      <c r="I98" s="85"/>
    </row>
    <row r="99" spans="1:9" s="285" customFormat="1" x14ac:dyDescent="0.25">
      <c r="A99" s="118">
        <v>34</v>
      </c>
      <c r="B99" s="151">
        <v>5645</v>
      </c>
      <c r="C99" s="159" t="s">
        <v>285</v>
      </c>
      <c r="D99" s="85"/>
      <c r="E99" s="85"/>
      <c r="F99" s="85">
        <v>0</v>
      </c>
      <c r="G99" s="85"/>
      <c r="H99" s="85"/>
      <c r="I99" s="85"/>
    </row>
    <row r="100" spans="1:9" s="285" customFormat="1" x14ac:dyDescent="0.25">
      <c r="A100" s="118">
        <v>34</v>
      </c>
      <c r="B100" s="151">
        <v>5650</v>
      </c>
      <c r="C100" s="159" t="s">
        <v>286</v>
      </c>
      <c r="D100" s="85"/>
      <c r="E100" s="85"/>
      <c r="F100" s="85">
        <v>0</v>
      </c>
      <c r="G100" s="85"/>
      <c r="H100" s="85"/>
      <c r="I100" s="85"/>
    </row>
    <row r="101" spans="1:9" s="285" customFormat="1" x14ac:dyDescent="0.25">
      <c r="A101" s="118">
        <v>34</v>
      </c>
      <c r="B101" s="151">
        <v>5655</v>
      </c>
      <c r="C101" s="159" t="s">
        <v>287</v>
      </c>
      <c r="D101" s="85"/>
      <c r="E101" s="85"/>
      <c r="F101" s="85">
        <v>0</v>
      </c>
      <c r="G101" s="85"/>
      <c r="H101" s="85"/>
      <c r="I101" s="85"/>
    </row>
    <row r="102" spans="1:9" s="285" customFormat="1" x14ac:dyDescent="0.25">
      <c r="A102" s="118">
        <v>34</v>
      </c>
      <c r="B102" s="151">
        <v>5660</v>
      </c>
      <c r="C102" s="159" t="s">
        <v>288</v>
      </c>
      <c r="D102" s="85"/>
      <c r="E102" s="85"/>
      <c r="F102" s="85">
        <v>0</v>
      </c>
      <c r="G102" s="85"/>
      <c r="H102" s="85"/>
      <c r="I102" s="85"/>
    </row>
    <row r="103" spans="1:9" s="285" customFormat="1" x14ac:dyDescent="0.25">
      <c r="A103" s="118">
        <v>34</v>
      </c>
      <c r="B103" s="151">
        <v>5665</v>
      </c>
      <c r="C103" s="94" t="s">
        <v>289</v>
      </c>
      <c r="D103" s="85"/>
      <c r="E103" s="85"/>
      <c r="F103" s="85">
        <v>0</v>
      </c>
      <c r="G103" s="85"/>
      <c r="H103" s="85"/>
      <c r="I103" s="85"/>
    </row>
    <row r="104" spans="1:9" s="285" customFormat="1" x14ac:dyDescent="0.25">
      <c r="A104" s="118">
        <v>34</v>
      </c>
      <c r="B104" s="151">
        <v>5670</v>
      </c>
      <c r="C104" s="94" t="s">
        <v>290</v>
      </c>
      <c r="D104" s="85"/>
      <c r="E104" s="85"/>
      <c r="F104" s="85">
        <v>0</v>
      </c>
      <c r="G104" s="85"/>
      <c r="H104" s="85"/>
      <c r="I104" s="85"/>
    </row>
    <row r="105" spans="1:9" s="285" customFormat="1" x14ac:dyDescent="0.25">
      <c r="A105" s="118">
        <v>34</v>
      </c>
      <c r="B105" s="151">
        <v>5675</v>
      </c>
      <c r="C105" s="94" t="s">
        <v>291</v>
      </c>
      <c r="D105" s="85"/>
      <c r="E105" s="85"/>
      <c r="F105" s="85">
        <v>0</v>
      </c>
      <c r="G105" s="85"/>
      <c r="H105" s="85"/>
      <c r="I105" s="85"/>
    </row>
    <row r="106" spans="1:9" s="285" customFormat="1" x14ac:dyDescent="0.25">
      <c r="A106" s="118">
        <v>34</v>
      </c>
      <c r="B106" s="151">
        <v>5680</v>
      </c>
      <c r="C106" s="94" t="s">
        <v>292</v>
      </c>
      <c r="D106" s="85"/>
      <c r="E106" s="85"/>
      <c r="F106" s="85">
        <v>0</v>
      </c>
      <c r="G106" s="85"/>
      <c r="H106" s="85"/>
      <c r="I106" s="85"/>
    </row>
    <row r="107" spans="1:9" s="285" customFormat="1" x14ac:dyDescent="0.25">
      <c r="A107" s="118">
        <v>34</v>
      </c>
      <c r="B107" s="151">
        <v>5685</v>
      </c>
      <c r="C107" s="94" t="s">
        <v>293</v>
      </c>
      <c r="D107" s="85"/>
      <c r="E107" s="85"/>
      <c r="F107" s="85">
        <v>0</v>
      </c>
      <c r="G107" s="85"/>
      <c r="H107" s="85"/>
      <c r="I107" s="85"/>
    </row>
    <row r="108" spans="1:9" s="285" customFormat="1" x14ac:dyDescent="0.25">
      <c r="A108" s="118">
        <v>34</v>
      </c>
      <c r="B108" s="151">
        <v>5690</v>
      </c>
      <c r="C108" s="94" t="s">
        <v>247</v>
      </c>
      <c r="D108" s="85"/>
      <c r="E108" s="85"/>
      <c r="F108" s="85">
        <v>0</v>
      </c>
      <c r="G108" s="85"/>
      <c r="H108" s="85"/>
      <c r="I108" s="85"/>
    </row>
    <row r="109" spans="1:9" s="285" customFormat="1" x14ac:dyDescent="0.25">
      <c r="A109" s="118">
        <v>34</v>
      </c>
      <c r="B109" s="151">
        <v>5695</v>
      </c>
      <c r="C109" s="94" t="s">
        <v>294</v>
      </c>
      <c r="D109" s="85"/>
      <c r="E109" s="85"/>
      <c r="F109" s="85">
        <v>0</v>
      </c>
      <c r="G109" s="85"/>
      <c r="H109" s="85"/>
      <c r="I109" s="85"/>
    </row>
    <row r="110" spans="1:9" s="285" customFormat="1" x14ac:dyDescent="0.25">
      <c r="A110" s="118">
        <v>34</v>
      </c>
      <c r="B110" s="151">
        <v>5700</v>
      </c>
      <c r="C110" s="94" t="s">
        <v>295</v>
      </c>
      <c r="D110" s="85">
        <v>76121</v>
      </c>
      <c r="E110" s="85">
        <v>106000</v>
      </c>
      <c r="F110" s="85">
        <v>106000</v>
      </c>
      <c r="G110" s="85">
        <v>106000</v>
      </c>
      <c r="H110" s="85">
        <v>126000</v>
      </c>
      <c r="I110" s="85">
        <v>138000</v>
      </c>
    </row>
    <row r="111" spans="1:9" s="285" customFormat="1" x14ac:dyDescent="0.25">
      <c r="A111" s="118">
        <v>34</v>
      </c>
      <c r="B111" s="151">
        <v>5710</v>
      </c>
      <c r="C111" s="94" t="s">
        <v>297</v>
      </c>
      <c r="D111" s="85"/>
      <c r="E111" s="85"/>
      <c r="F111" s="85">
        <v>0</v>
      </c>
      <c r="G111" s="85"/>
      <c r="H111" s="85"/>
      <c r="I111" s="85"/>
    </row>
    <row r="112" spans="1:9" s="285" customFormat="1" x14ac:dyDescent="0.25">
      <c r="A112" s="118">
        <v>34</v>
      </c>
      <c r="B112" s="151">
        <v>5715</v>
      </c>
      <c r="C112" s="94" t="s">
        <v>298</v>
      </c>
      <c r="D112" s="85"/>
      <c r="E112" s="85"/>
      <c r="F112" s="85">
        <v>0</v>
      </c>
      <c r="G112" s="85"/>
      <c r="H112" s="85"/>
      <c r="I112" s="85"/>
    </row>
    <row r="113" spans="1:9" s="285" customFormat="1" x14ac:dyDescent="0.25">
      <c r="A113" s="118">
        <v>34</v>
      </c>
      <c r="B113" s="151">
        <v>5720</v>
      </c>
      <c r="C113" s="94" t="s">
        <v>299</v>
      </c>
      <c r="D113" s="85"/>
      <c r="E113" s="85"/>
      <c r="F113" s="85">
        <v>0</v>
      </c>
      <c r="G113" s="85"/>
      <c r="H113" s="85"/>
      <c r="I113" s="85"/>
    </row>
    <row r="114" spans="1:9" s="285" customFormat="1" x14ac:dyDescent="0.25">
      <c r="A114" s="118">
        <v>34</v>
      </c>
      <c r="B114" s="151">
        <v>5730</v>
      </c>
      <c r="C114" s="94" t="s">
        <v>300</v>
      </c>
      <c r="D114" s="85"/>
      <c r="E114" s="85"/>
      <c r="F114" s="85">
        <v>0</v>
      </c>
      <c r="G114" s="85"/>
      <c r="H114" s="85"/>
      <c r="I114" s="85"/>
    </row>
    <row r="115" spans="1:9" s="285" customFormat="1" x14ac:dyDescent="0.25">
      <c r="A115" s="118">
        <v>34</v>
      </c>
      <c r="B115" s="151">
        <v>5735</v>
      </c>
      <c r="C115" s="94" t="s">
        <v>301</v>
      </c>
      <c r="D115" s="85"/>
      <c r="E115" s="85"/>
      <c r="F115" s="85">
        <v>0</v>
      </c>
      <c r="G115" s="85"/>
      <c r="H115" s="85"/>
      <c r="I115" s="85"/>
    </row>
    <row r="116" spans="1:9" s="285" customFormat="1" x14ac:dyDescent="0.25">
      <c r="A116" s="118">
        <v>34</v>
      </c>
      <c r="B116" s="151">
        <v>5740</v>
      </c>
      <c r="C116" s="94" t="s">
        <v>302</v>
      </c>
      <c r="D116" s="85"/>
      <c r="E116" s="85"/>
      <c r="F116" s="85">
        <v>0</v>
      </c>
      <c r="G116" s="85"/>
      <c r="H116" s="85"/>
      <c r="I116" s="85"/>
    </row>
    <row r="117" spans="1:9" s="285" customFormat="1" x14ac:dyDescent="0.25">
      <c r="A117" s="118">
        <v>34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85"/>
      <c r="I117" s="85"/>
    </row>
    <row r="118" spans="1:9" s="285" customFormat="1" x14ac:dyDescent="0.25">
      <c r="A118" s="118">
        <v>34</v>
      </c>
      <c r="B118" s="151">
        <v>5750</v>
      </c>
      <c r="C118" s="94" t="s">
        <v>304</v>
      </c>
      <c r="D118" s="85">
        <v>107</v>
      </c>
      <c r="E118" s="85">
        <v>620</v>
      </c>
      <c r="F118" s="85">
        <v>620</v>
      </c>
      <c r="G118" s="85">
        <v>620</v>
      </c>
      <c r="H118" s="85">
        <v>620</v>
      </c>
      <c r="I118" s="85">
        <v>620</v>
      </c>
    </row>
    <row r="119" spans="1:9" s="285" customFormat="1" x14ac:dyDescent="0.25">
      <c r="A119" s="118">
        <v>34</v>
      </c>
      <c r="B119" s="151">
        <v>5755</v>
      </c>
      <c r="C119" s="94" t="s">
        <v>305</v>
      </c>
      <c r="D119" s="85">
        <v>2031</v>
      </c>
      <c r="E119" s="85">
        <v>9600</v>
      </c>
      <c r="F119" s="85">
        <v>9600</v>
      </c>
      <c r="G119" s="85">
        <v>9600</v>
      </c>
      <c r="H119" s="85">
        <v>9600</v>
      </c>
      <c r="I119" s="85">
        <v>9600</v>
      </c>
    </row>
    <row r="120" spans="1:9" s="285" customFormat="1" ht="12" customHeight="1" x14ac:dyDescent="0.25">
      <c r="A120" s="118">
        <v>34</v>
      </c>
      <c r="B120" s="151">
        <v>5760</v>
      </c>
      <c r="C120" s="94" t="s">
        <v>306</v>
      </c>
      <c r="D120" s="85"/>
      <c r="E120" s="85"/>
      <c r="F120" s="85">
        <v>0</v>
      </c>
      <c r="G120" s="85"/>
      <c r="H120" s="85"/>
      <c r="I120" s="85"/>
    </row>
    <row r="121" spans="1:9" s="285" customFormat="1" x14ac:dyDescent="0.25">
      <c r="A121" s="118">
        <v>34</v>
      </c>
      <c r="B121" s="151">
        <v>5765</v>
      </c>
      <c r="C121" s="94" t="s">
        <v>307</v>
      </c>
      <c r="D121" s="85"/>
      <c r="E121" s="85"/>
      <c r="F121" s="85">
        <v>0</v>
      </c>
      <c r="G121" s="85"/>
      <c r="H121" s="85"/>
      <c r="I121" s="85"/>
    </row>
    <row r="122" spans="1:9" s="285" customFormat="1" x14ac:dyDescent="0.25">
      <c r="A122" s="118">
        <v>34</v>
      </c>
      <c r="B122" s="151">
        <v>5770</v>
      </c>
      <c r="C122" s="94" t="s">
        <v>308</v>
      </c>
      <c r="D122" s="85"/>
      <c r="E122" s="85"/>
      <c r="F122" s="85">
        <v>0</v>
      </c>
      <c r="G122" s="85"/>
      <c r="H122" s="85"/>
      <c r="I122" s="85"/>
    </row>
    <row r="123" spans="1:9" s="285" customFormat="1" x14ac:dyDescent="0.25">
      <c r="A123" s="118">
        <v>34</v>
      </c>
      <c r="B123" s="151">
        <v>5775</v>
      </c>
      <c r="C123" s="94" t="s">
        <v>309</v>
      </c>
      <c r="D123" s="85"/>
      <c r="E123" s="85"/>
      <c r="F123" s="85">
        <v>0</v>
      </c>
      <c r="G123" s="85"/>
      <c r="H123" s="85"/>
      <c r="I123" s="85"/>
    </row>
    <row r="124" spans="1:9" s="285" customFormat="1" x14ac:dyDescent="0.25">
      <c r="A124" s="118">
        <v>34</v>
      </c>
      <c r="B124" s="151">
        <v>5780</v>
      </c>
      <c r="C124" s="94" t="s">
        <v>310</v>
      </c>
      <c r="D124" s="85"/>
      <c r="E124" s="85"/>
      <c r="F124" s="85">
        <v>0</v>
      </c>
      <c r="G124" s="85"/>
      <c r="H124" s="85"/>
      <c r="I124" s="85"/>
    </row>
    <row r="125" spans="1:9" s="285" customFormat="1" x14ac:dyDescent="0.25">
      <c r="A125" s="118">
        <v>34</v>
      </c>
      <c r="B125" s="151">
        <v>5785</v>
      </c>
      <c r="C125" s="94" t="s">
        <v>311</v>
      </c>
      <c r="D125" s="85"/>
      <c r="E125" s="85"/>
      <c r="F125" s="85">
        <v>0</v>
      </c>
      <c r="G125" s="85"/>
      <c r="H125" s="85"/>
      <c r="I125" s="85"/>
    </row>
    <row r="126" spans="1:9" s="285" customFormat="1" x14ac:dyDescent="0.25">
      <c r="A126" s="118">
        <v>34</v>
      </c>
      <c r="B126" s="151">
        <v>5790</v>
      </c>
      <c r="C126" s="94" t="s">
        <v>312</v>
      </c>
      <c r="D126" s="85"/>
      <c r="E126" s="85"/>
      <c r="F126" s="85">
        <v>0</v>
      </c>
      <c r="G126" s="85"/>
      <c r="H126" s="85"/>
      <c r="I126" s="85"/>
    </row>
    <row r="127" spans="1:9" s="285" customFormat="1" x14ac:dyDescent="0.25">
      <c r="A127" s="118">
        <v>34</v>
      </c>
      <c r="B127" s="151">
        <v>5795</v>
      </c>
      <c r="C127" s="94" t="s">
        <v>313</v>
      </c>
      <c r="D127" s="85"/>
      <c r="E127" s="85"/>
      <c r="F127" s="85">
        <v>0</v>
      </c>
      <c r="G127" s="85"/>
      <c r="H127" s="85"/>
      <c r="I127" s="85"/>
    </row>
    <row r="128" spans="1:9" s="285" customFormat="1" x14ac:dyDescent="0.25">
      <c r="A128" s="118">
        <v>34</v>
      </c>
      <c r="B128" s="151">
        <v>5800</v>
      </c>
      <c r="C128" s="94" t="s">
        <v>314</v>
      </c>
      <c r="D128" s="85"/>
      <c r="E128" s="85"/>
      <c r="F128" s="85">
        <v>0</v>
      </c>
      <c r="G128" s="85"/>
      <c r="H128" s="85"/>
      <c r="I128" s="85"/>
    </row>
    <row r="129" spans="1:9" s="285" customFormat="1" x14ac:dyDescent="0.25">
      <c r="A129" s="118">
        <v>34</v>
      </c>
      <c r="B129" s="151">
        <v>5805</v>
      </c>
      <c r="C129" s="94" t="s">
        <v>315</v>
      </c>
      <c r="D129" s="85"/>
      <c r="E129" s="85"/>
      <c r="F129" s="85">
        <v>0</v>
      </c>
      <c r="G129" s="85"/>
      <c r="H129" s="85"/>
      <c r="I129" s="85"/>
    </row>
    <row r="130" spans="1:9" s="285" customFormat="1" x14ac:dyDescent="0.25">
      <c r="A130" s="118">
        <v>34</v>
      </c>
      <c r="B130" s="151">
        <v>5810</v>
      </c>
      <c r="C130" s="94" t="s">
        <v>316</v>
      </c>
      <c r="D130" s="85"/>
      <c r="E130" s="85"/>
      <c r="F130" s="85">
        <v>0</v>
      </c>
      <c r="G130" s="85"/>
      <c r="H130" s="85"/>
      <c r="I130" s="85"/>
    </row>
    <row r="131" spans="1:9" s="285" customFormat="1" x14ac:dyDescent="0.25">
      <c r="A131" s="118">
        <v>34</v>
      </c>
      <c r="B131" s="151">
        <v>5815</v>
      </c>
      <c r="C131" s="94" t="s">
        <v>99</v>
      </c>
      <c r="D131" s="85"/>
      <c r="E131" s="85"/>
      <c r="F131" s="85">
        <v>0</v>
      </c>
      <c r="G131" s="85"/>
      <c r="H131" s="85"/>
      <c r="I131" s="85"/>
    </row>
    <row r="132" spans="1:9" s="285" customFormat="1" x14ac:dyDescent="0.25">
      <c r="A132" s="118">
        <v>34</v>
      </c>
      <c r="B132" s="151">
        <v>5820</v>
      </c>
      <c r="C132" s="94" t="s">
        <v>114</v>
      </c>
      <c r="D132" s="86"/>
      <c r="E132" s="85"/>
      <c r="F132" s="85">
        <v>0</v>
      </c>
      <c r="G132" s="85"/>
      <c r="H132" s="85"/>
      <c r="I132" s="85"/>
    </row>
    <row r="133" spans="1:9" s="285" customFormat="1" x14ac:dyDescent="0.25">
      <c r="A133" s="118">
        <v>34</v>
      </c>
      <c r="B133" s="151">
        <v>5825</v>
      </c>
      <c r="C133" s="94" t="s">
        <v>317</v>
      </c>
      <c r="D133" s="86"/>
      <c r="E133" s="85"/>
      <c r="F133" s="85">
        <v>0</v>
      </c>
      <c r="G133" s="85"/>
      <c r="H133" s="85"/>
      <c r="I133" s="85"/>
    </row>
    <row r="134" spans="1:9" s="285" customFormat="1" x14ac:dyDescent="0.25">
      <c r="A134" s="118">
        <v>34</v>
      </c>
      <c r="B134" s="151">
        <v>5830</v>
      </c>
      <c r="C134" s="94" t="s">
        <v>318</v>
      </c>
      <c r="D134" s="86"/>
      <c r="E134" s="85"/>
      <c r="F134" s="85">
        <v>0</v>
      </c>
      <c r="G134" s="85"/>
      <c r="H134" s="85"/>
      <c r="I134" s="85"/>
    </row>
    <row r="135" spans="1:9" s="285" customFormat="1" x14ac:dyDescent="0.25">
      <c r="A135" s="118">
        <v>34</v>
      </c>
      <c r="B135" s="151">
        <v>5835</v>
      </c>
      <c r="C135" s="94" t="s">
        <v>319</v>
      </c>
      <c r="D135" s="86"/>
      <c r="E135" s="85"/>
      <c r="F135" s="85">
        <v>0</v>
      </c>
      <c r="G135" s="85"/>
      <c r="H135" s="85"/>
      <c r="I135" s="85"/>
    </row>
    <row r="136" spans="1:9" s="285" customFormat="1" x14ac:dyDescent="0.25">
      <c r="A136" s="118">
        <v>34</v>
      </c>
      <c r="B136" s="151">
        <v>5840</v>
      </c>
      <c r="C136" s="94" t="s">
        <v>332</v>
      </c>
      <c r="D136" s="115"/>
      <c r="E136" s="85"/>
      <c r="F136" s="85">
        <v>0</v>
      </c>
      <c r="G136" s="85"/>
      <c r="H136" s="85"/>
      <c r="I136" s="85"/>
    </row>
    <row r="137" spans="1:9" s="285" customFormat="1" x14ac:dyDescent="0.25">
      <c r="A137" s="118">
        <v>34</v>
      </c>
      <c r="B137" s="151">
        <v>5845</v>
      </c>
      <c r="C137" s="94" t="s">
        <v>320</v>
      </c>
      <c r="D137" s="86"/>
      <c r="E137" s="85"/>
      <c r="F137" s="85">
        <v>0</v>
      </c>
      <c r="G137" s="85"/>
      <c r="H137" s="85"/>
      <c r="I137" s="85"/>
    </row>
    <row r="138" spans="1:9" s="285" customFormat="1" x14ac:dyDescent="0.25">
      <c r="A138" s="118">
        <v>34</v>
      </c>
      <c r="B138" s="151">
        <v>5855</v>
      </c>
      <c r="C138" s="94" t="s">
        <v>321</v>
      </c>
      <c r="D138" s="85"/>
      <c r="E138" s="85"/>
      <c r="F138" s="85">
        <v>0</v>
      </c>
      <c r="G138" s="85"/>
      <c r="H138" s="85"/>
      <c r="I138" s="85"/>
    </row>
    <row r="139" spans="1:9" s="285" customFormat="1" x14ac:dyDescent="0.25">
      <c r="A139" s="118">
        <v>34</v>
      </c>
      <c r="B139" s="151">
        <v>5860</v>
      </c>
      <c r="C139" s="94" t="s">
        <v>322</v>
      </c>
      <c r="D139" s="85"/>
      <c r="E139" s="85"/>
      <c r="F139" s="85">
        <v>0</v>
      </c>
      <c r="G139" s="85"/>
      <c r="H139" s="85"/>
      <c r="I139" s="85"/>
    </row>
    <row r="140" spans="1:9" s="285" customFormat="1" x14ac:dyDescent="0.25">
      <c r="A140" s="118">
        <v>34</v>
      </c>
      <c r="B140" s="151">
        <v>5865</v>
      </c>
      <c r="C140" s="94" t="s">
        <v>323</v>
      </c>
      <c r="D140" s="85"/>
      <c r="E140" s="85"/>
      <c r="F140" s="85">
        <v>0</v>
      </c>
      <c r="G140" s="85"/>
      <c r="H140" s="85"/>
      <c r="I140" s="85"/>
    </row>
    <row r="141" spans="1:9" s="285" customFormat="1" x14ac:dyDescent="0.25">
      <c r="A141" s="118">
        <v>34</v>
      </c>
      <c r="B141" s="151">
        <v>5870</v>
      </c>
      <c r="C141" s="94" t="s">
        <v>324</v>
      </c>
      <c r="D141" s="85"/>
      <c r="E141" s="85"/>
      <c r="F141" s="85">
        <v>0</v>
      </c>
      <c r="G141" s="85"/>
      <c r="H141" s="85"/>
      <c r="I141" s="85"/>
    </row>
    <row r="142" spans="1:9" s="285" customFormat="1" x14ac:dyDescent="0.25">
      <c r="A142" s="118">
        <v>34</v>
      </c>
      <c r="B142" s="151">
        <v>5875</v>
      </c>
      <c r="C142" s="94" t="s">
        <v>325</v>
      </c>
      <c r="D142" s="85"/>
      <c r="E142" s="85"/>
      <c r="F142" s="85">
        <v>0</v>
      </c>
      <c r="G142" s="85"/>
      <c r="H142" s="85"/>
      <c r="I142" s="85"/>
    </row>
    <row r="143" spans="1:9" s="285" customFormat="1" x14ac:dyDescent="0.25">
      <c r="A143" s="118">
        <v>34</v>
      </c>
      <c r="B143" s="151">
        <v>5880</v>
      </c>
      <c r="C143" s="94" t="s">
        <v>326</v>
      </c>
      <c r="D143" s="85"/>
      <c r="E143" s="85"/>
      <c r="F143" s="85">
        <v>0</v>
      </c>
      <c r="G143" s="85"/>
      <c r="H143" s="85"/>
      <c r="I143" s="85"/>
    </row>
    <row r="144" spans="1:9" s="285" customFormat="1" x14ac:dyDescent="0.25">
      <c r="A144" s="118">
        <v>34</v>
      </c>
      <c r="B144" s="151">
        <v>5885</v>
      </c>
      <c r="C144" s="94" t="s">
        <v>331</v>
      </c>
      <c r="D144" s="85"/>
      <c r="E144" s="85">
        <v>0</v>
      </c>
      <c r="F144" s="85">
        <v>0</v>
      </c>
      <c r="G144" s="85"/>
      <c r="H144" s="85"/>
      <c r="I144" s="85"/>
    </row>
    <row r="145" spans="1:9" s="285" customFormat="1" x14ac:dyDescent="0.25">
      <c r="A145" s="118">
        <v>34</v>
      </c>
      <c r="B145" s="151">
        <v>5890</v>
      </c>
      <c r="C145" s="94" t="s">
        <v>327</v>
      </c>
      <c r="D145" s="85"/>
      <c r="E145" s="85"/>
      <c r="F145" s="85">
        <v>0</v>
      </c>
      <c r="G145" s="85"/>
      <c r="H145" s="85"/>
      <c r="I145" s="85"/>
    </row>
    <row r="146" spans="1:9" s="285" customFormat="1" x14ac:dyDescent="0.25">
      <c r="A146" s="118">
        <v>34</v>
      </c>
      <c r="B146" s="151">
        <v>5895</v>
      </c>
      <c r="C146" s="94" t="s">
        <v>328</v>
      </c>
      <c r="D146" s="85"/>
      <c r="E146" s="85"/>
      <c r="F146" s="85">
        <v>0</v>
      </c>
      <c r="G146" s="85"/>
      <c r="H146" s="85"/>
      <c r="I146" s="85"/>
    </row>
    <row r="147" spans="1:9" s="285" customFormat="1" x14ac:dyDescent="0.25">
      <c r="A147" s="118">
        <v>34</v>
      </c>
      <c r="B147" s="151">
        <v>5910</v>
      </c>
      <c r="C147" s="94" t="s">
        <v>330</v>
      </c>
      <c r="D147" s="85"/>
      <c r="E147" s="85"/>
      <c r="F147" s="85">
        <v>0</v>
      </c>
      <c r="G147" s="85"/>
      <c r="H147" s="85"/>
      <c r="I147" s="85"/>
    </row>
    <row r="148" spans="1:9" s="285" customFormat="1" x14ac:dyDescent="0.25">
      <c r="A148" s="344"/>
      <c r="B148" s="151"/>
      <c r="C148" s="94"/>
      <c r="D148" s="89">
        <f t="shared" ref="D148:I148" si="12">SUM(D72:D147)</f>
        <v>78259</v>
      </c>
      <c r="E148" s="89">
        <f t="shared" si="12"/>
        <v>120967.5</v>
      </c>
      <c r="F148" s="89">
        <f t="shared" si="12"/>
        <v>120967.5</v>
      </c>
      <c r="G148" s="89">
        <f t="shared" si="12"/>
        <v>120920</v>
      </c>
      <c r="H148" s="89">
        <f t="shared" si="12"/>
        <v>140920</v>
      </c>
      <c r="I148" s="89">
        <f t="shared" si="12"/>
        <v>152920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34</v>
      </c>
      <c r="B150" s="151">
        <v>6005</v>
      </c>
      <c r="C150" s="94" t="s">
        <v>188</v>
      </c>
      <c r="D150" s="85"/>
      <c r="E150" s="108"/>
      <c r="F150" s="85">
        <v>0</v>
      </c>
      <c r="G150" s="85"/>
      <c r="H150" s="85">
        <f>0/8*12</f>
        <v>0</v>
      </c>
      <c r="I150" s="108"/>
    </row>
    <row r="151" spans="1:9" s="285" customFormat="1" x14ac:dyDescent="0.25">
      <c r="A151" s="344"/>
      <c r="B151" s="151"/>
      <c r="C151" s="94"/>
      <c r="D151" s="89">
        <f t="shared" ref="D151:E151" si="13">SUM(D150)</f>
        <v>0</v>
      </c>
      <c r="E151" s="89">
        <f t="shared" si="13"/>
        <v>0</v>
      </c>
      <c r="F151" s="89">
        <v>0</v>
      </c>
      <c r="G151" s="436">
        <v>0</v>
      </c>
      <c r="H151" s="436">
        <v>0</v>
      </c>
      <c r="I151" s="436"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34</v>
      </c>
      <c r="B153" s="151">
        <v>6105</v>
      </c>
      <c r="C153" s="94" t="s">
        <v>336</v>
      </c>
      <c r="D153" s="85"/>
      <c r="E153" s="108"/>
      <c r="F153" s="85">
        <v>0</v>
      </c>
      <c r="G153" s="85"/>
      <c r="H153" s="85">
        <f t="shared" ref="H153:H155" si="14">0/8*12</f>
        <v>0</v>
      </c>
      <c r="I153" s="108"/>
    </row>
    <row r="154" spans="1:9" s="285" customFormat="1" x14ac:dyDescent="0.25">
      <c r="A154" s="118">
        <v>34</v>
      </c>
      <c r="B154" s="151">
        <v>6110</v>
      </c>
      <c r="C154" s="94" t="s">
        <v>337</v>
      </c>
      <c r="D154" s="85"/>
      <c r="E154" s="108"/>
      <c r="F154" s="85">
        <v>0</v>
      </c>
      <c r="G154" s="85"/>
      <c r="H154" s="85">
        <f t="shared" si="14"/>
        <v>0</v>
      </c>
      <c r="I154" s="108"/>
    </row>
    <row r="155" spans="1:9" s="285" customFormat="1" x14ac:dyDescent="0.25">
      <c r="A155" s="118">
        <v>34</v>
      </c>
      <c r="B155" s="151">
        <v>6115</v>
      </c>
      <c r="C155" s="94" t="s">
        <v>60</v>
      </c>
      <c r="D155" s="85"/>
      <c r="E155" s="108"/>
      <c r="F155" s="85">
        <v>0</v>
      </c>
      <c r="G155" s="85"/>
      <c r="H155" s="85">
        <f t="shared" si="14"/>
        <v>0</v>
      </c>
      <c r="I155" s="108"/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" si="15">SUM(E153:E155)</f>
        <v>0</v>
      </c>
      <c r="F156" s="89">
        <v>0</v>
      </c>
      <c r="G156" s="436">
        <v>0</v>
      </c>
      <c r="H156" s="436">
        <v>0</v>
      </c>
      <c r="I156" s="436"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x14ac:dyDescent="0.25">
      <c r="A158" s="118">
        <v>34</v>
      </c>
      <c r="B158" s="151">
        <v>6205</v>
      </c>
      <c r="C158" s="94" t="s">
        <v>338</v>
      </c>
      <c r="D158" s="85"/>
      <c r="E158" s="108"/>
      <c r="F158" s="85">
        <v>0</v>
      </c>
      <c r="G158" s="85"/>
      <c r="H158" s="85">
        <f>0/8*12</f>
        <v>0</v>
      </c>
      <c r="I158" s="85"/>
    </row>
    <row r="159" spans="1:9" s="285" customFormat="1" x14ac:dyDescent="0.25">
      <c r="A159" s="118">
        <v>34</v>
      </c>
      <c r="B159" s="151">
        <v>6210</v>
      </c>
      <c r="C159" s="94" t="s">
        <v>339</v>
      </c>
      <c r="D159" s="85"/>
      <c r="E159" s="85"/>
      <c r="F159" s="85">
        <v>0</v>
      </c>
      <c r="G159" s="85"/>
      <c r="H159" s="85">
        <f>0/8*12</f>
        <v>0</v>
      </c>
      <c r="I159" s="85"/>
    </row>
    <row r="160" spans="1:9" s="285" customFormat="1" x14ac:dyDescent="0.25">
      <c r="A160" s="344"/>
      <c r="B160" s="346"/>
      <c r="C160" s="347"/>
      <c r="D160" s="116">
        <f t="shared" ref="D160:E160" si="16">SUM(D158:D159)</f>
        <v>0</v>
      </c>
      <c r="E160" s="116">
        <f t="shared" si="16"/>
        <v>0</v>
      </c>
      <c r="F160" s="116">
        <v>0</v>
      </c>
      <c r="G160" s="448">
        <v>0</v>
      </c>
      <c r="H160" s="448">
        <v>0</v>
      </c>
      <c r="I160" s="448"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I161" si="17">D160+D156+D151+D148+D70+D66+D63+D59+D38+D35+D32+D29+D25+D18</f>
        <v>473142</v>
      </c>
      <c r="E161" s="116">
        <f t="shared" si="17"/>
        <v>1217467.5</v>
      </c>
      <c r="F161" s="116">
        <f t="shared" si="17"/>
        <v>1217467.5</v>
      </c>
      <c r="G161" s="116">
        <f t="shared" si="17"/>
        <v>1297534</v>
      </c>
      <c r="H161" s="116">
        <f t="shared" si="17"/>
        <v>1398551.7519999999</v>
      </c>
      <c r="I161" s="116">
        <f t="shared" si="17"/>
        <v>1492806.711136</v>
      </c>
    </row>
    <row r="162" spans="1:9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hidden="1" x14ac:dyDescent="0.25">
      <c r="A163" s="118">
        <v>34</v>
      </c>
      <c r="B163" s="151">
        <v>6305</v>
      </c>
      <c r="C163" s="94" t="s">
        <v>190</v>
      </c>
      <c r="D163" s="85"/>
      <c r="E163" s="85"/>
      <c r="F163" s="85"/>
      <c r="G163" s="85"/>
      <c r="H163" s="85">
        <f>0/8*12</f>
        <v>0</v>
      </c>
      <c r="I163" s="85"/>
    </row>
    <row r="164" spans="1:9" s="285" customFormat="1" hidden="1" x14ac:dyDescent="0.25">
      <c r="A164" s="344"/>
      <c r="B164" s="151"/>
      <c r="C164" s="94"/>
      <c r="D164" s="116">
        <f t="shared" ref="D164:I164" si="18">D163</f>
        <v>0</v>
      </c>
      <c r="E164" s="116">
        <f t="shared" si="18"/>
        <v>0</v>
      </c>
      <c r="F164" s="116">
        <v>0</v>
      </c>
      <c r="G164" s="116"/>
      <c r="H164" s="116">
        <f t="shared" ref="H164" si="19">H163</f>
        <v>0</v>
      </c>
      <c r="I164" s="116">
        <f t="shared" si="18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20">SUM(D161+D164)</f>
        <v>473142</v>
      </c>
      <c r="E165" s="160">
        <f t="shared" si="20"/>
        <v>1217467.5</v>
      </c>
      <c r="F165" s="160">
        <f t="shared" si="20"/>
        <v>1217467.5</v>
      </c>
      <c r="G165" s="160">
        <f t="shared" si="20"/>
        <v>1297534</v>
      </c>
      <c r="H165" s="160">
        <f t="shared" si="20"/>
        <v>1398551.7519999999</v>
      </c>
      <c r="I165" s="160">
        <f t="shared" si="20"/>
        <v>1492806.711136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425"/>
      <c r="H168" s="338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34</v>
      </c>
      <c r="B172" s="151">
        <v>1237</v>
      </c>
      <c r="C172" s="94" t="s">
        <v>99</v>
      </c>
      <c r="D172" s="122"/>
      <c r="E172" s="108"/>
      <c r="F172" s="98">
        <v>0</v>
      </c>
      <c r="G172" s="98"/>
      <c r="H172" s="98"/>
      <c r="I172" s="108">
        <f>F172*(1+INPUT!C15)</f>
        <v>0</v>
      </c>
    </row>
    <row r="173" spans="1:9" s="285" customFormat="1" hidden="1" x14ac:dyDescent="0.25">
      <c r="A173" s="118">
        <v>34</v>
      </c>
      <c r="B173" s="151">
        <v>5725</v>
      </c>
      <c r="C173" s="94" t="s">
        <v>402</v>
      </c>
      <c r="D173" s="85">
        <v>0</v>
      </c>
      <c r="E173" s="85">
        <v>0</v>
      </c>
      <c r="F173" s="85">
        <v>0</v>
      </c>
      <c r="G173" s="85"/>
      <c r="H173" s="85"/>
      <c r="I173" s="85">
        <f>F173*(1+INPUT!C$10)</f>
        <v>0</v>
      </c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34</v>
      </c>
      <c r="B176" s="151">
        <v>1147</v>
      </c>
      <c r="C176" s="94" t="s">
        <v>102</v>
      </c>
      <c r="D176" s="122"/>
      <c r="E176" s="98"/>
      <c r="F176" s="98">
        <v>0</v>
      </c>
      <c r="G176" s="98"/>
      <c r="H176" s="98"/>
      <c r="I176" s="98">
        <f>F176*(1+INPUT!C18)</f>
        <v>0</v>
      </c>
    </row>
    <row r="177" spans="1:9" s="285" customFormat="1" hidden="1" x14ac:dyDescent="0.25">
      <c r="A177" s="118">
        <v>34</v>
      </c>
      <c r="B177" s="151">
        <v>1202</v>
      </c>
      <c r="C177" s="94" t="s">
        <v>343</v>
      </c>
      <c r="D177" s="122"/>
      <c r="E177" s="98"/>
      <c r="F177" s="98">
        <v>0</v>
      </c>
      <c r="G177" s="98"/>
      <c r="H177" s="98"/>
      <c r="I177" s="98">
        <f>F177*(1+INPUT!C19)</f>
        <v>0</v>
      </c>
    </row>
    <row r="178" spans="1:9" s="285" customFormat="1" hidden="1" x14ac:dyDescent="0.25">
      <c r="A178" s="118">
        <v>34</v>
      </c>
      <c r="B178" s="151">
        <v>1207</v>
      </c>
      <c r="C178" s="94" t="s">
        <v>104</v>
      </c>
      <c r="D178" s="122"/>
      <c r="E178" s="98"/>
      <c r="F178" s="98">
        <v>0</v>
      </c>
      <c r="G178" s="98"/>
      <c r="H178" s="98"/>
      <c r="I178" s="98">
        <f>F178*(1+INPUT!C20)</f>
        <v>0</v>
      </c>
    </row>
    <row r="179" spans="1:9" s="285" customFormat="1" hidden="1" x14ac:dyDescent="0.25">
      <c r="A179" s="118">
        <v>34</v>
      </c>
      <c r="B179" s="151">
        <v>1153</v>
      </c>
      <c r="C179" s="94" t="s">
        <v>115</v>
      </c>
      <c r="D179" s="122"/>
      <c r="E179" s="98"/>
      <c r="F179" s="98">
        <v>0</v>
      </c>
      <c r="G179" s="98"/>
      <c r="H179" s="98"/>
      <c r="I179" s="98">
        <f>F179*(1+INPUT!C21)</f>
        <v>0</v>
      </c>
    </row>
    <row r="180" spans="1:9" s="285" customFormat="1" hidden="1" x14ac:dyDescent="0.25">
      <c r="A180" s="118">
        <v>34</v>
      </c>
      <c r="B180" s="151">
        <v>1143</v>
      </c>
      <c r="C180" s="94" t="s">
        <v>109</v>
      </c>
      <c r="D180" s="122"/>
      <c r="E180" s="98"/>
      <c r="F180" s="98">
        <v>0</v>
      </c>
      <c r="G180" s="98"/>
      <c r="H180" s="98"/>
      <c r="I180" s="98">
        <f>F180*(1+INPUT!C22)</f>
        <v>0</v>
      </c>
    </row>
    <row r="181" spans="1:9" s="285" customFormat="1" x14ac:dyDescent="0.25">
      <c r="A181" s="118">
        <v>34</v>
      </c>
      <c r="B181" s="151">
        <v>5500</v>
      </c>
      <c r="C181" s="94" t="s">
        <v>266</v>
      </c>
      <c r="D181" s="85"/>
      <c r="E181" s="85">
        <v>-33969</v>
      </c>
      <c r="F181" s="85">
        <v>-33969</v>
      </c>
      <c r="G181" s="85">
        <f>(F181*0.1)+F181</f>
        <v>-37365.9</v>
      </c>
      <c r="H181" s="85">
        <f t="shared" ref="H181:I181" si="21">(G181*0.1)+G181</f>
        <v>-41102.490000000005</v>
      </c>
      <c r="I181" s="85">
        <f t="shared" si="21"/>
        <v>-45212.739000000009</v>
      </c>
    </row>
    <row r="182" spans="1:9" s="285" customFormat="1" hidden="1" x14ac:dyDescent="0.25">
      <c r="A182" s="118">
        <v>34</v>
      </c>
      <c r="B182" s="151">
        <v>5705</v>
      </c>
      <c r="C182" s="94" t="s">
        <v>296</v>
      </c>
      <c r="D182" s="85"/>
      <c r="E182" s="85"/>
      <c r="F182" s="85">
        <v>0</v>
      </c>
      <c r="G182" s="85">
        <f t="shared" ref="G182:I182" si="22">(F182*0.1)+F182</f>
        <v>0</v>
      </c>
      <c r="H182" s="85">
        <f t="shared" si="22"/>
        <v>0</v>
      </c>
      <c r="I182" s="85">
        <f t="shared" si="22"/>
        <v>0</v>
      </c>
    </row>
    <row r="183" spans="1:9" s="285" customFormat="1" hidden="1" x14ac:dyDescent="0.25">
      <c r="A183" s="118">
        <v>34</v>
      </c>
      <c r="B183" s="151">
        <v>1140</v>
      </c>
      <c r="C183" s="94" t="s">
        <v>113</v>
      </c>
      <c r="D183" s="122"/>
      <c r="E183" s="98"/>
      <c r="F183" s="85">
        <v>0</v>
      </c>
      <c r="G183" s="85">
        <f t="shared" ref="G183:I183" si="23">(F183*0.1)+F183</f>
        <v>0</v>
      </c>
      <c r="H183" s="85">
        <f t="shared" si="23"/>
        <v>0</v>
      </c>
      <c r="I183" s="85">
        <f t="shared" si="23"/>
        <v>0</v>
      </c>
    </row>
    <row r="184" spans="1:9" s="285" customFormat="1" hidden="1" x14ac:dyDescent="0.25">
      <c r="A184" s="118">
        <v>34</v>
      </c>
      <c r="B184" s="151">
        <v>1145</v>
      </c>
      <c r="C184" s="94" t="s">
        <v>132</v>
      </c>
      <c r="D184" s="122"/>
      <c r="E184" s="98"/>
      <c r="F184" s="85">
        <v>0</v>
      </c>
      <c r="G184" s="85">
        <f t="shared" ref="G184:I184" si="24">(F184*0.1)+F184</f>
        <v>0</v>
      </c>
      <c r="H184" s="85">
        <f t="shared" si="24"/>
        <v>0</v>
      </c>
      <c r="I184" s="85">
        <f t="shared" si="24"/>
        <v>0</v>
      </c>
    </row>
    <row r="185" spans="1:9" s="285" customFormat="1" hidden="1" x14ac:dyDescent="0.25">
      <c r="A185" s="118">
        <v>34</v>
      </c>
      <c r="B185" s="151">
        <v>1150</v>
      </c>
      <c r="C185" s="94" t="s">
        <v>120</v>
      </c>
      <c r="D185" s="122"/>
      <c r="E185" s="98"/>
      <c r="F185" s="85">
        <v>0</v>
      </c>
      <c r="G185" s="85">
        <f t="shared" ref="G185:I185" si="25">(F185*0.1)+F185</f>
        <v>0</v>
      </c>
      <c r="H185" s="85">
        <f t="shared" si="25"/>
        <v>0</v>
      </c>
      <c r="I185" s="85">
        <f t="shared" si="25"/>
        <v>0</v>
      </c>
    </row>
    <row r="186" spans="1:9" s="285" customFormat="1" hidden="1" x14ac:dyDescent="0.25">
      <c r="A186" s="118">
        <v>34</v>
      </c>
      <c r="B186" s="151">
        <v>1155</v>
      </c>
      <c r="C186" s="94" t="s">
        <v>116</v>
      </c>
      <c r="D186" s="122"/>
      <c r="E186" s="98"/>
      <c r="F186" s="85">
        <v>0</v>
      </c>
      <c r="G186" s="85">
        <f t="shared" ref="G186:I186" si="26">(F186*0.1)+F186</f>
        <v>0</v>
      </c>
      <c r="H186" s="85">
        <f t="shared" si="26"/>
        <v>0</v>
      </c>
      <c r="I186" s="85">
        <f t="shared" si="26"/>
        <v>0</v>
      </c>
    </row>
    <row r="187" spans="1:9" s="285" customFormat="1" hidden="1" x14ac:dyDescent="0.25">
      <c r="A187" s="118">
        <v>34</v>
      </c>
      <c r="B187" s="151">
        <v>1160</v>
      </c>
      <c r="C187" s="94" t="s">
        <v>101</v>
      </c>
      <c r="D187" s="122"/>
      <c r="E187" s="98"/>
      <c r="F187" s="85">
        <v>0</v>
      </c>
      <c r="G187" s="85">
        <f t="shared" ref="G187:I187" si="27">(F187*0.1)+F187</f>
        <v>0</v>
      </c>
      <c r="H187" s="85">
        <f t="shared" si="27"/>
        <v>0</v>
      </c>
      <c r="I187" s="85">
        <f t="shared" si="27"/>
        <v>0</v>
      </c>
    </row>
    <row r="188" spans="1:9" s="285" customFormat="1" hidden="1" x14ac:dyDescent="0.25">
      <c r="A188" s="118">
        <v>34</v>
      </c>
      <c r="B188" s="151">
        <v>1165</v>
      </c>
      <c r="C188" s="94" t="s">
        <v>114</v>
      </c>
      <c r="D188" s="122"/>
      <c r="E188" s="98"/>
      <c r="F188" s="85">
        <v>0</v>
      </c>
      <c r="G188" s="85">
        <f t="shared" ref="G188:I188" si="28">(F188*0.1)+F188</f>
        <v>0</v>
      </c>
      <c r="H188" s="85">
        <f t="shared" si="28"/>
        <v>0</v>
      </c>
      <c r="I188" s="85">
        <f t="shared" si="28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85">
        <v>0</v>
      </c>
      <c r="G189" s="85">
        <f t="shared" ref="G189:I189" si="29">(F189*0.1)+F189</f>
        <v>0</v>
      </c>
      <c r="H189" s="85">
        <f t="shared" si="29"/>
        <v>0</v>
      </c>
      <c r="I189" s="85">
        <f t="shared" si="29"/>
        <v>0</v>
      </c>
    </row>
    <row r="190" spans="1:9" s="285" customFormat="1" hidden="1" x14ac:dyDescent="0.25">
      <c r="A190" s="118">
        <v>34</v>
      </c>
      <c r="B190" s="151">
        <v>1180</v>
      </c>
      <c r="C190" s="94" t="s">
        <v>404</v>
      </c>
      <c r="D190" s="122"/>
      <c r="E190" s="98"/>
      <c r="F190" s="85">
        <v>0</v>
      </c>
      <c r="G190" s="85">
        <f t="shared" ref="G190:I190" si="30">(F190*0.1)+F190</f>
        <v>0</v>
      </c>
      <c r="H190" s="85">
        <f t="shared" si="30"/>
        <v>0</v>
      </c>
      <c r="I190" s="85">
        <f t="shared" si="30"/>
        <v>0</v>
      </c>
    </row>
    <row r="191" spans="1:9" s="285" customFormat="1" hidden="1" x14ac:dyDescent="0.25">
      <c r="A191" s="118">
        <v>34</v>
      </c>
      <c r="B191" s="151">
        <v>1185</v>
      </c>
      <c r="C191" s="94" t="s">
        <v>405</v>
      </c>
      <c r="D191" s="122"/>
      <c r="E191" s="98"/>
      <c r="F191" s="85">
        <v>0</v>
      </c>
      <c r="G191" s="85">
        <f t="shared" ref="G191:I191" si="31">(F191*0.1)+F191</f>
        <v>0</v>
      </c>
      <c r="H191" s="85">
        <f t="shared" si="31"/>
        <v>0</v>
      </c>
      <c r="I191" s="85">
        <f t="shared" si="31"/>
        <v>0</v>
      </c>
    </row>
    <row r="192" spans="1:9" s="285" customFormat="1" hidden="1" x14ac:dyDescent="0.25">
      <c r="A192" s="118">
        <v>34</v>
      </c>
      <c r="B192" s="151">
        <v>1190</v>
      </c>
      <c r="C192" s="94" t="s">
        <v>406</v>
      </c>
      <c r="D192" s="122"/>
      <c r="E192" s="98"/>
      <c r="F192" s="85">
        <v>0</v>
      </c>
      <c r="G192" s="85">
        <f t="shared" ref="G192:I192" si="32">(F192*0.1)+F192</f>
        <v>0</v>
      </c>
      <c r="H192" s="85">
        <f t="shared" si="32"/>
        <v>0</v>
      </c>
      <c r="I192" s="85">
        <f t="shared" si="32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85">
        <v>0</v>
      </c>
      <c r="G193" s="85">
        <f t="shared" ref="G193:I193" si="33">(F193*0.1)+F193</f>
        <v>0</v>
      </c>
      <c r="H193" s="85">
        <f t="shared" si="33"/>
        <v>0</v>
      </c>
      <c r="I193" s="85">
        <f t="shared" si="33"/>
        <v>0</v>
      </c>
    </row>
    <row r="194" spans="1:9" s="285" customFormat="1" hidden="1" x14ac:dyDescent="0.25">
      <c r="A194" s="118">
        <v>34</v>
      </c>
      <c r="B194" s="151">
        <v>1195</v>
      </c>
      <c r="C194" s="94" t="s">
        <v>199</v>
      </c>
      <c r="D194" s="122"/>
      <c r="E194" s="98"/>
      <c r="F194" s="85">
        <v>0</v>
      </c>
      <c r="G194" s="85">
        <f t="shared" ref="G194:I194" si="34">(F194*0.1)+F194</f>
        <v>0</v>
      </c>
      <c r="H194" s="85">
        <f t="shared" si="34"/>
        <v>0</v>
      </c>
      <c r="I194" s="85">
        <f t="shared" si="34"/>
        <v>0</v>
      </c>
    </row>
    <row r="195" spans="1:9" s="285" customFormat="1" hidden="1" x14ac:dyDescent="0.25">
      <c r="A195" s="118">
        <v>34</v>
      </c>
      <c r="B195" s="151">
        <v>1200</v>
      </c>
      <c r="C195" s="94" t="s">
        <v>117</v>
      </c>
      <c r="D195" s="122"/>
      <c r="E195" s="98"/>
      <c r="F195" s="85">
        <v>0</v>
      </c>
      <c r="G195" s="85">
        <f t="shared" ref="G195:I195" si="35">(F195*0.1)+F195</f>
        <v>0</v>
      </c>
      <c r="H195" s="85">
        <f t="shared" si="35"/>
        <v>0</v>
      </c>
      <c r="I195" s="85">
        <f t="shared" si="35"/>
        <v>0</v>
      </c>
    </row>
    <row r="196" spans="1:9" s="285" customFormat="1" hidden="1" x14ac:dyDescent="0.25">
      <c r="A196" s="118">
        <v>34</v>
      </c>
      <c r="B196" s="151">
        <v>1205</v>
      </c>
      <c r="C196" s="115" t="s">
        <v>105</v>
      </c>
      <c r="D196" s="122"/>
      <c r="E196" s="98"/>
      <c r="F196" s="85">
        <v>0</v>
      </c>
      <c r="G196" s="85">
        <f t="shared" ref="G196:I196" si="36">(F196*0.1)+F196</f>
        <v>0</v>
      </c>
      <c r="H196" s="85">
        <f t="shared" si="36"/>
        <v>0</v>
      </c>
      <c r="I196" s="85">
        <f t="shared" si="36"/>
        <v>0</v>
      </c>
    </row>
    <row r="197" spans="1:9" s="285" customFormat="1" hidden="1" x14ac:dyDescent="0.25">
      <c r="A197" s="118">
        <v>34</v>
      </c>
      <c r="B197" s="151">
        <v>1210</v>
      </c>
      <c r="C197" s="94" t="s">
        <v>118</v>
      </c>
      <c r="D197" s="122"/>
      <c r="E197" s="98"/>
      <c r="F197" s="85">
        <v>0</v>
      </c>
      <c r="G197" s="85">
        <f t="shared" ref="G197:I197" si="37">(F197*0.1)+F197</f>
        <v>0</v>
      </c>
      <c r="H197" s="85">
        <f t="shared" si="37"/>
        <v>0</v>
      </c>
      <c r="I197" s="85">
        <f t="shared" si="37"/>
        <v>0</v>
      </c>
    </row>
    <row r="198" spans="1:9" s="285" customFormat="1" hidden="1" x14ac:dyDescent="0.25">
      <c r="A198" s="118">
        <v>34</v>
      </c>
      <c r="B198" s="151">
        <v>1215</v>
      </c>
      <c r="C198" s="94" t="s">
        <v>133</v>
      </c>
      <c r="D198" s="122"/>
      <c r="E198" s="98"/>
      <c r="F198" s="85">
        <v>0</v>
      </c>
      <c r="G198" s="85">
        <f t="shared" ref="G198:I198" si="38">(F198*0.1)+F198</f>
        <v>0</v>
      </c>
      <c r="H198" s="85">
        <f t="shared" si="38"/>
        <v>0</v>
      </c>
      <c r="I198" s="85">
        <f t="shared" si="38"/>
        <v>0</v>
      </c>
    </row>
    <row r="199" spans="1:9" s="285" customFormat="1" hidden="1" x14ac:dyDescent="0.25">
      <c r="A199" s="118">
        <v>34</v>
      </c>
      <c r="B199" s="151">
        <v>5905</v>
      </c>
      <c r="C199" s="94" t="s">
        <v>329</v>
      </c>
      <c r="D199" s="85"/>
      <c r="E199" s="85"/>
      <c r="F199" s="85">
        <v>0</v>
      </c>
      <c r="G199" s="85">
        <f t="shared" ref="G199:I199" si="39">(F199*0.1)+F199</f>
        <v>0</v>
      </c>
      <c r="H199" s="85">
        <f t="shared" si="39"/>
        <v>0</v>
      </c>
      <c r="I199" s="85">
        <f t="shared" si="39"/>
        <v>0</v>
      </c>
    </row>
    <row r="200" spans="1:9" s="285" customFormat="1" x14ac:dyDescent="0.25">
      <c r="A200" s="118">
        <v>34</v>
      </c>
      <c r="B200" s="151">
        <v>5900</v>
      </c>
      <c r="C200" s="94" t="s">
        <v>333</v>
      </c>
      <c r="D200" s="85">
        <v>0</v>
      </c>
      <c r="E200" s="85">
        <v>-17024</v>
      </c>
      <c r="F200" s="85">
        <v>-17024</v>
      </c>
      <c r="G200" s="85">
        <f t="shared" ref="G200:I200" si="40">(F200*0.1)+F200</f>
        <v>-18726.400000000001</v>
      </c>
      <c r="H200" s="85">
        <f t="shared" si="40"/>
        <v>-20599.04</v>
      </c>
      <c r="I200" s="85">
        <f t="shared" si="40"/>
        <v>-22658.944</v>
      </c>
    </row>
    <row r="201" spans="1:9" s="285" customFormat="1" hidden="1" x14ac:dyDescent="0.25">
      <c r="A201" s="118">
        <v>34</v>
      </c>
      <c r="B201" s="151">
        <v>1220</v>
      </c>
      <c r="C201" s="94" t="s">
        <v>340</v>
      </c>
      <c r="D201" s="122"/>
      <c r="E201" s="98"/>
      <c r="F201" s="98">
        <v>0</v>
      </c>
      <c r="G201" s="98"/>
      <c r="H201" s="98"/>
      <c r="I201" s="98">
        <f>F201*(1+INPUT!C37)</f>
        <v>0</v>
      </c>
    </row>
    <row r="202" spans="1:9" s="285" customFormat="1" hidden="1" x14ac:dyDescent="0.25">
      <c r="A202" s="118">
        <v>34</v>
      </c>
      <c r="B202" s="151">
        <v>1225</v>
      </c>
      <c r="C202" s="94" t="s">
        <v>372</v>
      </c>
      <c r="D202" s="122"/>
      <c r="E202" s="98"/>
      <c r="F202" s="98">
        <v>0</v>
      </c>
      <c r="G202" s="98"/>
      <c r="H202" s="98"/>
      <c r="I202" s="98">
        <f>F202*(1+INPUT!C38)</f>
        <v>0</v>
      </c>
    </row>
    <row r="203" spans="1:9" s="285" customFormat="1" hidden="1" x14ac:dyDescent="0.25">
      <c r="A203" s="118">
        <v>34</v>
      </c>
      <c r="B203" s="151">
        <v>1230</v>
      </c>
      <c r="C203" s="94" t="s">
        <v>119</v>
      </c>
      <c r="D203" s="122"/>
      <c r="E203" s="98"/>
      <c r="F203" s="98">
        <v>0</v>
      </c>
      <c r="G203" s="98"/>
      <c r="H203" s="98"/>
      <c r="I203" s="98">
        <f>F203*(1+INPUT!C39)</f>
        <v>0</v>
      </c>
    </row>
    <row r="204" spans="1:9" s="285" customFormat="1" hidden="1" x14ac:dyDescent="0.25">
      <c r="A204" s="118">
        <v>34</v>
      </c>
      <c r="B204" s="151">
        <v>1235</v>
      </c>
      <c r="C204" s="94" t="s">
        <v>347</v>
      </c>
      <c r="D204" s="122"/>
      <c r="E204" s="98"/>
      <c r="F204" s="98">
        <v>0</v>
      </c>
      <c r="G204" s="98"/>
      <c r="H204" s="98"/>
      <c r="I204" s="98">
        <f>F204*(1+INPUT!C40)</f>
        <v>0</v>
      </c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x14ac:dyDescent="0.25">
      <c r="A206" s="344"/>
      <c r="B206" s="151"/>
      <c r="C206" s="94"/>
      <c r="D206" s="100">
        <f t="shared" ref="D206:I206" si="41">SUM(D176:D204)</f>
        <v>0</v>
      </c>
      <c r="E206" s="100">
        <f t="shared" si="41"/>
        <v>-50993</v>
      </c>
      <c r="F206" s="100">
        <f t="shared" si="41"/>
        <v>-50993</v>
      </c>
      <c r="G206" s="100">
        <f t="shared" si="41"/>
        <v>-56092.3</v>
      </c>
      <c r="H206" s="100">
        <f t="shared" si="41"/>
        <v>-61701.530000000006</v>
      </c>
      <c r="I206" s="100">
        <f t="shared" si="41"/>
        <v>-67871.683000000005</v>
      </c>
    </row>
    <row r="207" spans="1:9" s="285" customFormat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34</v>
      </c>
      <c r="B208" s="151">
        <v>1305</v>
      </c>
      <c r="C208" s="94" t="s">
        <v>342</v>
      </c>
      <c r="D208" s="122"/>
      <c r="E208" s="98"/>
      <c r="F208" s="98">
        <v>0</v>
      </c>
      <c r="G208" s="98"/>
      <c r="H208" s="98"/>
      <c r="I208" s="98">
        <f>F208*(1+INPUT!C43)</f>
        <v>0</v>
      </c>
    </row>
    <row r="209" spans="1:9" s="285" customFormat="1" x14ac:dyDescent="0.25">
      <c r="A209" s="118">
        <v>34</v>
      </c>
      <c r="B209" s="151">
        <v>1310</v>
      </c>
      <c r="C209" s="94" t="s">
        <v>344</v>
      </c>
      <c r="D209" s="122">
        <v>469</v>
      </c>
      <c r="E209" s="98">
        <v>43595.904000000002</v>
      </c>
      <c r="F209" s="85">
        <v>43595.904000000002</v>
      </c>
      <c r="G209" s="85">
        <v>43595.904000000002</v>
      </c>
      <c r="H209" s="85">
        <v>43595.904000000002</v>
      </c>
      <c r="I209" s="85">
        <v>43595.904000000002</v>
      </c>
    </row>
    <row r="210" spans="1:9" s="285" customFormat="1" hidden="1" x14ac:dyDescent="0.25">
      <c r="A210" s="118">
        <v>34</v>
      </c>
      <c r="B210" s="151">
        <v>1320</v>
      </c>
      <c r="C210" s="94" t="s">
        <v>345</v>
      </c>
      <c r="D210" s="122"/>
      <c r="E210" s="98"/>
      <c r="F210" s="98">
        <v>0</v>
      </c>
      <c r="G210" s="98"/>
      <c r="H210" s="98"/>
      <c r="I210" s="98">
        <f>F210*(1+INPUT!C45)</f>
        <v>0</v>
      </c>
    </row>
    <row r="211" spans="1:9" s="285" customFormat="1" hidden="1" x14ac:dyDescent="0.25">
      <c r="A211" s="118">
        <v>34</v>
      </c>
      <c r="B211" s="151">
        <v>1315</v>
      </c>
      <c r="C211" s="94" t="s">
        <v>346</v>
      </c>
      <c r="D211" s="122"/>
      <c r="E211" s="108"/>
      <c r="F211" s="98">
        <v>0</v>
      </c>
      <c r="G211" s="98"/>
      <c r="H211" s="98"/>
      <c r="I211" s="108">
        <f>F211*(1+INPUT!C46)</f>
        <v>0</v>
      </c>
    </row>
    <row r="212" spans="1:9" s="285" customFormat="1" x14ac:dyDescent="0.25">
      <c r="A212" s="344"/>
      <c r="B212" s="151"/>
      <c r="C212" s="94"/>
      <c r="D212" s="99">
        <f>D211</f>
        <v>0</v>
      </c>
      <c r="E212" s="99">
        <f t="shared" ref="E212:I212" si="42">SUM(E208:E211)</f>
        <v>43595.904000000002</v>
      </c>
      <c r="F212" s="99">
        <f t="shared" si="42"/>
        <v>43595.904000000002</v>
      </c>
      <c r="G212" s="99">
        <f t="shared" si="42"/>
        <v>43595.904000000002</v>
      </c>
      <c r="H212" s="99">
        <f t="shared" si="42"/>
        <v>43595.904000000002</v>
      </c>
      <c r="I212" s="99">
        <f t="shared" si="42"/>
        <v>43595.904000000002</v>
      </c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34</v>
      </c>
      <c r="B214" s="151">
        <v>1400</v>
      </c>
      <c r="C214" s="94" t="s">
        <v>68</v>
      </c>
      <c r="D214" s="122"/>
      <c r="E214" s="108"/>
      <c r="F214" s="98"/>
      <c r="G214" s="98"/>
      <c r="H214" s="98">
        <f>F214/8*12</f>
        <v>0</v>
      </c>
      <c r="I214" s="108"/>
    </row>
    <row r="215" spans="1:9" s="285" customFormat="1" hidden="1" x14ac:dyDescent="0.25">
      <c r="A215" s="118">
        <v>34</v>
      </c>
      <c r="B215" s="151">
        <v>1405</v>
      </c>
      <c r="C215" s="94" t="s">
        <v>69</v>
      </c>
      <c r="D215" s="122"/>
      <c r="E215" s="108"/>
      <c r="F215" s="98"/>
      <c r="G215" s="98"/>
      <c r="H215" s="98">
        <f>F215/8*12</f>
        <v>0</v>
      </c>
      <c r="I215" s="108"/>
    </row>
    <row r="216" spans="1:9" s="285" customFormat="1" hidden="1" x14ac:dyDescent="0.25">
      <c r="A216" s="344"/>
      <c r="B216" s="151"/>
      <c r="C216" s="94"/>
      <c r="D216" s="99">
        <f t="shared" ref="D216:I216" si="43">SUM(D214:D215)</f>
        <v>0</v>
      </c>
      <c r="E216" s="99">
        <f t="shared" si="43"/>
        <v>0</v>
      </c>
      <c r="F216" s="99">
        <v>0</v>
      </c>
      <c r="G216" s="99"/>
      <c r="H216" s="99">
        <f t="shared" ref="H216" si="44">SUM(H214:H215)</f>
        <v>0</v>
      </c>
      <c r="I216" s="99">
        <f t="shared" si="43"/>
        <v>0</v>
      </c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34</v>
      </c>
      <c r="B218" s="151">
        <v>1500</v>
      </c>
      <c r="C218" s="94" t="s">
        <v>106</v>
      </c>
      <c r="D218" s="122"/>
      <c r="E218" s="108"/>
      <c r="F218" s="98"/>
      <c r="G218" s="98"/>
      <c r="H218" s="98">
        <f>F218/8*12</f>
        <v>0</v>
      </c>
      <c r="I218" s="108"/>
    </row>
    <row r="219" spans="1:9" s="285" customFormat="1" hidden="1" x14ac:dyDescent="0.25">
      <c r="A219" s="118">
        <v>34</v>
      </c>
      <c r="B219" s="151">
        <v>1505</v>
      </c>
      <c r="C219" s="94" t="s">
        <v>71</v>
      </c>
      <c r="D219" s="122"/>
      <c r="E219" s="108"/>
      <c r="F219" s="98"/>
      <c r="G219" s="98"/>
      <c r="H219" s="98">
        <f>F219/8*12</f>
        <v>0</v>
      </c>
      <c r="I219" s="108"/>
    </row>
    <row r="220" spans="1:9" s="285" customFormat="1" hidden="1" x14ac:dyDescent="0.25">
      <c r="A220" s="118">
        <v>34</v>
      </c>
      <c r="B220" s="151">
        <v>1510</v>
      </c>
      <c r="C220" s="94" t="s">
        <v>72</v>
      </c>
      <c r="D220" s="122"/>
      <c r="E220" s="108"/>
      <c r="F220" s="98"/>
      <c r="G220" s="98"/>
      <c r="H220" s="98">
        <f>F220/8*12</f>
        <v>0</v>
      </c>
      <c r="I220" s="108"/>
    </row>
    <row r="221" spans="1:9" s="285" customFormat="1" hidden="1" x14ac:dyDescent="0.25">
      <c r="A221" s="344"/>
      <c r="B221" s="151"/>
      <c r="C221" s="94"/>
      <c r="D221" s="99">
        <f t="shared" ref="D221:I221" si="45">SUM(D218:D220)</f>
        <v>0</v>
      </c>
      <c r="E221" s="99">
        <f t="shared" si="45"/>
        <v>0</v>
      </c>
      <c r="F221" s="99">
        <v>0</v>
      </c>
      <c r="G221" s="99"/>
      <c r="H221" s="99">
        <f t="shared" ref="H221" si="46">SUM(H218:H220)</f>
        <v>0</v>
      </c>
      <c r="I221" s="99">
        <f t="shared" si="45"/>
        <v>0</v>
      </c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34</v>
      </c>
      <c r="B223" s="151">
        <v>1550</v>
      </c>
      <c r="C223" s="94" t="s">
        <v>349</v>
      </c>
      <c r="D223" s="122"/>
      <c r="E223" s="98"/>
      <c r="F223" s="98"/>
      <c r="G223" s="98"/>
      <c r="H223" s="98">
        <f>F223/8*12</f>
        <v>0</v>
      </c>
      <c r="I223" s="98"/>
    </row>
    <row r="224" spans="1:9" s="285" customFormat="1" hidden="1" x14ac:dyDescent="0.25">
      <c r="A224" s="118">
        <v>34</v>
      </c>
      <c r="B224" s="151">
        <v>1555</v>
      </c>
      <c r="C224" s="94" t="s">
        <v>348</v>
      </c>
      <c r="D224" s="122"/>
      <c r="E224" s="98"/>
      <c r="F224" s="98"/>
      <c r="G224" s="98"/>
      <c r="H224" s="98">
        <f>F224/8*12</f>
        <v>0</v>
      </c>
      <c r="I224" s="108"/>
    </row>
    <row r="225" spans="1:9" s="285" customFormat="1" hidden="1" x14ac:dyDescent="0.25">
      <c r="A225" s="344"/>
      <c r="B225" s="151"/>
      <c r="C225" s="94"/>
      <c r="D225" s="100">
        <f t="shared" ref="D225:I225" si="47">SUM(D223:D224)</f>
        <v>0</v>
      </c>
      <c r="E225" s="100">
        <f t="shared" si="47"/>
        <v>0</v>
      </c>
      <c r="F225" s="100">
        <v>0</v>
      </c>
      <c r="G225" s="100"/>
      <c r="H225" s="100">
        <f t="shared" ref="H225" si="48">SUM(H223:H224)</f>
        <v>0</v>
      </c>
      <c r="I225" s="100">
        <f t="shared" si="47"/>
        <v>0</v>
      </c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34</v>
      </c>
      <c r="B227" s="151">
        <v>1605</v>
      </c>
      <c r="C227" s="94" t="s">
        <v>75</v>
      </c>
      <c r="D227" s="122"/>
      <c r="E227" s="98"/>
      <c r="F227" s="98"/>
      <c r="G227" s="98"/>
      <c r="H227" s="98">
        <f t="shared" ref="H227:H239" si="49">F227/8*12</f>
        <v>0</v>
      </c>
      <c r="I227" s="98"/>
    </row>
    <row r="228" spans="1:9" s="285" customFormat="1" hidden="1" x14ac:dyDescent="0.25">
      <c r="A228" s="118">
        <v>34</v>
      </c>
      <c r="B228" s="151">
        <v>1610</v>
      </c>
      <c r="C228" s="94" t="s">
        <v>131</v>
      </c>
      <c r="D228" s="122"/>
      <c r="E228" s="108"/>
      <c r="F228" s="98"/>
      <c r="G228" s="98"/>
      <c r="H228" s="98">
        <f t="shared" si="49"/>
        <v>0</v>
      </c>
      <c r="I228" s="98"/>
    </row>
    <row r="229" spans="1:9" s="285" customFormat="1" hidden="1" x14ac:dyDescent="0.25">
      <c r="A229" s="118">
        <v>34</v>
      </c>
      <c r="B229" s="151">
        <v>1615</v>
      </c>
      <c r="C229" s="94" t="s">
        <v>182</v>
      </c>
      <c r="D229" s="122"/>
      <c r="E229" s="108"/>
      <c r="F229" s="98"/>
      <c r="G229" s="98"/>
      <c r="H229" s="98">
        <f t="shared" si="49"/>
        <v>0</v>
      </c>
      <c r="I229" s="98"/>
    </row>
    <row r="230" spans="1:9" s="285" customFormat="1" hidden="1" x14ac:dyDescent="0.25">
      <c r="A230" s="118">
        <v>34</v>
      </c>
      <c r="B230" s="151">
        <v>1620</v>
      </c>
      <c r="C230" s="94" t="s">
        <v>255</v>
      </c>
      <c r="D230" s="122"/>
      <c r="E230" s="108"/>
      <c r="F230" s="98"/>
      <c r="G230" s="98"/>
      <c r="H230" s="98">
        <f t="shared" si="49"/>
        <v>0</v>
      </c>
      <c r="I230" s="98"/>
    </row>
    <row r="231" spans="1:9" s="285" customFormat="1" hidden="1" x14ac:dyDescent="0.25">
      <c r="A231" s="118">
        <v>34</v>
      </c>
      <c r="B231" s="151">
        <v>1625</v>
      </c>
      <c r="C231" s="94" t="s">
        <v>108</v>
      </c>
      <c r="D231" s="122"/>
      <c r="E231" s="108"/>
      <c r="F231" s="98"/>
      <c r="G231" s="98"/>
      <c r="H231" s="98">
        <f t="shared" si="49"/>
        <v>0</v>
      </c>
      <c r="I231" s="98"/>
    </row>
    <row r="232" spans="1:9" s="285" customFormat="1" hidden="1" x14ac:dyDescent="0.25">
      <c r="A232" s="118">
        <v>34</v>
      </c>
      <c r="B232" s="151">
        <v>1630</v>
      </c>
      <c r="C232" s="94" t="s">
        <v>76</v>
      </c>
      <c r="D232" s="122"/>
      <c r="E232" s="108"/>
      <c r="F232" s="98"/>
      <c r="G232" s="98"/>
      <c r="H232" s="98">
        <f t="shared" si="49"/>
        <v>0</v>
      </c>
      <c r="I232" s="98"/>
    </row>
    <row r="233" spans="1:9" s="285" customFormat="1" hidden="1" x14ac:dyDescent="0.25">
      <c r="A233" s="118">
        <v>34</v>
      </c>
      <c r="B233" s="151">
        <v>1635</v>
      </c>
      <c r="C233" s="94" t="s">
        <v>180</v>
      </c>
      <c r="D233" s="122"/>
      <c r="E233" s="108"/>
      <c r="F233" s="98"/>
      <c r="G233" s="98"/>
      <c r="H233" s="98">
        <f t="shared" si="49"/>
        <v>0</v>
      </c>
      <c r="I233" s="98"/>
    </row>
    <row r="234" spans="1:9" s="285" customFormat="1" hidden="1" x14ac:dyDescent="0.25">
      <c r="A234" s="118">
        <v>34</v>
      </c>
      <c r="B234" s="151">
        <v>1640</v>
      </c>
      <c r="C234" s="94" t="s">
        <v>184</v>
      </c>
      <c r="D234" s="122"/>
      <c r="E234" s="108"/>
      <c r="F234" s="98"/>
      <c r="G234" s="98"/>
      <c r="H234" s="98">
        <f t="shared" si="49"/>
        <v>0</v>
      </c>
      <c r="I234" s="98"/>
    </row>
    <row r="235" spans="1:9" s="285" customFormat="1" hidden="1" x14ac:dyDescent="0.25">
      <c r="A235" s="118">
        <v>34</v>
      </c>
      <c r="B235" s="151">
        <v>1645</v>
      </c>
      <c r="C235" s="94" t="s">
        <v>77</v>
      </c>
      <c r="D235" s="122"/>
      <c r="E235" s="108"/>
      <c r="F235" s="98"/>
      <c r="G235" s="98"/>
      <c r="H235" s="98">
        <f t="shared" si="49"/>
        <v>0</v>
      </c>
      <c r="I235" s="98"/>
    </row>
    <row r="236" spans="1:9" s="285" customFormat="1" hidden="1" x14ac:dyDescent="0.25">
      <c r="A236" s="118">
        <v>34</v>
      </c>
      <c r="B236" s="151">
        <v>1650</v>
      </c>
      <c r="C236" s="94" t="s">
        <v>78</v>
      </c>
      <c r="D236" s="122"/>
      <c r="E236" s="108"/>
      <c r="F236" s="98"/>
      <c r="G236" s="98"/>
      <c r="H236" s="98">
        <f t="shared" si="49"/>
        <v>0</v>
      </c>
      <c r="I236" s="98"/>
    </row>
    <row r="237" spans="1:9" s="285" customFormat="1" hidden="1" x14ac:dyDescent="0.25">
      <c r="A237" s="118">
        <v>34</v>
      </c>
      <c r="B237" s="151"/>
      <c r="C237" s="94" t="s">
        <v>200</v>
      </c>
      <c r="D237" s="122"/>
      <c r="E237" s="108"/>
      <c r="F237" s="98"/>
      <c r="G237" s="98"/>
      <c r="H237" s="98">
        <f t="shared" si="49"/>
        <v>0</v>
      </c>
      <c r="I237" s="98"/>
    </row>
    <row r="238" spans="1:9" s="285" customFormat="1" hidden="1" x14ac:dyDescent="0.25">
      <c r="A238" s="118">
        <v>34</v>
      </c>
      <c r="B238" s="151">
        <v>1660</v>
      </c>
      <c r="C238" s="94" t="s">
        <v>185</v>
      </c>
      <c r="D238" s="122"/>
      <c r="E238" s="108"/>
      <c r="F238" s="98"/>
      <c r="G238" s="98"/>
      <c r="H238" s="98">
        <f t="shared" si="49"/>
        <v>0</v>
      </c>
      <c r="I238" s="98"/>
    </row>
    <row r="239" spans="1:9" s="285" customFormat="1" hidden="1" x14ac:dyDescent="0.25">
      <c r="A239" s="118">
        <v>34</v>
      </c>
      <c r="B239" s="151">
        <v>1665</v>
      </c>
      <c r="C239" s="94" t="s">
        <v>181</v>
      </c>
      <c r="D239" s="122"/>
      <c r="E239" s="108"/>
      <c r="F239" s="98"/>
      <c r="G239" s="98"/>
      <c r="H239" s="98">
        <f t="shared" si="49"/>
        <v>0</v>
      </c>
      <c r="I239" s="98"/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:I240" si="50">SUM(E227:E239)</f>
        <v>0</v>
      </c>
      <c r="F240" s="99">
        <v>0</v>
      </c>
      <c r="G240" s="99"/>
      <c r="H240" s="99">
        <f t="shared" si="50"/>
        <v>0</v>
      </c>
      <c r="I240" s="99">
        <f t="shared" si="50"/>
        <v>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34</v>
      </c>
      <c r="B242" s="151">
        <v>1705</v>
      </c>
      <c r="C242" s="94" t="s">
        <v>123</v>
      </c>
      <c r="D242" s="122"/>
      <c r="E242" s="98"/>
      <c r="F242" s="98"/>
      <c r="G242" s="98"/>
      <c r="H242" s="98">
        <f t="shared" ref="H242:H247" si="51">F242/8*12</f>
        <v>0</v>
      </c>
      <c r="I242" s="98"/>
    </row>
    <row r="243" spans="1:9" s="285" customFormat="1" hidden="1" x14ac:dyDescent="0.25">
      <c r="A243" s="118">
        <v>34</v>
      </c>
      <c r="B243" s="151">
        <v>1710</v>
      </c>
      <c r="C243" s="94" t="s">
        <v>242</v>
      </c>
      <c r="D243" s="122"/>
      <c r="E243" s="98"/>
      <c r="F243" s="98"/>
      <c r="G243" s="98"/>
      <c r="H243" s="98">
        <f t="shared" si="51"/>
        <v>0</v>
      </c>
      <c r="I243" s="98"/>
    </row>
    <row r="244" spans="1:9" s="285" customFormat="1" hidden="1" x14ac:dyDescent="0.25">
      <c r="A244" s="118">
        <v>34</v>
      </c>
      <c r="B244" s="151">
        <v>1715</v>
      </c>
      <c r="C244" s="94" t="s">
        <v>183</v>
      </c>
      <c r="D244" s="122"/>
      <c r="E244" s="98"/>
      <c r="F244" s="98"/>
      <c r="G244" s="98"/>
      <c r="H244" s="98">
        <f t="shared" si="51"/>
        <v>0</v>
      </c>
      <c r="I244" s="98"/>
    </row>
    <row r="245" spans="1:9" s="285" customFormat="1" hidden="1" x14ac:dyDescent="0.25">
      <c r="A245" s="118">
        <v>34</v>
      </c>
      <c r="B245" s="151">
        <v>1720</v>
      </c>
      <c r="C245" s="94" t="s">
        <v>103</v>
      </c>
      <c r="D245" s="122"/>
      <c r="E245" s="98"/>
      <c r="F245" s="98"/>
      <c r="G245" s="98"/>
      <c r="H245" s="98">
        <f t="shared" si="51"/>
        <v>0</v>
      </c>
      <c r="I245" s="98"/>
    </row>
    <row r="246" spans="1:9" s="285" customFormat="1" hidden="1" x14ac:dyDescent="0.25">
      <c r="A246" s="118">
        <v>34</v>
      </c>
      <c r="B246" s="151">
        <v>1725</v>
      </c>
      <c r="C246" s="94" t="s">
        <v>107</v>
      </c>
      <c r="D246" s="122"/>
      <c r="E246" s="98"/>
      <c r="F246" s="98"/>
      <c r="G246" s="98"/>
      <c r="H246" s="98">
        <f t="shared" si="51"/>
        <v>0</v>
      </c>
      <c r="I246" s="98"/>
    </row>
    <row r="247" spans="1:9" s="285" customFormat="1" hidden="1" x14ac:dyDescent="0.25">
      <c r="A247" s="118">
        <v>34</v>
      </c>
      <c r="B247" s="151">
        <v>1730</v>
      </c>
      <c r="C247" s="94" t="s">
        <v>256</v>
      </c>
      <c r="D247" s="122"/>
      <c r="E247" s="98"/>
      <c r="F247" s="98"/>
      <c r="G247" s="98"/>
      <c r="H247" s="98">
        <f t="shared" si="51"/>
        <v>0</v>
      </c>
      <c r="I247" s="98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:I248" si="52">SUM(E242:E247)</f>
        <v>0</v>
      </c>
      <c r="F248" s="99">
        <v>0</v>
      </c>
      <c r="G248" s="99"/>
      <c r="H248" s="99">
        <f t="shared" si="52"/>
        <v>0</v>
      </c>
      <c r="I248" s="99">
        <f t="shared" si="52"/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34</v>
      </c>
      <c r="B250" s="151">
        <v>1805</v>
      </c>
      <c r="C250" s="94" t="s">
        <v>81</v>
      </c>
      <c r="D250" s="122"/>
      <c r="E250" s="108"/>
      <c r="F250" s="98"/>
      <c r="G250" s="98"/>
      <c r="H250" s="98">
        <f>F250/8*12</f>
        <v>0</v>
      </c>
      <c r="I250" s="108"/>
    </row>
    <row r="251" spans="1:9" s="285" customFormat="1" hidden="1" x14ac:dyDescent="0.25">
      <c r="A251" s="344"/>
      <c r="B251" s="151"/>
      <c r="C251" s="94"/>
      <c r="D251" s="99">
        <f t="shared" ref="D251:I251" si="53">D250</f>
        <v>0</v>
      </c>
      <c r="E251" s="99">
        <f t="shared" si="53"/>
        <v>0</v>
      </c>
      <c r="F251" s="99">
        <v>0</v>
      </c>
      <c r="G251" s="99"/>
      <c r="H251" s="99">
        <f t="shared" ref="H251" si="54">H250</f>
        <v>0</v>
      </c>
      <c r="I251" s="99">
        <f t="shared" si="53"/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I252" si="55">SUM(D171:D251)/2</f>
        <v>234.5</v>
      </c>
      <c r="E252" s="117">
        <f t="shared" si="55"/>
        <v>-7397.0959999999977</v>
      </c>
      <c r="F252" s="117">
        <v>-7397.0959999999977</v>
      </c>
      <c r="G252" s="117">
        <v>-7397.0959999999977</v>
      </c>
      <c r="H252" s="117">
        <f t="shared" ref="H252" si="56">SUM(H171:H251)/2</f>
        <v>-18105.626000000007</v>
      </c>
      <c r="I252" s="117">
        <f t="shared" si="55"/>
        <v>-24275.778999999999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9" s="285" customFormat="1" hidden="1" x14ac:dyDescent="0.25">
      <c r="A255" s="118">
        <v>34</v>
      </c>
      <c r="B255" s="151">
        <v>1905</v>
      </c>
      <c r="C255" s="118" t="s">
        <v>194</v>
      </c>
      <c r="D255" s="127"/>
      <c r="E255" s="147"/>
      <c r="F255" s="98"/>
      <c r="G255" s="98"/>
      <c r="H255" s="98">
        <f>F255/8*12</f>
        <v>0</v>
      </c>
      <c r="I255" s="123"/>
    </row>
    <row r="256" spans="1:9" s="285" customFormat="1" hidden="1" x14ac:dyDescent="0.25">
      <c r="A256" s="344"/>
      <c r="B256" s="151"/>
      <c r="C256" s="94"/>
      <c r="D256" s="117">
        <f t="shared" ref="D256:I256" si="57">SUM(D255)</f>
        <v>0</v>
      </c>
      <c r="E256" s="117">
        <f t="shared" si="57"/>
        <v>0</v>
      </c>
      <c r="F256" s="117">
        <v>0</v>
      </c>
      <c r="G256" s="117">
        <v>0</v>
      </c>
      <c r="H256" s="117">
        <f t="shared" ref="H256" si="58">SUM(H255)</f>
        <v>0</v>
      </c>
      <c r="I256" s="117">
        <f t="shared" si="57"/>
        <v>0</v>
      </c>
    </row>
    <row r="257" spans="1:9" s="285" customFormat="1" x14ac:dyDescent="0.25">
      <c r="A257" s="344"/>
      <c r="B257" s="151"/>
      <c r="C257" s="93" t="s">
        <v>520</v>
      </c>
      <c r="D257" s="117">
        <f t="shared" ref="D257:I257" si="59">D252+D256</f>
        <v>234.5</v>
      </c>
      <c r="E257" s="117">
        <f t="shared" si="59"/>
        <v>-7397.0959999999977</v>
      </c>
      <c r="F257" s="117">
        <v>-7397.0959999999977</v>
      </c>
      <c r="G257" s="117">
        <v>-7397.0959999999977</v>
      </c>
      <c r="H257" s="117">
        <f t="shared" ref="H257" si="60">H252+H256</f>
        <v>-18105.626000000007</v>
      </c>
      <c r="I257" s="117">
        <f t="shared" si="59"/>
        <v>-24275.778999999999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9" s="285" customFormat="1" hidden="1" x14ac:dyDescent="0.25">
      <c r="A259" s="118">
        <v>34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98">
        <f>F259/8*12</f>
        <v>0</v>
      </c>
      <c r="H259" s="98">
        <f>F259/8*12</f>
        <v>0</v>
      </c>
      <c r="I259" s="123"/>
    </row>
    <row r="260" spans="1:9" s="285" customFormat="1" hidden="1" x14ac:dyDescent="0.25">
      <c r="A260" s="344"/>
      <c r="B260" s="346"/>
      <c r="C260" s="94"/>
      <c r="D260" s="124">
        <f t="shared" ref="D260:I260" si="61">D259</f>
        <v>0</v>
      </c>
      <c r="E260" s="124">
        <f t="shared" si="61"/>
        <v>0</v>
      </c>
      <c r="F260" s="124">
        <f t="shared" si="61"/>
        <v>0</v>
      </c>
      <c r="G260" s="124">
        <f t="shared" ref="G260" si="62">G259</f>
        <v>0</v>
      </c>
      <c r="H260" s="124">
        <f t="shared" ref="H260" si="63">H259</f>
        <v>0</v>
      </c>
      <c r="I260" s="124">
        <f t="shared" si="61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I261" si="64">D257+D260</f>
        <v>234.5</v>
      </c>
      <c r="E261" s="160">
        <f t="shared" si="64"/>
        <v>-7397.0959999999977</v>
      </c>
      <c r="F261" s="160">
        <f t="shared" si="64"/>
        <v>-7397.0959999999977</v>
      </c>
      <c r="G261" s="160">
        <f t="shared" ref="G261" si="65">G257+G260</f>
        <v>-7397.0959999999977</v>
      </c>
      <c r="H261" s="160">
        <f t="shared" ref="H261" si="66">H257+H260</f>
        <v>-18105.626000000007</v>
      </c>
      <c r="I261" s="160">
        <f t="shared" si="64"/>
        <v>-24275.778999999999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I262" si="67">D261-D165</f>
        <v>-472907.5</v>
      </c>
      <c r="E262" s="161">
        <f t="shared" si="67"/>
        <v>-1224864.5959999999</v>
      </c>
      <c r="F262" s="161">
        <f t="shared" si="67"/>
        <v>-1224864.5959999999</v>
      </c>
      <c r="G262" s="161">
        <f t="shared" si="67"/>
        <v>-1304931.0959999999</v>
      </c>
      <c r="H262" s="161">
        <f t="shared" si="67"/>
        <v>-1416657.3779999998</v>
      </c>
      <c r="I262" s="161">
        <f t="shared" si="67"/>
        <v>-1517082.4901360001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6" spans="1:9" x14ac:dyDescent="0.25">
      <c r="E266" s="128"/>
      <c r="F266" s="128"/>
      <c r="G266" s="128"/>
      <c r="H266" s="128"/>
    </row>
    <row r="267" spans="1:9" x14ac:dyDescent="0.25">
      <c r="C267" s="285"/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3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68"/>
  <sheetViews>
    <sheetView view="pageBreakPreview" zoomScaleSheetLayoutView="100" workbookViewId="0">
      <selection activeCell="G20" sqref="G20:I24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.5546875" style="96" customWidth="1"/>
    <col min="6" max="6" width="12.5546875" style="96" customWidth="1"/>
    <col min="7" max="7" width="13.66406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361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03" t="s">
        <v>417</v>
      </c>
      <c r="B3" s="704"/>
      <c r="C3" s="705"/>
      <c r="D3" s="149"/>
      <c r="E3" s="338"/>
      <c r="F3" s="338"/>
      <c r="G3" s="424"/>
      <c r="H3" s="338"/>
      <c r="I3" s="338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38</v>
      </c>
      <c r="B7" s="155">
        <v>5005</v>
      </c>
      <c r="C7" s="94" t="s">
        <v>241</v>
      </c>
      <c r="D7" s="85">
        <f>[3]Sheet3!$F$19</f>
        <v>0</v>
      </c>
      <c r="E7" s="85">
        <v>6500</v>
      </c>
      <c r="F7" s="85">
        <v>6500</v>
      </c>
      <c r="G7" s="435">
        <f t="shared" ref="G7:I17" si="0">(F7*0.068)+F7</f>
        <v>6942</v>
      </c>
      <c r="H7" s="435">
        <f t="shared" si="0"/>
        <v>7414.0560000000005</v>
      </c>
      <c r="I7" s="435">
        <f t="shared" si="0"/>
        <v>7918.2118080000009</v>
      </c>
    </row>
    <row r="8" spans="1:9" s="285" customFormat="1" hidden="1" x14ac:dyDescent="0.25">
      <c r="A8" s="118">
        <v>38</v>
      </c>
      <c r="B8" s="151">
        <v>5010</v>
      </c>
      <c r="C8" s="94" t="s">
        <v>34</v>
      </c>
      <c r="D8" s="85"/>
      <c r="E8" s="85"/>
      <c r="F8" s="85"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38</v>
      </c>
      <c r="B9" s="151">
        <v>5015</v>
      </c>
      <c r="C9" s="94" t="s">
        <v>35</v>
      </c>
      <c r="D9" s="85"/>
      <c r="E9" s="85">
        <v>7000</v>
      </c>
      <c r="F9" s="85">
        <v>7000</v>
      </c>
      <c r="G9" s="435">
        <f t="shared" si="0"/>
        <v>7476</v>
      </c>
      <c r="H9" s="435">
        <f t="shared" si="0"/>
        <v>7984.3680000000004</v>
      </c>
      <c r="I9" s="435">
        <f t="shared" si="0"/>
        <v>8527.3050240000011</v>
      </c>
    </row>
    <row r="10" spans="1:9" s="285" customFormat="1" x14ac:dyDescent="0.25">
      <c r="A10" s="118">
        <v>38</v>
      </c>
      <c r="B10" s="151">
        <v>5020</v>
      </c>
      <c r="C10" s="94" t="s">
        <v>350</v>
      </c>
      <c r="D10" s="85"/>
      <c r="E10" s="85"/>
      <c r="F10" s="85"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hidden="1" x14ac:dyDescent="0.25">
      <c r="A11" s="118">
        <v>38</v>
      </c>
      <c r="B11" s="151">
        <v>5025</v>
      </c>
      <c r="C11" s="94" t="s">
        <v>36</v>
      </c>
      <c r="D11" s="85"/>
      <c r="E11" s="85"/>
      <c r="F11" s="85"/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38</v>
      </c>
      <c r="B12" s="151">
        <v>5030</v>
      </c>
      <c r="C12" s="94" t="s">
        <v>85</v>
      </c>
      <c r="D12" s="85">
        <v>2611</v>
      </c>
      <c r="E12" s="85">
        <v>118000</v>
      </c>
      <c r="F12" s="85">
        <v>118000</v>
      </c>
      <c r="G12" s="435">
        <f t="shared" si="0"/>
        <v>126024</v>
      </c>
      <c r="H12" s="435">
        <f t="shared" si="0"/>
        <v>134593.63200000001</v>
      </c>
      <c r="I12" s="435">
        <f t="shared" si="0"/>
        <v>143745.998976</v>
      </c>
    </row>
    <row r="13" spans="1:9" s="285" customFormat="1" hidden="1" x14ac:dyDescent="0.25">
      <c r="A13" s="118">
        <v>38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38</v>
      </c>
      <c r="B14" s="151">
        <v>5040</v>
      </c>
      <c r="C14" s="94" t="s">
        <v>37</v>
      </c>
      <c r="D14" s="85"/>
      <c r="E14" s="85">
        <v>72000</v>
      </c>
      <c r="F14" s="85">
        <v>72000</v>
      </c>
      <c r="G14" s="435">
        <f t="shared" si="0"/>
        <v>76896</v>
      </c>
      <c r="H14" s="435">
        <f t="shared" si="0"/>
        <v>82124.928</v>
      </c>
      <c r="I14" s="435">
        <f t="shared" si="0"/>
        <v>87709.423104000001</v>
      </c>
    </row>
    <row r="15" spans="1:9" s="285" customFormat="1" hidden="1" x14ac:dyDescent="0.25">
      <c r="A15" s="118">
        <v>38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38</v>
      </c>
      <c r="B16" s="151">
        <v>5050</v>
      </c>
      <c r="C16" s="94" t="s">
        <v>83</v>
      </c>
      <c r="D16" s="85"/>
      <c r="E16" s="85">
        <v>13000</v>
      </c>
      <c r="F16" s="85">
        <v>13000</v>
      </c>
      <c r="G16" s="435">
        <f t="shared" si="0"/>
        <v>13884</v>
      </c>
      <c r="H16" s="435">
        <f t="shared" si="0"/>
        <v>14828.112000000001</v>
      </c>
      <c r="I16" s="435">
        <f t="shared" si="0"/>
        <v>15836.423616000002</v>
      </c>
    </row>
    <row r="17" spans="1:9" s="285" customFormat="1" x14ac:dyDescent="0.25">
      <c r="A17" s="118">
        <v>38</v>
      </c>
      <c r="B17" s="151">
        <v>5055</v>
      </c>
      <c r="C17" s="94" t="s">
        <v>39</v>
      </c>
      <c r="D17" s="85"/>
      <c r="E17" s="85">
        <v>865000</v>
      </c>
      <c r="F17" s="85">
        <v>865000</v>
      </c>
      <c r="G17" s="435">
        <f t="shared" si="0"/>
        <v>923820</v>
      </c>
      <c r="H17" s="435">
        <f t="shared" si="0"/>
        <v>986639.76</v>
      </c>
      <c r="I17" s="435">
        <f t="shared" si="0"/>
        <v>1053731.2636800001</v>
      </c>
    </row>
    <row r="18" spans="1:9" s="285" customFormat="1" x14ac:dyDescent="0.25">
      <c r="A18" s="344"/>
      <c r="B18" s="151"/>
      <c r="C18" s="94"/>
      <c r="D18" s="89">
        <f t="shared" ref="D18:E18" si="1">SUM(D7:D17)</f>
        <v>2611</v>
      </c>
      <c r="E18" s="89">
        <f t="shared" si="1"/>
        <v>1081500</v>
      </c>
      <c r="F18" s="89">
        <v>1081500</v>
      </c>
      <c r="G18" s="89">
        <f>SUM(G7:G17)</f>
        <v>1155042</v>
      </c>
      <c r="H18" s="89">
        <f t="shared" ref="H18:I18" si="2">(G18*0.1)+G18</f>
        <v>1270546.2</v>
      </c>
      <c r="I18" s="89">
        <f t="shared" si="2"/>
        <v>1397600.8199999998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5"/>
      <c r="G19" s="86"/>
      <c r="H19" s="86"/>
      <c r="I19" s="86"/>
    </row>
    <row r="20" spans="1:9" s="285" customFormat="1" x14ac:dyDescent="0.25">
      <c r="A20" s="118">
        <v>38</v>
      </c>
      <c r="B20" s="151">
        <v>5105</v>
      </c>
      <c r="C20" s="94" t="s">
        <v>41</v>
      </c>
      <c r="D20" s="85"/>
      <c r="E20" s="85">
        <v>142000</v>
      </c>
      <c r="F20" s="85">
        <v>142000</v>
      </c>
      <c r="G20" s="435">
        <f t="shared" ref="G20:I24" si="3">(F20*0.068)+F20</f>
        <v>151656</v>
      </c>
      <c r="H20" s="435">
        <f t="shared" si="3"/>
        <v>161968.60800000001</v>
      </c>
      <c r="I20" s="435">
        <f t="shared" si="3"/>
        <v>172982.473344</v>
      </c>
    </row>
    <row r="21" spans="1:9" s="285" customFormat="1" x14ac:dyDescent="0.25">
      <c r="A21" s="118">
        <v>38</v>
      </c>
      <c r="B21" s="151">
        <v>5115</v>
      </c>
      <c r="C21" s="94" t="s">
        <v>42</v>
      </c>
      <c r="D21" s="85"/>
      <c r="E21" s="85">
        <v>156000</v>
      </c>
      <c r="F21" s="85">
        <v>156000</v>
      </c>
      <c r="G21" s="435">
        <f t="shared" si="3"/>
        <v>166608</v>
      </c>
      <c r="H21" s="435">
        <f t="shared" si="3"/>
        <v>177937.34400000001</v>
      </c>
      <c r="I21" s="435">
        <f t="shared" si="3"/>
        <v>190037.083392</v>
      </c>
    </row>
    <row r="22" spans="1:9" s="285" customFormat="1" hidden="1" x14ac:dyDescent="0.25">
      <c r="A22" s="118">
        <v>38</v>
      </c>
      <c r="B22" s="151">
        <v>5120</v>
      </c>
      <c r="C22" s="94" t="s">
        <v>43</v>
      </c>
      <c r="D22" s="85"/>
      <c r="E22" s="85"/>
      <c r="F22" s="85">
        <v>0</v>
      </c>
      <c r="G22" s="435">
        <f t="shared" si="3"/>
        <v>0</v>
      </c>
      <c r="H22" s="435">
        <f t="shared" si="3"/>
        <v>0</v>
      </c>
      <c r="I22" s="435">
        <f t="shared" si="3"/>
        <v>0</v>
      </c>
    </row>
    <row r="23" spans="1:9" s="285" customFormat="1" hidden="1" x14ac:dyDescent="0.25">
      <c r="A23" s="118">
        <v>38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38</v>
      </c>
      <c r="B24" s="151">
        <v>5130</v>
      </c>
      <c r="C24" s="94" t="s">
        <v>45</v>
      </c>
      <c r="D24" s="85"/>
      <c r="E24" s="85">
        <v>9600</v>
      </c>
      <c r="F24" s="85">
        <v>9600</v>
      </c>
      <c r="G24" s="435">
        <f t="shared" si="3"/>
        <v>10252.799999999999</v>
      </c>
      <c r="H24" s="435">
        <f t="shared" si="3"/>
        <v>10949.990399999999</v>
      </c>
      <c r="I24" s="435">
        <f t="shared" si="3"/>
        <v>11694.5897472</v>
      </c>
    </row>
    <row r="25" spans="1:9" s="285" customFormat="1" x14ac:dyDescent="0.25">
      <c r="A25" s="344"/>
      <c r="B25" s="151"/>
      <c r="C25" s="94"/>
      <c r="D25" s="89">
        <f t="shared" ref="D25:E25" si="4">SUM(D20:D24)</f>
        <v>0</v>
      </c>
      <c r="E25" s="89">
        <f t="shared" si="4"/>
        <v>307600</v>
      </c>
      <c r="F25" s="89">
        <v>307600</v>
      </c>
      <c r="G25" s="89">
        <f>SUM(G20:G24)</f>
        <v>328516.8</v>
      </c>
      <c r="H25" s="89">
        <f t="shared" ref="H25:I25" si="5">(G25*0.1)+G25</f>
        <v>361368.48</v>
      </c>
      <c r="I25" s="89">
        <f t="shared" si="5"/>
        <v>397505.32799999998</v>
      </c>
    </row>
    <row r="26" spans="1:9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38</v>
      </c>
      <c r="B28" s="151">
        <v>5150</v>
      </c>
      <c r="C28" s="94" t="s">
        <v>48</v>
      </c>
      <c r="D28" s="85"/>
      <c r="E28" s="85"/>
      <c r="F28" s="85"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E29" si="6">D28</f>
        <v>0</v>
      </c>
      <c r="E29" s="89">
        <f t="shared" si="6"/>
        <v>0</v>
      </c>
      <c r="F29" s="89">
        <v>0</v>
      </c>
      <c r="G29" s="89"/>
      <c r="H29" s="89"/>
      <c r="I29" s="89"/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hidden="1" x14ac:dyDescent="0.25">
      <c r="A31" s="118">
        <v>38</v>
      </c>
      <c r="B31" s="151">
        <v>5170</v>
      </c>
      <c r="C31" s="94" t="s">
        <v>341</v>
      </c>
      <c r="D31" s="85"/>
      <c r="E31" s="108"/>
      <c r="F31" s="85"/>
      <c r="G31" s="85"/>
      <c r="H31" s="85"/>
      <c r="I31" s="85"/>
    </row>
    <row r="32" spans="1:9" s="285" customFormat="1" hidden="1" x14ac:dyDescent="0.25">
      <c r="A32" s="344"/>
      <c r="B32" s="151"/>
      <c r="C32" s="94"/>
      <c r="D32" s="89">
        <f t="shared" ref="D32:E32" si="7">SUM(D31)</f>
        <v>0</v>
      </c>
      <c r="E32" s="89">
        <f t="shared" si="7"/>
        <v>0</v>
      </c>
      <c r="F32" s="89">
        <v>0</v>
      </c>
      <c r="G32" s="89"/>
      <c r="H32" s="89"/>
      <c r="I32" s="89"/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38</v>
      </c>
      <c r="B34" s="151">
        <v>5180</v>
      </c>
      <c r="C34" s="94" t="s">
        <v>51</v>
      </c>
      <c r="D34" s="85"/>
      <c r="E34" s="108"/>
      <c r="F34" s="85"/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E35" si="8">SUM(D34)</f>
        <v>0</v>
      </c>
      <c r="E35" s="89">
        <f t="shared" si="8"/>
        <v>0</v>
      </c>
      <c r="F35" s="89">
        <v>0</v>
      </c>
      <c r="G35" s="89"/>
      <c r="H35" s="89"/>
      <c r="I35" s="89"/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38</v>
      </c>
      <c r="B37" s="151">
        <v>5190</v>
      </c>
      <c r="C37" s="94" t="s">
        <v>53</v>
      </c>
      <c r="D37" s="85"/>
      <c r="E37" s="108"/>
      <c r="F37" s="85"/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E38" si="9">D37</f>
        <v>0</v>
      </c>
      <c r="E38" s="89">
        <f t="shared" si="9"/>
        <v>0</v>
      </c>
      <c r="F38" s="89">
        <v>0</v>
      </c>
      <c r="G38" s="89"/>
      <c r="H38" s="89"/>
      <c r="I38" s="89"/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hidden="1" x14ac:dyDescent="0.25">
      <c r="A40" s="118">
        <v>38</v>
      </c>
      <c r="B40" s="151">
        <v>5200</v>
      </c>
      <c r="C40" s="94" t="s">
        <v>55</v>
      </c>
      <c r="D40" s="85"/>
      <c r="E40" s="108"/>
      <c r="F40" s="85">
        <v>0</v>
      </c>
      <c r="G40" s="85"/>
      <c r="H40" s="85"/>
      <c r="I40" s="85"/>
    </row>
    <row r="41" spans="1:9" s="285" customFormat="1" hidden="1" x14ac:dyDescent="0.25">
      <c r="A41" s="118">
        <v>38</v>
      </c>
      <c r="B41" s="151">
        <v>5205</v>
      </c>
      <c r="C41" s="94" t="s">
        <v>56</v>
      </c>
      <c r="D41" s="85"/>
      <c r="E41" s="108"/>
      <c r="F41" s="85">
        <v>0</v>
      </c>
      <c r="G41" s="85"/>
      <c r="H41" s="85"/>
      <c r="I41" s="85"/>
    </row>
    <row r="42" spans="1:9" s="285" customFormat="1" hidden="1" x14ac:dyDescent="0.25">
      <c r="A42" s="118">
        <v>38</v>
      </c>
      <c r="B42" s="151">
        <v>5210</v>
      </c>
      <c r="C42" s="94" t="s">
        <v>57</v>
      </c>
      <c r="D42" s="85"/>
      <c r="E42" s="108"/>
      <c r="F42" s="85">
        <v>0</v>
      </c>
      <c r="G42" s="85"/>
      <c r="H42" s="85"/>
      <c r="I42" s="85"/>
    </row>
    <row r="43" spans="1:9" s="285" customFormat="1" hidden="1" x14ac:dyDescent="0.25">
      <c r="A43" s="118">
        <v>38</v>
      </c>
      <c r="B43" s="151">
        <v>5215</v>
      </c>
      <c r="C43" s="94" t="s">
        <v>95</v>
      </c>
      <c r="D43" s="85"/>
      <c r="E43" s="108"/>
      <c r="F43" s="85">
        <v>0</v>
      </c>
      <c r="G43" s="85"/>
      <c r="H43" s="85"/>
      <c r="I43" s="85"/>
    </row>
    <row r="44" spans="1:9" s="285" customFormat="1" hidden="1" x14ac:dyDescent="0.25">
      <c r="A44" s="118">
        <v>38</v>
      </c>
      <c r="B44" s="151">
        <v>5220</v>
      </c>
      <c r="C44" s="94" t="s">
        <v>58</v>
      </c>
      <c r="D44" s="85"/>
      <c r="E44" s="108"/>
      <c r="F44" s="85">
        <v>0</v>
      </c>
      <c r="G44" s="85"/>
      <c r="H44" s="85"/>
      <c r="I44" s="85"/>
    </row>
    <row r="45" spans="1:9" s="285" customFormat="1" hidden="1" x14ac:dyDescent="0.25">
      <c r="A45" s="118">
        <v>38</v>
      </c>
      <c r="B45" s="151">
        <v>5225</v>
      </c>
      <c r="C45" s="94" t="s">
        <v>92</v>
      </c>
      <c r="D45" s="85"/>
      <c r="E45" s="108"/>
      <c r="F45" s="85">
        <v>0</v>
      </c>
      <c r="G45" s="85"/>
      <c r="H45" s="85"/>
      <c r="I45" s="85"/>
    </row>
    <row r="46" spans="1:9" s="285" customFormat="1" hidden="1" x14ac:dyDescent="0.25">
      <c r="A46" s="118">
        <v>38</v>
      </c>
      <c r="B46" s="151">
        <v>5230</v>
      </c>
      <c r="C46" s="94" t="s">
        <v>86</v>
      </c>
      <c r="D46" s="85"/>
      <c r="E46" s="108"/>
      <c r="F46" s="85">
        <v>0</v>
      </c>
      <c r="G46" s="85"/>
      <c r="H46" s="85"/>
      <c r="I46" s="85"/>
    </row>
    <row r="47" spans="1:9" s="285" customFormat="1" hidden="1" x14ac:dyDescent="0.25">
      <c r="A47" s="118">
        <v>38</v>
      </c>
      <c r="B47" s="151">
        <v>5235</v>
      </c>
      <c r="C47" s="94" t="s">
        <v>124</v>
      </c>
      <c r="D47" s="85"/>
      <c r="E47" s="108"/>
      <c r="F47" s="85">
        <v>0</v>
      </c>
      <c r="G47" s="85"/>
      <c r="H47" s="85"/>
      <c r="I47" s="85"/>
    </row>
    <row r="48" spans="1:9" s="285" customFormat="1" hidden="1" x14ac:dyDescent="0.25">
      <c r="A48" s="118">
        <v>38</v>
      </c>
      <c r="B48" s="151">
        <v>5240</v>
      </c>
      <c r="C48" s="94" t="s">
        <v>59</v>
      </c>
      <c r="D48" s="85"/>
      <c r="E48" s="108"/>
      <c r="F48" s="85">
        <v>0</v>
      </c>
      <c r="G48" s="85"/>
      <c r="H48" s="85"/>
      <c r="I48" s="85"/>
    </row>
    <row r="49" spans="1:9" s="285" customFormat="1" hidden="1" x14ac:dyDescent="0.25">
      <c r="A49" s="118">
        <v>38</v>
      </c>
      <c r="B49" s="151">
        <v>5245</v>
      </c>
      <c r="C49" s="94" t="s">
        <v>91</v>
      </c>
      <c r="D49" s="85"/>
      <c r="E49" s="108"/>
      <c r="F49" s="85">
        <v>0</v>
      </c>
      <c r="G49" s="85"/>
      <c r="H49" s="85"/>
      <c r="I49" s="85"/>
    </row>
    <row r="50" spans="1:9" s="285" customFormat="1" x14ac:dyDescent="0.25">
      <c r="A50" s="118">
        <v>38</v>
      </c>
      <c r="B50" s="151">
        <v>5250</v>
      </c>
      <c r="C50" s="94" t="s">
        <v>88</v>
      </c>
      <c r="D50" s="85"/>
      <c r="E50" s="85">
        <v>3500</v>
      </c>
      <c r="F50" s="85">
        <v>3500</v>
      </c>
      <c r="G50" s="85">
        <v>7000</v>
      </c>
      <c r="H50" s="85">
        <v>7700</v>
      </c>
      <c r="I50" s="85">
        <v>8500</v>
      </c>
    </row>
    <row r="51" spans="1:9" s="285" customFormat="1" hidden="1" x14ac:dyDescent="0.25">
      <c r="A51" s="118">
        <v>38</v>
      </c>
      <c r="B51" s="151">
        <v>5255</v>
      </c>
      <c r="C51" s="94" t="s">
        <v>125</v>
      </c>
      <c r="D51" s="85"/>
      <c r="E51" s="85"/>
      <c r="F51" s="85">
        <v>0</v>
      </c>
      <c r="G51" s="85"/>
      <c r="H51" s="85"/>
      <c r="I51" s="85"/>
    </row>
    <row r="52" spans="1:9" s="285" customFormat="1" x14ac:dyDescent="0.25">
      <c r="A52" s="118">
        <v>38</v>
      </c>
      <c r="B52" s="151">
        <v>5260</v>
      </c>
      <c r="C52" s="94" t="s">
        <v>90</v>
      </c>
      <c r="D52" s="85">
        <v>126543</v>
      </c>
      <c r="E52" s="85">
        <v>190000</v>
      </c>
      <c r="F52" s="85">
        <v>230000</v>
      </c>
      <c r="G52" s="85">
        <v>220000</v>
      </c>
      <c r="H52" s="85">
        <v>240000</v>
      </c>
      <c r="I52" s="85">
        <v>260000</v>
      </c>
    </row>
    <row r="53" spans="1:9" s="285" customFormat="1" hidden="1" x14ac:dyDescent="0.25">
      <c r="A53" s="118">
        <v>38</v>
      </c>
      <c r="B53" s="151">
        <v>5265</v>
      </c>
      <c r="C53" s="94" t="s">
        <v>87</v>
      </c>
      <c r="D53" s="85"/>
      <c r="E53" s="85"/>
      <c r="F53" s="85">
        <v>0</v>
      </c>
      <c r="G53" s="85"/>
      <c r="H53" s="85"/>
      <c r="I53" s="85"/>
    </row>
    <row r="54" spans="1:9" s="285" customFormat="1" x14ac:dyDescent="0.25">
      <c r="A54" s="118">
        <v>38</v>
      </c>
      <c r="B54" s="151">
        <v>5270</v>
      </c>
      <c r="C54" s="94" t="s">
        <v>89</v>
      </c>
      <c r="D54" s="85">
        <v>6288</v>
      </c>
      <c r="E54" s="85">
        <v>14000</v>
      </c>
      <c r="F54" s="85">
        <v>14000</v>
      </c>
      <c r="G54" s="85">
        <v>14000</v>
      </c>
      <c r="H54" s="85">
        <v>15500</v>
      </c>
      <c r="I54" s="85">
        <v>17000</v>
      </c>
    </row>
    <row r="55" spans="1:9" s="285" customFormat="1" hidden="1" x14ac:dyDescent="0.25">
      <c r="A55" s="118">
        <v>38</v>
      </c>
      <c r="B55" s="151">
        <v>5275</v>
      </c>
      <c r="C55" s="94" t="s">
        <v>93</v>
      </c>
      <c r="D55" s="85"/>
      <c r="E55" s="85"/>
      <c r="F55" s="85">
        <v>0</v>
      </c>
      <c r="G55" s="85"/>
      <c r="H55" s="85"/>
      <c r="I55" s="85"/>
    </row>
    <row r="56" spans="1:9" s="285" customFormat="1" hidden="1" x14ac:dyDescent="0.25">
      <c r="A56" s="118">
        <v>38</v>
      </c>
      <c r="B56" s="151">
        <v>5280</v>
      </c>
      <c r="C56" s="94" t="s">
        <v>94</v>
      </c>
      <c r="D56" s="85"/>
      <c r="E56" s="85"/>
      <c r="F56" s="85">
        <v>0</v>
      </c>
      <c r="G56" s="85"/>
      <c r="H56" s="85"/>
      <c r="I56" s="85"/>
    </row>
    <row r="57" spans="1:9" s="285" customFormat="1" x14ac:dyDescent="0.25">
      <c r="A57" s="118">
        <v>38</v>
      </c>
      <c r="B57" s="151">
        <v>5285</v>
      </c>
      <c r="C57" s="94" t="s">
        <v>60</v>
      </c>
      <c r="D57" s="85">
        <v>1708</v>
      </c>
      <c r="E57" s="85">
        <v>59000</v>
      </c>
      <c r="F57" s="85">
        <v>19000</v>
      </c>
      <c r="G57" s="85">
        <v>59000</v>
      </c>
      <c r="H57" s="85">
        <v>64000</v>
      </c>
      <c r="I57" s="85">
        <v>70000</v>
      </c>
    </row>
    <row r="58" spans="1:9" s="285" customFormat="1" hidden="1" x14ac:dyDescent="0.25">
      <c r="A58" s="118">
        <v>38</v>
      </c>
      <c r="B58" s="151">
        <v>5290</v>
      </c>
      <c r="C58" s="94" t="s">
        <v>186</v>
      </c>
      <c r="D58" s="85"/>
      <c r="E58" s="108"/>
      <c r="F58" s="85">
        <v>0</v>
      </c>
      <c r="G58" s="85">
        <f t="shared" ref="G58" si="10">0/8*12</f>
        <v>0</v>
      </c>
      <c r="H58" s="85"/>
      <c r="I58" s="85">
        <f>G58*(1+[4]INPUT!D$10)</f>
        <v>0</v>
      </c>
    </row>
    <row r="59" spans="1:9" s="285" customFormat="1" x14ac:dyDescent="0.25">
      <c r="A59" s="344"/>
      <c r="B59" s="151"/>
      <c r="C59" s="94"/>
      <c r="D59" s="110">
        <f t="shared" ref="D59:E59" si="11">SUM(D40:D58)</f>
        <v>134539</v>
      </c>
      <c r="E59" s="110">
        <f t="shared" si="11"/>
        <v>266500</v>
      </c>
      <c r="F59" s="110">
        <v>266500</v>
      </c>
      <c r="G59" s="110">
        <f t="shared" ref="G59:I59" si="12">SUM(G40:G58)</f>
        <v>300000</v>
      </c>
      <c r="H59" s="110">
        <f t="shared" si="12"/>
        <v>327200</v>
      </c>
      <c r="I59" s="110">
        <f t="shared" si="12"/>
        <v>355500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38</v>
      </c>
      <c r="B61" s="151">
        <v>5400</v>
      </c>
      <c r="C61" s="94" t="s">
        <v>334</v>
      </c>
      <c r="D61" s="85"/>
      <c r="E61" s="86"/>
      <c r="F61" s="85"/>
      <c r="G61" s="85">
        <f>0/8*12</f>
        <v>0</v>
      </c>
      <c r="H61" s="86"/>
      <c r="I61" s="86"/>
    </row>
    <row r="62" spans="1:9" s="285" customFormat="1" hidden="1" x14ac:dyDescent="0.25">
      <c r="A62" s="118">
        <v>38</v>
      </c>
      <c r="B62" s="151">
        <v>5405</v>
      </c>
      <c r="C62" s="94" t="s">
        <v>335</v>
      </c>
      <c r="D62" s="85"/>
      <c r="E62" s="108"/>
      <c r="F62" s="85"/>
      <c r="G62" s="85">
        <f>0/8*12</f>
        <v>0</v>
      </c>
      <c r="H62" s="85"/>
      <c r="I62" s="108"/>
    </row>
    <row r="63" spans="1:9" s="285" customFormat="1" hidden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v>0</v>
      </c>
      <c r="G63" s="89">
        <f>SUM(G61:G62)</f>
        <v>0</v>
      </c>
      <c r="H63" s="89"/>
      <c r="I63" s="89">
        <f>SUM(I61:I62)</f>
        <v>0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38</v>
      </c>
      <c r="B65" s="151">
        <v>5450</v>
      </c>
      <c r="C65" s="94" t="s">
        <v>351</v>
      </c>
      <c r="D65" s="85"/>
      <c r="E65" s="108"/>
      <c r="F65" s="85"/>
      <c r="G65" s="85">
        <f>0/8*12</f>
        <v>0</v>
      </c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E66" si="13">D65</f>
        <v>0</v>
      </c>
      <c r="E66" s="89">
        <f t="shared" si="13"/>
        <v>0</v>
      </c>
      <c r="F66" s="89">
        <v>0</v>
      </c>
      <c r="G66" s="89">
        <f t="shared" ref="G66:I66" si="14">G65</f>
        <v>0</v>
      </c>
      <c r="H66" s="89"/>
      <c r="I66" s="89">
        <f t="shared" si="14"/>
        <v>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hidden="1" x14ac:dyDescent="0.25">
      <c r="A68" s="118">
        <v>38</v>
      </c>
      <c r="B68" s="151">
        <v>5470</v>
      </c>
      <c r="C68" s="94" t="s">
        <v>97</v>
      </c>
      <c r="D68" s="85"/>
      <c r="E68" s="86"/>
      <c r="F68" s="85">
        <v>0</v>
      </c>
      <c r="G68" s="85">
        <f>0/8*12</f>
        <v>0</v>
      </c>
      <c r="H68" s="85"/>
      <c r="I68" s="85">
        <f>G68*(1+[4]INPUT!D11)</f>
        <v>0</v>
      </c>
    </row>
    <row r="69" spans="1:9" s="285" customFormat="1" hidden="1" x14ac:dyDescent="0.25">
      <c r="A69" s="118">
        <v>38</v>
      </c>
      <c r="B69" s="151">
        <v>5475</v>
      </c>
      <c r="C69" s="94" t="s">
        <v>134</v>
      </c>
      <c r="D69" s="85"/>
      <c r="E69" s="86"/>
      <c r="F69" s="85">
        <v>0</v>
      </c>
      <c r="G69" s="85">
        <f>0/8*12</f>
        <v>0</v>
      </c>
      <c r="H69" s="85"/>
      <c r="I69" s="85">
        <f>G69*(1+[4]INPUT!D12)</f>
        <v>0</v>
      </c>
    </row>
    <row r="70" spans="1:9" s="285" customFormat="1" hidden="1" x14ac:dyDescent="0.25">
      <c r="A70" s="344"/>
      <c r="B70" s="151"/>
      <c r="C70" s="94"/>
      <c r="D70" s="110">
        <f t="shared" ref="D70:E70" si="15">SUM(D68:D69)</f>
        <v>0</v>
      </c>
      <c r="E70" s="110">
        <f t="shared" si="15"/>
        <v>0</v>
      </c>
      <c r="F70" s="110">
        <v>0</v>
      </c>
      <c r="G70" s="110">
        <f t="shared" ref="G70:I70" si="16">SUM(G68:G69)</f>
        <v>0</v>
      </c>
      <c r="H70" s="110"/>
      <c r="I70" s="110">
        <f t="shared" si="16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38</v>
      </c>
      <c r="B72" s="151">
        <v>5505</v>
      </c>
      <c r="C72" s="94" t="s">
        <v>259</v>
      </c>
      <c r="D72" s="85">
        <v>62136</v>
      </c>
      <c r="E72" s="85">
        <v>108000</v>
      </c>
      <c r="F72" s="85">
        <v>123000</v>
      </c>
      <c r="G72" s="85">
        <v>150000</v>
      </c>
      <c r="H72" s="85">
        <v>165000</v>
      </c>
      <c r="I72" s="85">
        <v>185000</v>
      </c>
    </row>
    <row r="73" spans="1:9" s="285" customFormat="1" ht="0.75" customHeight="1" x14ac:dyDescent="0.25">
      <c r="A73" s="118">
        <v>38</v>
      </c>
      <c r="B73" s="151">
        <v>5510</v>
      </c>
      <c r="C73" s="94" t="s">
        <v>63</v>
      </c>
      <c r="D73" s="85"/>
      <c r="E73" s="85"/>
      <c r="F73" s="85">
        <v>0</v>
      </c>
      <c r="G73" s="85"/>
      <c r="H73" s="85"/>
      <c r="I73" s="85"/>
    </row>
    <row r="74" spans="1:9" s="285" customFormat="1" hidden="1" x14ac:dyDescent="0.25">
      <c r="A74" s="118">
        <v>38</v>
      </c>
      <c r="B74" s="151">
        <v>5520</v>
      </c>
      <c r="C74" s="94" t="s">
        <v>260</v>
      </c>
      <c r="D74" s="85"/>
      <c r="E74" s="85"/>
      <c r="F74" s="85">
        <v>0</v>
      </c>
      <c r="G74" s="85"/>
      <c r="H74" s="85"/>
      <c r="I74" s="85"/>
    </row>
    <row r="75" spans="1:9" s="285" customFormat="1" hidden="1" x14ac:dyDescent="0.25">
      <c r="A75" s="118">
        <v>38</v>
      </c>
      <c r="B75" s="151">
        <v>5525</v>
      </c>
      <c r="C75" s="94" t="s">
        <v>261</v>
      </c>
      <c r="D75" s="85"/>
      <c r="E75" s="85"/>
      <c r="F75" s="85">
        <v>0</v>
      </c>
      <c r="G75" s="85"/>
      <c r="H75" s="85"/>
      <c r="I75" s="85"/>
    </row>
    <row r="76" spans="1:9" s="285" customFormat="1" hidden="1" x14ac:dyDescent="0.25">
      <c r="A76" s="118">
        <v>38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85"/>
      <c r="I76" s="85"/>
    </row>
    <row r="77" spans="1:9" s="285" customFormat="1" hidden="1" x14ac:dyDescent="0.25">
      <c r="A77" s="118">
        <v>38</v>
      </c>
      <c r="B77" s="151">
        <v>5535</v>
      </c>
      <c r="C77" s="94" t="s">
        <v>263</v>
      </c>
      <c r="D77" s="85"/>
      <c r="E77" s="85"/>
      <c r="F77" s="85">
        <v>0</v>
      </c>
      <c r="G77" s="85"/>
      <c r="H77" s="85"/>
      <c r="I77" s="85"/>
    </row>
    <row r="78" spans="1:9" s="285" customFormat="1" x14ac:dyDescent="0.25">
      <c r="A78" s="118">
        <v>38</v>
      </c>
      <c r="B78" s="151">
        <v>5540</v>
      </c>
      <c r="C78" s="94" t="s">
        <v>264</v>
      </c>
      <c r="D78" s="85">
        <v>4213</v>
      </c>
      <c r="E78" s="85">
        <v>7271</v>
      </c>
      <c r="F78" s="85">
        <v>7271</v>
      </c>
      <c r="G78" s="85">
        <v>15000</v>
      </c>
      <c r="H78" s="85">
        <v>16000</v>
      </c>
      <c r="I78" s="85">
        <v>17500</v>
      </c>
    </row>
    <row r="79" spans="1:9" s="285" customFormat="1" ht="13.5" hidden="1" customHeight="1" x14ac:dyDescent="0.25">
      <c r="A79" s="118">
        <v>38</v>
      </c>
      <c r="B79" s="151">
        <v>5545</v>
      </c>
      <c r="C79" s="94" t="s">
        <v>265</v>
      </c>
      <c r="D79" s="85"/>
      <c r="E79" s="85"/>
      <c r="F79" s="85">
        <v>0</v>
      </c>
      <c r="G79" s="85"/>
      <c r="H79" s="85"/>
      <c r="I79" s="85"/>
    </row>
    <row r="80" spans="1:9" s="285" customFormat="1" hidden="1" x14ac:dyDescent="0.25">
      <c r="A80" s="118">
        <v>38</v>
      </c>
      <c r="B80" s="151">
        <v>5550</v>
      </c>
      <c r="C80" s="94" t="s">
        <v>267</v>
      </c>
      <c r="D80" s="85"/>
      <c r="E80" s="85"/>
      <c r="F80" s="85">
        <v>0</v>
      </c>
      <c r="G80" s="85"/>
      <c r="H80" s="85"/>
      <c r="I80" s="85"/>
    </row>
    <row r="81" spans="1:9" s="285" customFormat="1" x14ac:dyDescent="0.25">
      <c r="A81" s="118">
        <v>38</v>
      </c>
      <c r="B81" s="151">
        <v>5555</v>
      </c>
      <c r="C81" s="94" t="s">
        <v>268</v>
      </c>
      <c r="D81" s="85"/>
      <c r="E81" s="85">
        <v>16000</v>
      </c>
      <c r="F81" s="85">
        <v>1000</v>
      </c>
      <c r="G81" s="85">
        <v>18000</v>
      </c>
      <c r="H81" s="85">
        <v>20000</v>
      </c>
      <c r="I81" s="85">
        <v>22000</v>
      </c>
    </row>
    <row r="82" spans="1:9" s="285" customFormat="1" hidden="1" x14ac:dyDescent="0.25">
      <c r="A82" s="118">
        <v>38</v>
      </c>
      <c r="B82" s="151">
        <v>5560</v>
      </c>
      <c r="C82" s="94" t="s">
        <v>269</v>
      </c>
      <c r="D82" s="85"/>
      <c r="E82" s="85"/>
      <c r="F82" s="85">
        <v>0</v>
      </c>
      <c r="G82" s="85"/>
      <c r="H82" s="85"/>
      <c r="I82" s="85"/>
    </row>
    <row r="83" spans="1:9" s="285" customFormat="1" hidden="1" x14ac:dyDescent="0.25">
      <c r="A83" s="118">
        <v>38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85"/>
      <c r="I83" s="85"/>
    </row>
    <row r="84" spans="1:9" s="285" customFormat="1" hidden="1" x14ac:dyDescent="0.25">
      <c r="A84" s="118">
        <v>38</v>
      </c>
      <c r="B84" s="151">
        <v>5570</v>
      </c>
      <c r="C84" s="94" t="s">
        <v>270</v>
      </c>
      <c r="D84" s="85"/>
      <c r="E84" s="85"/>
      <c r="F84" s="85">
        <v>0</v>
      </c>
      <c r="G84" s="85"/>
      <c r="H84" s="85"/>
      <c r="I84" s="85"/>
    </row>
    <row r="85" spans="1:9" s="285" customFormat="1" hidden="1" x14ac:dyDescent="0.25">
      <c r="A85" s="118">
        <v>38</v>
      </c>
      <c r="B85" s="151">
        <v>5575</v>
      </c>
      <c r="C85" s="94" t="s">
        <v>271</v>
      </c>
      <c r="D85" s="85"/>
      <c r="E85" s="85"/>
      <c r="F85" s="85">
        <v>0</v>
      </c>
      <c r="G85" s="85"/>
      <c r="H85" s="85"/>
      <c r="I85" s="85"/>
    </row>
    <row r="86" spans="1:9" s="285" customFormat="1" hidden="1" x14ac:dyDescent="0.25">
      <c r="A86" s="118">
        <v>38</v>
      </c>
      <c r="B86" s="151">
        <v>5580</v>
      </c>
      <c r="C86" s="94" t="s">
        <v>272</v>
      </c>
      <c r="D86" s="85"/>
      <c r="E86" s="85"/>
      <c r="F86" s="85">
        <v>0</v>
      </c>
      <c r="G86" s="85"/>
      <c r="H86" s="85"/>
      <c r="I86" s="85"/>
    </row>
    <row r="87" spans="1:9" s="285" customFormat="1" hidden="1" x14ac:dyDescent="0.25">
      <c r="A87" s="118">
        <v>38</v>
      </c>
      <c r="B87" s="151">
        <v>5585</v>
      </c>
      <c r="C87" s="94" t="s">
        <v>273</v>
      </c>
      <c r="D87" s="86"/>
      <c r="E87" s="85"/>
      <c r="F87" s="85">
        <v>0</v>
      </c>
      <c r="G87" s="85"/>
      <c r="H87" s="85"/>
      <c r="I87" s="85"/>
    </row>
    <row r="88" spans="1:9" s="285" customFormat="1" hidden="1" x14ac:dyDescent="0.25">
      <c r="A88" s="118">
        <v>38</v>
      </c>
      <c r="B88" s="151">
        <v>5590</v>
      </c>
      <c r="C88" s="94" t="s">
        <v>274</v>
      </c>
      <c r="D88" s="86"/>
      <c r="E88" s="85"/>
      <c r="F88" s="85">
        <v>0</v>
      </c>
      <c r="G88" s="85"/>
      <c r="H88" s="85"/>
      <c r="I88" s="85"/>
    </row>
    <row r="89" spans="1:9" s="285" customFormat="1" hidden="1" x14ac:dyDescent="0.25">
      <c r="A89" s="118">
        <v>38</v>
      </c>
      <c r="B89" s="151">
        <v>5595</v>
      </c>
      <c r="C89" s="94" t="s">
        <v>275</v>
      </c>
      <c r="D89" s="85"/>
      <c r="E89" s="85"/>
      <c r="F89" s="85">
        <v>0</v>
      </c>
      <c r="G89" s="85"/>
      <c r="H89" s="85"/>
      <c r="I89" s="85"/>
    </row>
    <row r="90" spans="1:9" s="285" customFormat="1" hidden="1" x14ac:dyDescent="0.25">
      <c r="A90" s="118">
        <v>38</v>
      </c>
      <c r="B90" s="151">
        <v>5600</v>
      </c>
      <c r="C90" s="159" t="s">
        <v>276</v>
      </c>
      <c r="D90" s="85"/>
      <c r="E90" s="85"/>
      <c r="F90" s="85">
        <v>0</v>
      </c>
      <c r="G90" s="85"/>
      <c r="H90" s="85"/>
      <c r="I90" s="85"/>
    </row>
    <row r="91" spans="1:9" s="285" customFormat="1" hidden="1" x14ac:dyDescent="0.25">
      <c r="A91" s="118">
        <v>38</v>
      </c>
      <c r="B91" s="151">
        <v>5605</v>
      </c>
      <c r="C91" s="159" t="s">
        <v>277</v>
      </c>
      <c r="D91" s="85"/>
      <c r="E91" s="85"/>
      <c r="F91" s="85">
        <v>0</v>
      </c>
      <c r="G91" s="85"/>
      <c r="H91" s="85"/>
      <c r="I91" s="85"/>
    </row>
    <row r="92" spans="1:9" s="285" customFormat="1" hidden="1" x14ac:dyDescent="0.25">
      <c r="A92" s="118">
        <v>38</v>
      </c>
      <c r="B92" s="151">
        <v>5610</v>
      </c>
      <c r="C92" s="159" t="s">
        <v>278</v>
      </c>
      <c r="D92" s="85"/>
      <c r="E92" s="85"/>
      <c r="F92" s="85">
        <v>0</v>
      </c>
      <c r="G92" s="85"/>
      <c r="H92" s="85"/>
      <c r="I92" s="85"/>
    </row>
    <row r="93" spans="1:9" s="285" customFormat="1" hidden="1" x14ac:dyDescent="0.25">
      <c r="A93" s="118">
        <v>38</v>
      </c>
      <c r="B93" s="151">
        <v>5615</v>
      </c>
      <c r="C93" s="159" t="s">
        <v>279</v>
      </c>
      <c r="D93" s="85"/>
      <c r="E93" s="85"/>
      <c r="F93" s="85">
        <v>0</v>
      </c>
      <c r="G93" s="85"/>
      <c r="H93" s="85"/>
      <c r="I93" s="85"/>
    </row>
    <row r="94" spans="1:9" s="285" customFormat="1" hidden="1" x14ac:dyDescent="0.25">
      <c r="A94" s="118">
        <v>38</v>
      </c>
      <c r="B94" s="151">
        <v>5620</v>
      </c>
      <c r="C94" s="159" t="s">
        <v>280</v>
      </c>
      <c r="D94" s="85"/>
      <c r="E94" s="85"/>
      <c r="F94" s="85">
        <v>0</v>
      </c>
      <c r="G94" s="85"/>
      <c r="H94" s="85"/>
      <c r="I94" s="85"/>
    </row>
    <row r="95" spans="1:9" s="285" customFormat="1" hidden="1" x14ac:dyDescent="0.25">
      <c r="A95" s="118">
        <v>38</v>
      </c>
      <c r="B95" s="151">
        <v>5625</v>
      </c>
      <c r="C95" s="159" t="s">
        <v>281</v>
      </c>
      <c r="D95" s="85"/>
      <c r="E95" s="85"/>
      <c r="F95" s="85">
        <v>0</v>
      </c>
      <c r="G95" s="85"/>
      <c r="H95" s="85"/>
      <c r="I95" s="85"/>
    </row>
    <row r="96" spans="1:9" s="285" customFormat="1" hidden="1" x14ac:dyDescent="0.25">
      <c r="A96" s="118">
        <v>38</v>
      </c>
      <c r="B96" s="151">
        <v>5630</v>
      </c>
      <c r="C96" s="159" t="s">
        <v>282</v>
      </c>
      <c r="D96" s="85"/>
      <c r="E96" s="85"/>
      <c r="F96" s="85">
        <v>0</v>
      </c>
      <c r="G96" s="85"/>
      <c r="H96" s="85"/>
      <c r="I96" s="85"/>
    </row>
    <row r="97" spans="1:9" s="285" customFormat="1" hidden="1" x14ac:dyDescent="0.25">
      <c r="A97" s="118">
        <v>38</v>
      </c>
      <c r="B97" s="151">
        <v>5635</v>
      </c>
      <c r="C97" s="159" t="s">
        <v>283</v>
      </c>
      <c r="D97" s="85"/>
      <c r="E97" s="85"/>
      <c r="F97" s="85">
        <v>0</v>
      </c>
      <c r="G97" s="85"/>
      <c r="H97" s="85"/>
      <c r="I97" s="85"/>
    </row>
    <row r="98" spans="1:9" s="285" customFormat="1" hidden="1" x14ac:dyDescent="0.25">
      <c r="A98" s="118">
        <v>38</v>
      </c>
      <c r="B98" s="151">
        <v>5640</v>
      </c>
      <c r="C98" s="159" t="s">
        <v>284</v>
      </c>
      <c r="D98" s="85"/>
      <c r="E98" s="85"/>
      <c r="F98" s="85">
        <v>0</v>
      </c>
      <c r="G98" s="85"/>
      <c r="H98" s="85"/>
      <c r="I98" s="85"/>
    </row>
    <row r="99" spans="1:9" s="285" customFormat="1" hidden="1" x14ac:dyDescent="0.25">
      <c r="A99" s="118">
        <v>38</v>
      </c>
      <c r="B99" s="151">
        <v>5645</v>
      </c>
      <c r="C99" s="159" t="s">
        <v>285</v>
      </c>
      <c r="D99" s="85"/>
      <c r="E99" s="85"/>
      <c r="F99" s="85">
        <v>0</v>
      </c>
      <c r="G99" s="85"/>
      <c r="H99" s="85"/>
      <c r="I99" s="85"/>
    </row>
    <row r="100" spans="1:9" s="285" customFormat="1" hidden="1" x14ac:dyDescent="0.25">
      <c r="A100" s="118">
        <v>38</v>
      </c>
      <c r="B100" s="151">
        <v>5650</v>
      </c>
      <c r="C100" s="159" t="s">
        <v>286</v>
      </c>
      <c r="D100" s="85"/>
      <c r="E100" s="85"/>
      <c r="F100" s="85">
        <v>0</v>
      </c>
      <c r="G100" s="85"/>
      <c r="H100" s="85"/>
      <c r="I100" s="85"/>
    </row>
    <row r="101" spans="1:9" s="285" customFormat="1" hidden="1" x14ac:dyDescent="0.25">
      <c r="A101" s="118">
        <v>38</v>
      </c>
      <c r="B101" s="151">
        <v>5655</v>
      </c>
      <c r="C101" s="159" t="s">
        <v>287</v>
      </c>
      <c r="D101" s="85"/>
      <c r="E101" s="85"/>
      <c r="F101" s="85">
        <v>0</v>
      </c>
      <c r="G101" s="85"/>
      <c r="H101" s="85"/>
      <c r="I101" s="85"/>
    </row>
    <row r="102" spans="1:9" s="285" customFormat="1" hidden="1" x14ac:dyDescent="0.25">
      <c r="A102" s="118">
        <v>38</v>
      </c>
      <c r="B102" s="151">
        <v>5660</v>
      </c>
      <c r="C102" s="159" t="s">
        <v>288</v>
      </c>
      <c r="D102" s="85"/>
      <c r="E102" s="85"/>
      <c r="F102" s="85">
        <v>0</v>
      </c>
      <c r="G102" s="85"/>
      <c r="H102" s="85"/>
      <c r="I102" s="85"/>
    </row>
    <row r="103" spans="1:9" s="285" customFormat="1" hidden="1" x14ac:dyDescent="0.25">
      <c r="A103" s="118">
        <v>38</v>
      </c>
      <c r="B103" s="151">
        <v>5665</v>
      </c>
      <c r="C103" s="94" t="s">
        <v>289</v>
      </c>
      <c r="D103" s="85"/>
      <c r="E103" s="85"/>
      <c r="F103" s="85">
        <v>0</v>
      </c>
      <c r="G103" s="85"/>
      <c r="H103" s="85"/>
      <c r="I103" s="85"/>
    </row>
    <row r="104" spans="1:9" s="285" customFormat="1" hidden="1" x14ac:dyDescent="0.25">
      <c r="A104" s="118">
        <v>38</v>
      </c>
      <c r="B104" s="151">
        <v>5670</v>
      </c>
      <c r="C104" s="94" t="s">
        <v>290</v>
      </c>
      <c r="D104" s="85"/>
      <c r="E104" s="85"/>
      <c r="F104" s="85">
        <v>0</v>
      </c>
      <c r="G104" s="85"/>
      <c r="H104" s="85"/>
      <c r="I104" s="85"/>
    </row>
    <row r="105" spans="1:9" s="285" customFormat="1" hidden="1" x14ac:dyDescent="0.25">
      <c r="A105" s="118">
        <v>38</v>
      </c>
      <c r="B105" s="151">
        <v>5675</v>
      </c>
      <c r="C105" s="94" t="s">
        <v>291</v>
      </c>
      <c r="D105" s="85"/>
      <c r="E105" s="85"/>
      <c r="F105" s="85">
        <v>0</v>
      </c>
      <c r="G105" s="85"/>
      <c r="H105" s="85"/>
      <c r="I105" s="85"/>
    </row>
    <row r="106" spans="1:9" s="285" customFormat="1" hidden="1" x14ac:dyDescent="0.25">
      <c r="A106" s="118">
        <v>38</v>
      </c>
      <c r="B106" s="151">
        <v>5680</v>
      </c>
      <c r="C106" s="94" t="s">
        <v>292</v>
      </c>
      <c r="D106" s="85"/>
      <c r="E106" s="85"/>
      <c r="F106" s="85">
        <v>0</v>
      </c>
      <c r="G106" s="85"/>
      <c r="H106" s="85"/>
      <c r="I106" s="85"/>
    </row>
    <row r="107" spans="1:9" s="285" customFormat="1" hidden="1" x14ac:dyDescent="0.25">
      <c r="A107" s="118">
        <v>38</v>
      </c>
      <c r="B107" s="151">
        <v>5685</v>
      </c>
      <c r="C107" s="94" t="s">
        <v>293</v>
      </c>
      <c r="D107" s="85"/>
      <c r="E107" s="85"/>
      <c r="F107" s="85">
        <v>0</v>
      </c>
      <c r="G107" s="85"/>
      <c r="H107" s="85"/>
      <c r="I107" s="85"/>
    </row>
    <row r="108" spans="1:9" s="285" customFormat="1" hidden="1" x14ac:dyDescent="0.25">
      <c r="A108" s="118">
        <v>38</v>
      </c>
      <c r="B108" s="151">
        <v>5690</v>
      </c>
      <c r="C108" s="94" t="s">
        <v>247</v>
      </c>
      <c r="D108" s="85"/>
      <c r="E108" s="85"/>
      <c r="F108" s="85">
        <v>0</v>
      </c>
      <c r="G108" s="85"/>
      <c r="H108" s="85"/>
      <c r="I108" s="85"/>
    </row>
    <row r="109" spans="1:9" s="285" customFormat="1" hidden="1" x14ac:dyDescent="0.25">
      <c r="A109" s="118">
        <v>38</v>
      </c>
      <c r="B109" s="151">
        <v>5695</v>
      </c>
      <c r="C109" s="94" t="s">
        <v>294</v>
      </c>
      <c r="D109" s="85"/>
      <c r="E109" s="85"/>
      <c r="F109" s="85">
        <v>0</v>
      </c>
      <c r="G109" s="85"/>
      <c r="H109" s="85"/>
      <c r="I109" s="85"/>
    </row>
    <row r="110" spans="1:9" s="285" customFormat="1" hidden="1" x14ac:dyDescent="0.25">
      <c r="A110" s="118">
        <v>38</v>
      </c>
      <c r="B110" s="151">
        <v>5700</v>
      </c>
      <c r="C110" s="94" t="s">
        <v>295</v>
      </c>
      <c r="D110" s="85"/>
      <c r="E110" s="85"/>
      <c r="F110" s="85">
        <v>0</v>
      </c>
      <c r="G110" s="85"/>
      <c r="H110" s="85"/>
      <c r="I110" s="85"/>
    </row>
    <row r="111" spans="1:9" s="285" customFormat="1" hidden="1" x14ac:dyDescent="0.25">
      <c r="A111" s="118">
        <v>38</v>
      </c>
      <c r="B111" s="151">
        <v>5710</v>
      </c>
      <c r="C111" s="94" t="s">
        <v>297</v>
      </c>
      <c r="D111" s="85"/>
      <c r="E111" s="85"/>
      <c r="F111" s="85">
        <v>0</v>
      </c>
      <c r="G111" s="85"/>
      <c r="H111" s="85"/>
      <c r="I111" s="85"/>
    </row>
    <row r="112" spans="1:9" s="285" customFormat="1" hidden="1" x14ac:dyDescent="0.25">
      <c r="A112" s="118">
        <v>38</v>
      </c>
      <c r="B112" s="151">
        <v>5715</v>
      </c>
      <c r="C112" s="94" t="s">
        <v>298</v>
      </c>
      <c r="D112" s="85"/>
      <c r="E112" s="85"/>
      <c r="F112" s="85">
        <v>0</v>
      </c>
      <c r="G112" s="85"/>
      <c r="H112" s="85"/>
      <c r="I112" s="85"/>
    </row>
    <row r="113" spans="1:9" s="285" customFormat="1" hidden="1" x14ac:dyDescent="0.25">
      <c r="A113" s="118">
        <v>38</v>
      </c>
      <c r="B113" s="151">
        <v>5720</v>
      </c>
      <c r="C113" s="94" t="s">
        <v>299</v>
      </c>
      <c r="D113" s="85"/>
      <c r="E113" s="85"/>
      <c r="F113" s="85">
        <v>0</v>
      </c>
      <c r="G113" s="85"/>
      <c r="H113" s="85"/>
      <c r="I113" s="85"/>
    </row>
    <row r="114" spans="1:9" s="285" customFormat="1" hidden="1" x14ac:dyDescent="0.25">
      <c r="A114" s="118">
        <v>38</v>
      </c>
      <c r="B114" s="151">
        <v>5730</v>
      </c>
      <c r="C114" s="94" t="s">
        <v>300</v>
      </c>
      <c r="D114" s="85"/>
      <c r="E114" s="85"/>
      <c r="F114" s="85">
        <v>0</v>
      </c>
      <c r="G114" s="85"/>
      <c r="H114" s="85"/>
      <c r="I114" s="85"/>
    </row>
    <row r="115" spans="1:9" s="285" customFormat="1" hidden="1" x14ac:dyDescent="0.25">
      <c r="A115" s="118">
        <v>38</v>
      </c>
      <c r="B115" s="151">
        <v>5735</v>
      </c>
      <c r="C115" s="94" t="s">
        <v>301</v>
      </c>
      <c r="D115" s="85"/>
      <c r="E115" s="85"/>
      <c r="F115" s="85">
        <v>0</v>
      </c>
      <c r="G115" s="85"/>
      <c r="H115" s="85"/>
      <c r="I115" s="85"/>
    </row>
    <row r="116" spans="1:9" s="285" customFormat="1" hidden="1" x14ac:dyDescent="0.25">
      <c r="A116" s="118">
        <v>38</v>
      </c>
      <c r="B116" s="151">
        <v>5740</v>
      </c>
      <c r="C116" s="94" t="s">
        <v>302</v>
      </c>
      <c r="D116" s="85"/>
      <c r="E116" s="85"/>
      <c r="F116" s="85">
        <v>0</v>
      </c>
      <c r="G116" s="85"/>
      <c r="H116" s="85"/>
      <c r="I116" s="85"/>
    </row>
    <row r="117" spans="1:9" s="285" customFormat="1" hidden="1" x14ac:dyDescent="0.25">
      <c r="A117" s="118">
        <v>38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85"/>
      <c r="I117" s="85"/>
    </row>
    <row r="118" spans="1:9" s="285" customFormat="1" x14ac:dyDescent="0.25">
      <c r="A118" s="118">
        <v>38</v>
      </c>
      <c r="B118" s="151">
        <v>5750</v>
      </c>
      <c r="C118" s="94" t="s">
        <v>304</v>
      </c>
      <c r="D118" s="85"/>
      <c r="E118" s="85">
        <v>400</v>
      </c>
      <c r="F118" s="85">
        <v>400</v>
      </c>
      <c r="G118" s="85">
        <v>400</v>
      </c>
      <c r="H118" s="85">
        <v>400</v>
      </c>
      <c r="I118" s="85">
        <v>400</v>
      </c>
    </row>
    <row r="119" spans="1:9" s="285" customFormat="1" x14ac:dyDescent="0.25">
      <c r="A119" s="118">
        <v>38</v>
      </c>
      <c r="B119" s="151">
        <v>5755</v>
      </c>
      <c r="C119" s="94" t="s">
        <v>305</v>
      </c>
      <c r="D119" s="85"/>
      <c r="E119" s="85">
        <v>13500</v>
      </c>
      <c r="F119" s="85">
        <v>13500</v>
      </c>
      <c r="G119" s="85">
        <v>13500</v>
      </c>
      <c r="H119" s="85">
        <v>13500</v>
      </c>
      <c r="I119" s="85">
        <v>13500</v>
      </c>
    </row>
    <row r="120" spans="1:9" s="285" customFormat="1" ht="12" hidden="1" customHeight="1" x14ac:dyDescent="0.25">
      <c r="A120" s="118">
        <v>38</v>
      </c>
      <c r="B120" s="151">
        <v>5760</v>
      </c>
      <c r="C120" s="94" t="s">
        <v>306</v>
      </c>
      <c r="D120" s="85"/>
      <c r="E120" s="85"/>
      <c r="F120" s="85">
        <v>0</v>
      </c>
      <c r="G120" s="85"/>
      <c r="H120" s="85"/>
      <c r="I120" s="85"/>
    </row>
    <row r="121" spans="1:9" s="285" customFormat="1" hidden="1" x14ac:dyDescent="0.25">
      <c r="A121" s="118">
        <v>38</v>
      </c>
      <c r="B121" s="151">
        <v>5765</v>
      </c>
      <c r="C121" s="94" t="s">
        <v>307</v>
      </c>
      <c r="D121" s="85"/>
      <c r="E121" s="85"/>
      <c r="F121" s="85">
        <v>0</v>
      </c>
      <c r="G121" s="85"/>
      <c r="H121" s="85"/>
      <c r="I121" s="85"/>
    </row>
    <row r="122" spans="1:9" s="285" customFormat="1" x14ac:dyDescent="0.25">
      <c r="A122" s="118">
        <v>38</v>
      </c>
      <c r="B122" s="151">
        <v>5770</v>
      </c>
      <c r="C122" s="94" t="s">
        <v>308</v>
      </c>
      <c r="D122" s="85">
        <v>58767</v>
      </c>
      <c r="E122" s="85">
        <v>102000</v>
      </c>
      <c r="F122" s="85">
        <v>102000</v>
      </c>
      <c r="G122" s="85">
        <v>108000</v>
      </c>
      <c r="H122" s="85">
        <v>120000</v>
      </c>
      <c r="I122" s="85">
        <v>132000</v>
      </c>
    </row>
    <row r="123" spans="1:9" s="285" customFormat="1" hidden="1" x14ac:dyDescent="0.25">
      <c r="A123" s="118">
        <v>38</v>
      </c>
      <c r="B123" s="151">
        <v>5775</v>
      </c>
      <c r="C123" s="94" t="s">
        <v>309</v>
      </c>
      <c r="D123" s="85"/>
      <c r="E123" s="85"/>
      <c r="F123" s="85">
        <v>0</v>
      </c>
      <c r="G123" s="85">
        <f t="shared" ref="G123:G147" si="17">0/8*12</f>
        <v>0</v>
      </c>
      <c r="H123" s="85"/>
      <c r="I123" s="85">
        <f>G123*(1+[4]INPUT!D$10)</f>
        <v>0</v>
      </c>
    </row>
    <row r="124" spans="1:9" s="285" customFormat="1" hidden="1" x14ac:dyDescent="0.25">
      <c r="A124" s="118">
        <v>38</v>
      </c>
      <c r="B124" s="151">
        <v>5780</v>
      </c>
      <c r="C124" s="94" t="s">
        <v>310</v>
      </c>
      <c r="D124" s="85"/>
      <c r="E124" s="85"/>
      <c r="F124" s="85">
        <v>0</v>
      </c>
      <c r="G124" s="85">
        <f t="shared" si="17"/>
        <v>0</v>
      </c>
      <c r="H124" s="85"/>
      <c r="I124" s="85">
        <f>G124*(1+[4]INPUT!D$10)</f>
        <v>0</v>
      </c>
    </row>
    <row r="125" spans="1:9" s="285" customFormat="1" hidden="1" x14ac:dyDescent="0.25">
      <c r="A125" s="118">
        <v>38</v>
      </c>
      <c r="B125" s="151">
        <v>5785</v>
      </c>
      <c r="C125" s="94" t="s">
        <v>311</v>
      </c>
      <c r="D125" s="85"/>
      <c r="E125" s="85"/>
      <c r="F125" s="85">
        <v>0</v>
      </c>
      <c r="G125" s="85">
        <f t="shared" si="17"/>
        <v>0</v>
      </c>
      <c r="H125" s="85"/>
      <c r="I125" s="85">
        <f>G125*(1+[4]INPUT!D$10)</f>
        <v>0</v>
      </c>
    </row>
    <row r="126" spans="1:9" s="285" customFormat="1" hidden="1" x14ac:dyDescent="0.25">
      <c r="A126" s="118">
        <v>38</v>
      </c>
      <c r="B126" s="151">
        <v>5790</v>
      </c>
      <c r="C126" s="94" t="s">
        <v>312</v>
      </c>
      <c r="D126" s="85"/>
      <c r="E126" s="85"/>
      <c r="F126" s="85">
        <v>0</v>
      </c>
      <c r="G126" s="85">
        <f t="shared" si="17"/>
        <v>0</v>
      </c>
      <c r="H126" s="85"/>
      <c r="I126" s="85">
        <f>G126*(1+[4]INPUT!D$10)</f>
        <v>0</v>
      </c>
    </row>
    <row r="127" spans="1:9" s="285" customFormat="1" hidden="1" x14ac:dyDescent="0.25">
      <c r="A127" s="118">
        <v>38</v>
      </c>
      <c r="B127" s="151">
        <v>5795</v>
      </c>
      <c r="C127" s="94" t="s">
        <v>313</v>
      </c>
      <c r="D127" s="85"/>
      <c r="E127" s="85"/>
      <c r="F127" s="85">
        <v>0</v>
      </c>
      <c r="G127" s="85">
        <f t="shared" si="17"/>
        <v>0</v>
      </c>
      <c r="H127" s="85"/>
      <c r="I127" s="85">
        <f>G127*(1+[4]INPUT!D$10)</f>
        <v>0</v>
      </c>
    </row>
    <row r="128" spans="1:9" s="285" customFormat="1" hidden="1" x14ac:dyDescent="0.25">
      <c r="A128" s="118">
        <v>38</v>
      </c>
      <c r="B128" s="151">
        <v>5800</v>
      </c>
      <c r="C128" s="94" t="s">
        <v>314</v>
      </c>
      <c r="D128" s="85"/>
      <c r="E128" s="85"/>
      <c r="F128" s="85">
        <v>0</v>
      </c>
      <c r="G128" s="85">
        <f t="shared" si="17"/>
        <v>0</v>
      </c>
      <c r="H128" s="85"/>
      <c r="I128" s="85">
        <f>G128*(1+[4]INPUT!D$10)</f>
        <v>0</v>
      </c>
    </row>
    <row r="129" spans="1:9" s="285" customFormat="1" hidden="1" x14ac:dyDescent="0.25">
      <c r="A129" s="118">
        <v>38</v>
      </c>
      <c r="B129" s="151">
        <v>5805</v>
      </c>
      <c r="C129" s="94" t="s">
        <v>315</v>
      </c>
      <c r="D129" s="85"/>
      <c r="E129" s="85"/>
      <c r="F129" s="85">
        <v>0</v>
      </c>
      <c r="G129" s="85">
        <f t="shared" si="17"/>
        <v>0</v>
      </c>
      <c r="H129" s="85"/>
      <c r="I129" s="85">
        <f>G129*(1+[4]INPUT!D$10)</f>
        <v>0</v>
      </c>
    </row>
    <row r="130" spans="1:9" s="285" customFormat="1" hidden="1" x14ac:dyDescent="0.25">
      <c r="A130" s="118">
        <v>38</v>
      </c>
      <c r="B130" s="151">
        <v>5810</v>
      </c>
      <c r="C130" s="94" t="s">
        <v>316</v>
      </c>
      <c r="D130" s="85"/>
      <c r="E130" s="85"/>
      <c r="F130" s="85">
        <v>0</v>
      </c>
      <c r="G130" s="85">
        <f t="shared" si="17"/>
        <v>0</v>
      </c>
      <c r="H130" s="85"/>
      <c r="I130" s="85">
        <f>G130*(1+[4]INPUT!D$10)</f>
        <v>0</v>
      </c>
    </row>
    <row r="131" spans="1:9" s="285" customFormat="1" hidden="1" x14ac:dyDescent="0.25">
      <c r="A131" s="118">
        <v>38</v>
      </c>
      <c r="B131" s="151">
        <v>5815</v>
      </c>
      <c r="C131" s="94" t="s">
        <v>99</v>
      </c>
      <c r="D131" s="85"/>
      <c r="E131" s="85"/>
      <c r="F131" s="85">
        <v>0</v>
      </c>
      <c r="G131" s="85">
        <f t="shared" si="17"/>
        <v>0</v>
      </c>
      <c r="H131" s="85"/>
      <c r="I131" s="85">
        <f>G131*(1+[4]INPUT!D$10)</f>
        <v>0</v>
      </c>
    </row>
    <row r="132" spans="1:9" s="285" customFormat="1" hidden="1" x14ac:dyDescent="0.25">
      <c r="A132" s="118">
        <v>38</v>
      </c>
      <c r="B132" s="151">
        <v>5820</v>
      </c>
      <c r="C132" s="94" t="s">
        <v>114</v>
      </c>
      <c r="D132" s="86"/>
      <c r="E132" s="85"/>
      <c r="F132" s="85">
        <v>0</v>
      </c>
      <c r="G132" s="85">
        <f t="shared" si="17"/>
        <v>0</v>
      </c>
      <c r="H132" s="85"/>
      <c r="I132" s="85">
        <f>G132*(1+[4]INPUT!D$10)</f>
        <v>0</v>
      </c>
    </row>
    <row r="133" spans="1:9" s="285" customFormat="1" hidden="1" x14ac:dyDescent="0.25">
      <c r="A133" s="118">
        <v>38</v>
      </c>
      <c r="B133" s="151">
        <v>5825</v>
      </c>
      <c r="C133" s="94" t="s">
        <v>317</v>
      </c>
      <c r="D133" s="86"/>
      <c r="E133" s="85"/>
      <c r="F133" s="85">
        <v>0</v>
      </c>
      <c r="G133" s="85">
        <f t="shared" si="17"/>
        <v>0</v>
      </c>
      <c r="H133" s="85"/>
      <c r="I133" s="85">
        <f>G133*(1+[4]INPUT!D$10)</f>
        <v>0</v>
      </c>
    </row>
    <row r="134" spans="1:9" s="285" customFormat="1" hidden="1" x14ac:dyDescent="0.25">
      <c r="A134" s="118">
        <v>38</v>
      </c>
      <c r="B134" s="151">
        <v>5830</v>
      </c>
      <c r="C134" s="94" t="s">
        <v>318</v>
      </c>
      <c r="D134" s="86"/>
      <c r="E134" s="85"/>
      <c r="F134" s="85">
        <v>0</v>
      </c>
      <c r="G134" s="85">
        <f t="shared" si="17"/>
        <v>0</v>
      </c>
      <c r="H134" s="85"/>
      <c r="I134" s="85">
        <f>G134*(1+[4]INPUT!D$10)</f>
        <v>0</v>
      </c>
    </row>
    <row r="135" spans="1:9" s="285" customFormat="1" hidden="1" x14ac:dyDescent="0.25">
      <c r="A135" s="118">
        <v>38</v>
      </c>
      <c r="B135" s="151">
        <v>5835</v>
      </c>
      <c r="C135" s="94" t="s">
        <v>319</v>
      </c>
      <c r="D135" s="86"/>
      <c r="E135" s="85"/>
      <c r="F135" s="85">
        <v>0</v>
      </c>
      <c r="G135" s="85">
        <f t="shared" si="17"/>
        <v>0</v>
      </c>
      <c r="H135" s="85"/>
      <c r="I135" s="85">
        <f>G135*(1+[4]INPUT!D$10)</f>
        <v>0</v>
      </c>
    </row>
    <row r="136" spans="1:9" s="285" customFormat="1" hidden="1" x14ac:dyDescent="0.25">
      <c r="A136" s="118">
        <v>38</v>
      </c>
      <c r="B136" s="151">
        <v>5840</v>
      </c>
      <c r="C136" s="94" t="s">
        <v>332</v>
      </c>
      <c r="D136" s="115"/>
      <c r="E136" s="85"/>
      <c r="F136" s="85">
        <v>0</v>
      </c>
      <c r="G136" s="85">
        <f t="shared" si="17"/>
        <v>0</v>
      </c>
      <c r="H136" s="85"/>
      <c r="I136" s="85">
        <f>G136*(1+[4]INPUT!D$10)</f>
        <v>0</v>
      </c>
    </row>
    <row r="137" spans="1:9" s="285" customFormat="1" hidden="1" x14ac:dyDescent="0.25">
      <c r="A137" s="118">
        <v>38</v>
      </c>
      <c r="B137" s="151">
        <v>5845</v>
      </c>
      <c r="C137" s="94" t="s">
        <v>320</v>
      </c>
      <c r="D137" s="86"/>
      <c r="E137" s="85"/>
      <c r="F137" s="85">
        <v>0</v>
      </c>
      <c r="G137" s="85">
        <f t="shared" si="17"/>
        <v>0</v>
      </c>
      <c r="H137" s="85"/>
      <c r="I137" s="85">
        <f>G137*(1+[4]INPUT!D$10)</f>
        <v>0</v>
      </c>
    </row>
    <row r="138" spans="1:9" s="285" customFormat="1" hidden="1" x14ac:dyDescent="0.25">
      <c r="A138" s="118">
        <v>38</v>
      </c>
      <c r="B138" s="151">
        <v>5855</v>
      </c>
      <c r="C138" s="94" t="s">
        <v>321</v>
      </c>
      <c r="D138" s="85"/>
      <c r="E138" s="85"/>
      <c r="F138" s="85">
        <v>0</v>
      </c>
      <c r="G138" s="85">
        <f t="shared" si="17"/>
        <v>0</v>
      </c>
      <c r="H138" s="85"/>
      <c r="I138" s="85">
        <f>G138*(1+[4]INPUT!D$10)</f>
        <v>0</v>
      </c>
    </row>
    <row r="139" spans="1:9" s="285" customFormat="1" hidden="1" x14ac:dyDescent="0.25">
      <c r="A139" s="118">
        <v>38</v>
      </c>
      <c r="B139" s="151">
        <v>5860</v>
      </c>
      <c r="C139" s="94" t="s">
        <v>322</v>
      </c>
      <c r="D139" s="85"/>
      <c r="E139" s="85"/>
      <c r="F139" s="85">
        <v>0</v>
      </c>
      <c r="G139" s="85">
        <f t="shared" si="17"/>
        <v>0</v>
      </c>
      <c r="H139" s="85"/>
      <c r="I139" s="85">
        <f>G139*(1+[4]INPUT!D$10)</f>
        <v>0</v>
      </c>
    </row>
    <row r="140" spans="1:9" s="285" customFormat="1" hidden="1" x14ac:dyDescent="0.25">
      <c r="A140" s="118">
        <v>38</v>
      </c>
      <c r="B140" s="151">
        <v>5865</v>
      </c>
      <c r="C140" s="94" t="s">
        <v>323</v>
      </c>
      <c r="D140" s="85"/>
      <c r="E140" s="85"/>
      <c r="F140" s="85">
        <v>0</v>
      </c>
      <c r="G140" s="85">
        <f t="shared" si="17"/>
        <v>0</v>
      </c>
      <c r="H140" s="85"/>
      <c r="I140" s="85">
        <f>G140*(1+[4]INPUT!D$10)</f>
        <v>0</v>
      </c>
    </row>
    <row r="141" spans="1:9" s="285" customFormat="1" hidden="1" x14ac:dyDescent="0.25">
      <c r="A141" s="118">
        <v>38</v>
      </c>
      <c r="B141" s="151">
        <v>5870</v>
      </c>
      <c r="C141" s="94" t="s">
        <v>324</v>
      </c>
      <c r="D141" s="85"/>
      <c r="E141" s="85"/>
      <c r="F141" s="85">
        <v>0</v>
      </c>
      <c r="G141" s="85">
        <f t="shared" si="17"/>
        <v>0</v>
      </c>
      <c r="H141" s="85"/>
      <c r="I141" s="85">
        <f>G141*(1+[4]INPUT!D$10)</f>
        <v>0</v>
      </c>
    </row>
    <row r="142" spans="1:9" s="285" customFormat="1" hidden="1" x14ac:dyDescent="0.25">
      <c r="A142" s="118">
        <v>38</v>
      </c>
      <c r="B142" s="151">
        <v>5875</v>
      </c>
      <c r="C142" s="94" t="s">
        <v>325</v>
      </c>
      <c r="D142" s="85"/>
      <c r="E142" s="85"/>
      <c r="F142" s="85">
        <v>0</v>
      </c>
      <c r="G142" s="85">
        <f t="shared" si="17"/>
        <v>0</v>
      </c>
      <c r="H142" s="85"/>
      <c r="I142" s="85">
        <f>G142*(1+[4]INPUT!D$10)</f>
        <v>0</v>
      </c>
    </row>
    <row r="143" spans="1:9" s="285" customFormat="1" hidden="1" x14ac:dyDescent="0.25">
      <c r="A143" s="118">
        <v>38</v>
      </c>
      <c r="B143" s="151">
        <v>5880</v>
      </c>
      <c r="C143" s="94" t="s">
        <v>326</v>
      </c>
      <c r="D143" s="85"/>
      <c r="E143" s="85"/>
      <c r="F143" s="85">
        <v>0</v>
      </c>
      <c r="G143" s="85">
        <f t="shared" si="17"/>
        <v>0</v>
      </c>
      <c r="H143" s="85"/>
      <c r="I143" s="85">
        <f>G143*(1+[4]INPUT!D$10)</f>
        <v>0</v>
      </c>
    </row>
    <row r="144" spans="1:9" s="285" customFormat="1" hidden="1" x14ac:dyDescent="0.25">
      <c r="A144" s="118">
        <v>38</v>
      </c>
      <c r="B144" s="151">
        <v>5885</v>
      </c>
      <c r="C144" s="94" t="s">
        <v>331</v>
      </c>
      <c r="D144" s="85"/>
      <c r="E144" s="85"/>
      <c r="F144" s="85">
        <v>0</v>
      </c>
      <c r="G144" s="85">
        <f t="shared" si="17"/>
        <v>0</v>
      </c>
      <c r="H144" s="85"/>
      <c r="I144" s="85">
        <f>G144*(1+[4]INPUT!D$10)</f>
        <v>0</v>
      </c>
    </row>
    <row r="145" spans="1:9" s="285" customFormat="1" hidden="1" x14ac:dyDescent="0.25">
      <c r="A145" s="118">
        <v>38</v>
      </c>
      <c r="B145" s="151">
        <v>5890</v>
      </c>
      <c r="C145" s="94" t="s">
        <v>327</v>
      </c>
      <c r="D145" s="85"/>
      <c r="E145" s="85"/>
      <c r="F145" s="85">
        <v>0</v>
      </c>
      <c r="G145" s="85">
        <f t="shared" si="17"/>
        <v>0</v>
      </c>
      <c r="H145" s="85"/>
      <c r="I145" s="85">
        <f>G145*(1+[4]INPUT!D$10)</f>
        <v>0</v>
      </c>
    </row>
    <row r="146" spans="1:9" s="285" customFormat="1" hidden="1" x14ac:dyDescent="0.25">
      <c r="A146" s="118">
        <v>38</v>
      </c>
      <c r="B146" s="151">
        <v>5895</v>
      </c>
      <c r="C146" s="94" t="s">
        <v>328</v>
      </c>
      <c r="D146" s="85"/>
      <c r="E146" s="85"/>
      <c r="F146" s="85">
        <v>0</v>
      </c>
      <c r="G146" s="85">
        <f t="shared" si="17"/>
        <v>0</v>
      </c>
      <c r="H146" s="85"/>
      <c r="I146" s="85">
        <f>G146*(1+[4]INPUT!D$10)</f>
        <v>0</v>
      </c>
    </row>
    <row r="147" spans="1:9" s="285" customFormat="1" hidden="1" x14ac:dyDescent="0.25">
      <c r="A147" s="118">
        <v>38</v>
      </c>
      <c r="B147" s="151">
        <v>5910</v>
      </c>
      <c r="C147" s="94" t="s">
        <v>330</v>
      </c>
      <c r="D147" s="85"/>
      <c r="E147" s="85"/>
      <c r="F147" s="85">
        <v>0</v>
      </c>
      <c r="G147" s="85">
        <f t="shared" si="17"/>
        <v>0</v>
      </c>
      <c r="H147" s="85"/>
      <c r="I147" s="85">
        <f>G147*(1+[4]INPUT!D$10)</f>
        <v>0</v>
      </c>
    </row>
    <row r="148" spans="1:9" s="285" customFormat="1" x14ac:dyDescent="0.25">
      <c r="A148" s="344"/>
      <c r="B148" s="151"/>
      <c r="C148" s="94"/>
      <c r="D148" s="89">
        <f t="shared" ref="D148:E148" si="18">SUM(D72:D147)</f>
        <v>125116</v>
      </c>
      <c r="E148" s="89">
        <f t="shared" si="18"/>
        <v>247171</v>
      </c>
      <c r="F148" s="89">
        <v>247171</v>
      </c>
      <c r="G148" s="89">
        <f t="shared" ref="G148:I148" si="19">SUM(G72:G147)</f>
        <v>304900</v>
      </c>
      <c r="H148" s="89">
        <f t="shared" ref="H148" si="20">SUM(H72:H147)</f>
        <v>334900</v>
      </c>
      <c r="I148" s="89">
        <f t="shared" si="19"/>
        <v>370400</v>
      </c>
    </row>
    <row r="149" spans="1:9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hidden="1" x14ac:dyDescent="0.25">
      <c r="A150" s="118">
        <v>38</v>
      </c>
      <c r="B150" s="151">
        <v>6005</v>
      </c>
      <c r="C150" s="94" t="s">
        <v>188</v>
      </c>
      <c r="D150" s="85"/>
      <c r="E150" s="108"/>
      <c r="F150" s="85">
        <v>0</v>
      </c>
      <c r="G150" s="85">
        <f>0/8*12</f>
        <v>0</v>
      </c>
      <c r="H150" s="85">
        <f>0/8*12</f>
        <v>0</v>
      </c>
      <c r="I150" s="108">
        <f>G150*(1+[4]INPUT!D$10)</f>
        <v>0</v>
      </c>
    </row>
    <row r="151" spans="1:9" s="285" customFormat="1" hidden="1" x14ac:dyDescent="0.25">
      <c r="A151" s="344"/>
      <c r="B151" s="151"/>
      <c r="C151" s="94"/>
      <c r="D151" s="89">
        <f t="shared" ref="D151:E151" si="21">SUM(D150)</f>
        <v>0</v>
      </c>
      <c r="E151" s="89">
        <f t="shared" si="21"/>
        <v>0</v>
      </c>
      <c r="F151" s="89">
        <v>0</v>
      </c>
      <c r="G151" s="89">
        <f t="shared" ref="G151:I151" si="22">SUM(G150)</f>
        <v>0</v>
      </c>
      <c r="H151" s="89">
        <f t="shared" ref="H151" si="23">SUM(H150)</f>
        <v>0</v>
      </c>
      <c r="I151" s="89">
        <f t="shared" si="22"/>
        <v>0</v>
      </c>
    </row>
    <row r="152" spans="1:9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hidden="1" x14ac:dyDescent="0.25">
      <c r="A153" s="118">
        <v>38</v>
      </c>
      <c r="B153" s="151">
        <v>6105</v>
      </c>
      <c r="C153" s="94" t="s">
        <v>336</v>
      </c>
      <c r="D153" s="85"/>
      <c r="E153" s="108"/>
      <c r="F153" s="85">
        <v>0</v>
      </c>
      <c r="G153" s="85">
        <f t="shared" ref="G153:H155" si="24">0/8*12</f>
        <v>0</v>
      </c>
      <c r="H153" s="85">
        <f t="shared" si="24"/>
        <v>0</v>
      </c>
      <c r="I153" s="108">
        <f>G153*(1+[4]INPUT!D$10)</f>
        <v>0</v>
      </c>
    </row>
    <row r="154" spans="1:9" s="285" customFormat="1" hidden="1" x14ac:dyDescent="0.25">
      <c r="A154" s="118">
        <v>38</v>
      </c>
      <c r="B154" s="151">
        <v>6110</v>
      </c>
      <c r="C154" s="94" t="s">
        <v>337</v>
      </c>
      <c r="D154" s="85"/>
      <c r="E154" s="108"/>
      <c r="F154" s="85">
        <v>0</v>
      </c>
      <c r="G154" s="85">
        <f t="shared" si="24"/>
        <v>0</v>
      </c>
      <c r="H154" s="85">
        <f t="shared" si="24"/>
        <v>0</v>
      </c>
      <c r="I154" s="108">
        <f>G154*(1+[4]INPUT!D$10)</f>
        <v>0</v>
      </c>
    </row>
    <row r="155" spans="1:9" s="285" customFormat="1" hidden="1" x14ac:dyDescent="0.25">
      <c r="A155" s="118">
        <v>38</v>
      </c>
      <c r="B155" s="151">
        <v>6115</v>
      </c>
      <c r="C155" s="94" t="s">
        <v>60</v>
      </c>
      <c r="D155" s="85"/>
      <c r="E155" s="108"/>
      <c r="F155" s="85">
        <v>0</v>
      </c>
      <c r="G155" s="85">
        <f t="shared" si="24"/>
        <v>0</v>
      </c>
      <c r="H155" s="85">
        <f t="shared" si="24"/>
        <v>0</v>
      </c>
      <c r="I155" s="108">
        <f>G155*(1+[4]INPUT!D$10)</f>
        <v>0</v>
      </c>
    </row>
    <row r="156" spans="1:9" s="285" customFormat="1" hidden="1" x14ac:dyDescent="0.25">
      <c r="A156" s="344"/>
      <c r="B156" s="151"/>
      <c r="C156" s="94"/>
      <c r="D156" s="89">
        <f>D153</f>
        <v>0</v>
      </c>
      <c r="E156" s="89">
        <f t="shared" ref="E156" si="25">SUM(E153:E155)</f>
        <v>0</v>
      </c>
      <c r="F156" s="89">
        <v>0</v>
      </c>
      <c r="G156" s="89">
        <f t="shared" ref="G156:I156" si="26">SUM(G153:G155)</f>
        <v>0</v>
      </c>
      <c r="H156" s="89">
        <f t="shared" si="26"/>
        <v>0</v>
      </c>
      <c r="I156" s="89">
        <f t="shared" si="26"/>
        <v>0</v>
      </c>
    </row>
    <row r="157" spans="1:9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hidden="1" x14ac:dyDescent="0.25">
      <c r="A158" s="118">
        <v>38</v>
      </c>
      <c r="B158" s="151">
        <v>6205</v>
      </c>
      <c r="C158" s="94" t="s">
        <v>338</v>
      </c>
      <c r="D158" s="85"/>
      <c r="E158" s="108"/>
      <c r="F158" s="85">
        <v>0</v>
      </c>
      <c r="G158" s="85">
        <f>0/8*12</f>
        <v>0</v>
      </c>
      <c r="H158" s="85">
        <f>0/8*12</f>
        <v>0</v>
      </c>
      <c r="I158" s="85">
        <f>G158*(1+[4]INPUT!D$10)</f>
        <v>0</v>
      </c>
    </row>
    <row r="159" spans="1:9" s="285" customFormat="1" hidden="1" x14ac:dyDescent="0.25">
      <c r="A159" s="118">
        <v>38</v>
      </c>
      <c r="B159" s="151">
        <v>6210</v>
      </c>
      <c r="C159" s="94" t="s">
        <v>339</v>
      </c>
      <c r="D159" s="85"/>
      <c r="E159" s="85"/>
      <c r="F159" s="85">
        <v>0</v>
      </c>
      <c r="G159" s="85">
        <f>0/8*12</f>
        <v>0</v>
      </c>
      <c r="H159" s="85">
        <f>0/8*12</f>
        <v>0</v>
      </c>
      <c r="I159" s="85">
        <f>G159*(1+[4]INPUT!D$10)</f>
        <v>0</v>
      </c>
    </row>
    <row r="160" spans="1:9" s="285" customFormat="1" hidden="1" x14ac:dyDescent="0.25">
      <c r="A160" s="344"/>
      <c r="B160" s="346"/>
      <c r="C160" s="347"/>
      <c r="D160" s="116">
        <f t="shared" ref="D160:E160" si="27">SUM(D158:D159)</f>
        <v>0</v>
      </c>
      <c r="E160" s="116">
        <f t="shared" si="27"/>
        <v>0</v>
      </c>
      <c r="F160" s="116">
        <v>0</v>
      </c>
      <c r="G160" s="116">
        <f t="shared" ref="G160:I160" si="28">SUM(G158:G159)</f>
        <v>0</v>
      </c>
      <c r="H160" s="116">
        <f t="shared" ref="H160" si="29">SUM(H158:H159)</f>
        <v>0</v>
      </c>
      <c r="I160" s="116">
        <f t="shared" si="28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F161" si="30">D160+D156+D151+D148+D70+D66+D63+D59+D38+D35+D32+D29+D25+D18</f>
        <v>262266</v>
      </c>
      <c r="E161" s="116">
        <f t="shared" si="30"/>
        <v>1902771</v>
      </c>
      <c r="F161" s="116">
        <f t="shared" si="30"/>
        <v>1902771</v>
      </c>
      <c r="G161" s="116">
        <f t="shared" ref="G161:I161" si="31">G160+G156+G151+G148+G70+G66+G63+G59+G38+G35+G32+G29+G25+G18</f>
        <v>2088458.8</v>
      </c>
      <c r="H161" s="116">
        <f t="shared" si="31"/>
        <v>2294014.6799999997</v>
      </c>
      <c r="I161" s="116">
        <f t="shared" si="31"/>
        <v>2521006.148</v>
      </c>
    </row>
    <row r="162" spans="1:9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hidden="1" x14ac:dyDescent="0.25">
      <c r="A163" s="118">
        <v>38</v>
      </c>
      <c r="B163" s="151">
        <v>6305</v>
      </c>
      <c r="C163" s="94" t="s">
        <v>190</v>
      </c>
      <c r="D163" s="85"/>
      <c r="E163" s="85"/>
      <c r="F163" s="85"/>
      <c r="G163" s="85"/>
      <c r="H163" s="85"/>
      <c r="I163" s="85"/>
    </row>
    <row r="164" spans="1:9" s="285" customFormat="1" hidden="1" x14ac:dyDescent="0.25">
      <c r="A164" s="344"/>
      <c r="B164" s="151"/>
      <c r="C164" s="94"/>
      <c r="D164" s="116">
        <f t="shared" ref="D164:E164" si="32">D163</f>
        <v>0</v>
      </c>
      <c r="E164" s="116">
        <f t="shared" si="32"/>
        <v>0</v>
      </c>
      <c r="F164" s="116">
        <v>0</v>
      </c>
      <c r="G164" s="116"/>
      <c r="H164" s="116"/>
      <c r="I164" s="116"/>
    </row>
    <row r="165" spans="1:9" s="285" customFormat="1" x14ac:dyDescent="0.25">
      <c r="A165" s="348"/>
      <c r="B165" s="152"/>
      <c r="C165" s="119" t="s">
        <v>191</v>
      </c>
      <c r="D165" s="160">
        <f t="shared" ref="D165:I165" si="33">SUM(D161+D164)</f>
        <v>262266</v>
      </c>
      <c r="E165" s="160">
        <f t="shared" si="33"/>
        <v>1902771</v>
      </c>
      <c r="F165" s="160">
        <f t="shared" si="33"/>
        <v>1902771</v>
      </c>
      <c r="G165" s="160">
        <f t="shared" si="33"/>
        <v>2088458.8</v>
      </c>
      <c r="H165" s="160">
        <f t="shared" si="33"/>
        <v>2294014.6799999997</v>
      </c>
      <c r="I165" s="160">
        <f t="shared" si="33"/>
        <v>2521006.148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424"/>
      <c r="H168" s="338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38</v>
      </c>
      <c r="B172" s="151">
        <v>1237</v>
      </c>
      <c r="C172" s="94" t="s">
        <v>99</v>
      </c>
      <c r="D172" s="122"/>
      <c r="E172" s="108"/>
      <c r="F172" s="98">
        <v>0</v>
      </c>
      <c r="G172" s="98"/>
      <c r="H172" s="98"/>
      <c r="I172" s="108"/>
    </row>
    <row r="173" spans="1:9" s="285" customFormat="1" hidden="1" x14ac:dyDescent="0.25">
      <c r="A173" s="118">
        <v>38</v>
      </c>
      <c r="B173" s="151">
        <v>5725</v>
      </c>
      <c r="C173" s="94" t="s">
        <v>402</v>
      </c>
      <c r="D173" s="85">
        <v>0</v>
      </c>
      <c r="E173" s="85">
        <v>0</v>
      </c>
      <c r="F173" s="85">
        <v>0</v>
      </c>
      <c r="G173" s="85"/>
      <c r="H173" s="85"/>
      <c r="I173" s="85"/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v>0</v>
      </c>
      <c r="G174" s="99"/>
      <c r="H174" s="99"/>
      <c r="I174" s="99"/>
    </row>
    <row r="175" spans="1:9" s="285" customFormat="1" hidden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38</v>
      </c>
      <c r="B176" s="151">
        <v>1147</v>
      </c>
      <c r="C176" s="94" t="s">
        <v>102</v>
      </c>
      <c r="D176" s="122"/>
      <c r="E176" s="98"/>
      <c r="F176" s="98">
        <v>0</v>
      </c>
      <c r="G176" s="98"/>
      <c r="H176" s="98"/>
      <c r="I176" s="98"/>
    </row>
    <row r="177" spans="1:9" s="285" customFormat="1" hidden="1" x14ac:dyDescent="0.25">
      <c r="A177" s="118">
        <v>38</v>
      </c>
      <c r="B177" s="151">
        <v>1202</v>
      </c>
      <c r="C177" s="94" t="s">
        <v>343</v>
      </c>
      <c r="D177" s="122"/>
      <c r="E177" s="98"/>
      <c r="F177" s="98">
        <v>0</v>
      </c>
      <c r="G177" s="98"/>
      <c r="H177" s="98"/>
      <c r="I177" s="98"/>
    </row>
    <row r="178" spans="1:9" s="285" customFormat="1" hidden="1" x14ac:dyDescent="0.25">
      <c r="A178" s="118">
        <v>38</v>
      </c>
      <c r="B178" s="151">
        <v>1207</v>
      </c>
      <c r="C178" s="94" t="s">
        <v>104</v>
      </c>
      <c r="D178" s="122"/>
      <c r="E178" s="98"/>
      <c r="F178" s="98">
        <v>0</v>
      </c>
      <c r="G178" s="98"/>
      <c r="H178" s="98"/>
      <c r="I178" s="98"/>
    </row>
    <row r="179" spans="1:9" s="285" customFormat="1" hidden="1" x14ac:dyDescent="0.25">
      <c r="A179" s="118">
        <v>38</v>
      </c>
      <c r="B179" s="151">
        <v>1153</v>
      </c>
      <c r="C179" s="94" t="s">
        <v>115</v>
      </c>
      <c r="D179" s="122"/>
      <c r="E179" s="98"/>
      <c r="F179" s="98">
        <v>0</v>
      </c>
      <c r="G179" s="98"/>
      <c r="H179" s="98"/>
      <c r="I179" s="98"/>
    </row>
    <row r="180" spans="1:9" s="285" customFormat="1" hidden="1" x14ac:dyDescent="0.25">
      <c r="A180" s="118">
        <v>38</v>
      </c>
      <c r="B180" s="151">
        <v>1143</v>
      </c>
      <c r="C180" s="94" t="s">
        <v>109</v>
      </c>
      <c r="D180" s="122"/>
      <c r="E180" s="98"/>
      <c r="F180" s="98">
        <v>0</v>
      </c>
      <c r="G180" s="98"/>
      <c r="H180" s="98"/>
      <c r="I180" s="98"/>
    </row>
    <row r="181" spans="1:9" s="285" customFormat="1" hidden="1" x14ac:dyDescent="0.25">
      <c r="A181" s="118">
        <v>38</v>
      </c>
      <c r="B181" s="151">
        <v>5500</v>
      </c>
      <c r="C181" s="94" t="s">
        <v>266</v>
      </c>
      <c r="D181" s="85"/>
      <c r="E181" s="85">
        <v>0</v>
      </c>
      <c r="F181" s="85">
        <v>0</v>
      </c>
      <c r="G181" s="85"/>
      <c r="H181" s="85"/>
      <c r="I181" s="85"/>
    </row>
    <row r="182" spans="1:9" s="285" customFormat="1" hidden="1" x14ac:dyDescent="0.25">
      <c r="A182" s="118">
        <v>38</v>
      </c>
      <c r="B182" s="151">
        <v>5705</v>
      </c>
      <c r="C182" s="94" t="s">
        <v>296</v>
      </c>
      <c r="D182" s="85"/>
      <c r="E182" s="85"/>
      <c r="F182" s="85">
        <v>0</v>
      </c>
      <c r="G182" s="85"/>
      <c r="H182" s="85"/>
      <c r="I182" s="85"/>
    </row>
    <row r="183" spans="1:9" s="285" customFormat="1" hidden="1" x14ac:dyDescent="0.25">
      <c r="A183" s="118">
        <v>38</v>
      </c>
      <c r="B183" s="151">
        <v>1140</v>
      </c>
      <c r="C183" s="94" t="s">
        <v>113</v>
      </c>
      <c r="D183" s="122"/>
      <c r="E183" s="98"/>
      <c r="F183" s="98">
        <v>0</v>
      </c>
      <c r="G183" s="98"/>
      <c r="H183" s="98"/>
      <c r="I183" s="98"/>
    </row>
    <row r="184" spans="1:9" s="285" customFormat="1" hidden="1" x14ac:dyDescent="0.25">
      <c r="A184" s="118">
        <v>38</v>
      </c>
      <c r="B184" s="151">
        <v>1145</v>
      </c>
      <c r="C184" s="94" t="s">
        <v>132</v>
      </c>
      <c r="D184" s="122"/>
      <c r="E184" s="98"/>
      <c r="F184" s="98">
        <v>0</v>
      </c>
      <c r="G184" s="98"/>
      <c r="H184" s="98"/>
      <c r="I184" s="98"/>
    </row>
    <row r="185" spans="1:9" s="285" customFormat="1" hidden="1" x14ac:dyDescent="0.25">
      <c r="A185" s="118">
        <v>38</v>
      </c>
      <c r="B185" s="151">
        <v>1150</v>
      </c>
      <c r="C185" s="94" t="s">
        <v>120</v>
      </c>
      <c r="D185" s="122"/>
      <c r="E185" s="98"/>
      <c r="F185" s="98">
        <v>0</v>
      </c>
      <c r="G185" s="98"/>
      <c r="H185" s="98"/>
      <c r="I185" s="98"/>
    </row>
    <row r="186" spans="1:9" s="285" customFormat="1" hidden="1" x14ac:dyDescent="0.25">
      <c r="A186" s="118">
        <v>38</v>
      </c>
      <c r="B186" s="151">
        <v>1155</v>
      </c>
      <c r="C186" s="94" t="s">
        <v>116</v>
      </c>
      <c r="D186" s="122"/>
      <c r="E186" s="98"/>
      <c r="F186" s="98">
        <v>0</v>
      </c>
      <c r="G186" s="98"/>
      <c r="H186" s="98"/>
      <c r="I186" s="98"/>
    </row>
    <row r="187" spans="1:9" s="285" customFormat="1" hidden="1" x14ac:dyDescent="0.25">
      <c r="A187" s="118">
        <v>38</v>
      </c>
      <c r="B187" s="151">
        <v>1160</v>
      </c>
      <c r="C187" s="94" t="s">
        <v>101</v>
      </c>
      <c r="D187" s="122"/>
      <c r="E187" s="98"/>
      <c r="F187" s="98">
        <v>0</v>
      </c>
      <c r="G187" s="98"/>
      <c r="H187" s="98"/>
      <c r="I187" s="98"/>
    </row>
    <row r="188" spans="1:9" s="285" customFormat="1" hidden="1" x14ac:dyDescent="0.25">
      <c r="A188" s="118">
        <v>38</v>
      </c>
      <c r="B188" s="151">
        <v>1165</v>
      </c>
      <c r="C188" s="94" t="s">
        <v>114</v>
      </c>
      <c r="D188" s="122"/>
      <c r="E188" s="98"/>
      <c r="F188" s="98">
        <v>0</v>
      </c>
      <c r="G188" s="98"/>
      <c r="H188" s="98"/>
      <c r="I188" s="98"/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98">
        <v>0</v>
      </c>
      <c r="G189" s="98"/>
      <c r="H189" s="98"/>
      <c r="I189" s="98"/>
    </row>
    <row r="190" spans="1:9" s="285" customFormat="1" hidden="1" x14ac:dyDescent="0.25">
      <c r="A190" s="118">
        <v>38</v>
      </c>
      <c r="B190" s="151">
        <v>1180</v>
      </c>
      <c r="C190" s="94" t="s">
        <v>404</v>
      </c>
      <c r="D190" s="122"/>
      <c r="E190" s="98"/>
      <c r="F190" s="98">
        <v>0</v>
      </c>
      <c r="G190" s="98"/>
      <c r="H190" s="98"/>
      <c r="I190" s="98"/>
    </row>
    <row r="191" spans="1:9" s="285" customFormat="1" hidden="1" x14ac:dyDescent="0.25">
      <c r="A191" s="118">
        <v>38</v>
      </c>
      <c r="B191" s="151">
        <v>1185</v>
      </c>
      <c r="C191" s="94" t="s">
        <v>405</v>
      </c>
      <c r="D191" s="122"/>
      <c r="E191" s="98"/>
      <c r="F191" s="98">
        <v>0</v>
      </c>
      <c r="G191" s="98"/>
      <c r="H191" s="98"/>
      <c r="I191" s="98"/>
    </row>
    <row r="192" spans="1:9" s="285" customFormat="1" hidden="1" x14ac:dyDescent="0.25">
      <c r="A192" s="118">
        <v>38</v>
      </c>
      <c r="B192" s="151">
        <v>1190</v>
      </c>
      <c r="C192" s="94" t="s">
        <v>406</v>
      </c>
      <c r="D192" s="122"/>
      <c r="E192" s="98"/>
      <c r="F192" s="98">
        <v>0</v>
      </c>
      <c r="G192" s="98"/>
      <c r="H192" s="98"/>
      <c r="I192" s="98"/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98">
        <v>0</v>
      </c>
      <c r="G193" s="98"/>
      <c r="H193" s="98"/>
      <c r="I193" s="98"/>
    </row>
    <row r="194" spans="1:9" s="285" customFormat="1" hidden="1" x14ac:dyDescent="0.25">
      <c r="A194" s="118">
        <v>38</v>
      </c>
      <c r="B194" s="151">
        <v>1195</v>
      </c>
      <c r="C194" s="94" t="s">
        <v>199</v>
      </c>
      <c r="D194" s="122"/>
      <c r="E194" s="98"/>
      <c r="F194" s="98">
        <v>0</v>
      </c>
      <c r="G194" s="98"/>
      <c r="H194" s="98"/>
      <c r="I194" s="98"/>
    </row>
    <row r="195" spans="1:9" s="285" customFormat="1" hidden="1" x14ac:dyDescent="0.25">
      <c r="A195" s="118">
        <v>38</v>
      </c>
      <c r="B195" s="151">
        <v>1200</v>
      </c>
      <c r="C195" s="94" t="s">
        <v>117</v>
      </c>
      <c r="D195" s="122"/>
      <c r="E195" s="98"/>
      <c r="F195" s="98">
        <v>0</v>
      </c>
      <c r="G195" s="98"/>
      <c r="H195" s="98"/>
      <c r="I195" s="98"/>
    </row>
    <row r="196" spans="1:9" s="285" customFormat="1" hidden="1" x14ac:dyDescent="0.25">
      <c r="A196" s="118">
        <v>38</v>
      </c>
      <c r="B196" s="151">
        <v>1205</v>
      </c>
      <c r="C196" s="115" t="s">
        <v>105</v>
      </c>
      <c r="D196" s="122"/>
      <c r="E196" s="98"/>
      <c r="F196" s="98">
        <v>0</v>
      </c>
      <c r="G196" s="98"/>
      <c r="H196" s="98"/>
      <c r="I196" s="98"/>
    </row>
    <row r="197" spans="1:9" s="285" customFormat="1" hidden="1" x14ac:dyDescent="0.25">
      <c r="A197" s="118">
        <v>38</v>
      </c>
      <c r="B197" s="151">
        <v>1210</v>
      </c>
      <c r="C197" s="94" t="s">
        <v>118</v>
      </c>
      <c r="D197" s="122"/>
      <c r="E197" s="98"/>
      <c r="F197" s="98">
        <v>0</v>
      </c>
      <c r="G197" s="98"/>
      <c r="H197" s="98"/>
      <c r="I197" s="98"/>
    </row>
    <row r="198" spans="1:9" s="285" customFormat="1" hidden="1" x14ac:dyDescent="0.25">
      <c r="A198" s="118">
        <v>38</v>
      </c>
      <c r="B198" s="151">
        <v>1215</v>
      </c>
      <c r="C198" s="94" t="s">
        <v>133</v>
      </c>
      <c r="D198" s="122"/>
      <c r="E198" s="98"/>
      <c r="F198" s="98">
        <v>0</v>
      </c>
      <c r="G198" s="98"/>
      <c r="H198" s="98"/>
      <c r="I198" s="98"/>
    </row>
    <row r="199" spans="1:9" s="285" customFormat="1" hidden="1" x14ac:dyDescent="0.25">
      <c r="A199" s="118">
        <v>38</v>
      </c>
      <c r="B199" s="151">
        <v>5905</v>
      </c>
      <c r="C199" s="94" t="s">
        <v>329</v>
      </c>
      <c r="D199" s="85"/>
      <c r="E199" s="85"/>
      <c r="F199" s="85">
        <v>0</v>
      </c>
      <c r="G199" s="85"/>
      <c r="H199" s="85"/>
      <c r="I199" s="85"/>
    </row>
    <row r="200" spans="1:9" s="285" customFormat="1" hidden="1" x14ac:dyDescent="0.25">
      <c r="A200" s="118">
        <v>38</v>
      </c>
      <c r="B200" s="151">
        <v>5900</v>
      </c>
      <c r="C200" s="94" t="s">
        <v>333</v>
      </c>
      <c r="D200" s="85">
        <v>0</v>
      </c>
      <c r="E200" s="85">
        <v>0</v>
      </c>
      <c r="F200" s="85">
        <v>0</v>
      </c>
      <c r="G200" s="85"/>
      <c r="H200" s="85"/>
      <c r="I200" s="85"/>
    </row>
    <row r="201" spans="1:9" s="285" customFormat="1" hidden="1" x14ac:dyDescent="0.25">
      <c r="A201" s="118">
        <v>38</v>
      </c>
      <c r="B201" s="151">
        <v>1220</v>
      </c>
      <c r="C201" s="94" t="s">
        <v>340</v>
      </c>
      <c r="D201" s="122"/>
      <c r="E201" s="98"/>
      <c r="F201" s="98">
        <v>0</v>
      </c>
      <c r="G201" s="98"/>
      <c r="H201" s="98"/>
      <c r="I201" s="98"/>
    </row>
    <row r="202" spans="1:9" s="285" customFormat="1" hidden="1" x14ac:dyDescent="0.25">
      <c r="A202" s="118">
        <v>38</v>
      </c>
      <c r="B202" s="151">
        <v>1225</v>
      </c>
      <c r="C202" s="94" t="s">
        <v>372</v>
      </c>
      <c r="D202" s="122"/>
      <c r="E202" s="98"/>
      <c r="F202" s="98">
        <v>0</v>
      </c>
      <c r="G202" s="98"/>
      <c r="H202" s="98"/>
      <c r="I202" s="98"/>
    </row>
    <row r="203" spans="1:9" s="285" customFormat="1" hidden="1" x14ac:dyDescent="0.25">
      <c r="A203" s="118">
        <v>38</v>
      </c>
      <c r="B203" s="151">
        <v>1230</v>
      </c>
      <c r="C203" s="94" t="s">
        <v>119</v>
      </c>
      <c r="D203" s="122"/>
      <c r="E203" s="98"/>
      <c r="F203" s="98">
        <v>0</v>
      </c>
      <c r="G203" s="98"/>
      <c r="H203" s="98"/>
      <c r="I203" s="98"/>
    </row>
    <row r="204" spans="1:9" s="285" customFormat="1" hidden="1" x14ac:dyDescent="0.25">
      <c r="A204" s="118">
        <v>38</v>
      </c>
      <c r="B204" s="151">
        <v>1235</v>
      </c>
      <c r="C204" s="94" t="s">
        <v>347</v>
      </c>
      <c r="D204" s="122"/>
      <c r="E204" s="98"/>
      <c r="F204" s="98">
        <v>0</v>
      </c>
      <c r="G204" s="98"/>
      <c r="H204" s="98"/>
      <c r="I204" s="98"/>
    </row>
    <row r="205" spans="1:9" s="285" customFormat="1" hidden="1" x14ac:dyDescent="0.25">
      <c r="A205" s="118"/>
      <c r="B205" s="151"/>
      <c r="C205" s="94" t="s">
        <v>512</v>
      </c>
      <c r="D205" s="225"/>
      <c r="E205" s="85"/>
      <c r="F205" s="85"/>
      <c r="G205" s="85"/>
      <c r="H205" s="85"/>
      <c r="I205" s="85"/>
    </row>
    <row r="206" spans="1:9" s="285" customFormat="1" hidden="1" x14ac:dyDescent="0.25">
      <c r="A206" s="344"/>
      <c r="B206" s="151"/>
      <c r="C206" s="94"/>
      <c r="D206" s="100">
        <f t="shared" ref="D206:E206" si="34">SUM(D176:D204)</f>
        <v>0</v>
      </c>
      <c r="E206" s="100">
        <f t="shared" si="34"/>
        <v>0</v>
      </c>
      <c r="F206" s="100">
        <v>0</v>
      </c>
      <c r="G206" s="100"/>
      <c r="H206" s="100"/>
      <c r="I206" s="100"/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38</v>
      </c>
      <c r="B208" s="151">
        <v>1305</v>
      </c>
      <c r="C208" s="94" t="s">
        <v>342</v>
      </c>
      <c r="D208" s="122"/>
      <c r="E208" s="98"/>
      <c r="F208" s="98">
        <v>0</v>
      </c>
      <c r="G208" s="98"/>
      <c r="H208" s="98"/>
      <c r="I208" s="98"/>
    </row>
    <row r="209" spans="1:9" s="285" customFormat="1" hidden="1" x14ac:dyDescent="0.25">
      <c r="A209" s="118">
        <v>38</v>
      </c>
      <c r="B209" s="151">
        <v>1310</v>
      </c>
      <c r="C209" s="94" t="s">
        <v>344</v>
      </c>
      <c r="D209" s="122"/>
      <c r="E209" s="98"/>
      <c r="F209" s="98">
        <v>0</v>
      </c>
      <c r="G209" s="98"/>
      <c r="H209" s="98"/>
      <c r="I209" s="98"/>
    </row>
    <row r="210" spans="1:9" s="285" customFormat="1" hidden="1" x14ac:dyDescent="0.25">
      <c r="A210" s="118">
        <v>38</v>
      </c>
      <c r="B210" s="151">
        <v>1320</v>
      </c>
      <c r="C210" s="94" t="s">
        <v>345</v>
      </c>
      <c r="D210" s="122"/>
      <c r="E210" s="98"/>
      <c r="F210" s="98">
        <v>0</v>
      </c>
      <c r="G210" s="98"/>
      <c r="H210" s="98"/>
      <c r="I210" s="98"/>
    </row>
    <row r="211" spans="1:9" s="285" customFormat="1" hidden="1" x14ac:dyDescent="0.25">
      <c r="A211" s="118">
        <v>38</v>
      </c>
      <c r="B211" s="151">
        <v>1315</v>
      </c>
      <c r="C211" s="94" t="s">
        <v>346</v>
      </c>
      <c r="D211" s="122"/>
      <c r="E211" s="108"/>
      <c r="F211" s="98">
        <v>0</v>
      </c>
      <c r="G211" s="98"/>
      <c r="H211" s="98"/>
      <c r="I211" s="108"/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>SUM(E208:E211)</f>
        <v>0</v>
      </c>
      <c r="F212" s="99">
        <v>0</v>
      </c>
      <c r="G212" s="99"/>
      <c r="H212" s="99"/>
      <c r="I212" s="99"/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38</v>
      </c>
      <c r="B214" s="151">
        <v>1400</v>
      </c>
      <c r="C214" s="94" t="s">
        <v>68</v>
      </c>
      <c r="D214" s="122"/>
      <c r="E214" s="108"/>
      <c r="F214" s="98"/>
      <c r="G214" s="98"/>
      <c r="H214" s="98"/>
      <c r="I214" s="108"/>
    </row>
    <row r="215" spans="1:9" s="285" customFormat="1" hidden="1" x14ac:dyDescent="0.25">
      <c r="A215" s="118">
        <v>38</v>
      </c>
      <c r="B215" s="151">
        <v>1405</v>
      </c>
      <c r="C215" s="94" t="s">
        <v>69</v>
      </c>
      <c r="D215" s="122"/>
      <c r="E215" s="108"/>
      <c r="F215" s="98"/>
      <c r="G215" s="98"/>
      <c r="H215" s="98"/>
      <c r="I215" s="108"/>
    </row>
    <row r="216" spans="1:9" s="285" customFormat="1" hidden="1" x14ac:dyDescent="0.25">
      <c r="A216" s="344"/>
      <c r="B216" s="151"/>
      <c r="C216" s="94"/>
      <c r="D216" s="99">
        <f t="shared" ref="D216:E216" si="35">SUM(D214:D215)</f>
        <v>0</v>
      </c>
      <c r="E216" s="99">
        <f t="shared" si="35"/>
        <v>0</v>
      </c>
      <c r="F216" s="99">
        <v>0</v>
      </c>
      <c r="G216" s="99"/>
      <c r="H216" s="99"/>
      <c r="I216" s="99"/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38</v>
      </c>
      <c r="B218" s="151">
        <v>1500</v>
      </c>
      <c r="C218" s="94" t="s">
        <v>106</v>
      </c>
      <c r="D218" s="122"/>
      <c r="E218" s="108"/>
      <c r="F218" s="98"/>
      <c r="G218" s="98"/>
      <c r="H218" s="98"/>
      <c r="I218" s="108"/>
    </row>
    <row r="219" spans="1:9" s="285" customFormat="1" hidden="1" x14ac:dyDescent="0.25">
      <c r="A219" s="118">
        <v>38</v>
      </c>
      <c r="B219" s="151">
        <v>1505</v>
      </c>
      <c r="C219" s="94" t="s">
        <v>71</v>
      </c>
      <c r="D219" s="122"/>
      <c r="E219" s="108"/>
      <c r="F219" s="98"/>
      <c r="G219" s="98"/>
      <c r="H219" s="98"/>
      <c r="I219" s="108"/>
    </row>
    <row r="220" spans="1:9" s="285" customFormat="1" hidden="1" x14ac:dyDescent="0.25">
      <c r="A220" s="118">
        <v>38</v>
      </c>
      <c r="B220" s="151">
        <v>1510</v>
      </c>
      <c r="C220" s="94" t="s">
        <v>72</v>
      </c>
      <c r="D220" s="122"/>
      <c r="E220" s="108"/>
      <c r="F220" s="98"/>
      <c r="G220" s="98"/>
      <c r="H220" s="98"/>
      <c r="I220" s="108"/>
    </row>
    <row r="221" spans="1:9" s="285" customFormat="1" hidden="1" x14ac:dyDescent="0.25">
      <c r="A221" s="344"/>
      <c r="B221" s="151"/>
      <c r="C221" s="94"/>
      <c r="D221" s="99">
        <f t="shared" ref="D221:E221" si="36">SUM(D218:D220)</f>
        <v>0</v>
      </c>
      <c r="E221" s="99">
        <f t="shared" si="36"/>
        <v>0</v>
      </c>
      <c r="F221" s="99">
        <v>0</v>
      </c>
      <c r="G221" s="99"/>
      <c r="H221" s="99"/>
      <c r="I221" s="99"/>
    </row>
    <row r="222" spans="1:9" s="285" customFormat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38</v>
      </c>
      <c r="B223" s="151">
        <v>1550</v>
      </c>
      <c r="C223" s="94" t="s">
        <v>349</v>
      </c>
      <c r="D223" s="122"/>
      <c r="E223" s="98"/>
      <c r="F223" s="98"/>
      <c r="G223" s="98"/>
      <c r="H223" s="98"/>
      <c r="I223" s="98"/>
    </row>
    <row r="224" spans="1:9" s="285" customFormat="1" x14ac:dyDescent="0.25">
      <c r="A224" s="118">
        <v>38</v>
      </c>
      <c r="B224" s="151">
        <v>1555</v>
      </c>
      <c r="C224" s="94" t="s">
        <v>348</v>
      </c>
      <c r="D224" s="122">
        <v>2300</v>
      </c>
      <c r="E224" s="98">
        <v>225000</v>
      </c>
      <c r="F224" s="85">
        <v>225000</v>
      </c>
      <c r="G224" s="85">
        <f t="shared" ref="G224:I224" si="37">(F224*0.1)+F224</f>
        <v>247500</v>
      </c>
      <c r="H224" s="85">
        <f t="shared" si="37"/>
        <v>272250</v>
      </c>
      <c r="I224" s="85">
        <f t="shared" si="37"/>
        <v>299475</v>
      </c>
    </row>
    <row r="225" spans="1:9" s="285" customFormat="1" x14ac:dyDescent="0.25">
      <c r="A225" s="344"/>
      <c r="B225" s="151"/>
      <c r="C225" s="94"/>
      <c r="D225" s="100">
        <f t="shared" ref="D225:I225" si="38">SUM(D223:D224)</f>
        <v>2300</v>
      </c>
      <c r="E225" s="100">
        <f t="shared" si="38"/>
        <v>225000</v>
      </c>
      <c r="F225" s="100">
        <f t="shared" si="38"/>
        <v>225000</v>
      </c>
      <c r="G225" s="100">
        <f t="shared" si="38"/>
        <v>247500</v>
      </c>
      <c r="H225" s="100">
        <f t="shared" si="38"/>
        <v>272250</v>
      </c>
      <c r="I225" s="100">
        <f t="shared" si="38"/>
        <v>299475</v>
      </c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38</v>
      </c>
      <c r="B227" s="151">
        <v>1605</v>
      </c>
      <c r="C227" s="94" t="s">
        <v>75</v>
      </c>
      <c r="D227" s="122"/>
      <c r="E227" s="98"/>
      <c r="F227" s="98"/>
      <c r="G227" s="98"/>
      <c r="H227" s="98"/>
      <c r="I227" s="98"/>
    </row>
    <row r="228" spans="1:9" s="285" customFormat="1" hidden="1" x14ac:dyDescent="0.25">
      <c r="A228" s="118">
        <v>38</v>
      </c>
      <c r="B228" s="151">
        <v>1610</v>
      </c>
      <c r="C228" s="94" t="s">
        <v>131</v>
      </c>
      <c r="D228" s="122"/>
      <c r="E228" s="108"/>
      <c r="F228" s="98"/>
      <c r="G228" s="98"/>
      <c r="H228" s="98"/>
      <c r="I228" s="98"/>
    </row>
    <row r="229" spans="1:9" s="285" customFormat="1" hidden="1" x14ac:dyDescent="0.25">
      <c r="A229" s="118">
        <v>38</v>
      </c>
      <c r="B229" s="151">
        <v>1615</v>
      </c>
      <c r="C229" s="94" t="s">
        <v>182</v>
      </c>
      <c r="D229" s="122"/>
      <c r="E229" s="108"/>
      <c r="F229" s="98"/>
      <c r="G229" s="98"/>
      <c r="H229" s="98"/>
      <c r="I229" s="98"/>
    </row>
    <row r="230" spans="1:9" s="285" customFormat="1" hidden="1" x14ac:dyDescent="0.25">
      <c r="A230" s="118">
        <v>38</v>
      </c>
      <c r="B230" s="151">
        <v>1620</v>
      </c>
      <c r="C230" s="94" t="s">
        <v>255</v>
      </c>
      <c r="D230" s="122"/>
      <c r="E230" s="108"/>
      <c r="F230" s="98"/>
      <c r="G230" s="98"/>
      <c r="H230" s="98"/>
      <c r="I230" s="98"/>
    </row>
    <row r="231" spans="1:9" s="285" customFormat="1" hidden="1" x14ac:dyDescent="0.25">
      <c r="A231" s="118">
        <v>38</v>
      </c>
      <c r="B231" s="151">
        <v>1625</v>
      </c>
      <c r="C231" s="94" t="s">
        <v>108</v>
      </c>
      <c r="D231" s="122"/>
      <c r="E231" s="108"/>
      <c r="F231" s="98"/>
      <c r="G231" s="98"/>
      <c r="H231" s="98"/>
      <c r="I231" s="98"/>
    </row>
    <row r="232" spans="1:9" s="285" customFormat="1" hidden="1" x14ac:dyDescent="0.25">
      <c r="A232" s="118">
        <v>38</v>
      </c>
      <c r="B232" s="151">
        <v>1630</v>
      </c>
      <c r="C232" s="94" t="s">
        <v>76</v>
      </c>
      <c r="D232" s="122"/>
      <c r="E232" s="108"/>
      <c r="F232" s="98"/>
      <c r="G232" s="98"/>
      <c r="H232" s="98"/>
      <c r="I232" s="98"/>
    </row>
    <row r="233" spans="1:9" s="285" customFormat="1" hidden="1" x14ac:dyDescent="0.25">
      <c r="A233" s="118">
        <v>38</v>
      </c>
      <c r="B233" s="151">
        <v>1635</v>
      </c>
      <c r="C233" s="94" t="s">
        <v>180</v>
      </c>
      <c r="D233" s="122"/>
      <c r="E233" s="108"/>
      <c r="F233" s="98"/>
      <c r="G233" s="98"/>
      <c r="H233" s="98"/>
      <c r="I233" s="98"/>
    </row>
    <row r="234" spans="1:9" s="285" customFormat="1" hidden="1" x14ac:dyDescent="0.25">
      <c r="A234" s="118">
        <v>38</v>
      </c>
      <c r="B234" s="151">
        <v>1640</v>
      </c>
      <c r="C234" s="94" t="s">
        <v>184</v>
      </c>
      <c r="D234" s="122"/>
      <c r="E234" s="108"/>
      <c r="F234" s="98"/>
      <c r="G234" s="98"/>
      <c r="H234" s="98"/>
      <c r="I234" s="98"/>
    </row>
    <row r="235" spans="1:9" s="285" customFormat="1" hidden="1" x14ac:dyDescent="0.25">
      <c r="A235" s="118">
        <v>38</v>
      </c>
      <c r="B235" s="151">
        <v>1645</v>
      </c>
      <c r="C235" s="94" t="s">
        <v>77</v>
      </c>
      <c r="D235" s="122"/>
      <c r="E235" s="108"/>
      <c r="F235" s="98"/>
      <c r="G235" s="98"/>
      <c r="H235" s="98"/>
      <c r="I235" s="98"/>
    </row>
    <row r="236" spans="1:9" s="285" customFormat="1" hidden="1" x14ac:dyDescent="0.25">
      <c r="A236" s="118">
        <v>38</v>
      </c>
      <c r="B236" s="151">
        <v>1650</v>
      </c>
      <c r="C236" s="94" t="s">
        <v>78</v>
      </c>
      <c r="D236" s="122"/>
      <c r="E236" s="108"/>
      <c r="F236" s="98"/>
      <c r="G236" s="98"/>
      <c r="H236" s="98"/>
      <c r="I236" s="98"/>
    </row>
    <row r="237" spans="1:9" s="285" customFormat="1" hidden="1" x14ac:dyDescent="0.25">
      <c r="A237" s="118">
        <v>38</v>
      </c>
      <c r="B237" s="151"/>
      <c r="C237" s="94" t="s">
        <v>200</v>
      </c>
      <c r="D237" s="122"/>
      <c r="E237" s="108"/>
      <c r="F237" s="98"/>
      <c r="G237" s="98"/>
      <c r="H237" s="98"/>
      <c r="I237" s="98"/>
    </row>
    <row r="238" spans="1:9" s="285" customFormat="1" hidden="1" x14ac:dyDescent="0.25">
      <c r="A238" s="118">
        <v>38</v>
      </c>
      <c r="B238" s="151">
        <v>1660</v>
      </c>
      <c r="C238" s="94" t="s">
        <v>185</v>
      </c>
      <c r="D238" s="122"/>
      <c r="E238" s="108"/>
      <c r="F238" s="98"/>
      <c r="G238" s="98"/>
      <c r="H238" s="98"/>
      <c r="I238" s="98"/>
    </row>
    <row r="239" spans="1:9" s="285" customFormat="1" hidden="1" x14ac:dyDescent="0.25">
      <c r="A239" s="118">
        <v>38</v>
      </c>
      <c r="B239" s="151">
        <v>1665</v>
      </c>
      <c r="C239" s="94" t="s">
        <v>181</v>
      </c>
      <c r="D239" s="122"/>
      <c r="E239" s="108"/>
      <c r="F239" s="98"/>
      <c r="G239" s="98"/>
      <c r="H239" s="98"/>
      <c r="I239" s="98"/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" si="39">SUM(E227:E239)</f>
        <v>0</v>
      </c>
      <c r="F240" s="99">
        <v>0</v>
      </c>
      <c r="G240" s="99"/>
      <c r="H240" s="99"/>
      <c r="I240" s="99"/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38</v>
      </c>
      <c r="B242" s="151">
        <v>1705</v>
      </c>
      <c r="C242" s="94" t="s">
        <v>123</v>
      </c>
      <c r="D242" s="122"/>
      <c r="E242" s="98"/>
      <c r="F242" s="98"/>
      <c r="G242" s="98"/>
      <c r="H242" s="98"/>
      <c r="I242" s="98"/>
    </row>
    <row r="243" spans="1:9" s="285" customFormat="1" hidden="1" x14ac:dyDescent="0.25">
      <c r="A243" s="118">
        <v>38</v>
      </c>
      <c r="B243" s="151">
        <v>1710</v>
      </c>
      <c r="C243" s="94" t="s">
        <v>242</v>
      </c>
      <c r="D243" s="122"/>
      <c r="E243" s="98"/>
      <c r="F243" s="98"/>
      <c r="G243" s="98"/>
      <c r="H243" s="98"/>
      <c r="I243" s="98"/>
    </row>
    <row r="244" spans="1:9" s="285" customFormat="1" hidden="1" x14ac:dyDescent="0.25">
      <c r="A244" s="118">
        <v>38</v>
      </c>
      <c r="B244" s="151">
        <v>1715</v>
      </c>
      <c r="C244" s="94" t="s">
        <v>183</v>
      </c>
      <c r="D244" s="122"/>
      <c r="E244" s="98"/>
      <c r="F244" s="98"/>
      <c r="G244" s="98"/>
      <c r="H244" s="98"/>
      <c r="I244" s="98"/>
    </row>
    <row r="245" spans="1:9" s="285" customFormat="1" hidden="1" x14ac:dyDescent="0.25">
      <c r="A245" s="118">
        <v>38</v>
      </c>
      <c r="B245" s="151">
        <v>1720</v>
      </c>
      <c r="C245" s="94" t="s">
        <v>103</v>
      </c>
      <c r="D245" s="122"/>
      <c r="E245" s="98"/>
      <c r="F245" s="98"/>
      <c r="G245" s="98"/>
      <c r="H245" s="98"/>
      <c r="I245" s="98"/>
    </row>
    <row r="246" spans="1:9" s="285" customFormat="1" hidden="1" x14ac:dyDescent="0.25">
      <c r="A246" s="118">
        <v>38</v>
      </c>
      <c r="B246" s="151">
        <v>1725</v>
      </c>
      <c r="C246" s="94" t="s">
        <v>107</v>
      </c>
      <c r="D246" s="122"/>
      <c r="E246" s="98"/>
      <c r="F246" s="98"/>
      <c r="G246" s="98"/>
      <c r="H246" s="98"/>
      <c r="I246" s="98"/>
    </row>
    <row r="247" spans="1:9" s="285" customFormat="1" hidden="1" x14ac:dyDescent="0.25">
      <c r="A247" s="118">
        <v>38</v>
      </c>
      <c r="B247" s="151">
        <v>1730</v>
      </c>
      <c r="C247" s="94" t="s">
        <v>256</v>
      </c>
      <c r="D247" s="122"/>
      <c r="E247" s="98"/>
      <c r="F247" s="98"/>
      <c r="G247" s="98"/>
      <c r="H247" s="98"/>
      <c r="I247" s="98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" si="40">SUM(E242:E247)</f>
        <v>0</v>
      </c>
      <c r="F248" s="99">
        <v>0</v>
      </c>
      <c r="G248" s="99"/>
      <c r="H248" s="99"/>
      <c r="I248" s="99"/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38</v>
      </c>
      <c r="B250" s="151">
        <v>1805</v>
      </c>
      <c r="C250" s="94" t="s">
        <v>81</v>
      </c>
      <c r="D250" s="122"/>
      <c r="E250" s="108"/>
      <c r="F250" s="98"/>
      <c r="G250" s="98"/>
      <c r="H250" s="98"/>
      <c r="I250" s="108"/>
    </row>
    <row r="251" spans="1:9" s="285" customFormat="1" hidden="1" x14ac:dyDescent="0.25">
      <c r="A251" s="344"/>
      <c r="B251" s="151"/>
      <c r="C251" s="94"/>
      <c r="D251" s="99">
        <f t="shared" ref="D251:E251" si="41">D250</f>
        <v>0</v>
      </c>
      <c r="E251" s="99">
        <f t="shared" si="41"/>
        <v>0</v>
      </c>
      <c r="F251" s="99">
        <v>0</v>
      </c>
      <c r="G251" s="99"/>
      <c r="H251" s="99"/>
      <c r="I251" s="99"/>
    </row>
    <row r="252" spans="1:9" s="285" customFormat="1" x14ac:dyDescent="0.25">
      <c r="A252" s="344"/>
      <c r="B252" s="346"/>
      <c r="C252" s="93" t="s">
        <v>192</v>
      </c>
      <c r="D252" s="117">
        <f t="shared" ref="D252:E252" si="42">SUM(D171:D251)/2</f>
        <v>2300</v>
      </c>
      <c r="E252" s="117">
        <f t="shared" si="42"/>
        <v>225000</v>
      </c>
      <c r="F252" s="117">
        <v>225000</v>
      </c>
      <c r="G252" s="117">
        <v>225000</v>
      </c>
      <c r="H252" s="117">
        <v>225000</v>
      </c>
      <c r="I252" s="117">
        <v>225000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9" s="285" customFormat="1" hidden="1" x14ac:dyDescent="0.25">
      <c r="A255" s="118">
        <v>38</v>
      </c>
      <c r="B255" s="151">
        <v>1905</v>
      </c>
      <c r="C255" s="118" t="s">
        <v>194</v>
      </c>
      <c r="D255" s="127"/>
      <c r="E255" s="147"/>
      <c r="F255" s="98"/>
      <c r="G255" s="98"/>
      <c r="H255" s="98"/>
      <c r="I255" s="98"/>
    </row>
    <row r="256" spans="1:9" s="285" customFormat="1" hidden="1" x14ac:dyDescent="0.25">
      <c r="A256" s="344"/>
      <c r="B256" s="151"/>
      <c r="C256" s="94"/>
      <c r="D256" s="117">
        <f t="shared" ref="D256:E256" si="43">SUM(D255)</f>
        <v>0</v>
      </c>
      <c r="E256" s="117">
        <f t="shared" si="43"/>
        <v>0</v>
      </c>
      <c r="F256" s="117">
        <v>0</v>
      </c>
      <c r="G256" s="117">
        <v>0</v>
      </c>
      <c r="H256" s="117">
        <v>0</v>
      </c>
      <c r="I256" s="117"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E257" si="44">D252+D256</f>
        <v>2300</v>
      </c>
      <c r="E257" s="117">
        <f t="shared" si="44"/>
        <v>225000</v>
      </c>
      <c r="F257" s="117">
        <v>225000</v>
      </c>
      <c r="G257" s="117">
        <v>225000</v>
      </c>
      <c r="H257" s="117">
        <v>225000</v>
      </c>
      <c r="I257" s="117">
        <v>225000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9" s="285" customFormat="1" hidden="1" x14ac:dyDescent="0.25">
      <c r="A259" s="118">
        <v>38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98">
        <f t="shared" ref="G259:I259" si="45">F259/8*12</f>
        <v>0</v>
      </c>
      <c r="H259" s="98">
        <f t="shared" si="45"/>
        <v>0</v>
      </c>
      <c r="I259" s="98">
        <f t="shared" si="45"/>
        <v>0</v>
      </c>
    </row>
    <row r="260" spans="1:9" s="285" customFormat="1" hidden="1" x14ac:dyDescent="0.25">
      <c r="A260" s="344"/>
      <c r="B260" s="346"/>
      <c r="C260" s="94"/>
      <c r="D260" s="124">
        <f t="shared" ref="D260:F260" si="46">D259</f>
        <v>0</v>
      </c>
      <c r="E260" s="124">
        <f t="shared" si="46"/>
        <v>0</v>
      </c>
      <c r="F260" s="124">
        <f t="shared" si="46"/>
        <v>0</v>
      </c>
      <c r="G260" s="124">
        <f t="shared" ref="G260:I260" si="47">G259</f>
        <v>0</v>
      </c>
      <c r="H260" s="124">
        <f t="shared" si="47"/>
        <v>0</v>
      </c>
      <c r="I260" s="124">
        <f t="shared" si="47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F261" si="48">D257+D260</f>
        <v>2300</v>
      </c>
      <c r="E261" s="160">
        <f t="shared" si="48"/>
        <v>225000</v>
      </c>
      <c r="F261" s="160">
        <f t="shared" si="48"/>
        <v>225000</v>
      </c>
      <c r="G261" s="160">
        <f t="shared" ref="G261:I261" si="49">G257+G260</f>
        <v>225000</v>
      </c>
      <c r="H261" s="160">
        <f t="shared" si="49"/>
        <v>225000</v>
      </c>
      <c r="I261" s="160">
        <f t="shared" si="49"/>
        <v>225000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I262" si="50">D261-D165</f>
        <v>-259966</v>
      </c>
      <c r="E262" s="161">
        <f t="shared" si="50"/>
        <v>-1677771</v>
      </c>
      <c r="F262" s="161">
        <f t="shared" si="50"/>
        <v>-1677771</v>
      </c>
      <c r="G262" s="161">
        <f t="shared" si="50"/>
        <v>-1863458.8</v>
      </c>
      <c r="H262" s="161">
        <f t="shared" si="50"/>
        <v>-2069014.6799999997</v>
      </c>
      <c r="I262" s="161">
        <f t="shared" si="50"/>
        <v>-2296006.148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69" orientation="portrait" r:id="rId1"/>
  <headerFooter alignWithMargins="0"/>
  <colBreaks count="1" manualBreakCount="1">
    <brk id="1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68"/>
  <sheetViews>
    <sheetView view="pageBreakPreview" zoomScaleSheetLayoutView="100" workbookViewId="0">
      <selection activeCell="G20" sqref="G20:I24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7" width="16.332031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362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03" t="s">
        <v>417</v>
      </c>
      <c r="B3" s="704"/>
      <c r="C3" s="705"/>
      <c r="D3" s="149"/>
      <c r="E3" s="338"/>
      <c r="F3" s="338"/>
      <c r="G3" s="424"/>
      <c r="H3" s="338"/>
      <c r="I3" s="338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40</v>
      </c>
      <c r="B7" s="155">
        <v>5005</v>
      </c>
      <c r="C7" s="94" t="s">
        <v>241</v>
      </c>
      <c r="D7" s="85">
        <f>240*6</f>
        <v>1440</v>
      </c>
      <c r="E7" s="85">
        <v>1600</v>
      </c>
      <c r="F7" s="85">
        <v>1600</v>
      </c>
      <c r="G7" s="435">
        <f t="shared" ref="G7:I17" si="0">(F7*0.068)+F7</f>
        <v>1708.8</v>
      </c>
      <c r="H7" s="435">
        <f t="shared" si="0"/>
        <v>1824.9983999999999</v>
      </c>
      <c r="I7" s="435">
        <f t="shared" si="0"/>
        <v>1949.0982911999999</v>
      </c>
    </row>
    <row r="8" spans="1:9" s="285" customFormat="1" x14ac:dyDescent="0.25">
      <c r="A8" s="118">
        <v>40</v>
      </c>
      <c r="B8" s="151">
        <v>5010</v>
      </c>
      <c r="C8" s="94" t="s">
        <v>34</v>
      </c>
      <c r="D8" s="85"/>
      <c r="E8" s="85"/>
      <c r="F8" s="85"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40</v>
      </c>
      <c r="B9" s="151">
        <v>5015</v>
      </c>
      <c r="C9" s="94" t="s">
        <v>35</v>
      </c>
      <c r="D9" s="85"/>
      <c r="E9" s="85"/>
      <c r="F9" s="85">
        <v>0</v>
      </c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hidden="1" x14ac:dyDescent="0.25">
      <c r="A10" s="118">
        <v>40</v>
      </c>
      <c r="B10" s="151">
        <v>5020</v>
      </c>
      <c r="C10" s="94" t="s">
        <v>350</v>
      </c>
      <c r="D10" s="85"/>
      <c r="E10" s="85"/>
      <c r="F10" s="85"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hidden="1" x14ac:dyDescent="0.25">
      <c r="A11" s="118">
        <v>40</v>
      </c>
      <c r="B11" s="151">
        <v>5025</v>
      </c>
      <c r="C11" s="94" t="s">
        <v>36</v>
      </c>
      <c r="D11" s="85"/>
      <c r="E11" s="85"/>
      <c r="F11" s="85"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40</v>
      </c>
      <c r="B12" s="151">
        <v>5030</v>
      </c>
      <c r="C12" s="94" t="s">
        <v>85</v>
      </c>
      <c r="D12" s="85"/>
      <c r="E12" s="85">
        <v>43000</v>
      </c>
      <c r="F12" s="85">
        <v>43000</v>
      </c>
      <c r="G12" s="435">
        <f t="shared" si="0"/>
        <v>45924</v>
      </c>
      <c r="H12" s="435">
        <f t="shared" si="0"/>
        <v>49046.832000000002</v>
      </c>
      <c r="I12" s="435">
        <f t="shared" si="0"/>
        <v>52382.016576000002</v>
      </c>
    </row>
    <row r="13" spans="1:9" s="285" customFormat="1" hidden="1" x14ac:dyDescent="0.25">
      <c r="A13" s="118">
        <v>40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40</v>
      </c>
      <c r="B14" s="151">
        <v>5040</v>
      </c>
      <c r="C14" s="94" t="s">
        <v>37</v>
      </c>
      <c r="D14" s="85">
        <v>73705</v>
      </c>
      <c r="E14" s="85">
        <v>179000</v>
      </c>
      <c r="F14" s="85">
        <v>179000</v>
      </c>
      <c r="G14" s="435">
        <f t="shared" si="0"/>
        <v>191172</v>
      </c>
      <c r="H14" s="435">
        <f t="shared" si="0"/>
        <v>204171.696</v>
      </c>
      <c r="I14" s="435">
        <f t="shared" si="0"/>
        <v>218055.37132800001</v>
      </c>
    </row>
    <row r="15" spans="1:9" s="285" customFormat="1" hidden="1" x14ac:dyDescent="0.25">
      <c r="A15" s="118">
        <v>40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40</v>
      </c>
      <c r="B16" s="151">
        <v>5050</v>
      </c>
      <c r="C16" s="94" t="s">
        <v>83</v>
      </c>
      <c r="D16" s="85">
        <f>4005+3522</f>
        <v>7527</v>
      </c>
      <c r="E16" s="85">
        <v>96000</v>
      </c>
      <c r="F16" s="85">
        <v>96000</v>
      </c>
      <c r="G16" s="435">
        <f t="shared" si="0"/>
        <v>102528</v>
      </c>
      <c r="H16" s="435">
        <f t="shared" si="0"/>
        <v>109499.90399999999</v>
      </c>
      <c r="I16" s="435">
        <f t="shared" si="0"/>
        <v>116945.897472</v>
      </c>
    </row>
    <row r="17" spans="1:9" s="285" customFormat="1" x14ac:dyDescent="0.25">
      <c r="A17" s="118">
        <v>40</v>
      </c>
      <c r="B17" s="151">
        <v>5055</v>
      </c>
      <c r="C17" s="94" t="s">
        <v>513</v>
      </c>
      <c r="D17" s="85">
        <f>121064*6</f>
        <v>726384</v>
      </c>
      <c r="E17" s="85">
        <v>2150000</v>
      </c>
      <c r="F17" s="85">
        <v>1550000</v>
      </c>
      <c r="G17" s="435">
        <f t="shared" si="0"/>
        <v>1655400</v>
      </c>
      <c r="H17" s="435">
        <f t="shared" si="0"/>
        <v>1767967.2</v>
      </c>
      <c r="I17" s="435">
        <f t="shared" si="0"/>
        <v>1888188.9696</v>
      </c>
    </row>
    <row r="18" spans="1:9" s="285" customFormat="1" x14ac:dyDescent="0.25">
      <c r="A18" s="344"/>
      <c r="B18" s="151"/>
      <c r="C18" s="94"/>
      <c r="D18" s="89">
        <f t="shared" ref="D18" si="1">SUM(D7:D17)</f>
        <v>809056</v>
      </c>
      <c r="E18" s="89">
        <f>SUM(E7:E17)</f>
        <v>2469600</v>
      </c>
      <c r="F18" s="89">
        <v>1869600</v>
      </c>
      <c r="G18" s="89">
        <f>SUM(G7:G17)</f>
        <v>1996732.8</v>
      </c>
      <c r="H18" s="89">
        <f t="shared" ref="H18:I18" si="2">(G18*0.1)+G18</f>
        <v>2196406.08</v>
      </c>
      <c r="I18" s="89">
        <f t="shared" si="2"/>
        <v>2416046.6880000001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40</v>
      </c>
      <c r="B20" s="151">
        <v>5105</v>
      </c>
      <c r="C20" s="94" t="s">
        <v>41</v>
      </c>
      <c r="D20" s="85">
        <f>8117*6</f>
        <v>48702</v>
      </c>
      <c r="E20" s="85">
        <v>130000</v>
      </c>
      <c r="F20" s="85">
        <v>130000</v>
      </c>
      <c r="G20" s="435">
        <f t="shared" ref="G20:I24" si="3">(F20*0.068)+F20</f>
        <v>138840</v>
      </c>
      <c r="H20" s="435">
        <f t="shared" si="3"/>
        <v>148281.12</v>
      </c>
      <c r="I20" s="435">
        <f t="shared" si="3"/>
        <v>158364.23616</v>
      </c>
    </row>
    <row r="21" spans="1:9" s="285" customFormat="1" x14ac:dyDescent="0.25">
      <c r="A21" s="118">
        <v>40</v>
      </c>
      <c r="B21" s="151">
        <v>5115</v>
      </c>
      <c r="C21" s="94" t="s">
        <v>42</v>
      </c>
      <c r="D21" s="85">
        <f>10610*6</f>
        <v>63660</v>
      </c>
      <c r="E21" s="85">
        <v>225000</v>
      </c>
      <c r="F21" s="85">
        <v>225000</v>
      </c>
      <c r="G21" s="435">
        <f t="shared" si="3"/>
        <v>240300</v>
      </c>
      <c r="H21" s="435">
        <f t="shared" si="3"/>
        <v>256640.4</v>
      </c>
      <c r="I21" s="435">
        <f t="shared" si="3"/>
        <v>274091.9472</v>
      </c>
    </row>
    <row r="22" spans="1:9" s="285" customFormat="1" x14ac:dyDescent="0.25">
      <c r="A22" s="118">
        <v>40</v>
      </c>
      <c r="B22" s="151">
        <v>5120</v>
      </c>
      <c r="C22" s="94" t="s">
        <v>43</v>
      </c>
      <c r="D22" s="85">
        <f>11698*6</f>
        <v>70188</v>
      </c>
      <c r="E22" s="85">
        <v>155000</v>
      </c>
      <c r="F22" s="85">
        <v>155000</v>
      </c>
      <c r="G22" s="435">
        <f t="shared" si="3"/>
        <v>165540</v>
      </c>
      <c r="H22" s="435">
        <f t="shared" si="3"/>
        <v>176796.72</v>
      </c>
      <c r="I22" s="435">
        <f t="shared" si="3"/>
        <v>188818.89696000001</v>
      </c>
    </row>
    <row r="23" spans="1:9" s="285" customFormat="1" x14ac:dyDescent="0.25">
      <c r="A23" s="118">
        <v>40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40</v>
      </c>
      <c r="B24" s="151">
        <v>5130</v>
      </c>
      <c r="C24" s="94" t="s">
        <v>45</v>
      </c>
      <c r="D24" s="85">
        <f>1409*6</f>
        <v>8454</v>
      </c>
      <c r="E24" s="85">
        <v>26000</v>
      </c>
      <c r="F24" s="85">
        <v>26000</v>
      </c>
      <c r="G24" s="435">
        <f t="shared" si="3"/>
        <v>27768</v>
      </c>
      <c r="H24" s="435">
        <f t="shared" si="3"/>
        <v>29656.224000000002</v>
      </c>
      <c r="I24" s="435">
        <f t="shared" si="3"/>
        <v>31672.847232000004</v>
      </c>
    </row>
    <row r="25" spans="1:9" s="285" customFormat="1" x14ac:dyDescent="0.25">
      <c r="A25" s="344"/>
      <c r="B25" s="151"/>
      <c r="C25" s="94"/>
      <c r="D25" s="89">
        <f t="shared" ref="D25:E25" si="4">SUM(D20:D24)</f>
        <v>191004</v>
      </c>
      <c r="E25" s="89">
        <f t="shared" si="4"/>
        <v>536000</v>
      </c>
      <c r="F25" s="89">
        <v>536000</v>
      </c>
      <c r="G25" s="89">
        <f>SUM(G20:G24)</f>
        <v>572448</v>
      </c>
      <c r="H25" s="89">
        <f t="shared" ref="H25:I25" si="5">SUM(H20:H24)</f>
        <v>611374.46400000004</v>
      </c>
      <c r="I25" s="89">
        <f t="shared" si="5"/>
        <v>652947.92755200004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40</v>
      </c>
      <c r="B28" s="151">
        <v>5150</v>
      </c>
      <c r="C28" s="94" t="s">
        <v>48</v>
      </c>
      <c r="D28" s="85"/>
      <c r="E28" s="85"/>
      <c r="F28" s="85"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E29" si="6">D28</f>
        <v>0</v>
      </c>
      <c r="E29" s="89">
        <f t="shared" si="6"/>
        <v>0</v>
      </c>
      <c r="F29" s="89">
        <v>0</v>
      </c>
      <c r="G29" s="89"/>
      <c r="H29" s="89"/>
      <c r="I29" s="89"/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hidden="1" x14ac:dyDescent="0.25">
      <c r="A31" s="118">
        <v>40</v>
      </c>
      <c r="B31" s="151">
        <v>5170</v>
      </c>
      <c r="C31" s="94" t="s">
        <v>341</v>
      </c>
      <c r="D31" s="85"/>
      <c r="E31" s="108"/>
      <c r="F31" s="85"/>
      <c r="G31" s="85"/>
      <c r="H31" s="85"/>
      <c r="I31" s="85"/>
    </row>
    <row r="32" spans="1:9" s="285" customFormat="1" hidden="1" x14ac:dyDescent="0.25">
      <c r="A32" s="344"/>
      <c r="B32" s="151"/>
      <c r="C32" s="94"/>
      <c r="D32" s="89">
        <f t="shared" ref="D32:E32" si="7">SUM(D31)</f>
        <v>0</v>
      </c>
      <c r="E32" s="89">
        <f t="shared" si="7"/>
        <v>0</v>
      </c>
      <c r="F32" s="89">
        <v>0</v>
      </c>
      <c r="G32" s="89"/>
      <c r="H32" s="89"/>
      <c r="I32" s="89"/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40</v>
      </c>
      <c r="B34" s="151">
        <v>5180</v>
      </c>
      <c r="C34" s="94" t="s">
        <v>51</v>
      </c>
      <c r="D34" s="85"/>
      <c r="E34" s="108"/>
      <c r="F34" s="85"/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E35" si="8">SUM(D34)</f>
        <v>0</v>
      </c>
      <c r="E35" s="89">
        <f t="shared" si="8"/>
        <v>0</v>
      </c>
      <c r="F35" s="89">
        <v>0</v>
      </c>
      <c r="G35" s="89"/>
      <c r="H35" s="89"/>
      <c r="I35" s="89"/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40</v>
      </c>
      <c r="B37" s="151">
        <v>5190</v>
      </c>
      <c r="C37" s="94" t="s">
        <v>53</v>
      </c>
      <c r="D37" s="85"/>
      <c r="E37" s="108"/>
      <c r="F37" s="85"/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E38" si="9">D37</f>
        <v>0</v>
      </c>
      <c r="E38" s="89">
        <f t="shared" si="9"/>
        <v>0</v>
      </c>
      <c r="F38" s="89">
        <v>0</v>
      </c>
      <c r="G38" s="89"/>
      <c r="H38" s="89"/>
      <c r="I38" s="89"/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hidden="1" x14ac:dyDescent="0.25">
      <c r="A40" s="118">
        <v>40</v>
      </c>
      <c r="B40" s="151">
        <v>5200</v>
      </c>
      <c r="C40" s="94" t="s">
        <v>55</v>
      </c>
      <c r="D40" s="85"/>
      <c r="E40" s="108"/>
      <c r="F40" s="85">
        <v>0</v>
      </c>
      <c r="G40" s="85"/>
      <c r="H40" s="85"/>
      <c r="I40" s="85"/>
    </row>
    <row r="41" spans="1:9" s="285" customFormat="1" x14ac:dyDescent="0.25">
      <c r="A41" s="118">
        <v>40</v>
      </c>
      <c r="B41" s="151">
        <v>5205</v>
      </c>
      <c r="C41" s="94" t="s">
        <v>56</v>
      </c>
      <c r="D41" s="85">
        <v>1754</v>
      </c>
      <c r="E41" s="85">
        <v>40000</v>
      </c>
      <c r="F41" s="85">
        <v>20000</v>
      </c>
      <c r="G41" s="85">
        <v>50000</v>
      </c>
      <c r="H41" s="85">
        <v>50000</v>
      </c>
      <c r="I41" s="85">
        <v>65000</v>
      </c>
    </row>
    <row r="42" spans="1:9" s="285" customFormat="1" hidden="1" x14ac:dyDescent="0.25">
      <c r="A42" s="118">
        <v>40</v>
      </c>
      <c r="B42" s="151">
        <v>5210</v>
      </c>
      <c r="C42" s="94" t="s">
        <v>57</v>
      </c>
      <c r="D42" s="85"/>
      <c r="E42" s="85"/>
      <c r="F42" s="85">
        <v>0</v>
      </c>
      <c r="G42" s="85"/>
      <c r="H42" s="85"/>
      <c r="I42" s="85"/>
    </row>
    <row r="43" spans="1:9" s="285" customFormat="1" hidden="1" x14ac:dyDescent="0.25">
      <c r="A43" s="118">
        <v>40</v>
      </c>
      <c r="B43" s="151">
        <v>5215</v>
      </c>
      <c r="C43" s="94" t="s">
        <v>95</v>
      </c>
      <c r="D43" s="85"/>
      <c r="E43" s="85"/>
      <c r="F43" s="85">
        <v>0</v>
      </c>
      <c r="G43" s="85"/>
      <c r="H43" s="85"/>
      <c r="I43" s="85"/>
    </row>
    <row r="44" spans="1:9" s="285" customFormat="1" x14ac:dyDescent="0.25">
      <c r="A44" s="118">
        <v>40</v>
      </c>
      <c r="B44" s="151">
        <v>5220</v>
      </c>
      <c r="C44" s="94" t="s">
        <v>58</v>
      </c>
      <c r="D44" s="85">
        <v>5000</v>
      </c>
      <c r="E44" s="85">
        <v>21000</v>
      </c>
      <c r="F44" s="85">
        <v>21000</v>
      </c>
      <c r="G44" s="85">
        <v>60000</v>
      </c>
      <c r="H44" s="85">
        <v>65000</v>
      </c>
      <c r="I44" s="85">
        <v>70000</v>
      </c>
    </row>
    <row r="45" spans="1:9" s="285" customFormat="1" hidden="1" x14ac:dyDescent="0.25">
      <c r="A45" s="118">
        <v>40</v>
      </c>
      <c r="B45" s="151">
        <v>5225</v>
      </c>
      <c r="C45" s="94" t="s">
        <v>92</v>
      </c>
      <c r="D45" s="85"/>
      <c r="E45" s="85"/>
      <c r="F45" s="85">
        <v>0</v>
      </c>
      <c r="G45" s="85"/>
      <c r="H45" s="85"/>
      <c r="I45" s="85"/>
    </row>
    <row r="46" spans="1:9" s="285" customFormat="1" hidden="1" x14ac:dyDescent="0.25">
      <c r="A46" s="118">
        <v>40</v>
      </c>
      <c r="B46" s="151">
        <v>5230</v>
      </c>
      <c r="C46" s="94" t="s">
        <v>86</v>
      </c>
      <c r="D46" s="85"/>
      <c r="E46" s="85"/>
      <c r="F46" s="85">
        <v>0</v>
      </c>
      <c r="G46" s="85"/>
      <c r="H46" s="85"/>
      <c r="I46" s="85"/>
    </row>
    <row r="47" spans="1:9" s="285" customFormat="1" hidden="1" x14ac:dyDescent="0.25">
      <c r="A47" s="118">
        <v>40</v>
      </c>
      <c r="B47" s="151">
        <v>5235</v>
      </c>
      <c r="C47" s="94" t="s">
        <v>124</v>
      </c>
      <c r="D47" s="85"/>
      <c r="E47" s="85"/>
      <c r="F47" s="85">
        <v>0</v>
      </c>
      <c r="G47" s="85"/>
      <c r="H47" s="85"/>
      <c r="I47" s="85"/>
    </row>
    <row r="48" spans="1:9" s="285" customFormat="1" hidden="1" x14ac:dyDescent="0.25">
      <c r="A48" s="118">
        <v>40</v>
      </c>
      <c r="B48" s="151">
        <v>5240</v>
      </c>
      <c r="C48" s="94" t="s">
        <v>59</v>
      </c>
      <c r="D48" s="85"/>
      <c r="E48" s="85"/>
      <c r="F48" s="85">
        <v>0</v>
      </c>
      <c r="G48" s="85"/>
      <c r="H48" s="85"/>
      <c r="I48" s="85"/>
    </row>
    <row r="49" spans="1:9" s="285" customFormat="1" hidden="1" x14ac:dyDescent="0.25">
      <c r="A49" s="118">
        <v>40</v>
      </c>
      <c r="B49" s="151">
        <v>5245</v>
      </c>
      <c r="C49" s="94" t="s">
        <v>91</v>
      </c>
      <c r="D49" s="85"/>
      <c r="E49" s="85"/>
      <c r="F49" s="85">
        <v>0</v>
      </c>
      <c r="G49" s="85"/>
      <c r="H49" s="85"/>
      <c r="I49" s="85"/>
    </row>
    <row r="50" spans="1:9" s="285" customFormat="1" x14ac:dyDescent="0.25">
      <c r="A50" s="118">
        <v>40</v>
      </c>
      <c r="B50" s="151">
        <v>5250</v>
      </c>
      <c r="C50" s="94" t="s">
        <v>88</v>
      </c>
      <c r="D50" s="85">
        <v>15060</v>
      </c>
      <c r="E50" s="85">
        <v>44000</v>
      </c>
      <c r="F50" s="85">
        <v>44000</v>
      </c>
      <c r="G50" s="85">
        <v>64000</v>
      </c>
      <c r="H50" s="85">
        <v>70000</v>
      </c>
      <c r="I50" s="85">
        <v>75000</v>
      </c>
    </row>
    <row r="51" spans="1:9" s="285" customFormat="1" hidden="1" x14ac:dyDescent="0.25">
      <c r="A51" s="118">
        <v>40</v>
      </c>
      <c r="B51" s="151">
        <v>5255</v>
      </c>
      <c r="C51" s="94" t="s">
        <v>125</v>
      </c>
      <c r="D51" s="85"/>
      <c r="E51" s="108"/>
      <c r="F51" s="85">
        <v>0</v>
      </c>
      <c r="G51" s="85"/>
      <c r="H51" s="85"/>
      <c r="I51" s="85"/>
    </row>
    <row r="52" spans="1:9" s="285" customFormat="1" hidden="1" x14ac:dyDescent="0.25">
      <c r="A52" s="118">
        <v>40</v>
      </c>
      <c r="B52" s="151">
        <v>5260</v>
      </c>
      <c r="C52" s="94" t="s">
        <v>90</v>
      </c>
      <c r="D52" s="85"/>
      <c r="E52" s="108"/>
      <c r="F52" s="85">
        <v>0</v>
      </c>
      <c r="G52" s="85"/>
      <c r="H52" s="85"/>
      <c r="I52" s="85"/>
    </row>
    <row r="53" spans="1:9" s="285" customFormat="1" hidden="1" x14ac:dyDescent="0.25">
      <c r="A53" s="118">
        <v>40</v>
      </c>
      <c r="B53" s="151">
        <v>5265</v>
      </c>
      <c r="C53" s="94" t="s">
        <v>87</v>
      </c>
      <c r="D53" s="85"/>
      <c r="E53" s="108"/>
      <c r="F53" s="85">
        <v>0</v>
      </c>
      <c r="G53" s="85"/>
      <c r="H53" s="85"/>
      <c r="I53" s="85"/>
    </row>
    <row r="54" spans="1:9" s="285" customFormat="1" hidden="1" x14ac:dyDescent="0.25">
      <c r="A54" s="118">
        <v>40</v>
      </c>
      <c r="B54" s="151">
        <v>5270</v>
      </c>
      <c r="C54" s="94" t="s">
        <v>89</v>
      </c>
      <c r="D54" s="85"/>
      <c r="E54" s="108"/>
      <c r="F54" s="85">
        <v>0</v>
      </c>
      <c r="G54" s="85"/>
      <c r="H54" s="85"/>
      <c r="I54" s="85"/>
    </row>
    <row r="55" spans="1:9" s="285" customFormat="1" hidden="1" x14ac:dyDescent="0.25">
      <c r="A55" s="118">
        <v>40</v>
      </c>
      <c r="B55" s="151">
        <v>5275</v>
      </c>
      <c r="C55" s="94" t="s">
        <v>93</v>
      </c>
      <c r="D55" s="85"/>
      <c r="E55" s="108"/>
      <c r="F55" s="85">
        <v>0</v>
      </c>
      <c r="G55" s="85"/>
      <c r="H55" s="85"/>
      <c r="I55" s="85"/>
    </row>
    <row r="56" spans="1:9" s="285" customFormat="1" hidden="1" x14ac:dyDescent="0.25">
      <c r="A56" s="118">
        <v>40</v>
      </c>
      <c r="B56" s="151">
        <v>5280</v>
      </c>
      <c r="C56" s="94" t="s">
        <v>94</v>
      </c>
      <c r="D56" s="85"/>
      <c r="E56" s="108"/>
      <c r="F56" s="85">
        <v>0</v>
      </c>
      <c r="G56" s="85"/>
      <c r="H56" s="85"/>
      <c r="I56" s="85"/>
    </row>
    <row r="57" spans="1:9" s="285" customFormat="1" x14ac:dyDescent="0.25">
      <c r="A57" s="118">
        <v>40</v>
      </c>
      <c r="B57" s="151">
        <v>5285</v>
      </c>
      <c r="C57" s="94" t="s">
        <v>60</v>
      </c>
      <c r="D57" s="85">
        <f>87014+30000</f>
        <v>117014</v>
      </c>
      <c r="E57" s="85">
        <v>229500</v>
      </c>
      <c r="F57" s="85">
        <v>249500</v>
      </c>
      <c r="G57" s="85">
        <v>266400</v>
      </c>
      <c r="H57" s="85">
        <v>270000</v>
      </c>
      <c r="I57" s="85">
        <v>275000</v>
      </c>
    </row>
    <row r="58" spans="1:9" s="285" customFormat="1" hidden="1" x14ac:dyDescent="0.25">
      <c r="A58" s="118">
        <v>40</v>
      </c>
      <c r="B58" s="151">
        <v>5290</v>
      </c>
      <c r="C58" s="94" t="s">
        <v>186</v>
      </c>
      <c r="D58" s="85"/>
      <c r="E58" s="108"/>
      <c r="F58" s="85">
        <v>0</v>
      </c>
      <c r="G58" s="85">
        <f>0/8*12</f>
        <v>0</v>
      </c>
      <c r="H58" s="85"/>
      <c r="I58" s="85">
        <f>G58*(1+[4]INPUT!D$10)</f>
        <v>0</v>
      </c>
    </row>
    <row r="59" spans="1:9" s="285" customFormat="1" x14ac:dyDescent="0.25">
      <c r="A59" s="344"/>
      <c r="B59" s="151"/>
      <c r="C59" s="94"/>
      <c r="D59" s="110">
        <f t="shared" ref="D59:E59" si="10">SUM(D40:D58)</f>
        <v>138828</v>
      </c>
      <c r="E59" s="110">
        <f t="shared" si="10"/>
        <v>334500</v>
      </c>
      <c r="F59" s="110">
        <v>334500</v>
      </c>
      <c r="G59" s="110">
        <f t="shared" ref="G59:I59" si="11">SUM(G40:G58)</f>
        <v>440400</v>
      </c>
      <c r="H59" s="110">
        <f t="shared" si="11"/>
        <v>455000</v>
      </c>
      <c r="I59" s="110">
        <f t="shared" si="11"/>
        <v>485000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40</v>
      </c>
      <c r="B61" s="151">
        <v>5400</v>
      </c>
      <c r="C61" s="94" t="s">
        <v>334</v>
      </c>
      <c r="D61" s="85"/>
      <c r="E61" s="86"/>
      <c r="F61" s="85"/>
      <c r="G61" s="85">
        <f>0/8*12</f>
        <v>0</v>
      </c>
      <c r="H61" s="86"/>
      <c r="I61" s="86"/>
    </row>
    <row r="62" spans="1:9" s="285" customFormat="1" x14ac:dyDescent="0.25">
      <c r="A62" s="118">
        <v>40</v>
      </c>
      <c r="B62" s="151">
        <v>5405</v>
      </c>
      <c r="C62" s="94" t="s">
        <v>335</v>
      </c>
      <c r="D62" s="85">
        <v>5096</v>
      </c>
      <c r="E62" s="108">
        <v>8484</v>
      </c>
      <c r="F62" s="108">
        <v>8484</v>
      </c>
      <c r="G62" s="108">
        <v>8484</v>
      </c>
      <c r="H62" s="108">
        <v>8484</v>
      </c>
      <c r="I62" s="108">
        <v>8484</v>
      </c>
    </row>
    <row r="63" spans="1:9" s="285" customFormat="1" x14ac:dyDescent="0.25">
      <c r="A63" s="344"/>
      <c r="B63" s="151"/>
      <c r="C63" s="94"/>
      <c r="D63" s="89">
        <f>D62</f>
        <v>5096</v>
      </c>
      <c r="E63" s="89">
        <f t="shared" ref="E63:F63" si="12">SUM(E61:E62)</f>
        <v>8484</v>
      </c>
      <c r="F63" s="89">
        <f t="shared" si="12"/>
        <v>8484</v>
      </c>
      <c r="G63" s="89">
        <f t="shared" ref="G63:I63" si="13">SUM(G61:G62)</f>
        <v>8484</v>
      </c>
      <c r="H63" s="89">
        <f t="shared" si="13"/>
        <v>8484</v>
      </c>
      <c r="I63" s="89">
        <f t="shared" si="13"/>
        <v>8484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40</v>
      </c>
      <c r="B65" s="151">
        <v>5450</v>
      </c>
      <c r="C65" s="94" t="s">
        <v>351</v>
      </c>
      <c r="D65" s="85"/>
      <c r="E65" s="108"/>
      <c r="F65" s="85"/>
      <c r="G65" s="85">
        <f>0/8*12</f>
        <v>0</v>
      </c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E66" si="14">D65</f>
        <v>0</v>
      </c>
      <c r="E66" s="89">
        <f t="shared" si="14"/>
        <v>0</v>
      </c>
      <c r="F66" s="89">
        <v>0</v>
      </c>
      <c r="G66" s="89">
        <f t="shared" ref="G66:I66" si="15">G65</f>
        <v>0</v>
      </c>
      <c r="H66" s="89"/>
      <c r="I66" s="89">
        <f t="shared" si="15"/>
        <v>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hidden="1" x14ac:dyDescent="0.25">
      <c r="A68" s="118">
        <v>40</v>
      </c>
      <c r="B68" s="151">
        <v>5470</v>
      </c>
      <c r="C68" s="94" t="s">
        <v>97</v>
      </c>
      <c r="D68" s="85"/>
      <c r="E68" s="86"/>
      <c r="F68" s="85">
        <v>0</v>
      </c>
      <c r="G68" s="85">
        <f>0/8*12</f>
        <v>0</v>
      </c>
      <c r="H68" s="85"/>
      <c r="I68" s="85">
        <f>G68*(1+[4]INPUT!D11)</f>
        <v>0</v>
      </c>
    </row>
    <row r="69" spans="1:9" s="285" customFormat="1" hidden="1" x14ac:dyDescent="0.25">
      <c r="A69" s="118">
        <v>40</v>
      </c>
      <c r="B69" s="151">
        <v>5475</v>
      </c>
      <c r="C69" s="94" t="s">
        <v>134</v>
      </c>
      <c r="D69" s="85"/>
      <c r="E69" s="86"/>
      <c r="F69" s="85">
        <v>0</v>
      </c>
      <c r="G69" s="85">
        <f>0/8*12</f>
        <v>0</v>
      </c>
      <c r="H69" s="85"/>
      <c r="I69" s="85">
        <f>G69*(1+[4]INPUT!D12)</f>
        <v>0</v>
      </c>
    </row>
    <row r="70" spans="1:9" s="285" customFormat="1" hidden="1" x14ac:dyDescent="0.25">
      <c r="A70" s="344"/>
      <c r="B70" s="151"/>
      <c r="C70" s="94"/>
      <c r="D70" s="110">
        <f t="shared" ref="D70:E70" si="16">SUM(D68:D69)</f>
        <v>0</v>
      </c>
      <c r="E70" s="110">
        <f t="shared" si="16"/>
        <v>0</v>
      </c>
      <c r="F70" s="110">
        <v>0</v>
      </c>
      <c r="G70" s="110">
        <f t="shared" ref="G70:I70" si="17">SUM(G68:G69)</f>
        <v>0</v>
      </c>
      <c r="H70" s="110"/>
      <c r="I70" s="110">
        <f t="shared" si="17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40</v>
      </c>
      <c r="B72" s="151">
        <v>5505</v>
      </c>
      <c r="C72" s="94" t="s">
        <v>259</v>
      </c>
      <c r="D72" s="85">
        <f>29412+110211</f>
        <v>139623</v>
      </c>
      <c r="E72" s="85">
        <v>240000</v>
      </c>
      <c r="F72" s="85">
        <v>240000</v>
      </c>
      <c r="G72" s="85">
        <v>443000</v>
      </c>
      <c r="H72" s="85">
        <v>509000</v>
      </c>
      <c r="I72" s="85">
        <v>520000</v>
      </c>
    </row>
    <row r="73" spans="1:9" s="285" customFormat="1" x14ac:dyDescent="0.25">
      <c r="A73" s="118">
        <v>40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85"/>
      <c r="H73" s="85"/>
      <c r="I73" s="85"/>
    </row>
    <row r="74" spans="1:9" s="285" customFormat="1" x14ac:dyDescent="0.25">
      <c r="A74" s="118">
        <v>40</v>
      </c>
      <c r="B74" s="151">
        <v>5520</v>
      </c>
      <c r="C74" s="94" t="s">
        <v>260</v>
      </c>
      <c r="D74" s="85">
        <v>38450</v>
      </c>
      <c r="E74" s="85">
        <v>48157</v>
      </c>
      <c r="F74" s="85">
        <v>70157</v>
      </c>
      <c r="G74" s="85">
        <v>44000</v>
      </c>
      <c r="H74" s="85">
        <v>48000</v>
      </c>
      <c r="I74" s="85">
        <v>53000</v>
      </c>
    </row>
    <row r="75" spans="1:9" s="285" customFormat="1" x14ac:dyDescent="0.25">
      <c r="A75" s="118">
        <v>40</v>
      </c>
      <c r="B75" s="151">
        <v>5525</v>
      </c>
      <c r="C75" s="94" t="s">
        <v>261</v>
      </c>
      <c r="D75" s="85"/>
      <c r="E75" s="85"/>
      <c r="F75" s="85">
        <v>0</v>
      </c>
      <c r="G75" s="85"/>
      <c r="H75" s="85"/>
      <c r="I75" s="85"/>
    </row>
    <row r="76" spans="1:9" s="285" customFormat="1" x14ac:dyDescent="0.25">
      <c r="A76" s="118">
        <v>40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85"/>
      <c r="I76" s="85"/>
    </row>
    <row r="77" spans="1:9" s="285" customFormat="1" x14ac:dyDescent="0.25">
      <c r="A77" s="118">
        <v>40</v>
      </c>
      <c r="B77" s="151">
        <v>5535</v>
      </c>
      <c r="C77" s="94" t="s">
        <v>263</v>
      </c>
      <c r="D77" s="85"/>
      <c r="E77" s="85"/>
      <c r="F77" s="85">
        <v>0</v>
      </c>
      <c r="G77" s="85"/>
      <c r="H77" s="85"/>
      <c r="I77" s="85"/>
    </row>
    <row r="78" spans="1:9" s="285" customFormat="1" x14ac:dyDescent="0.25">
      <c r="A78" s="118">
        <v>40</v>
      </c>
      <c r="B78" s="151">
        <v>5540</v>
      </c>
      <c r="C78" s="94" t="s">
        <v>264</v>
      </c>
      <c r="D78" s="85"/>
      <c r="E78" s="85"/>
      <c r="F78" s="85">
        <v>0</v>
      </c>
      <c r="G78" s="85"/>
      <c r="H78" s="85"/>
      <c r="I78" s="85"/>
    </row>
    <row r="79" spans="1:9" s="285" customFormat="1" ht="13.5" customHeight="1" x14ac:dyDescent="0.25">
      <c r="A79" s="118">
        <v>40</v>
      </c>
      <c r="B79" s="151">
        <v>5545</v>
      </c>
      <c r="C79" s="94" t="s">
        <v>265</v>
      </c>
      <c r="D79" s="85"/>
      <c r="E79" s="85">
        <v>22000</v>
      </c>
      <c r="F79" s="85">
        <v>0</v>
      </c>
      <c r="G79" s="85">
        <v>30000</v>
      </c>
      <c r="H79" s="85">
        <v>35000</v>
      </c>
      <c r="I79" s="85">
        <v>38000</v>
      </c>
    </row>
    <row r="80" spans="1:9" s="285" customFormat="1" x14ac:dyDescent="0.25">
      <c r="A80" s="118">
        <v>40</v>
      </c>
      <c r="B80" s="151">
        <v>5550</v>
      </c>
      <c r="C80" s="94" t="s">
        <v>267</v>
      </c>
      <c r="D80" s="85"/>
      <c r="E80" s="85"/>
      <c r="F80" s="85">
        <v>0</v>
      </c>
      <c r="G80" s="85"/>
      <c r="H80" s="85"/>
      <c r="I80" s="85"/>
    </row>
    <row r="81" spans="1:9" s="285" customFormat="1" x14ac:dyDescent="0.25">
      <c r="A81" s="118">
        <v>40</v>
      </c>
      <c r="B81" s="151">
        <v>5555</v>
      </c>
      <c r="C81" s="94" t="s">
        <v>268</v>
      </c>
      <c r="D81" s="85"/>
      <c r="E81" s="85">
        <v>71561</v>
      </c>
      <c r="F81" s="85">
        <v>21561</v>
      </c>
      <c r="G81" s="85"/>
      <c r="H81" s="85"/>
      <c r="I81" s="85"/>
    </row>
    <row r="82" spans="1:9" s="285" customFormat="1" x14ac:dyDescent="0.25">
      <c r="A82" s="118">
        <v>40</v>
      </c>
      <c r="B82" s="151">
        <v>5560</v>
      </c>
      <c r="C82" s="94" t="s">
        <v>269</v>
      </c>
      <c r="D82" s="85"/>
      <c r="E82" s="85"/>
      <c r="F82" s="85">
        <v>0</v>
      </c>
      <c r="G82" s="85"/>
      <c r="H82" s="85"/>
      <c r="I82" s="85"/>
    </row>
    <row r="83" spans="1:9" s="285" customFormat="1" x14ac:dyDescent="0.25">
      <c r="A83" s="118">
        <v>40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85"/>
      <c r="I83" s="85"/>
    </row>
    <row r="84" spans="1:9" s="285" customFormat="1" x14ac:dyDescent="0.25">
      <c r="A84" s="118">
        <v>40</v>
      </c>
      <c r="B84" s="151">
        <v>5570</v>
      </c>
      <c r="C84" s="94" t="s">
        <v>270</v>
      </c>
      <c r="D84" s="85"/>
      <c r="E84" s="85">
        <v>4220</v>
      </c>
      <c r="F84" s="85">
        <v>4220</v>
      </c>
      <c r="G84" s="85">
        <v>4220</v>
      </c>
      <c r="H84" s="85">
        <v>4220</v>
      </c>
      <c r="I84" s="85">
        <v>4220</v>
      </c>
    </row>
    <row r="85" spans="1:9" s="285" customFormat="1" x14ac:dyDescent="0.25">
      <c r="A85" s="118">
        <v>40</v>
      </c>
      <c r="B85" s="151">
        <v>5575</v>
      </c>
      <c r="C85" s="94" t="s">
        <v>271</v>
      </c>
      <c r="D85" s="85"/>
      <c r="E85" s="85"/>
      <c r="F85" s="85">
        <v>0</v>
      </c>
      <c r="G85" s="85"/>
      <c r="H85" s="85"/>
      <c r="I85" s="85"/>
    </row>
    <row r="86" spans="1:9" s="285" customFormat="1" x14ac:dyDescent="0.25">
      <c r="A86" s="118">
        <v>40</v>
      </c>
      <c r="B86" s="151">
        <v>5580</v>
      </c>
      <c r="C86" s="94" t="s">
        <v>272</v>
      </c>
      <c r="D86" s="85"/>
      <c r="E86" s="85"/>
      <c r="F86" s="85">
        <v>0</v>
      </c>
      <c r="G86" s="85"/>
      <c r="H86" s="85"/>
      <c r="I86" s="85"/>
    </row>
    <row r="87" spans="1:9" s="285" customFormat="1" x14ac:dyDescent="0.25">
      <c r="A87" s="118">
        <v>40</v>
      </c>
      <c r="B87" s="151">
        <v>5585</v>
      </c>
      <c r="C87" s="94" t="s">
        <v>273</v>
      </c>
      <c r="D87" s="86"/>
      <c r="E87" s="85"/>
      <c r="F87" s="85">
        <v>0</v>
      </c>
      <c r="G87" s="85"/>
      <c r="H87" s="85"/>
      <c r="I87" s="85"/>
    </row>
    <row r="88" spans="1:9" s="285" customFormat="1" x14ac:dyDescent="0.25">
      <c r="A88" s="118">
        <v>40</v>
      </c>
      <c r="B88" s="151">
        <v>5590</v>
      </c>
      <c r="C88" s="94" t="s">
        <v>274</v>
      </c>
      <c r="D88" s="86"/>
      <c r="E88" s="85"/>
      <c r="F88" s="85">
        <v>0</v>
      </c>
      <c r="G88" s="85"/>
      <c r="H88" s="85"/>
      <c r="I88" s="85"/>
    </row>
    <row r="89" spans="1:9" s="285" customFormat="1" x14ac:dyDescent="0.25">
      <c r="A89" s="118">
        <v>40</v>
      </c>
      <c r="B89" s="151">
        <v>5595</v>
      </c>
      <c r="C89" s="94" t="s">
        <v>275</v>
      </c>
      <c r="D89" s="85"/>
      <c r="E89" s="85"/>
      <c r="F89" s="85">
        <v>0</v>
      </c>
      <c r="G89" s="85"/>
      <c r="H89" s="85"/>
      <c r="I89" s="85"/>
    </row>
    <row r="90" spans="1:9" s="285" customFormat="1" x14ac:dyDescent="0.25">
      <c r="A90" s="118">
        <v>40</v>
      </c>
      <c r="B90" s="151">
        <v>5600</v>
      </c>
      <c r="C90" s="159" t="s">
        <v>276</v>
      </c>
      <c r="D90" s="85"/>
      <c r="E90" s="85"/>
      <c r="F90" s="85">
        <v>0</v>
      </c>
      <c r="G90" s="85"/>
      <c r="H90" s="85"/>
      <c r="I90" s="85"/>
    </row>
    <row r="91" spans="1:9" s="285" customFormat="1" x14ac:dyDescent="0.25">
      <c r="A91" s="118">
        <v>40</v>
      </c>
      <c r="B91" s="151">
        <v>5605</v>
      </c>
      <c r="C91" s="159" t="s">
        <v>277</v>
      </c>
      <c r="D91" s="85"/>
      <c r="E91" s="85"/>
      <c r="F91" s="85">
        <v>0</v>
      </c>
      <c r="G91" s="85"/>
      <c r="H91" s="85"/>
      <c r="I91" s="85"/>
    </row>
    <row r="92" spans="1:9" s="285" customFormat="1" x14ac:dyDescent="0.25">
      <c r="A92" s="118">
        <v>40</v>
      </c>
      <c r="B92" s="151">
        <v>5610</v>
      </c>
      <c r="C92" s="159" t="s">
        <v>278</v>
      </c>
      <c r="D92" s="85"/>
      <c r="E92" s="85"/>
      <c r="F92" s="85">
        <v>0</v>
      </c>
      <c r="G92" s="85"/>
      <c r="H92" s="85"/>
      <c r="I92" s="85"/>
    </row>
    <row r="93" spans="1:9" s="285" customFormat="1" x14ac:dyDescent="0.25">
      <c r="A93" s="118">
        <v>40</v>
      </c>
      <c r="B93" s="151">
        <v>5615</v>
      </c>
      <c r="C93" s="159" t="s">
        <v>279</v>
      </c>
      <c r="D93" s="85"/>
      <c r="E93" s="85"/>
      <c r="F93" s="85">
        <v>0</v>
      </c>
      <c r="G93" s="85"/>
      <c r="H93" s="85"/>
      <c r="I93" s="85"/>
    </row>
    <row r="94" spans="1:9" s="285" customFormat="1" x14ac:dyDescent="0.25">
      <c r="A94" s="118">
        <v>40</v>
      </c>
      <c r="B94" s="151">
        <v>5620</v>
      </c>
      <c r="C94" s="159" t="s">
        <v>280</v>
      </c>
      <c r="D94" s="85"/>
      <c r="E94" s="85"/>
      <c r="F94" s="85">
        <v>0</v>
      </c>
      <c r="G94" s="85"/>
      <c r="H94" s="85"/>
      <c r="I94" s="85"/>
    </row>
    <row r="95" spans="1:9" s="285" customFormat="1" x14ac:dyDescent="0.25">
      <c r="A95" s="118">
        <v>40</v>
      </c>
      <c r="B95" s="151">
        <v>5625</v>
      </c>
      <c r="C95" s="159" t="s">
        <v>281</v>
      </c>
      <c r="D95" s="85"/>
      <c r="E95" s="85"/>
      <c r="F95" s="85">
        <v>0</v>
      </c>
      <c r="G95" s="85"/>
      <c r="H95" s="85"/>
      <c r="I95" s="85"/>
    </row>
    <row r="96" spans="1:9" s="285" customFormat="1" x14ac:dyDescent="0.25">
      <c r="A96" s="118">
        <v>40</v>
      </c>
      <c r="B96" s="151">
        <v>5630</v>
      </c>
      <c r="C96" s="159" t="s">
        <v>282</v>
      </c>
      <c r="D96" s="85"/>
      <c r="E96" s="85"/>
      <c r="F96" s="85">
        <v>0</v>
      </c>
      <c r="G96" s="85"/>
      <c r="H96" s="85"/>
      <c r="I96" s="85"/>
    </row>
    <row r="97" spans="1:9" s="285" customFormat="1" x14ac:dyDescent="0.25">
      <c r="A97" s="118">
        <v>40</v>
      </c>
      <c r="B97" s="151">
        <v>5635</v>
      </c>
      <c r="C97" s="159" t="s">
        <v>283</v>
      </c>
      <c r="D97" s="85"/>
      <c r="E97" s="85"/>
      <c r="F97" s="85">
        <v>0</v>
      </c>
      <c r="G97" s="85"/>
      <c r="H97" s="85"/>
      <c r="I97" s="85"/>
    </row>
    <row r="98" spans="1:9" s="285" customFormat="1" x14ac:dyDescent="0.25">
      <c r="A98" s="118">
        <v>40</v>
      </c>
      <c r="B98" s="151">
        <v>5640</v>
      </c>
      <c r="C98" s="159" t="s">
        <v>284</v>
      </c>
      <c r="D98" s="85"/>
      <c r="E98" s="85"/>
      <c r="F98" s="85">
        <v>0</v>
      </c>
      <c r="G98" s="85"/>
      <c r="H98" s="85"/>
      <c r="I98" s="85"/>
    </row>
    <row r="99" spans="1:9" s="285" customFormat="1" x14ac:dyDescent="0.25">
      <c r="A99" s="118">
        <v>40</v>
      </c>
      <c r="B99" s="151">
        <v>5645</v>
      </c>
      <c r="C99" s="159" t="s">
        <v>285</v>
      </c>
      <c r="D99" s="85"/>
      <c r="E99" s="85"/>
      <c r="F99" s="85">
        <v>0</v>
      </c>
      <c r="G99" s="85"/>
      <c r="H99" s="85"/>
      <c r="I99" s="85"/>
    </row>
    <row r="100" spans="1:9" s="285" customFormat="1" x14ac:dyDescent="0.25">
      <c r="A100" s="118">
        <v>40</v>
      </c>
      <c r="B100" s="151">
        <v>5650</v>
      </c>
      <c r="C100" s="159" t="s">
        <v>286</v>
      </c>
      <c r="D100" s="85"/>
      <c r="E100" s="85"/>
      <c r="F100" s="85">
        <v>0</v>
      </c>
      <c r="G100" s="85"/>
      <c r="H100" s="85"/>
      <c r="I100" s="85"/>
    </row>
    <row r="101" spans="1:9" s="285" customFormat="1" x14ac:dyDescent="0.25">
      <c r="A101" s="118">
        <v>40</v>
      </c>
      <c r="B101" s="151">
        <v>5655</v>
      </c>
      <c r="C101" s="159" t="s">
        <v>287</v>
      </c>
      <c r="D101" s="85"/>
      <c r="E101" s="85"/>
      <c r="F101" s="85">
        <v>0</v>
      </c>
      <c r="G101" s="85"/>
      <c r="H101" s="85"/>
      <c r="I101" s="85"/>
    </row>
    <row r="102" spans="1:9" s="285" customFormat="1" x14ac:dyDescent="0.25">
      <c r="A102" s="118">
        <v>40</v>
      </c>
      <c r="B102" s="151">
        <v>5660</v>
      </c>
      <c r="C102" s="159" t="s">
        <v>288</v>
      </c>
      <c r="D102" s="85"/>
      <c r="E102" s="85"/>
      <c r="F102" s="85">
        <v>0</v>
      </c>
      <c r="G102" s="85"/>
      <c r="H102" s="85"/>
      <c r="I102" s="85"/>
    </row>
    <row r="103" spans="1:9" s="285" customFormat="1" x14ac:dyDescent="0.25">
      <c r="A103" s="118">
        <v>40</v>
      </c>
      <c r="B103" s="151">
        <v>5665</v>
      </c>
      <c r="C103" s="94" t="s">
        <v>289</v>
      </c>
      <c r="D103" s="85"/>
      <c r="E103" s="85"/>
      <c r="F103" s="85">
        <v>0</v>
      </c>
      <c r="G103" s="85"/>
      <c r="H103" s="85"/>
      <c r="I103" s="85"/>
    </row>
    <row r="104" spans="1:9" s="285" customFormat="1" x14ac:dyDescent="0.25">
      <c r="A104" s="118">
        <v>40</v>
      </c>
      <c r="B104" s="151">
        <v>5670</v>
      </c>
      <c r="C104" s="94" t="s">
        <v>290</v>
      </c>
      <c r="D104" s="85"/>
      <c r="E104" s="85"/>
      <c r="F104" s="85">
        <v>0</v>
      </c>
      <c r="G104" s="85"/>
      <c r="H104" s="85"/>
      <c r="I104" s="85"/>
    </row>
    <row r="105" spans="1:9" s="285" customFormat="1" x14ac:dyDescent="0.25">
      <c r="A105" s="118">
        <v>40</v>
      </c>
      <c r="B105" s="151">
        <v>5675</v>
      </c>
      <c r="C105" s="94" t="s">
        <v>291</v>
      </c>
      <c r="D105" s="85"/>
      <c r="E105" s="85"/>
      <c r="F105" s="85">
        <v>0</v>
      </c>
      <c r="G105" s="85"/>
      <c r="H105" s="85"/>
      <c r="I105" s="85"/>
    </row>
    <row r="106" spans="1:9" s="285" customFormat="1" x14ac:dyDescent="0.25">
      <c r="A106" s="118">
        <v>40</v>
      </c>
      <c r="B106" s="151">
        <v>5680</v>
      </c>
      <c r="C106" s="94" t="s">
        <v>292</v>
      </c>
      <c r="D106" s="85"/>
      <c r="E106" s="85"/>
      <c r="F106" s="85">
        <v>0</v>
      </c>
      <c r="G106" s="85"/>
      <c r="H106" s="85"/>
      <c r="I106" s="85"/>
    </row>
    <row r="107" spans="1:9" s="285" customFormat="1" x14ac:dyDescent="0.25">
      <c r="A107" s="118">
        <v>40</v>
      </c>
      <c r="B107" s="151">
        <v>5685</v>
      </c>
      <c r="C107" s="94" t="s">
        <v>293</v>
      </c>
      <c r="D107" s="85"/>
      <c r="E107" s="85"/>
      <c r="F107" s="85">
        <v>0</v>
      </c>
      <c r="G107" s="85"/>
      <c r="H107" s="85"/>
      <c r="I107" s="85"/>
    </row>
    <row r="108" spans="1:9" s="285" customFormat="1" x14ac:dyDescent="0.25">
      <c r="A108" s="118">
        <v>40</v>
      </c>
      <c r="B108" s="151">
        <v>5690</v>
      </c>
      <c r="C108" s="94" t="s">
        <v>247</v>
      </c>
      <c r="D108" s="85"/>
      <c r="E108" s="85"/>
      <c r="F108" s="85">
        <v>0</v>
      </c>
      <c r="G108" s="85"/>
      <c r="H108" s="85"/>
      <c r="I108" s="85"/>
    </row>
    <row r="109" spans="1:9" s="285" customFormat="1" x14ac:dyDescent="0.25">
      <c r="A109" s="118">
        <v>40</v>
      </c>
      <c r="B109" s="151">
        <v>5695</v>
      </c>
      <c r="C109" s="94" t="s">
        <v>294</v>
      </c>
      <c r="D109" s="85"/>
      <c r="E109" s="85"/>
      <c r="F109" s="85">
        <v>0</v>
      </c>
      <c r="G109" s="85"/>
      <c r="H109" s="85"/>
      <c r="I109" s="85"/>
    </row>
    <row r="110" spans="1:9" s="285" customFormat="1" x14ac:dyDescent="0.25">
      <c r="A110" s="118">
        <v>40</v>
      </c>
      <c r="B110" s="151">
        <v>5700</v>
      </c>
      <c r="C110" s="94" t="s">
        <v>295</v>
      </c>
      <c r="D110" s="85">
        <v>64193</v>
      </c>
      <c r="E110" s="85">
        <v>78100</v>
      </c>
      <c r="F110" s="85">
        <v>128100</v>
      </c>
      <c r="G110" s="85">
        <v>167300</v>
      </c>
      <c r="H110" s="85">
        <v>180000</v>
      </c>
      <c r="I110" s="85">
        <v>190000</v>
      </c>
    </row>
    <row r="111" spans="1:9" s="285" customFormat="1" x14ac:dyDescent="0.25">
      <c r="A111" s="118">
        <v>40</v>
      </c>
      <c r="B111" s="151">
        <v>5710</v>
      </c>
      <c r="C111" s="94" t="s">
        <v>297</v>
      </c>
      <c r="D111" s="85"/>
      <c r="E111" s="85"/>
      <c r="F111" s="85">
        <v>0</v>
      </c>
      <c r="G111" s="85"/>
      <c r="H111" s="85"/>
      <c r="I111" s="85"/>
    </row>
    <row r="112" spans="1:9" s="285" customFormat="1" x14ac:dyDescent="0.25">
      <c r="A112" s="118">
        <v>40</v>
      </c>
      <c r="B112" s="151">
        <v>5715</v>
      </c>
      <c r="C112" s="94" t="s">
        <v>298</v>
      </c>
      <c r="D112" s="85"/>
      <c r="E112" s="85"/>
      <c r="F112" s="85">
        <v>0</v>
      </c>
      <c r="G112" s="85"/>
      <c r="H112" s="85"/>
      <c r="I112" s="85"/>
    </row>
    <row r="113" spans="1:9" s="285" customFormat="1" x14ac:dyDescent="0.25">
      <c r="A113" s="118">
        <v>40</v>
      </c>
      <c r="B113" s="151">
        <v>5720</v>
      </c>
      <c r="C113" s="94" t="s">
        <v>299</v>
      </c>
      <c r="D113" s="85"/>
      <c r="E113" s="85"/>
      <c r="F113" s="85">
        <v>0</v>
      </c>
      <c r="G113" s="85"/>
      <c r="H113" s="85"/>
      <c r="I113" s="85"/>
    </row>
    <row r="114" spans="1:9" s="285" customFormat="1" x14ac:dyDescent="0.25">
      <c r="A114" s="118">
        <v>40</v>
      </c>
      <c r="B114" s="151">
        <v>5730</v>
      </c>
      <c r="C114" s="94" t="s">
        <v>300</v>
      </c>
      <c r="D114" s="85"/>
      <c r="E114" s="85"/>
      <c r="F114" s="85">
        <v>0</v>
      </c>
      <c r="G114" s="85"/>
      <c r="H114" s="85"/>
      <c r="I114" s="85"/>
    </row>
    <row r="115" spans="1:9" s="285" customFormat="1" x14ac:dyDescent="0.25">
      <c r="A115" s="118">
        <v>40</v>
      </c>
      <c r="B115" s="151">
        <v>5735</v>
      </c>
      <c r="C115" s="94" t="s">
        <v>301</v>
      </c>
      <c r="D115" s="85"/>
      <c r="E115" s="85"/>
      <c r="F115" s="85">
        <v>0</v>
      </c>
      <c r="G115" s="85"/>
      <c r="H115" s="85"/>
      <c r="I115" s="85"/>
    </row>
    <row r="116" spans="1:9" s="285" customFormat="1" x14ac:dyDescent="0.25">
      <c r="A116" s="118">
        <v>40</v>
      </c>
      <c r="B116" s="151">
        <v>5740</v>
      </c>
      <c r="C116" s="94" t="s">
        <v>302</v>
      </c>
      <c r="D116" s="85"/>
      <c r="E116" s="85"/>
      <c r="F116" s="85">
        <v>0</v>
      </c>
      <c r="G116" s="85"/>
      <c r="H116" s="85"/>
      <c r="I116" s="85"/>
    </row>
    <row r="117" spans="1:9" s="285" customFormat="1" x14ac:dyDescent="0.25">
      <c r="A117" s="118">
        <v>40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85"/>
      <c r="I117" s="85"/>
    </row>
    <row r="118" spans="1:9" s="285" customFormat="1" x14ac:dyDescent="0.25">
      <c r="A118" s="118">
        <v>40</v>
      </c>
      <c r="B118" s="151">
        <v>5750</v>
      </c>
      <c r="C118" s="94" t="s">
        <v>304</v>
      </c>
      <c r="D118" s="85">
        <v>381</v>
      </c>
      <c r="E118" s="85">
        <v>2300</v>
      </c>
      <c r="F118" s="85">
        <v>2300</v>
      </c>
      <c r="G118" s="85">
        <v>2300</v>
      </c>
      <c r="H118" s="85">
        <v>2300</v>
      </c>
      <c r="I118" s="85">
        <v>2300</v>
      </c>
    </row>
    <row r="119" spans="1:9" s="285" customFormat="1" x14ac:dyDescent="0.25">
      <c r="A119" s="118">
        <v>40</v>
      </c>
      <c r="B119" s="151">
        <v>5755</v>
      </c>
      <c r="C119" s="94" t="s">
        <v>305</v>
      </c>
      <c r="D119" s="85">
        <v>4942</v>
      </c>
      <c r="E119" s="85">
        <v>25100</v>
      </c>
      <c r="F119" s="85">
        <v>25100</v>
      </c>
      <c r="G119" s="85">
        <v>25100</v>
      </c>
      <c r="H119" s="85">
        <v>25100</v>
      </c>
      <c r="I119" s="85">
        <v>25100</v>
      </c>
    </row>
    <row r="120" spans="1:9" s="285" customFormat="1" ht="12" customHeight="1" x14ac:dyDescent="0.25">
      <c r="A120" s="118">
        <v>40</v>
      </c>
      <c r="B120" s="151">
        <v>5760</v>
      </c>
      <c r="C120" s="94" t="s">
        <v>306</v>
      </c>
      <c r="D120" s="85"/>
      <c r="E120" s="85"/>
      <c r="F120" s="85">
        <v>0</v>
      </c>
      <c r="G120" s="85">
        <f t="shared" ref="G120:G147" si="18">0/8*12</f>
        <v>0</v>
      </c>
      <c r="H120" s="85"/>
      <c r="I120" s="85">
        <f>G120*(1+[4]INPUT!D$10)</f>
        <v>0</v>
      </c>
    </row>
    <row r="121" spans="1:9" s="285" customFormat="1" x14ac:dyDescent="0.25">
      <c r="A121" s="118">
        <v>40</v>
      </c>
      <c r="B121" s="151">
        <v>5765</v>
      </c>
      <c r="C121" s="94" t="s">
        <v>307</v>
      </c>
      <c r="D121" s="85"/>
      <c r="E121" s="85"/>
      <c r="F121" s="85">
        <v>0</v>
      </c>
      <c r="G121" s="85">
        <f t="shared" si="18"/>
        <v>0</v>
      </c>
      <c r="H121" s="85"/>
      <c r="I121" s="85">
        <f>G121*(1+[4]INPUT!D$10)</f>
        <v>0</v>
      </c>
    </row>
    <row r="122" spans="1:9" s="285" customFormat="1" x14ac:dyDescent="0.25">
      <c r="A122" s="118">
        <v>40</v>
      </c>
      <c r="B122" s="151">
        <v>5770</v>
      </c>
      <c r="C122" s="94" t="s">
        <v>308</v>
      </c>
      <c r="D122" s="85"/>
      <c r="E122" s="85"/>
      <c r="F122" s="85">
        <v>0</v>
      </c>
      <c r="G122" s="85">
        <f t="shared" si="18"/>
        <v>0</v>
      </c>
      <c r="H122" s="85"/>
      <c r="I122" s="85">
        <f>G122*(1+[4]INPUT!D$10)</f>
        <v>0</v>
      </c>
    </row>
    <row r="123" spans="1:9" s="285" customFormat="1" x14ac:dyDescent="0.25">
      <c r="A123" s="118">
        <v>40</v>
      </c>
      <c r="B123" s="151">
        <v>5775</v>
      </c>
      <c r="C123" s="94" t="s">
        <v>309</v>
      </c>
      <c r="D123" s="85"/>
      <c r="E123" s="85"/>
      <c r="F123" s="85">
        <v>0</v>
      </c>
      <c r="G123" s="85">
        <f t="shared" si="18"/>
        <v>0</v>
      </c>
      <c r="H123" s="85"/>
      <c r="I123" s="85">
        <f>G123*(1+[4]INPUT!D$10)</f>
        <v>0</v>
      </c>
    </row>
    <row r="124" spans="1:9" s="285" customFormat="1" x14ac:dyDescent="0.25">
      <c r="A124" s="118">
        <v>40</v>
      </c>
      <c r="B124" s="151">
        <v>5780</v>
      </c>
      <c r="C124" s="94" t="s">
        <v>310</v>
      </c>
      <c r="D124" s="85"/>
      <c r="E124" s="85"/>
      <c r="F124" s="85">
        <v>0</v>
      </c>
      <c r="G124" s="85">
        <f t="shared" si="18"/>
        <v>0</v>
      </c>
      <c r="H124" s="85"/>
      <c r="I124" s="85">
        <f>G124*(1+[4]INPUT!D$10)</f>
        <v>0</v>
      </c>
    </row>
    <row r="125" spans="1:9" s="285" customFormat="1" x14ac:dyDescent="0.25">
      <c r="A125" s="118">
        <v>40</v>
      </c>
      <c r="B125" s="151">
        <v>5785</v>
      </c>
      <c r="C125" s="94" t="s">
        <v>311</v>
      </c>
      <c r="D125" s="85"/>
      <c r="E125" s="85"/>
      <c r="F125" s="85">
        <v>0</v>
      </c>
      <c r="G125" s="85">
        <f t="shared" si="18"/>
        <v>0</v>
      </c>
      <c r="H125" s="85"/>
      <c r="I125" s="85">
        <f>G125*(1+[4]INPUT!D$10)</f>
        <v>0</v>
      </c>
    </row>
    <row r="126" spans="1:9" s="285" customFormat="1" x14ac:dyDescent="0.25">
      <c r="A126" s="118">
        <v>40</v>
      </c>
      <c r="B126" s="151">
        <v>5790</v>
      </c>
      <c r="C126" s="94" t="s">
        <v>312</v>
      </c>
      <c r="D126" s="85"/>
      <c r="E126" s="85"/>
      <c r="F126" s="85">
        <v>0</v>
      </c>
      <c r="G126" s="85">
        <f t="shared" si="18"/>
        <v>0</v>
      </c>
      <c r="H126" s="85"/>
      <c r="I126" s="85">
        <f>G126*(1+[4]INPUT!D$10)</f>
        <v>0</v>
      </c>
    </row>
    <row r="127" spans="1:9" s="285" customFormat="1" x14ac:dyDescent="0.25">
      <c r="A127" s="118">
        <v>40</v>
      </c>
      <c r="B127" s="151">
        <v>5795</v>
      </c>
      <c r="C127" s="94" t="s">
        <v>313</v>
      </c>
      <c r="D127" s="85"/>
      <c r="E127" s="85"/>
      <c r="F127" s="85">
        <v>0</v>
      </c>
      <c r="G127" s="85">
        <f t="shared" si="18"/>
        <v>0</v>
      </c>
      <c r="H127" s="85"/>
      <c r="I127" s="85">
        <f>G127*(1+[4]INPUT!D$10)</f>
        <v>0</v>
      </c>
    </row>
    <row r="128" spans="1:9" s="285" customFormat="1" x14ac:dyDescent="0.25">
      <c r="A128" s="118">
        <v>40</v>
      </c>
      <c r="B128" s="151">
        <v>5800</v>
      </c>
      <c r="C128" s="94" t="s">
        <v>314</v>
      </c>
      <c r="D128" s="85"/>
      <c r="E128" s="85"/>
      <c r="F128" s="85">
        <v>0</v>
      </c>
      <c r="G128" s="85">
        <f t="shared" si="18"/>
        <v>0</v>
      </c>
      <c r="H128" s="85"/>
      <c r="I128" s="85">
        <f>G128*(1+[4]INPUT!D$10)</f>
        <v>0</v>
      </c>
    </row>
    <row r="129" spans="1:9" s="285" customFormat="1" x14ac:dyDescent="0.25">
      <c r="A129" s="118">
        <v>40</v>
      </c>
      <c r="B129" s="151">
        <v>5805</v>
      </c>
      <c r="C129" s="94" t="s">
        <v>315</v>
      </c>
      <c r="D129" s="85"/>
      <c r="E129" s="85"/>
      <c r="F129" s="85">
        <v>0</v>
      </c>
      <c r="G129" s="85">
        <f t="shared" si="18"/>
        <v>0</v>
      </c>
      <c r="H129" s="85"/>
      <c r="I129" s="85">
        <f>G129*(1+[4]INPUT!D$10)</f>
        <v>0</v>
      </c>
    </row>
    <row r="130" spans="1:9" s="285" customFormat="1" x14ac:dyDescent="0.25">
      <c r="A130" s="118">
        <v>40</v>
      </c>
      <c r="B130" s="151">
        <v>5810</v>
      </c>
      <c r="C130" s="94" t="s">
        <v>316</v>
      </c>
      <c r="D130" s="85"/>
      <c r="E130" s="85"/>
      <c r="F130" s="85">
        <v>0</v>
      </c>
      <c r="G130" s="85">
        <f t="shared" si="18"/>
        <v>0</v>
      </c>
      <c r="H130" s="85"/>
      <c r="I130" s="85">
        <f>G130*(1+[4]INPUT!D$10)</f>
        <v>0</v>
      </c>
    </row>
    <row r="131" spans="1:9" s="285" customFormat="1" x14ac:dyDescent="0.25">
      <c r="A131" s="118">
        <v>40</v>
      </c>
      <c r="B131" s="151">
        <v>5815</v>
      </c>
      <c r="C131" s="94" t="s">
        <v>99</v>
      </c>
      <c r="D131" s="85"/>
      <c r="E131" s="85"/>
      <c r="F131" s="85">
        <v>0</v>
      </c>
      <c r="G131" s="85">
        <f t="shared" si="18"/>
        <v>0</v>
      </c>
      <c r="H131" s="85"/>
      <c r="I131" s="85">
        <f>G131*(1+[4]INPUT!D$10)</f>
        <v>0</v>
      </c>
    </row>
    <row r="132" spans="1:9" s="285" customFormat="1" x14ac:dyDescent="0.25">
      <c r="A132" s="118">
        <v>40</v>
      </c>
      <c r="B132" s="151">
        <v>5820</v>
      </c>
      <c r="C132" s="94" t="s">
        <v>114</v>
      </c>
      <c r="D132" s="86"/>
      <c r="E132" s="85"/>
      <c r="F132" s="85">
        <v>0</v>
      </c>
      <c r="G132" s="85">
        <f t="shared" si="18"/>
        <v>0</v>
      </c>
      <c r="H132" s="85"/>
      <c r="I132" s="85">
        <f>G132*(1+[4]INPUT!D$10)</f>
        <v>0</v>
      </c>
    </row>
    <row r="133" spans="1:9" s="285" customFormat="1" x14ac:dyDescent="0.25">
      <c r="A133" s="118">
        <v>40</v>
      </c>
      <c r="B133" s="151">
        <v>5825</v>
      </c>
      <c r="C133" s="94" t="s">
        <v>317</v>
      </c>
      <c r="D133" s="86"/>
      <c r="E133" s="85"/>
      <c r="F133" s="85">
        <v>0</v>
      </c>
      <c r="G133" s="85">
        <f t="shared" si="18"/>
        <v>0</v>
      </c>
      <c r="H133" s="85"/>
      <c r="I133" s="85">
        <f>G133*(1+[4]INPUT!D$10)</f>
        <v>0</v>
      </c>
    </row>
    <row r="134" spans="1:9" s="285" customFormat="1" x14ac:dyDescent="0.25">
      <c r="A134" s="118">
        <v>40</v>
      </c>
      <c r="B134" s="151">
        <v>5830</v>
      </c>
      <c r="C134" s="94" t="s">
        <v>318</v>
      </c>
      <c r="D134" s="86"/>
      <c r="E134" s="85"/>
      <c r="F134" s="85">
        <v>0</v>
      </c>
      <c r="G134" s="85">
        <f t="shared" si="18"/>
        <v>0</v>
      </c>
      <c r="H134" s="85"/>
      <c r="I134" s="85">
        <f>G134*(1+[4]INPUT!D$10)</f>
        <v>0</v>
      </c>
    </row>
    <row r="135" spans="1:9" s="285" customFormat="1" x14ac:dyDescent="0.25">
      <c r="A135" s="118">
        <v>40</v>
      </c>
      <c r="B135" s="151">
        <v>5835</v>
      </c>
      <c r="C135" s="94" t="s">
        <v>319</v>
      </c>
      <c r="D135" s="86"/>
      <c r="E135" s="85"/>
      <c r="F135" s="85">
        <v>0</v>
      </c>
      <c r="G135" s="85">
        <f t="shared" si="18"/>
        <v>0</v>
      </c>
      <c r="H135" s="85"/>
      <c r="I135" s="85">
        <f>G135*(1+[4]INPUT!D$10)</f>
        <v>0</v>
      </c>
    </row>
    <row r="136" spans="1:9" s="285" customFormat="1" x14ac:dyDescent="0.25">
      <c r="A136" s="118">
        <v>40</v>
      </c>
      <c r="B136" s="151">
        <v>5840</v>
      </c>
      <c r="C136" s="94" t="s">
        <v>332</v>
      </c>
      <c r="D136" s="115"/>
      <c r="E136" s="85"/>
      <c r="F136" s="85">
        <v>0</v>
      </c>
      <c r="G136" s="85">
        <f t="shared" si="18"/>
        <v>0</v>
      </c>
      <c r="H136" s="85"/>
      <c r="I136" s="85">
        <f>G136*(1+[4]INPUT!D$10)</f>
        <v>0</v>
      </c>
    </row>
    <row r="137" spans="1:9" s="285" customFormat="1" x14ac:dyDescent="0.25">
      <c r="A137" s="118">
        <v>40</v>
      </c>
      <c r="B137" s="151">
        <v>5845</v>
      </c>
      <c r="C137" s="94" t="s">
        <v>320</v>
      </c>
      <c r="D137" s="86"/>
      <c r="E137" s="85"/>
      <c r="F137" s="85">
        <v>0</v>
      </c>
      <c r="G137" s="85">
        <f t="shared" si="18"/>
        <v>0</v>
      </c>
      <c r="H137" s="85"/>
      <c r="I137" s="85">
        <f>G137*(1+[4]INPUT!D$10)</f>
        <v>0</v>
      </c>
    </row>
    <row r="138" spans="1:9" s="285" customFormat="1" x14ac:dyDescent="0.25">
      <c r="A138" s="118">
        <v>40</v>
      </c>
      <c r="B138" s="151">
        <v>5855</v>
      </c>
      <c r="C138" s="94" t="s">
        <v>321</v>
      </c>
      <c r="D138" s="85"/>
      <c r="E138" s="85"/>
      <c r="F138" s="85">
        <v>0</v>
      </c>
      <c r="G138" s="85">
        <f t="shared" si="18"/>
        <v>0</v>
      </c>
      <c r="H138" s="85"/>
      <c r="I138" s="85">
        <f>G138*(1+[4]INPUT!D$10)</f>
        <v>0</v>
      </c>
    </row>
    <row r="139" spans="1:9" s="285" customFormat="1" x14ac:dyDescent="0.25">
      <c r="A139" s="118">
        <v>40</v>
      </c>
      <c r="B139" s="151">
        <v>5860</v>
      </c>
      <c r="C139" s="94" t="s">
        <v>322</v>
      </c>
      <c r="D139" s="85"/>
      <c r="E139" s="85"/>
      <c r="F139" s="85">
        <v>0</v>
      </c>
      <c r="G139" s="85">
        <f t="shared" si="18"/>
        <v>0</v>
      </c>
      <c r="H139" s="85"/>
      <c r="I139" s="85">
        <f>G139*(1+[4]INPUT!D$10)</f>
        <v>0</v>
      </c>
    </row>
    <row r="140" spans="1:9" s="285" customFormat="1" x14ac:dyDescent="0.25">
      <c r="A140" s="118">
        <v>40</v>
      </c>
      <c r="B140" s="151">
        <v>5865</v>
      </c>
      <c r="C140" s="94" t="s">
        <v>323</v>
      </c>
      <c r="D140" s="85"/>
      <c r="E140" s="85"/>
      <c r="F140" s="85">
        <v>0</v>
      </c>
      <c r="G140" s="85">
        <f t="shared" si="18"/>
        <v>0</v>
      </c>
      <c r="H140" s="85"/>
      <c r="I140" s="85">
        <f>G140*(1+[4]INPUT!D$10)</f>
        <v>0</v>
      </c>
    </row>
    <row r="141" spans="1:9" s="285" customFormat="1" x14ac:dyDescent="0.25">
      <c r="A141" s="118">
        <v>40</v>
      </c>
      <c r="B141" s="151">
        <v>5870</v>
      </c>
      <c r="C141" s="94" t="s">
        <v>324</v>
      </c>
      <c r="D141" s="85"/>
      <c r="E141" s="85"/>
      <c r="F141" s="85">
        <v>0</v>
      </c>
      <c r="G141" s="85">
        <f t="shared" si="18"/>
        <v>0</v>
      </c>
      <c r="H141" s="85"/>
      <c r="I141" s="85">
        <f>G141*(1+[4]INPUT!D$10)</f>
        <v>0</v>
      </c>
    </row>
    <row r="142" spans="1:9" s="285" customFormat="1" x14ac:dyDescent="0.25">
      <c r="A142" s="118">
        <v>40</v>
      </c>
      <c r="B142" s="151">
        <v>5875</v>
      </c>
      <c r="C142" s="94" t="s">
        <v>325</v>
      </c>
      <c r="D142" s="85"/>
      <c r="E142" s="85"/>
      <c r="F142" s="85">
        <v>0</v>
      </c>
      <c r="G142" s="85">
        <f t="shared" si="18"/>
        <v>0</v>
      </c>
      <c r="H142" s="85"/>
      <c r="I142" s="85">
        <f>G142*(1+[4]INPUT!D$10)</f>
        <v>0</v>
      </c>
    </row>
    <row r="143" spans="1:9" s="285" customFormat="1" x14ac:dyDescent="0.25">
      <c r="A143" s="118">
        <v>40</v>
      </c>
      <c r="B143" s="151">
        <v>5880</v>
      </c>
      <c r="C143" s="94" t="s">
        <v>326</v>
      </c>
      <c r="D143" s="85"/>
      <c r="E143" s="85"/>
      <c r="F143" s="85">
        <v>0</v>
      </c>
      <c r="G143" s="85">
        <f t="shared" si="18"/>
        <v>0</v>
      </c>
      <c r="H143" s="85"/>
      <c r="I143" s="85">
        <f>G143*(1+[4]INPUT!D$10)</f>
        <v>0</v>
      </c>
    </row>
    <row r="144" spans="1:9" s="285" customFormat="1" x14ac:dyDescent="0.25">
      <c r="A144" s="118">
        <v>40</v>
      </c>
      <c r="B144" s="151">
        <v>5885</v>
      </c>
      <c r="C144" s="94" t="s">
        <v>331</v>
      </c>
      <c r="D144" s="85"/>
      <c r="E144" s="85"/>
      <c r="F144" s="85">
        <v>0</v>
      </c>
      <c r="G144" s="85">
        <f t="shared" si="18"/>
        <v>0</v>
      </c>
      <c r="H144" s="85"/>
      <c r="I144" s="85">
        <f>G144*(1+[4]INPUT!D$10)</f>
        <v>0</v>
      </c>
    </row>
    <row r="145" spans="1:9" s="285" customFormat="1" x14ac:dyDescent="0.25">
      <c r="A145" s="118">
        <v>40</v>
      </c>
      <c r="B145" s="151">
        <v>5890</v>
      </c>
      <c r="C145" s="94" t="s">
        <v>327</v>
      </c>
      <c r="D145" s="85"/>
      <c r="E145" s="85"/>
      <c r="F145" s="85">
        <v>0</v>
      </c>
      <c r="G145" s="85">
        <f t="shared" si="18"/>
        <v>0</v>
      </c>
      <c r="H145" s="85"/>
      <c r="I145" s="85">
        <f>G145*(1+[4]INPUT!D$10)</f>
        <v>0</v>
      </c>
    </row>
    <row r="146" spans="1:9" s="285" customFormat="1" x14ac:dyDescent="0.25">
      <c r="A146" s="118">
        <v>40</v>
      </c>
      <c r="B146" s="151">
        <v>5895</v>
      </c>
      <c r="C146" s="94" t="s">
        <v>328</v>
      </c>
      <c r="D146" s="85"/>
      <c r="E146" s="85"/>
      <c r="F146" s="85">
        <v>0</v>
      </c>
      <c r="G146" s="85">
        <f t="shared" si="18"/>
        <v>0</v>
      </c>
      <c r="H146" s="85"/>
      <c r="I146" s="85">
        <f>G146*(1+[4]INPUT!D$10)</f>
        <v>0</v>
      </c>
    </row>
    <row r="147" spans="1:9" s="285" customFormat="1" x14ac:dyDescent="0.25">
      <c r="A147" s="118">
        <v>40</v>
      </c>
      <c r="B147" s="151">
        <v>5910</v>
      </c>
      <c r="C147" s="94" t="s">
        <v>330</v>
      </c>
      <c r="D147" s="85"/>
      <c r="E147" s="85"/>
      <c r="F147" s="85">
        <v>0</v>
      </c>
      <c r="G147" s="85">
        <f t="shared" si="18"/>
        <v>0</v>
      </c>
      <c r="H147" s="85"/>
      <c r="I147" s="85">
        <f>G147*(1+[4]INPUT!D$10)</f>
        <v>0</v>
      </c>
    </row>
    <row r="148" spans="1:9" s="285" customFormat="1" x14ac:dyDescent="0.25">
      <c r="A148" s="344"/>
      <c r="B148" s="151"/>
      <c r="C148" s="94"/>
      <c r="D148" s="89">
        <f t="shared" ref="D148:F148" si="19">SUM(D72:D147)</f>
        <v>247589</v>
      </c>
      <c r="E148" s="89">
        <f t="shared" si="19"/>
        <v>491438</v>
      </c>
      <c r="F148" s="89">
        <f t="shared" si="19"/>
        <v>491438</v>
      </c>
      <c r="G148" s="89">
        <f t="shared" ref="G148:I148" si="20">SUM(G72:G147)</f>
        <v>715920</v>
      </c>
      <c r="H148" s="89">
        <f t="shared" ref="H148" si="21">SUM(H72:H147)</f>
        <v>803620</v>
      </c>
      <c r="I148" s="89">
        <f t="shared" si="20"/>
        <v>832620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40</v>
      </c>
      <c r="B150" s="151">
        <v>6005</v>
      </c>
      <c r="C150" s="94" t="s">
        <v>188</v>
      </c>
      <c r="D150" s="85"/>
      <c r="E150" s="108"/>
      <c r="F150" s="85">
        <v>0</v>
      </c>
      <c r="G150" s="85">
        <f>0/8*12</f>
        <v>0</v>
      </c>
      <c r="H150" s="85">
        <f>0/8*12</f>
        <v>0</v>
      </c>
      <c r="I150" s="108">
        <f>G150*(1+[4]INPUT!D$10)</f>
        <v>0</v>
      </c>
    </row>
    <row r="151" spans="1:9" s="285" customFormat="1" x14ac:dyDescent="0.25">
      <c r="A151" s="344"/>
      <c r="B151" s="151"/>
      <c r="C151" s="94"/>
      <c r="D151" s="89">
        <f t="shared" ref="D151:E151" si="22">SUM(D150)</f>
        <v>0</v>
      </c>
      <c r="E151" s="89">
        <f t="shared" si="22"/>
        <v>0</v>
      </c>
      <c r="F151" s="89">
        <v>0</v>
      </c>
      <c r="G151" s="89">
        <f t="shared" ref="G151:I151" si="23">SUM(G150)</f>
        <v>0</v>
      </c>
      <c r="H151" s="89">
        <f t="shared" ref="H151" si="24">SUM(H150)</f>
        <v>0</v>
      </c>
      <c r="I151" s="89">
        <f t="shared" si="23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hidden="1" x14ac:dyDescent="0.25">
      <c r="A153" s="118">
        <v>40</v>
      </c>
      <c r="B153" s="151">
        <v>6105</v>
      </c>
      <c r="C153" s="94" t="s">
        <v>336</v>
      </c>
      <c r="D153" s="85"/>
      <c r="E153" s="108"/>
      <c r="F153" s="85">
        <v>0</v>
      </c>
      <c r="G153" s="85">
        <f t="shared" ref="G153:H153" si="25">0/8*12</f>
        <v>0</v>
      </c>
      <c r="H153" s="85">
        <f t="shared" si="25"/>
        <v>0</v>
      </c>
      <c r="I153" s="108">
        <f>G153*(1+[4]INPUT!D$10)</f>
        <v>0</v>
      </c>
    </row>
    <row r="154" spans="1:9" s="285" customFormat="1" x14ac:dyDescent="0.25">
      <c r="A154" s="118">
        <v>40</v>
      </c>
      <c r="B154" s="151">
        <v>6110</v>
      </c>
      <c r="C154" s="94" t="s">
        <v>337</v>
      </c>
      <c r="D154" s="85">
        <f>[2]SC13c!$G$29+[2]SC13c!$G$30</f>
        <v>174026</v>
      </c>
      <c r="E154" s="108">
        <v>260000</v>
      </c>
      <c r="F154" s="85">
        <v>260000</v>
      </c>
      <c r="G154" s="85">
        <v>11163800</v>
      </c>
      <c r="H154" s="85">
        <v>11000000</v>
      </c>
      <c r="I154" s="108">
        <v>11000000</v>
      </c>
    </row>
    <row r="155" spans="1:9" s="285" customFormat="1" hidden="1" x14ac:dyDescent="0.25">
      <c r="A155" s="118">
        <v>40</v>
      </c>
      <c r="B155" s="151">
        <v>6115</v>
      </c>
      <c r="C155" s="94" t="s">
        <v>60</v>
      </c>
      <c r="D155" s="85"/>
      <c r="E155" s="108"/>
      <c r="F155" s="85">
        <v>0</v>
      </c>
      <c r="G155" s="85"/>
      <c r="H155" s="85"/>
      <c r="I155" s="108"/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" si="26">SUM(E153:E155)</f>
        <v>260000</v>
      </c>
      <c r="F156" s="89">
        <v>260000</v>
      </c>
      <c r="G156" s="89">
        <f>SUM(G154)</f>
        <v>11163800</v>
      </c>
      <c r="H156" s="89">
        <f t="shared" ref="H156:I156" si="27">SUM(H154)</f>
        <v>11000000</v>
      </c>
      <c r="I156" s="89">
        <f t="shared" si="27"/>
        <v>11000000</v>
      </c>
    </row>
    <row r="157" spans="1:9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hidden="1" x14ac:dyDescent="0.25">
      <c r="A158" s="118">
        <v>40</v>
      </c>
      <c r="B158" s="151">
        <v>6205</v>
      </c>
      <c r="C158" s="94" t="s">
        <v>338</v>
      </c>
      <c r="D158" s="85"/>
      <c r="E158" s="108"/>
      <c r="F158" s="85">
        <v>0</v>
      </c>
      <c r="G158" s="85"/>
      <c r="H158" s="85"/>
      <c r="I158" s="85"/>
    </row>
    <row r="159" spans="1:9" s="285" customFormat="1" hidden="1" x14ac:dyDescent="0.25">
      <c r="A159" s="118">
        <v>40</v>
      </c>
      <c r="B159" s="151">
        <v>6210</v>
      </c>
      <c r="C159" s="94" t="s">
        <v>339</v>
      </c>
      <c r="D159" s="85"/>
      <c r="E159" s="85"/>
      <c r="F159" s="85">
        <v>0</v>
      </c>
      <c r="G159" s="85"/>
      <c r="H159" s="85"/>
      <c r="I159" s="85"/>
    </row>
    <row r="160" spans="1:9" s="285" customFormat="1" hidden="1" x14ac:dyDescent="0.25">
      <c r="A160" s="344"/>
      <c r="B160" s="346"/>
      <c r="C160" s="347"/>
      <c r="D160" s="116">
        <f t="shared" ref="D160:E160" si="28">SUM(D158:D159)</f>
        <v>0</v>
      </c>
      <c r="E160" s="116">
        <f t="shared" si="28"/>
        <v>0</v>
      </c>
      <c r="F160" s="116">
        <v>0</v>
      </c>
      <c r="G160" s="116"/>
      <c r="H160" s="116"/>
      <c r="I160" s="116"/>
    </row>
    <row r="161" spans="1:9" s="285" customFormat="1" x14ac:dyDescent="0.25">
      <c r="A161" s="344"/>
      <c r="B161" s="346"/>
      <c r="C161" s="93" t="s">
        <v>189</v>
      </c>
      <c r="D161" s="116">
        <f t="shared" ref="D161:I161" si="29">D160+D156+D151+D148+D70+D66+D63+D59+D38+D35+D32+D29+D25+D18</f>
        <v>1391573</v>
      </c>
      <c r="E161" s="116">
        <f t="shared" si="29"/>
        <v>4100022</v>
      </c>
      <c r="F161" s="116">
        <f t="shared" si="29"/>
        <v>3500022</v>
      </c>
      <c r="G161" s="116">
        <f t="shared" si="29"/>
        <v>14897784.800000001</v>
      </c>
      <c r="H161" s="116">
        <f t="shared" si="29"/>
        <v>15074884.544</v>
      </c>
      <c r="I161" s="116">
        <f t="shared" si="29"/>
        <v>15395098.615552001</v>
      </c>
    </row>
    <row r="162" spans="1:9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hidden="1" x14ac:dyDescent="0.25">
      <c r="A163" s="118">
        <v>40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85"/>
      <c r="H163" s="85"/>
      <c r="I163" s="85"/>
    </row>
    <row r="164" spans="1:9" s="285" customFormat="1" hidden="1" x14ac:dyDescent="0.25">
      <c r="A164" s="344"/>
      <c r="B164" s="151"/>
      <c r="C164" s="94"/>
      <c r="D164" s="116">
        <f t="shared" ref="D164:F164" si="30">D163</f>
        <v>0</v>
      </c>
      <c r="E164" s="116">
        <f t="shared" si="30"/>
        <v>0</v>
      </c>
      <c r="F164" s="116">
        <f t="shared" si="30"/>
        <v>0</v>
      </c>
      <c r="G164" s="116"/>
      <c r="H164" s="116"/>
      <c r="I164" s="116"/>
    </row>
    <row r="165" spans="1:9" s="285" customFormat="1" x14ac:dyDescent="0.25">
      <c r="A165" s="348"/>
      <c r="B165" s="152"/>
      <c r="C165" s="119" t="s">
        <v>191</v>
      </c>
      <c r="D165" s="160">
        <f t="shared" ref="D165:I165" si="31">SUM(D161+D164)</f>
        <v>1391573</v>
      </c>
      <c r="E165" s="160">
        <f t="shared" si="31"/>
        <v>4100022</v>
      </c>
      <c r="F165" s="160">
        <f t="shared" si="31"/>
        <v>3500022</v>
      </c>
      <c r="G165" s="160">
        <f t="shared" si="31"/>
        <v>14897784.800000001</v>
      </c>
      <c r="H165" s="160">
        <f t="shared" si="31"/>
        <v>15074884.544</v>
      </c>
      <c r="I165" s="160">
        <f t="shared" si="31"/>
        <v>15395098.615552001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424"/>
      <c r="H168" s="338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40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08"/>
    </row>
    <row r="173" spans="1:9" s="285" customFormat="1" hidden="1" x14ac:dyDescent="0.25">
      <c r="A173" s="118">
        <v>40</v>
      </c>
      <c r="B173" s="151">
        <v>5725</v>
      </c>
      <c r="C173" s="94" t="s">
        <v>402</v>
      </c>
      <c r="D173" s="85">
        <v>0</v>
      </c>
      <c r="E173" s="85">
        <v>0</v>
      </c>
      <c r="F173" s="85">
        <f>(0/8*12)*-1</f>
        <v>0</v>
      </c>
      <c r="G173" s="85"/>
      <c r="H173" s="85"/>
      <c r="I173" s="85"/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/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40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98"/>
      <c r="H176" s="98"/>
      <c r="I176" s="98"/>
    </row>
    <row r="177" spans="1:9" s="285" customFormat="1" hidden="1" x14ac:dyDescent="0.25">
      <c r="A177" s="118">
        <v>40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98"/>
      <c r="H177" s="98"/>
      <c r="I177" s="98"/>
    </row>
    <row r="178" spans="1:9" s="285" customFormat="1" hidden="1" x14ac:dyDescent="0.25">
      <c r="A178" s="118">
        <v>40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98"/>
      <c r="H178" s="98"/>
      <c r="I178" s="98"/>
    </row>
    <row r="179" spans="1:9" s="285" customFormat="1" hidden="1" x14ac:dyDescent="0.25">
      <c r="A179" s="118">
        <v>40</v>
      </c>
      <c r="B179" s="151">
        <v>1153</v>
      </c>
      <c r="C179" s="94" t="s">
        <v>115</v>
      </c>
      <c r="D179" s="122"/>
      <c r="E179" s="98"/>
      <c r="F179" s="98">
        <f t="shared" ref="F179:F180" si="32">E179/8*12</f>
        <v>0</v>
      </c>
      <c r="G179" s="98"/>
      <c r="H179" s="98"/>
      <c r="I179" s="98"/>
    </row>
    <row r="180" spans="1:9" s="285" customFormat="1" hidden="1" x14ac:dyDescent="0.25">
      <c r="A180" s="118">
        <v>40</v>
      </c>
      <c r="B180" s="151">
        <v>1143</v>
      </c>
      <c r="C180" s="94" t="s">
        <v>109</v>
      </c>
      <c r="D180" s="122"/>
      <c r="E180" s="98"/>
      <c r="F180" s="98">
        <f t="shared" si="32"/>
        <v>0</v>
      </c>
      <c r="G180" s="98"/>
      <c r="H180" s="98"/>
      <c r="I180" s="98"/>
    </row>
    <row r="181" spans="1:9" s="285" customFormat="1" x14ac:dyDescent="0.25">
      <c r="A181" s="118">
        <v>40</v>
      </c>
      <c r="B181" s="151">
        <v>5500</v>
      </c>
      <c r="C181" s="94" t="s">
        <v>266</v>
      </c>
      <c r="D181" s="85"/>
      <c r="E181" s="85">
        <v>-113230</v>
      </c>
      <c r="F181" s="85">
        <f t="shared" ref="F181:F205" si="33">E181-D181</f>
        <v>-113230</v>
      </c>
      <c r="G181" s="85">
        <f>(F181*0.1)+F181</f>
        <v>-124553</v>
      </c>
      <c r="H181" s="85">
        <f t="shared" ref="H181:I181" si="34">(G181*0.1)+G181</f>
        <v>-137008.29999999999</v>
      </c>
      <c r="I181" s="85">
        <f t="shared" si="34"/>
        <v>-150709.12999999998</v>
      </c>
    </row>
    <row r="182" spans="1:9" s="285" customFormat="1" hidden="1" x14ac:dyDescent="0.25">
      <c r="A182" s="118">
        <v>40</v>
      </c>
      <c r="B182" s="151">
        <v>5705</v>
      </c>
      <c r="C182" s="94" t="s">
        <v>296</v>
      </c>
      <c r="D182" s="85"/>
      <c r="E182" s="85"/>
      <c r="F182" s="85">
        <f t="shared" si="33"/>
        <v>0</v>
      </c>
      <c r="G182" s="85">
        <f t="shared" ref="G182:I182" si="35">(F182*0.1)+F182</f>
        <v>0</v>
      </c>
      <c r="H182" s="85">
        <f t="shared" si="35"/>
        <v>0</v>
      </c>
      <c r="I182" s="85">
        <f t="shared" si="35"/>
        <v>0</v>
      </c>
    </row>
    <row r="183" spans="1:9" s="285" customFormat="1" hidden="1" x14ac:dyDescent="0.25">
      <c r="A183" s="118">
        <v>40</v>
      </c>
      <c r="B183" s="151">
        <v>1140</v>
      </c>
      <c r="C183" s="94" t="s">
        <v>113</v>
      </c>
      <c r="D183" s="122"/>
      <c r="E183" s="98"/>
      <c r="F183" s="85">
        <f t="shared" si="33"/>
        <v>0</v>
      </c>
      <c r="G183" s="85">
        <f t="shared" ref="G183:I183" si="36">(F183*0.1)+F183</f>
        <v>0</v>
      </c>
      <c r="H183" s="85">
        <f t="shared" si="36"/>
        <v>0</v>
      </c>
      <c r="I183" s="85">
        <f t="shared" si="36"/>
        <v>0</v>
      </c>
    </row>
    <row r="184" spans="1:9" s="285" customFormat="1" hidden="1" x14ac:dyDescent="0.25">
      <c r="A184" s="118">
        <v>40</v>
      </c>
      <c r="B184" s="151">
        <v>1145</v>
      </c>
      <c r="C184" s="94" t="s">
        <v>132</v>
      </c>
      <c r="D184" s="122"/>
      <c r="E184" s="98"/>
      <c r="F184" s="85">
        <f t="shared" si="33"/>
        <v>0</v>
      </c>
      <c r="G184" s="85">
        <f t="shared" ref="G184:I184" si="37">(F184*0.1)+F184</f>
        <v>0</v>
      </c>
      <c r="H184" s="85">
        <f t="shared" si="37"/>
        <v>0</v>
      </c>
      <c r="I184" s="85">
        <f t="shared" si="37"/>
        <v>0</v>
      </c>
    </row>
    <row r="185" spans="1:9" s="285" customFormat="1" hidden="1" x14ac:dyDescent="0.25">
      <c r="A185" s="118">
        <v>40</v>
      </c>
      <c r="B185" s="151">
        <v>1150</v>
      </c>
      <c r="C185" s="94" t="s">
        <v>120</v>
      </c>
      <c r="D185" s="122"/>
      <c r="E185" s="98"/>
      <c r="F185" s="85">
        <f t="shared" si="33"/>
        <v>0</v>
      </c>
      <c r="G185" s="85">
        <f t="shared" ref="G185:I185" si="38">(F185*0.1)+F185</f>
        <v>0</v>
      </c>
      <c r="H185" s="85">
        <f t="shared" si="38"/>
        <v>0</v>
      </c>
      <c r="I185" s="85">
        <f t="shared" si="38"/>
        <v>0</v>
      </c>
    </row>
    <row r="186" spans="1:9" s="285" customFormat="1" hidden="1" x14ac:dyDescent="0.25">
      <c r="A186" s="118">
        <v>40</v>
      </c>
      <c r="B186" s="151">
        <v>1155</v>
      </c>
      <c r="C186" s="94" t="s">
        <v>116</v>
      </c>
      <c r="D186" s="122"/>
      <c r="E186" s="98"/>
      <c r="F186" s="85">
        <f t="shared" si="33"/>
        <v>0</v>
      </c>
      <c r="G186" s="85">
        <f t="shared" ref="G186:I186" si="39">(F186*0.1)+F186</f>
        <v>0</v>
      </c>
      <c r="H186" s="85">
        <f t="shared" si="39"/>
        <v>0</v>
      </c>
      <c r="I186" s="85">
        <f t="shared" si="39"/>
        <v>0</v>
      </c>
    </row>
    <row r="187" spans="1:9" s="285" customFormat="1" hidden="1" x14ac:dyDescent="0.25">
      <c r="A187" s="118">
        <v>40</v>
      </c>
      <c r="B187" s="151">
        <v>1160</v>
      </c>
      <c r="C187" s="94" t="s">
        <v>101</v>
      </c>
      <c r="D187" s="122"/>
      <c r="E187" s="98"/>
      <c r="F187" s="85">
        <f t="shared" si="33"/>
        <v>0</v>
      </c>
      <c r="G187" s="85">
        <f t="shared" ref="G187:I187" si="40">(F187*0.1)+F187</f>
        <v>0</v>
      </c>
      <c r="H187" s="85">
        <f t="shared" si="40"/>
        <v>0</v>
      </c>
      <c r="I187" s="85">
        <f t="shared" si="40"/>
        <v>0</v>
      </c>
    </row>
    <row r="188" spans="1:9" s="285" customFormat="1" hidden="1" x14ac:dyDescent="0.25">
      <c r="A188" s="118">
        <v>40</v>
      </c>
      <c r="B188" s="151">
        <v>1165</v>
      </c>
      <c r="C188" s="94" t="s">
        <v>114</v>
      </c>
      <c r="D188" s="122"/>
      <c r="E188" s="98"/>
      <c r="F188" s="85">
        <f t="shared" si="33"/>
        <v>0</v>
      </c>
      <c r="G188" s="85">
        <f t="shared" ref="G188:I188" si="41">(F188*0.1)+F188</f>
        <v>0</v>
      </c>
      <c r="H188" s="85">
        <f t="shared" si="41"/>
        <v>0</v>
      </c>
      <c r="I188" s="85">
        <f t="shared" si="41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85">
        <f t="shared" si="33"/>
        <v>0</v>
      </c>
      <c r="G189" s="85">
        <f t="shared" ref="G189:I189" si="42">(F189*0.1)+F189</f>
        <v>0</v>
      </c>
      <c r="H189" s="85">
        <f t="shared" si="42"/>
        <v>0</v>
      </c>
      <c r="I189" s="85">
        <f t="shared" si="42"/>
        <v>0</v>
      </c>
    </row>
    <row r="190" spans="1:9" s="285" customFormat="1" hidden="1" x14ac:dyDescent="0.25">
      <c r="A190" s="118">
        <v>40</v>
      </c>
      <c r="B190" s="151">
        <v>1180</v>
      </c>
      <c r="C190" s="94" t="s">
        <v>404</v>
      </c>
      <c r="D190" s="122"/>
      <c r="E190" s="98"/>
      <c r="F190" s="85">
        <f t="shared" si="33"/>
        <v>0</v>
      </c>
      <c r="G190" s="85">
        <f t="shared" ref="G190:I190" si="43">(F190*0.1)+F190</f>
        <v>0</v>
      </c>
      <c r="H190" s="85">
        <f t="shared" si="43"/>
        <v>0</v>
      </c>
      <c r="I190" s="85">
        <f t="shared" si="43"/>
        <v>0</v>
      </c>
    </row>
    <row r="191" spans="1:9" s="285" customFormat="1" hidden="1" x14ac:dyDescent="0.25">
      <c r="A191" s="118">
        <v>40</v>
      </c>
      <c r="B191" s="151">
        <v>1185</v>
      </c>
      <c r="C191" s="94" t="s">
        <v>405</v>
      </c>
      <c r="D191" s="122"/>
      <c r="E191" s="98"/>
      <c r="F191" s="85">
        <f t="shared" si="33"/>
        <v>0</v>
      </c>
      <c r="G191" s="85">
        <f t="shared" ref="G191:I191" si="44">(F191*0.1)+F191</f>
        <v>0</v>
      </c>
      <c r="H191" s="85">
        <f t="shared" si="44"/>
        <v>0</v>
      </c>
      <c r="I191" s="85">
        <f t="shared" si="44"/>
        <v>0</v>
      </c>
    </row>
    <row r="192" spans="1:9" s="285" customFormat="1" hidden="1" x14ac:dyDescent="0.25">
      <c r="A192" s="118">
        <v>40</v>
      </c>
      <c r="B192" s="151">
        <v>1190</v>
      </c>
      <c r="C192" s="94" t="s">
        <v>406</v>
      </c>
      <c r="D192" s="122"/>
      <c r="E192" s="98"/>
      <c r="F192" s="85">
        <f t="shared" si="33"/>
        <v>0</v>
      </c>
      <c r="G192" s="85">
        <f t="shared" ref="G192:I192" si="45">(F192*0.1)+F192</f>
        <v>0</v>
      </c>
      <c r="H192" s="85">
        <f t="shared" si="45"/>
        <v>0</v>
      </c>
      <c r="I192" s="85">
        <f t="shared" si="45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85">
        <f t="shared" si="33"/>
        <v>0</v>
      </c>
      <c r="G193" s="85">
        <f t="shared" ref="G193:I193" si="46">(F193*0.1)+F193</f>
        <v>0</v>
      </c>
      <c r="H193" s="85">
        <f t="shared" si="46"/>
        <v>0</v>
      </c>
      <c r="I193" s="85">
        <f t="shared" si="46"/>
        <v>0</v>
      </c>
    </row>
    <row r="194" spans="1:9" s="285" customFormat="1" hidden="1" x14ac:dyDescent="0.25">
      <c r="A194" s="118">
        <v>40</v>
      </c>
      <c r="B194" s="151">
        <v>1195</v>
      </c>
      <c r="C194" s="94" t="s">
        <v>199</v>
      </c>
      <c r="D194" s="122"/>
      <c r="E194" s="98"/>
      <c r="F194" s="85">
        <f t="shared" si="33"/>
        <v>0</v>
      </c>
      <c r="G194" s="85">
        <f t="shared" ref="G194:I194" si="47">(F194*0.1)+F194</f>
        <v>0</v>
      </c>
      <c r="H194" s="85">
        <f t="shared" si="47"/>
        <v>0</v>
      </c>
      <c r="I194" s="85">
        <f t="shared" si="47"/>
        <v>0</v>
      </c>
    </row>
    <row r="195" spans="1:9" s="285" customFormat="1" hidden="1" x14ac:dyDescent="0.25">
      <c r="A195" s="118">
        <v>40</v>
      </c>
      <c r="B195" s="151">
        <v>1200</v>
      </c>
      <c r="C195" s="94" t="s">
        <v>117</v>
      </c>
      <c r="D195" s="122"/>
      <c r="E195" s="98"/>
      <c r="F195" s="85">
        <f t="shared" si="33"/>
        <v>0</v>
      </c>
      <c r="G195" s="85">
        <f t="shared" ref="G195:I195" si="48">(F195*0.1)+F195</f>
        <v>0</v>
      </c>
      <c r="H195" s="85">
        <f t="shared" si="48"/>
        <v>0</v>
      </c>
      <c r="I195" s="85">
        <f t="shared" si="48"/>
        <v>0</v>
      </c>
    </row>
    <row r="196" spans="1:9" s="285" customFormat="1" hidden="1" x14ac:dyDescent="0.25">
      <c r="A196" s="118">
        <v>40</v>
      </c>
      <c r="B196" s="151">
        <v>1205</v>
      </c>
      <c r="C196" s="115" t="s">
        <v>105</v>
      </c>
      <c r="D196" s="122"/>
      <c r="E196" s="98"/>
      <c r="F196" s="85">
        <f t="shared" si="33"/>
        <v>0</v>
      </c>
      <c r="G196" s="85">
        <f t="shared" ref="G196:I196" si="49">(F196*0.1)+F196</f>
        <v>0</v>
      </c>
      <c r="H196" s="85">
        <f t="shared" si="49"/>
        <v>0</v>
      </c>
      <c r="I196" s="85">
        <f t="shared" si="49"/>
        <v>0</v>
      </c>
    </row>
    <row r="197" spans="1:9" s="285" customFormat="1" hidden="1" x14ac:dyDescent="0.25">
      <c r="A197" s="118">
        <v>40</v>
      </c>
      <c r="B197" s="151">
        <v>1210</v>
      </c>
      <c r="C197" s="94" t="s">
        <v>118</v>
      </c>
      <c r="D197" s="122"/>
      <c r="E197" s="98"/>
      <c r="F197" s="85">
        <f t="shared" si="33"/>
        <v>0</v>
      </c>
      <c r="G197" s="85">
        <f t="shared" ref="G197:I197" si="50">(F197*0.1)+F197</f>
        <v>0</v>
      </c>
      <c r="H197" s="85">
        <f t="shared" si="50"/>
        <v>0</v>
      </c>
      <c r="I197" s="85">
        <f t="shared" si="50"/>
        <v>0</v>
      </c>
    </row>
    <row r="198" spans="1:9" s="285" customFormat="1" hidden="1" x14ac:dyDescent="0.25">
      <c r="A198" s="118">
        <v>40</v>
      </c>
      <c r="B198" s="151">
        <v>1215</v>
      </c>
      <c r="C198" s="94" t="s">
        <v>133</v>
      </c>
      <c r="D198" s="122"/>
      <c r="E198" s="98"/>
      <c r="F198" s="85">
        <f t="shared" si="33"/>
        <v>0</v>
      </c>
      <c r="G198" s="85">
        <f t="shared" ref="G198:I198" si="51">(F198*0.1)+F198</f>
        <v>0</v>
      </c>
      <c r="H198" s="85">
        <f t="shared" si="51"/>
        <v>0</v>
      </c>
      <c r="I198" s="85">
        <f t="shared" si="51"/>
        <v>0</v>
      </c>
    </row>
    <row r="199" spans="1:9" s="285" customFormat="1" hidden="1" x14ac:dyDescent="0.25">
      <c r="A199" s="118">
        <v>40</v>
      </c>
      <c r="B199" s="151">
        <v>5905</v>
      </c>
      <c r="C199" s="94" t="s">
        <v>329</v>
      </c>
      <c r="D199" s="85"/>
      <c r="E199" s="85"/>
      <c r="F199" s="85">
        <f t="shared" si="33"/>
        <v>0</v>
      </c>
      <c r="G199" s="85">
        <f t="shared" ref="G199:I199" si="52">(F199*0.1)+F199</f>
        <v>0</v>
      </c>
      <c r="H199" s="85">
        <f t="shared" si="52"/>
        <v>0</v>
      </c>
      <c r="I199" s="85">
        <f t="shared" si="52"/>
        <v>0</v>
      </c>
    </row>
    <row r="200" spans="1:9" s="285" customFormat="1" x14ac:dyDescent="0.25">
      <c r="A200" s="118">
        <v>40</v>
      </c>
      <c r="B200" s="151">
        <v>5900</v>
      </c>
      <c r="C200" s="94" t="s">
        <v>333</v>
      </c>
      <c r="D200" s="85">
        <v>0</v>
      </c>
      <c r="E200" s="85">
        <v>-85119</v>
      </c>
      <c r="F200" s="85">
        <f t="shared" si="33"/>
        <v>-85119</v>
      </c>
      <c r="G200" s="85">
        <f t="shared" ref="G200:I200" si="53">(F200*0.1)+F200</f>
        <v>-93630.9</v>
      </c>
      <c r="H200" s="85">
        <f t="shared" si="53"/>
        <v>-102993.98999999999</v>
      </c>
      <c r="I200" s="85">
        <f t="shared" si="53"/>
        <v>-113293.389</v>
      </c>
    </row>
    <row r="201" spans="1:9" s="285" customFormat="1" hidden="1" x14ac:dyDescent="0.25">
      <c r="A201" s="118">
        <v>40</v>
      </c>
      <c r="B201" s="151">
        <v>1220</v>
      </c>
      <c r="C201" s="94" t="s">
        <v>340</v>
      </c>
      <c r="D201" s="122"/>
      <c r="E201" s="98">
        <v>0</v>
      </c>
      <c r="F201" s="85">
        <f t="shared" si="33"/>
        <v>0</v>
      </c>
      <c r="G201" s="85">
        <f t="shared" ref="G201:I201" si="54">(F201*0.1)+F201</f>
        <v>0</v>
      </c>
      <c r="H201" s="85">
        <f t="shared" si="54"/>
        <v>0</v>
      </c>
      <c r="I201" s="85">
        <f t="shared" si="54"/>
        <v>0</v>
      </c>
    </row>
    <row r="202" spans="1:9" s="285" customFormat="1" hidden="1" x14ac:dyDescent="0.25">
      <c r="A202" s="118">
        <v>40</v>
      </c>
      <c r="B202" s="151">
        <v>1225</v>
      </c>
      <c r="C202" s="94" t="s">
        <v>372</v>
      </c>
      <c r="D202" s="122"/>
      <c r="E202" s="98">
        <v>0</v>
      </c>
      <c r="F202" s="85">
        <f t="shared" si="33"/>
        <v>0</v>
      </c>
      <c r="G202" s="85">
        <f t="shared" ref="G202:I202" si="55">(F202*0.1)+F202</f>
        <v>0</v>
      </c>
      <c r="H202" s="85">
        <f t="shared" si="55"/>
        <v>0</v>
      </c>
      <c r="I202" s="85">
        <f t="shared" si="55"/>
        <v>0</v>
      </c>
    </row>
    <row r="203" spans="1:9" s="285" customFormat="1" hidden="1" x14ac:dyDescent="0.25">
      <c r="A203" s="118">
        <v>40</v>
      </c>
      <c r="B203" s="151">
        <v>1230</v>
      </c>
      <c r="C203" s="94" t="s">
        <v>119</v>
      </c>
      <c r="D203" s="122"/>
      <c r="E203" s="98">
        <v>0</v>
      </c>
      <c r="F203" s="85">
        <f t="shared" si="33"/>
        <v>0</v>
      </c>
      <c r="G203" s="85">
        <f t="shared" ref="G203:I203" si="56">(F203*0.1)+F203</f>
        <v>0</v>
      </c>
      <c r="H203" s="85">
        <f t="shared" si="56"/>
        <v>0</v>
      </c>
      <c r="I203" s="85">
        <f t="shared" si="56"/>
        <v>0</v>
      </c>
    </row>
    <row r="204" spans="1:9" s="285" customFormat="1" hidden="1" x14ac:dyDescent="0.25">
      <c r="A204" s="118">
        <v>40</v>
      </c>
      <c r="B204" s="151">
        <v>1235</v>
      </c>
      <c r="C204" s="94" t="s">
        <v>347</v>
      </c>
      <c r="D204" s="122"/>
      <c r="E204" s="98">
        <v>0</v>
      </c>
      <c r="F204" s="85">
        <f t="shared" si="33"/>
        <v>0</v>
      </c>
      <c r="G204" s="85">
        <f t="shared" ref="G204:I204" si="57">(F204*0.1)+F204</f>
        <v>0</v>
      </c>
      <c r="H204" s="85">
        <f t="shared" si="57"/>
        <v>0</v>
      </c>
      <c r="I204" s="85">
        <f t="shared" si="57"/>
        <v>0</v>
      </c>
    </row>
    <row r="205" spans="1:9" s="285" customFormat="1" x14ac:dyDescent="0.25">
      <c r="A205" s="118"/>
      <c r="B205" s="151"/>
      <c r="C205" s="94" t="s">
        <v>512</v>
      </c>
      <c r="D205" s="225"/>
      <c r="E205" s="85"/>
      <c r="F205" s="85">
        <f t="shared" si="33"/>
        <v>0</v>
      </c>
      <c r="G205" s="85">
        <f t="shared" ref="G205:I205" si="58">(F205*0.1)+F205</f>
        <v>0</v>
      </c>
      <c r="H205" s="85">
        <f t="shared" si="58"/>
        <v>0</v>
      </c>
      <c r="I205" s="85">
        <f t="shared" si="58"/>
        <v>0</v>
      </c>
    </row>
    <row r="206" spans="1:9" s="285" customFormat="1" x14ac:dyDescent="0.25">
      <c r="A206" s="344"/>
      <c r="B206" s="151"/>
      <c r="C206" s="94"/>
      <c r="D206" s="100">
        <f t="shared" ref="D206:I206" si="59">SUM(D176:D204)</f>
        <v>0</v>
      </c>
      <c r="E206" s="100">
        <f t="shared" si="59"/>
        <v>-198349</v>
      </c>
      <c r="F206" s="100">
        <f t="shared" si="59"/>
        <v>-198349</v>
      </c>
      <c r="G206" s="100">
        <f t="shared" si="59"/>
        <v>-218183.9</v>
      </c>
      <c r="H206" s="100">
        <f t="shared" si="59"/>
        <v>-240002.28999999998</v>
      </c>
      <c r="I206" s="100">
        <f t="shared" si="59"/>
        <v>-264002.51899999997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40</v>
      </c>
      <c r="B208" s="151">
        <v>1305</v>
      </c>
      <c r="C208" s="94" t="s">
        <v>342</v>
      </c>
      <c r="D208" s="122"/>
      <c r="E208" s="98"/>
      <c r="F208" s="98">
        <f t="shared" ref="F208:F211" si="60">E208/8*12</f>
        <v>0</v>
      </c>
      <c r="G208" s="98"/>
      <c r="H208" s="98"/>
      <c r="I208" s="98"/>
    </row>
    <row r="209" spans="1:9" s="285" customFormat="1" hidden="1" x14ac:dyDescent="0.25">
      <c r="A209" s="118">
        <v>40</v>
      </c>
      <c r="B209" s="151">
        <v>1310</v>
      </c>
      <c r="C209" s="94" t="s">
        <v>344</v>
      </c>
      <c r="D209" s="122"/>
      <c r="E209" s="98"/>
      <c r="F209" s="98">
        <f t="shared" si="60"/>
        <v>0</v>
      </c>
      <c r="G209" s="98"/>
      <c r="H209" s="98"/>
      <c r="I209" s="98"/>
    </row>
    <row r="210" spans="1:9" s="285" customFormat="1" hidden="1" x14ac:dyDescent="0.25">
      <c r="A210" s="118">
        <v>40</v>
      </c>
      <c r="B210" s="151">
        <v>1320</v>
      </c>
      <c r="C210" s="94" t="s">
        <v>345</v>
      </c>
      <c r="D210" s="122"/>
      <c r="E210" s="98"/>
      <c r="F210" s="98">
        <f t="shared" si="60"/>
        <v>0</v>
      </c>
      <c r="G210" s="98"/>
      <c r="H210" s="98"/>
      <c r="I210" s="98"/>
    </row>
    <row r="211" spans="1:9" s="285" customFormat="1" hidden="1" x14ac:dyDescent="0.25">
      <c r="A211" s="118">
        <v>40</v>
      </c>
      <c r="B211" s="151">
        <v>1315</v>
      </c>
      <c r="C211" s="94" t="s">
        <v>346</v>
      </c>
      <c r="D211" s="122"/>
      <c r="E211" s="108"/>
      <c r="F211" s="98">
        <f t="shared" si="60"/>
        <v>0</v>
      </c>
      <c r="G211" s="98"/>
      <c r="H211" s="98"/>
      <c r="I211" s="108"/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 t="shared" ref="E212:F212" si="61">SUM(E208:E211)</f>
        <v>0</v>
      </c>
      <c r="F212" s="99">
        <f t="shared" si="61"/>
        <v>0</v>
      </c>
      <c r="G212" s="99"/>
      <c r="H212" s="99"/>
      <c r="I212" s="99"/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40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98"/>
      <c r="H214" s="98"/>
      <c r="I214" s="108"/>
    </row>
    <row r="215" spans="1:9" s="285" customFormat="1" hidden="1" x14ac:dyDescent="0.25">
      <c r="A215" s="118">
        <v>40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98"/>
      <c r="H215" s="98"/>
      <c r="I215" s="108"/>
    </row>
    <row r="216" spans="1:9" s="285" customFormat="1" hidden="1" x14ac:dyDescent="0.25">
      <c r="A216" s="344"/>
      <c r="B216" s="151"/>
      <c r="C216" s="94"/>
      <c r="D216" s="99">
        <f t="shared" ref="D216:F216" si="62">SUM(D214:D215)</f>
        <v>0</v>
      </c>
      <c r="E216" s="99">
        <f t="shared" si="62"/>
        <v>0</v>
      </c>
      <c r="F216" s="99">
        <f t="shared" si="62"/>
        <v>0</v>
      </c>
      <c r="G216" s="99"/>
      <c r="H216" s="99"/>
      <c r="I216" s="99"/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40</v>
      </c>
      <c r="B218" s="151">
        <v>1500</v>
      </c>
      <c r="C218" s="94" t="s">
        <v>106</v>
      </c>
      <c r="D218" s="122"/>
      <c r="E218" s="108"/>
      <c r="F218" s="98">
        <f t="shared" ref="F218:F220" si="63">E218/8*12</f>
        <v>0</v>
      </c>
      <c r="G218" s="98"/>
      <c r="H218" s="98"/>
      <c r="I218" s="108"/>
    </row>
    <row r="219" spans="1:9" s="285" customFormat="1" hidden="1" x14ac:dyDescent="0.25">
      <c r="A219" s="118">
        <v>40</v>
      </c>
      <c r="B219" s="151">
        <v>1505</v>
      </c>
      <c r="C219" s="94" t="s">
        <v>71</v>
      </c>
      <c r="D219" s="122"/>
      <c r="E219" s="108"/>
      <c r="F219" s="98">
        <f t="shared" si="63"/>
        <v>0</v>
      </c>
      <c r="G219" s="98"/>
      <c r="H219" s="98"/>
      <c r="I219" s="108"/>
    </row>
    <row r="220" spans="1:9" s="285" customFormat="1" hidden="1" x14ac:dyDescent="0.25">
      <c r="A220" s="118">
        <v>40</v>
      </c>
      <c r="B220" s="151">
        <v>1510</v>
      </c>
      <c r="C220" s="94" t="s">
        <v>72</v>
      </c>
      <c r="D220" s="122"/>
      <c r="E220" s="108"/>
      <c r="F220" s="98">
        <f t="shared" si="63"/>
        <v>0</v>
      </c>
      <c r="G220" s="98"/>
      <c r="H220" s="98"/>
      <c r="I220" s="108"/>
    </row>
    <row r="221" spans="1:9" s="285" customFormat="1" hidden="1" x14ac:dyDescent="0.25">
      <c r="A221" s="344"/>
      <c r="B221" s="151"/>
      <c r="C221" s="94"/>
      <c r="D221" s="99">
        <f t="shared" ref="D221:F221" si="64">SUM(D218:D220)</f>
        <v>0</v>
      </c>
      <c r="E221" s="99">
        <f t="shared" si="64"/>
        <v>0</v>
      </c>
      <c r="F221" s="99">
        <f t="shared" si="64"/>
        <v>0</v>
      </c>
      <c r="G221" s="99"/>
      <c r="H221" s="99"/>
      <c r="I221" s="99"/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40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98"/>
      <c r="H223" s="98"/>
      <c r="I223" s="98"/>
    </row>
    <row r="224" spans="1:9" s="285" customFormat="1" hidden="1" x14ac:dyDescent="0.25">
      <c r="A224" s="118">
        <v>40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98"/>
      <c r="H224" s="98"/>
      <c r="I224" s="108"/>
    </row>
    <row r="225" spans="1:9" s="285" customFormat="1" hidden="1" x14ac:dyDescent="0.25">
      <c r="A225" s="344"/>
      <c r="B225" s="151"/>
      <c r="C225" s="94"/>
      <c r="D225" s="100">
        <f t="shared" ref="D225:F225" si="65">SUM(D223:D224)</f>
        <v>0</v>
      </c>
      <c r="E225" s="100">
        <f t="shared" si="65"/>
        <v>0</v>
      </c>
      <c r="F225" s="100">
        <f t="shared" si="65"/>
        <v>0</v>
      </c>
      <c r="G225" s="100"/>
      <c r="H225" s="100"/>
      <c r="I225" s="100"/>
    </row>
    <row r="226" spans="1:9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40</v>
      </c>
      <c r="B227" s="151">
        <v>1605</v>
      </c>
      <c r="C227" s="94" t="s">
        <v>75</v>
      </c>
      <c r="D227" s="122"/>
      <c r="E227" s="98"/>
      <c r="F227" s="98">
        <f t="shared" ref="F227:F239" si="66">E227/8*12</f>
        <v>0</v>
      </c>
      <c r="G227" s="98"/>
      <c r="H227" s="98"/>
      <c r="I227" s="98"/>
    </row>
    <row r="228" spans="1:9" s="285" customFormat="1" hidden="1" x14ac:dyDescent="0.25">
      <c r="A228" s="118">
        <v>40</v>
      </c>
      <c r="B228" s="151">
        <v>1610</v>
      </c>
      <c r="C228" s="94" t="s">
        <v>131</v>
      </c>
      <c r="D228" s="122"/>
      <c r="E228" s="108"/>
      <c r="F228" s="98">
        <f t="shared" si="66"/>
        <v>0</v>
      </c>
      <c r="G228" s="98"/>
      <c r="H228" s="98"/>
      <c r="I228" s="98"/>
    </row>
    <row r="229" spans="1:9" s="285" customFormat="1" hidden="1" x14ac:dyDescent="0.25">
      <c r="A229" s="118">
        <v>40</v>
      </c>
      <c r="B229" s="151">
        <v>1615</v>
      </c>
      <c r="C229" s="94" t="s">
        <v>182</v>
      </c>
      <c r="D229" s="122"/>
      <c r="E229" s="108"/>
      <c r="F229" s="98">
        <f t="shared" si="66"/>
        <v>0</v>
      </c>
      <c r="G229" s="98"/>
      <c r="H229" s="98"/>
      <c r="I229" s="98"/>
    </row>
    <row r="230" spans="1:9" s="285" customFormat="1" hidden="1" x14ac:dyDescent="0.25">
      <c r="A230" s="118">
        <v>40</v>
      </c>
      <c r="B230" s="151">
        <v>1620</v>
      </c>
      <c r="C230" s="94" t="s">
        <v>255</v>
      </c>
      <c r="D230" s="122"/>
      <c r="E230" s="108"/>
      <c r="F230" s="98">
        <f t="shared" si="66"/>
        <v>0</v>
      </c>
      <c r="G230" s="98"/>
      <c r="H230" s="98"/>
      <c r="I230" s="98"/>
    </row>
    <row r="231" spans="1:9" s="285" customFormat="1" hidden="1" x14ac:dyDescent="0.25">
      <c r="A231" s="118">
        <v>40</v>
      </c>
      <c r="B231" s="151">
        <v>1625</v>
      </c>
      <c r="C231" s="94" t="s">
        <v>108</v>
      </c>
      <c r="D231" s="122"/>
      <c r="E231" s="108"/>
      <c r="F231" s="98">
        <f t="shared" si="66"/>
        <v>0</v>
      </c>
      <c r="G231" s="98"/>
      <c r="H231" s="98"/>
      <c r="I231" s="98"/>
    </row>
    <row r="232" spans="1:9" s="285" customFormat="1" hidden="1" x14ac:dyDescent="0.25">
      <c r="A232" s="118">
        <v>40</v>
      </c>
      <c r="B232" s="151">
        <v>1630</v>
      </c>
      <c r="C232" s="94" t="s">
        <v>76</v>
      </c>
      <c r="D232" s="122"/>
      <c r="E232" s="108"/>
      <c r="F232" s="98">
        <f t="shared" si="66"/>
        <v>0</v>
      </c>
      <c r="G232" s="98"/>
      <c r="H232" s="98"/>
      <c r="I232" s="98"/>
    </row>
    <row r="233" spans="1:9" s="285" customFormat="1" hidden="1" x14ac:dyDescent="0.25">
      <c r="A233" s="118">
        <v>40</v>
      </c>
      <c r="B233" s="151">
        <v>1635</v>
      </c>
      <c r="C233" s="94" t="s">
        <v>180</v>
      </c>
      <c r="D233" s="122"/>
      <c r="E233" s="108"/>
      <c r="F233" s="98">
        <f t="shared" si="66"/>
        <v>0</v>
      </c>
      <c r="G233" s="98"/>
      <c r="H233" s="98"/>
      <c r="I233" s="98"/>
    </row>
    <row r="234" spans="1:9" s="285" customFormat="1" hidden="1" x14ac:dyDescent="0.25">
      <c r="A234" s="118">
        <v>40</v>
      </c>
      <c r="B234" s="151">
        <v>1640</v>
      </c>
      <c r="C234" s="94" t="s">
        <v>184</v>
      </c>
      <c r="D234" s="122"/>
      <c r="E234" s="108"/>
      <c r="F234" s="98">
        <f t="shared" si="66"/>
        <v>0</v>
      </c>
      <c r="G234" s="98"/>
      <c r="H234" s="98"/>
      <c r="I234" s="98"/>
    </row>
    <row r="235" spans="1:9" s="285" customFormat="1" hidden="1" x14ac:dyDescent="0.25">
      <c r="A235" s="118">
        <v>40</v>
      </c>
      <c r="B235" s="151">
        <v>1645</v>
      </c>
      <c r="C235" s="94" t="s">
        <v>77</v>
      </c>
      <c r="D235" s="122"/>
      <c r="E235" s="108"/>
      <c r="F235" s="98">
        <f t="shared" si="66"/>
        <v>0</v>
      </c>
      <c r="G235" s="98"/>
      <c r="H235" s="98"/>
      <c r="I235" s="98"/>
    </row>
    <row r="236" spans="1:9" s="285" customFormat="1" hidden="1" x14ac:dyDescent="0.25">
      <c r="A236" s="118">
        <v>40</v>
      </c>
      <c r="B236" s="151">
        <v>1650</v>
      </c>
      <c r="C236" s="94" t="s">
        <v>78</v>
      </c>
      <c r="D236" s="122"/>
      <c r="E236" s="108"/>
      <c r="F236" s="98">
        <f t="shared" si="66"/>
        <v>0</v>
      </c>
      <c r="G236" s="98"/>
      <c r="H236" s="98"/>
      <c r="I236" s="98"/>
    </row>
    <row r="237" spans="1:9" s="285" customFormat="1" hidden="1" x14ac:dyDescent="0.25">
      <c r="A237" s="118">
        <v>40</v>
      </c>
      <c r="B237" s="151"/>
      <c r="C237" s="94" t="s">
        <v>200</v>
      </c>
      <c r="D237" s="122"/>
      <c r="E237" s="108"/>
      <c r="F237" s="98">
        <f t="shared" si="66"/>
        <v>0</v>
      </c>
      <c r="G237" s="98"/>
      <c r="H237" s="98"/>
      <c r="I237" s="98"/>
    </row>
    <row r="238" spans="1:9" s="285" customFormat="1" hidden="1" x14ac:dyDescent="0.25">
      <c r="A238" s="118">
        <v>40</v>
      </c>
      <c r="B238" s="151">
        <v>1660</v>
      </c>
      <c r="C238" s="94" t="s">
        <v>185</v>
      </c>
      <c r="D238" s="122"/>
      <c r="E238" s="108"/>
      <c r="F238" s="98">
        <f t="shared" si="66"/>
        <v>0</v>
      </c>
      <c r="G238" s="98"/>
      <c r="H238" s="98"/>
      <c r="I238" s="98"/>
    </row>
    <row r="239" spans="1:9" s="285" customFormat="1" hidden="1" x14ac:dyDescent="0.25">
      <c r="A239" s="118">
        <v>40</v>
      </c>
      <c r="B239" s="151">
        <v>1665</v>
      </c>
      <c r="C239" s="94" t="s">
        <v>181</v>
      </c>
      <c r="D239" s="122"/>
      <c r="E239" s="108"/>
      <c r="F239" s="98">
        <f t="shared" si="66"/>
        <v>0</v>
      </c>
      <c r="G239" s="98"/>
      <c r="H239" s="98"/>
      <c r="I239" s="98"/>
    </row>
    <row r="240" spans="1:9" s="285" customFormat="1" hidden="1" x14ac:dyDescent="0.25">
      <c r="A240" s="344"/>
      <c r="B240" s="151"/>
      <c r="C240" s="94"/>
      <c r="D240" s="99">
        <f>SUM(D227:D236)</f>
        <v>0</v>
      </c>
      <c r="E240" s="99">
        <f t="shared" ref="E240:F240" si="67">SUM(E227:E239)</f>
        <v>0</v>
      </c>
      <c r="F240" s="99">
        <f t="shared" si="67"/>
        <v>0</v>
      </c>
      <c r="G240" s="99"/>
      <c r="H240" s="99"/>
      <c r="I240" s="99"/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40</v>
      </c>
      <c r="B242" s="151">
        <v>1705</v>
      </c>
      <c r="C242" s="94" t="s">
        <v>123</v>
      </c>
      <c r="D242" s="122"/>
      <c r="E242" s="98"/>
      <c r="F242" s="98">
        <f t="shared" ref="F242:F247" si="68">E242/8*12</f>
        <v>0</v>
      </c>
      <c r="G242" s="98"/>
      <c r="H242" s="98"/>
      <c r="I242" s="98"/>
    </row>
    <row r="243" spans="1:9" s="285" customFormat="1" hidden="1" x14ac:dyDescent="0.25">
      <c r="A243" s="118">
        <v>40</v>
      </c>
      <c r="B243" s="151">
        <v>1710</v>
      </c>
      <c r="C243" s="94" t="s">
        <v>242</v>
      </c>
      <c r="D243" s="122"/>
      <c r="E243" s="98"/>
      <c r="F243" s="98">
        <f t="shared" si="68"/>
        <v>0</v>
      </c>
      <c r="G243" s="98"/>
      <c r="H243" s="98"/>
      <c r="I243" s="98"/>
    </row>
    <row r="244" spans="1:9" s="285" customFormat="1" hidden="1" x14ac:dyDescent="0.25">
      <c r="A244" s="118">
        <v>40</v>
      </c>
      <c r="B244" s="151">
        <v>1715</v>
      </c>
      <c r="C244" s="94" t="s">
        <v>183</v>
      </c>
      <c r="D244" s="122"/>
      <c r="E244" s="98"/>
      <c r="F244" s="98">
        <f t="shared" si="68"/>
        <v>0</v>
      </c>
      <c r="G244" s="98"/>
      <c r="H244" s="98"/>
      <c r="I244" s="98"/>
    </row>
    <row r="245" spans="1:9" s="285" customFormat="1" hidden="1" x14ac:dyDescent="0.25">
      <c r="A245" s="118">
        <v>40</v>
      </c>
      <c r="B245" s="151">
        <v>1720</v>
      </c>
      <c r="C245" s="94" t="s">
        <v>103</v>
      </c>
      <c r="D245" s="122"/>
      <c r="E245" s="98"/>
      <c r="F245" s="98">
        <f t="shared" si="68"/>
        <v>0</v>
      </c>
      <c r="G245" s="98"/>
      <c r="H245" s="98"/>
      <c r="I245" s="98"/>
    </row>
    <row r="246" spans="1:9" s="285" customFormat="1" hidden="1" x14ac:dyDescent="0.25">
      <c r="A246" s="118">
        <v>40</v>
      </c>
      <c r="B246" s="151">
        <v>1725</v>
      </c>
      <c r="C246" s="94" t="s">
        <v>107</v>
      </c>
      <c r="D246" s="122"/>
      <c r="E246" s="98"/>
      <c r="F246" s="98">
        <f t="shared" si="68"/>
        <v>0</v>
      </c>
      <c r="G246" s="98"/>
      <c r="H246" s="98"/>
      <c r="I246" s="98"/>
    </row>
    <row r="247" spans="1:9" s="285" customFormat="1" hidden="1" x14ac:dyDescent="0.25">
      <c r="A247" s="118">
        <v>40</v>
      </c>
      <c r="B247" s="151">
        <v>1730</v>
      </c>
      <c r="C247" s="94" t="s">
        <v>256</v>
      </c>
      <c r="D247" s="122"/>
      <c r="E247" s="98"/>
      <c r="F247" s="98">
        <f t="shared" si="68"/>
        <v>0</v>
      </c>
      <c r="G247" s="98"/>
      <c r="H247" s="98"/>
      <c r="I247" s="98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:F248" si="69">SUM(E242:E247)</f>
        <v>0</v>
      </c>
      <c r="F248" s="99">
        <f t="shared" si="69"/>
        <v>0</v>
      </c>
      <c r="G248" s="99"/>
      <c r="H248" s="99"/>
      <c r="I248" s="99"/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40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98"/>
      <c r="H250" s="98"/>
      <c r="I250" s="108"/>
    </row>
    <row r="251" spans="1:9" s="285" customFormat="1" hidden="1" x14ac:dyDescent="0.25">
      <c r="A251" s="344"/>
      <c r="B251" s="151"/>
      <c r="C251" s="94"/>
      <c r="D251" s="99">
        <f t="shared" ref="D251:F251" si="70">D250</f>
        <v>0</v>
      </c>
      <c r="E251" s="99">
        <f t="shared" si="70"/>
        <v>0</v>
      </c>
      <c r="F251" s="99">
        <f t="shared" si="70"/>
        <v>0</v>
      </c>
      <c r="G251" s="99"/>
      <c r="H251" s="99"/>
      <c r="I251" s="99"/>
    </row>
    <row r="252" spans="1:9" s="285" customFormat="1" x14ac:dyDescent="0.25">
      <c r="A252" s="344"/>
      <c r="B252" s="346"/>
      <c r="C252" s="93" t="s">
        <v>192</v>
      </c>
      <c r="D252" s="117">
        <f t="shared" ref="D252:I252" si="71">SUM(D171:D251)/2</f>
        <v>0</v>
      </c>
      <c r="E252" s="117">
        <f t="shared" si="71"/>
        <v>-198349</v>
      </c>
      <c r="F252" s="117">
        <f t="shared" si="71"/>
        <v>-198349</v>
      </c>
      <c r="G252" s="117">
        <f t="shared" si="71"/>
        <v>-218183.9</v>
      </c>
      <c r="H252" s="117">
        <f t="shared" si="71"/>
        <v>-240002.28999999998</v>
      </c>
      <c r="I252" s="117">
        <f t="shared" si="71"/>
        <v>-264002.51899999997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9" s="285" customFormat="1" hidden="1" x14ac:dyDescent="0.25">
      <c r="A255" s="118">
        <v>40</v>
      </c>
      <c r="B255" s="151">
        <v>1905</v>
      </c>
      <c r="C255" s="118" t="s">
        <v>194</v>
      </c>
      <c r="D255" s="127"/>
      <c r="E255" s="147"/>
      <c r="F255" s="98">
        <f>E255/8*12</f>
        <v>0</v>
      </c>
      <c r="G255" s="98"/>
      <c r="H255" s="98"/>
      <c r="I255" s="123"/>
    </row>
    <row r="256" spans="1:9" s="285" customFormat="1" hidden="1" x14ac:dyDescent="0.25">
      <c r="A256" s="344"/>
      <c r="B256" s="151"/>
      <c r="C256" s="94"/>
      <c r="D256" s="117">
        <f t="shared" ref="D256:F256" si="72">SUM(D255)</f>
        <v>0</v>
      </c>
      <c r="E256" s="117">
        <f t="shared" si="72"/>
        <v>0</v>
      </c>
      <c r="F256" s="117">
        <f t="shared" si="72"/>
        <v>0</v>
      </c>
      <c r="G256" s="117"/>
      <c r="H256" s="117"/>
      <c r="I256" s="117"/>
    </row>
    <row r="257" spans="1:9" s="285" customFormat="1" x14ac:dyDescent="0.25">
      <c r="A257" s="344"/>
      <c r="B257" s="151"/>
      <c r="C257" s="93" t="s">
        <v>189</v>
      </c>
      <c r="D257" s="117">
        <f t="shared" ref="D257:F257" si="73">D252+D256</f>
        <v>0</v>
      </c>
      <c r="E257" s="117">
        <f t="shared" si="73"/>
        <v>-198349</v>
      </c>
      <c r="F257" s="117">
        <f t="shared" si="73"/>
        <v>-198349</v>
      </c>
      <c r="G257" s="117"/>
      <c r="H257" s="117"/>
      <c r="I257" s="117"/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9" s="285" customFormat="1" hidden="1" x14ac:dyDescent="0.25">
      <c r="A259" s="118">
        <v>40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98"/>
      <c r="H259" s="98">
        <f>F259/8*12</f>
        <v>0</v>
      </c>
      <c r="I259" s="123"/>
    </row>
    <row r="260" spans="1:9" s="285" customFormat="1" hidden="1" x14ac:dyDescent="0.25">
      <c r="A260" s="344"/>
      <c r="B260" s="346"/>
      <c r="C260" s="94"/>
      <c r="D260" s="124">
        <f t="shared" ref="D260:I260" si="74">D259</f>
        <v>0</v>
      </c>
      <c r="E260" s="124">
        <f t="shared" si="74"/>
        <v>0</v>
      </c>
      <c r="F260" s="124">
        <f t="shared" si="74"/>
        <v>0</v>
      </c>
      <c r="G260" s="124"/>
      <c r="H260" s="124">
        <f t="shared" ref="H260" si="75">H259</f>
        <v>0</v>
      </c>
      <c r="I260" s="124">
        <f t="shared" si="74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I261" si="76">D257+D260</f>
        <v>0</v>
      </c>
      <c r="E261" s="160">
        <f t="shared" si="76"/>
        <v>-198349</v>
      </c>
      <c r="F261" s="160">
        <f t="shared" si="76"/>
        <v>-198349</v>
      </c>
      <c r="G261" s="160">
        <f t="shared" si="76"/>
        <v>0</v>
      </c>
      <c r="H261" s="160">
        <f t="shared" si="76"/>
        <v>0</v>
      </c>
      <c r="I261" s="160">
        <f t="shared" si="76"/>
        <v>0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I262" si="77">D261-D165</f>
        <v>-1391573</v>
      </c>
      <c r="E262" s="161">
        <f t="shared" si="77"/>
        <v>-4298371</v>
      </c>
      <c r="F262" s="161">
        <f t="shared" si="77"/>
        <v>-3698371</v>
      </c>
      <c r="G262" s="161">
        <f t="shared" si="77"/>
        <v>-14897784.800000001</v>
      </c>
      <c r="H262" s="161">
        <f t="shared" si="77"/>
        <v>-15074884.544</v>
      </c>
      <c r="I262" s="161">
        <f t="shared" si="77"/>
        <v>-15395098.615552001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5" spans="1:9" s="285" customFormat="1" x14ac:dyDescent="0.25">
      <c r="B265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4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8"/>
  <sheetViews>
    <sheetView view="pageBreakPreview" zoomScaleSheetLayoutView="100" workbookViewId="0">
      <selection activeCell="G20" sqref="G20:I24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7" width="16.332031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363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03" t="s">
        <v>417</v>
      </c>
      <c r="B3" s="704"/>
      <c r="C3" s="705"/>
      <c r="D3" s="149"/>
      <c r="E3" s="338"/>
      <c r="F3" s="338"/>
      <c r="G3" s="424"/>
      <c r="H3" s="338"/>
      <c r="I3" s="338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42</v>
      </c>
      <c r="B7" s="155">
        <v>5005</v>
      </c>
      <c r="C7" s="94" t="s">
        <v>241</v>
      </c>
      <c r="D7" s="85"/>
      <c r="E7" s="85">
        <v>0</v>
      </c>
      <c r="F7" s="85"/>
      <c r="G7" s="435">
        <f t="shared" ref="G7:I17" si="0">(F7*0.068)+F7</f>
        <v>0</v>
      </c>
      <c r="H7" s="435">
        <f t="shared" si="0"/>
        <v>0</v>
      </c>
      <c r="I7" s="435">
        <f t="shared" si="0"/>
        <v>0</v>
      </c>
    </row>
    <row r="8" spans="1:9" s="285" customFormat="1" x14ac:dyDescent="0.25">
      <c r="A8" s="118">
        <v>42</v>
      </c>
      <c r="B8" s="151">
        <v>5010</v>
      </c>
      <c r="C8" s="94" t="s">
        <v>34</v>
      </c>
      <c r="D8" s="85"/>
      <c r="E8" s="85"/>
      <c r="F8" s="85"/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42</v>
      </c>
      <c r="B9" s="151">
        <v>5015</v>
      </c>
      <c r="C9" s="94" t="s">
        <v>35</v>
      </c>
      <c r="D9" s="85"/>
      <c r="E9" s="85">
        <v>0</v>
      </c>
      <c r="F9" s="85"/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x14ac:dyDescent="0.25">
      <c r="A10" s="118">
        <v>42</v>
      </c>
      <c r="B10" s="151">
        <v>5020</v>
      </c>
      <c r="C10" s="94" t="s">
        <v>350</v>
      </c>
      <c r="D10" s="85"/>
      <c r="E10" s="85"/>
      <c r="F10" s="85"/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x14ac:dyDescent="0.25">
      <c r="A11" s="118">
        <v>42</v>
      </c>
      <c r="B11" s="151">
        <v>5025</v>
      </c>
      <c r="C11" s="94" t="s">
        <v>36</v>
      </c>
      <c r="D11" s="85"/>
      <c r="E11" s="85"/>
      <c r="F11" s="85"/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42</v>
      </c>
      <c r="B12" s="151">
        <v>5030</v>
      </c>
      <c r="C12" s="94" t="s">
        <v>85</v>
      </c>
      <c r="D12" s="85">
        <v>5783</v>
      </c>
      <c r="E12" s="85">
        <v>26000</v>
      </c>
      <c r="F12" s="85">
        <v>26000</v>
      </c>
      <c r="G12" s="435">
        <f t="shared" si="0"/>
        <v>27768</v>
      </c>
      <c r="H12" s="435">
        <f t="shared" si="0"/>
        <v>29656.224000000002</v>
      </c>
      <c r="I12" s="435">
        <f t="shared" si="0"/>
        <v>31672.847232000004</v>
      </c>
    </row>
    <row r="13" spans="1:9" s="285" customFormat="1" x14ac:dyDescent="0.25">
      <c r="A13" s="118">
        <v>42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42</v>
      </c>
      <c r="B14" s="151">
        <v>5040</v>
      </c>
      <c r="C14" s="94" t="s">
        <v>37</v>
      </c>
      <c r="D14" s="85">
        <v>154999</v>
      </c>
      <c r="E14" s="85">
        <v>340000</v>
      </c>
      <c r="F14" s="85">
        <v>340000</v>
      </c>
      <c r="G14" s="435">
        <f t="shared" si="0"/>
        <v>363120</v>
      </c>
      <c r="H14" s="435">
        <f t="shared" si="0"/>
        <v>387812.16000000003</v>
      </c>
      <c r="I14" s="435">
        <f t="shared" si="0"/>
        <v>414183.38688000006</v>
      </c>
    </row>
    <row r="15" spans="1:9" s="285" customFormat="1" hidden="1" x14ac:dyDescent="0.25">
      <c r="A15" s="118">
        <v>42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42</v>
      </c>
      <c r="B16" s="151">
        <v>5050</v>
      </c>
      <c r="C16" s="94" t="s">
        <v>83</v>
      </c>
      <c r="D16" s="85">
        <v>65209</v>
      </c>
      <c r="E16" s="85">
        <v>140000</v>
      </c>
      <c r="F16" s="85">
        <v>140000</v>
      </c>
      <c r="G16" s="435">
        <f t="shared" si="0"/>
        <v>149520</v>
      </c>
      <c r="H16" s="435">
        <f t="shared" si="0"/>
        <v>159687.35999999999</v>
      </c>
      <c r="I16" s="435">
        <f t="shared" si="0"/>
        <v>170546.10047999999</v>
      </c>
    </row>
    <row r="17" spans="1:9" s="285" customFormat="1" x14ac:dyDescent="0.25">
      <c r="A17" s="118">
        <v>42</v>
      </c>
      <c r="B17" s="151">
        <v>5055</v>
      </c>
      <c r="C17" s="94" t="s">
        <v>513</v>
      </c>
      <c r="D17" s="85">
        <f>296337*6</f>
        <v>1778022</v>
      </c>
      <c r="E17" s="85">
        <v>4080000</v>
      </c>
      <c r="F17" s="85">
        <v>3880000</v>
      </c>
      <c r="G17" s="435">
        <f t="shared" si="0"/>
        <v>4143840</v>
      </c>
      <c r="H17" s="435">
        <f t="shared" si="0"/>
        <v>4425621.12</v>
      </c>
      <c r="I17" s="435">
        <f t="shared" si="0"/>
        <v>4726563.35616</v>
      </c>
    </row>
    <row r="18" spans="1:9" s="285" customFormat="1" x14ac:dyDescent="0.25">
      <c r="A18" s="344"/>
      <c r="B18" s="151"/>
      <c r="C18" s="94"/>
      <c r="D18" s="89">
        <f t="shared" ref="D18:E18" si="1">SUM(D7:D17)</f>
        <v>2004013</v>
      </c>
      <c r="E18" s="89">
        <f t="shared" si="1"/>
        <v>4586000</v>
      </c>
      <c r="F18" s="89">
        <v>4386000</v>
      </c>
      <c r="G18" s="89">
        <f>SUM(G7:G17)</f>
        <v>4684248</v>
      </c>
      <c r="H18" s="89">
        <f t="shared" ref="H18:I18" si="2">(G18*0.1)+G18</f>
        <v>5152672.8</v>
      </c>
      <c r="I18" s="89">
        <f t="shared" si="2"/>
        <v>5667940.0800000001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42</v>
      </c>
      <c r="B20" s="151">
        <v>5105</v>
      </c>
      <c r="C20" s="94" t="s">
        <v>41</v>
      </c>
      <c r="D20" s="85">
        <f>16706*6</f>
        <v>100236</v>
      </c>
      <c r="E20" s="85">
        <v>215000</v>
      </c>
      <c r="F20" s="85">
        <v>215000</v>
      </c>
      <c r="G20" s="435">
        <f t="shared" ref="G20:I24" si="3">(F20*0.068)+F20</f>
        <v>229620</v>
      </c>
      <c r="H20" s="435">
        <f t="shared" si="3"/>
        <v>245234.16</v>
      </c>
      <c r="I20" s="435">
        <f t="shared" si="3"/>
        <v>261910.08288</v>
      </c>
    </row>
    <row r="21" spans="1:9" s="285" customFormat="1" x14ac:dyDescent="0.25">
      <c r="A21" s="118">
        <v>42</v>
      </c>
      <c r="B21" s="151">
        <v>5115</v>
      </c>
      <c r="C21" s="94" t="s">
        <v>42</v>
      </c>
      <c r="D21" s="85">
        <f>40472*6</f>
        <v>242832</v>
      </c>
      <c r="E21" s="85">
        <v>550000</v>
      </c>
      <c r="F21" s="85">
        <v>550000</v>
      </c>
      <c r="G21" s="435">
        <f t="shared" si="3"/>
        <v>587400</v>
      </c>
      <c r="H21" s="435">
        <f t="shared" si="3"/>
        <v>627343.19999999995</v>
      </c>
      <c r="I21" s="435">
        <f t="shared" si="3"/>
        <v>670002.53759999992</v>
      </c>
    </row>
    <row r="22" spans="1:9" s="285" customFormat="1" x14ac:dyDescent="0.25">
      <c r="A22" s="118">
        <v>42</v>
      </c>
      <c r="B22" s="151">
        <v>5120</v>
      </c>
      <c r="C22" s="94" t="s">
        <v>43</v>
      </c>
      <c r="D22" s="85">
        <f>13598*6</f>
        <v>81588</v>
      </c>
      <c r="E22" s="85">
        <v>165000</v>
      </c>
      <c r="F22" s="85">
        <v>165000</v>
      </c>
      <c r="G22" s="435">
        <f t="shared" si="3"/>
        <v>176220</v>
      </c>
      <c r="H22" s="435">
        <f t="shared" si="3"/>
        <v>188202.96</v>
      </c>
      <c r="I22" s="435">
        <f t="shared" si="3"/>
        <v>201000.76127999998</v>
      </c>
    </row>
    <row r="23" spans="1:9" s="285" customFormat="1" x14ac:dyDescent="0.25">
      <c r="A23" s="118">
        <v>42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42</v>
      </c>
      <c r="B24" s="151">
        <v>5130</v>
      </c>
      <c r="C24" s="94" t="s">
        <v>45</v>
      </c>
      <c r="D24" s="85">
        <f>3488*6</f>
        <v>20928</v>
      </c>
      <c r="E24" s="85">
        <v>46000</v>
      </c>
      <c r="F24" s="85">
        <v>46000</v>
      </c>
      <c r="G24" s="435">
        <f t="shared" si="3"/>
        <v>49128</v>
      </c>
      <c r="H24" s="435">
        <f t="shared" si="3"/>
        <v>52468.703999999998</v>
      </c>
      <c r="I24" s="435">
        <f t="shared" si="3"/>
        <v>56036.575872000001</v>
      </c>
    </row>
    <row r="25" spans="1:9" s="285" customFormat="1" x14ac:dyDescent="0.25">
      <c r="A25" s="344"/>
      <c r="B25" s="151"/>
      <c r="C25" s="94"/>
      <c r="D25" s="89">
        <f t="shared" ref="D25:E25" si="4">SUM(D20:D24)</f>
        <v>445584</v>
      </c>
      <c r="E25" s="89">
        <f t="shared" si="4"/>
        <v>976000</v>
      </c>
      <c r="F25" s="89">
        <v>976000</v>
      </c>
      <c r="G25" s="89">
        <f>SUM(G20:G24)</f>
        <v>1042368</v>
      </c>
      <c r="H25" s="89">
        <f t="shared" ref="H25:I25" si="5">(G25*0.1)+G25</f>
        <v>1146604.8</v>
      </c>
      <c r="I25" s="89">
        <f t="shared" si="5"/>
        <v>1261265.28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42</v>
      </c>
      <c r="B28" s="151">
        <v>5150</v>
      </c>
      <c r="C28" s="94" t="s">
        <v>48</v>
      </c>
      <c r="D28" s="85"/>
      <c r="E28" s="85"/>
      <c r="F28" s="85"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E29" si="6">D28</f>
        <v>0</v>
      </c>
      <c r="E29" s="89">
        <f t="shared" si="6"/>
        <v>0</v>
      </c>
      <c r="F29" s="89">
        <v>0</v>
      </c>
      <c r="G29" s="89"/>
      <c r="H29" s="89"/>
      <c r="I29" s="89"/>
    </row>
    <row r="30" spans="1:9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x14ac:dyDescent="0.25">
      <c r="A31" s="118">
        <v>42</v>
      </c>
      <c r="B31" s="151">
        <v>5170</v>
      </c>
      <c r="C31" s="94" t="s">
        <v>341</v>
      </c>
      <c r="D31" s="85"/>
      <c r="E31" s="85">
        <v>4075692.309568</v>
      </c>
      <c r="F31" s="85">
        <v>75692.309568000026</v>
      </c>
      <c r="G31" s="606">
        <f>+(F31*0.1)+F31</f>
        <v>83261.540524800032</v>
      </c>
      <c r="H31" s="606">
        <f t="shared" ref="H31:I31" si="7">+(G31*0.1)+G31</f>
        <v>91587.694577280039</v>
      </c>
      <c r="I31" s="606">
        <f t="shared" si="7"/>
        <v>100746.46403500804</v>
      </c>
    </row>
    <row r="32" spans="1:9" s="285" customFormat="1" x14ac:dyDescent="0.25">
      <c r="A32" s="344"/>
      <c r="B32" s="151"/>
      <c r="C32" s="94"/>
      <c r="D32" s="89">
        <f t="shared" ref="D32:E32" si="8">SUM(D31)</f>
        <v>0</v>
      </c>
      <c r="E32" s="89">
        <f t="shared" si="8"/>
        <v>4075692.309568</v>
      </c>
      <c r="F32" s="89">
        <v>75692.309568000026</v>
      </c>
      <c r="G32" s="89">
        <f>SUM(G31)</f>
        <v>83261.540524800032</v>
      </c>
      <c r="H32" s="89">
        <f>SUM(H31)</f>
        <v>91587.694577280039</v>
      </c>
      <c r="I32" s="436">
        <f>SUM(I31)</f>
        <v>100746.46403500804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42</v>
      </c>
      <c r="B34" s="151">
        <v>5180</v>
      </c>
      <c r="C34" s="94" t="s">
        <v>51</v>
      </c>
      <c r="D34" s="85"/>
      <c r="E34" s="108"/>
      <c r="F34" s="85"/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E35" si="9">SUM(D34)</f>
        <v>0</v>
      </c>
      <c r="E35" s="89">
        <f t="shared" si="9"/>
        <v>0</v>
      </c>
      <c r="F35" s="89">
        <v>0</v>
      </c>
      <c r="G35" s="89"/>
      <c r="H35" s="89"/>
      <c r="I35" s="89"/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42</v>
      </c>
      <c r="B37" s="151">
        <v>5190</v>
      </c>
      <c r="C37" s="94" t="s">
        <v>53</v>
      </c>
      <c r="D37" s="85"/>
      <c r="E37" s="108"/>
      <c r="F37" s="85"/>
      <c r="G37" s="85"/>
      <c r="H37" s="85"/>
      <c r="I37" s="85"/>
    </row>
    <row r="38" spans="1:9" s="285" customFormat="1" hidden="1" x14ac:dyDescent="0.25">
      <c r="A38" s="344"/>
      <c r="B38" s="151"/>
      <c r="C38" s="94"/>
      <c r="D38" s="89">
        <f t="shared" ref="D38:E38" si="10">D37</f>
        <v>0</v>
      </c>
      <c r="E38" s="89">
        <f t="shared" si="10"/>
        <v>0</v>
      </c>
      <c r="F38" s="89">
        <v>0</v>
      </c>
      <c r="G38" s="89"/>
      <c r="H38" s="89"/>
      <c r="I38" s="89"/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hidden="1" x14ac:dyDescent="0.25">
      <c r="A40" s="118">
        <v>42</v>
      </c>
      <c r="B40" s="151">
        <v>5200</v>
      </c>
      <c r="C40" s="94" t="s">
        <v>55</v>
      </c>
      <c r="D40" s="85"/>
      <c r="E40" s="108"/>
      <c r="F40" s="85">
        <v>0</v>
      </c>
      <c r="G40" s="85"/>
      <c r="H40" s="85"/>
      <c r="I40" s="85"/>
    </row>
    <row r="41" spans="1:9" s="285" customFormat="1" hidden="1" x14ac:dyDescent="0.25">
      <c r="A41" s="118">
        <v>42</v>
      </c>
      <c r="B41" s="151">
        <v>5205</v>
      </c>
      <c r="C41" s="94" t="s">
        <v>56</v>
      </c>
      <c r="D41" s="85"/>
      <c r="E41" s="108"/>
      <c r="F41" s="85">
        <v>0</v>
      </c>
      <c r="G41" s="85"/>
      <c r="H41" s="85"/>
      <c r="I41" s="85"/>
    </row>
    <row r="42" spans="1:9" s="285" customFormat="1" hidden="1" x14ac:dyDescent="0.25">
      <c r="A42" s="118">
        <v>42</v>
      </c>
      <c r="B42" s="151">
        <v>5210</v>
      </c>
      <c r="C42" s="94" t="s">
        <v>57</v>
      </c>
      <c r="D42" s="85"/>
      <c r="E42" s="108"/>
      <c r="F42" s="85">
        <v>0</v>
      </c>
      <c r="G42" s="85"/>
      <c r="H42" s="85"/>
      <c r="I42" s="85"/>
    </row>
    <row r="43" spans="1:9" s="285" customFormat="1" hidden="1" x14ac:dyDescent="0.25">
      <c r="A43" s="118">
        <v>42</v>
      </c>
      <c r="B43" s="151">
        <v>5215</v>
      </c>
      <c r="C43" s="94" t="s">
        <v>95</v>
      </c>
      <c r="D43" s="85"/>
      <c r="E43" s="108"/>
      <c r="F43" s="85">
        <v>0</v>
      </c>
      <c r="G43" s="85"/>
      <c r="H43" s="85"/>
      <c r="I43" s="85"/>
    </row>
    <row r="44" spans="1:9" s="285" customFormat="1" hidden="1" x14ac:dyDescent="0.25">
      <c r="A44" s="118">
        <v>42</v>
      </c>
      <c r="B44" s="151">
        <v>5220</v>
      </c>
      <c r="C44" s="94" t="s">
        <v>58</v>
      </c>
      <c r="D44" s="85"/>
      <c r="E44" s="108"/>
      <c r="F44" s="85">
        <v>0</v>
      </c>
      <c r="G44" s="85"/>
      <c r="H44" s="85"/>
      <c r="I44" s="85"/>
    </row>
    <row r="45" spans="1:9" s="285" customFormat="1" x14ac:dyDescent="0.25">
      <c r="A45" s="118"/>
      <c r="B45" s="151" t="s">
        <v>412</v>
      </c>
      <c r="C45" s="94" t="s">
        <v>92</v>
      </c>
      <c r="D45" s="85">
        <v>216214</v>
      </c>
      <c r="E45" s="85">
        <v>350000</v>
      </c>
      <c r="F45" s="85">
        <v>434000</v>
      </c>
      <c r="G45" s="85">
        <v>250000</v>
      </c>
      <c r="H45" s="85">
        <v>275000</v>
      </c>
      <c r="I45" s="85">
        <v>290000</v>
      </c>
    </row>
    <row r="46" spans="1:9" s="285" customFormat="1" hidden="1" x14ac:dyDescent="0.25">
      <c r="A46" s="118">
        <v>42</v>
      </c>
      <c r="B46" s="151">
        <v>5230</v>
      </c>
      <c r="C46" s="94" t="s">
        <v>86</v>
      </c>
      <c r="D46" s="85"/>
      <c r="E46" s="85"/>
      <c r="F46" s="85">
        <v>0</v>
      </c>
      <c r="G46" s="85"/>
      <c r="H46" s="85"/>
      <c r="I46" s="85"/>
    </row>
    <row r="47" spans="1:9" s="285" customFormat="1" hidden="1" x14ac:dyDescent="0.25">
      <c r="A47" s="118">
        <v>42</v>
      </c>
      <c r="B47" s="151">
        <v>5235</v>
      </c>
      <c r="C47" s="94" t="s">
        <v>124</v>
      </c>
      <c r="D47" s="85"/>
      <c r="E47" s="85"/>
      <c r="F47" s="85">
        <v>0</v>
      </c>
      <c r="G47" s="85"/>
      <c r="H47" s="85"/>
      <c r="I47" s="85"/>
    </row>
    <row r="48" spans="1:9" s="285" customFormat="1" hidden="1" x14ac:dyDescent="0.25">
      <c r="A48" s="118">
        <v>42</v>
      </c>
      <c r="B48" s="151">
        <v>5240</v>
      </c>
      <c r="C48" s="94" t="s">
        <v>59</v>
      </c>
      <c r="D48" s="85"/>
      <c r="E48" s="85"/>
      <c r="F48" s="85">
        <v>0</v>
      </c>
      <c r="G48" s="85"/>
      <c r="H48" s="85"/>
      <c r="I48" s="85"/>
    </row>
    <row r="49" spans="1:9" s="285" customFormat="1" hidden="1" x14ac:dyDescent="0.25">
      <c r="A49" s="118">
        <v>42</v>
      </c>
      <c r="B49" s="151">
        <v>5245</v>
      </c>
      <c r="C49" s="94" t="s">
        <v>91</v>
      </c>
      <c r="D49" s="85"/>
      <c r="E49" s="85"/>
      <c r="F49" s="85">
        <v>0</v>
      </c>
      <c r="G49" s="85"/>
      <c r="H49" s="85"/>
      <c r="I49" s="85"/>
    </row>
    <row r="50" spans="1:9" s="285" customFormat="1" x14ac:dyDescent="0.25">
      <c r="A50" s="118">
        <v>42</v>
      </c>
      <c r="B50" s="151">
        <v>5250</v>
      </c>
      <c r="C50" s="94" t="s">
        <v>88</v>
      </c>
      <c r="D50" s="85"/>
      <c r="E50" s="85">
        <v>6000</v>
      </c>
      <c r="F50" s="85">
        <v>6000</v>
      </c>
      <c r="G50" s="85">
        <v>6000</v>
      </c>
      <c r="H50" s="85">
        <v>6600</v>
      </c>
      <c r="I50" s="85">
        <v>7200</v>
      </c>
    </row>
    <row r="51" spans="1:9" s="285" customFormat="1" hidden="1" x14ac:dyDescent="0.25">
      <c r="A51" s="118">
        <v>42</v>
      </c>
      <c r="B51" s="151">
        <v>5255</v>
      </c>
      <c r="C51" s="94" t="s">
        <v>125</v>
      </c>
      <c r="D51" s="85"/>
      <c r="E51" s="85"/>
      <c r="F51" s="85">
        <v>0</v>
      </c>
      <c r="G51" s="85"/>
      <c r="H51" s="85"/>
      <c r="I51" s="85"/>
    </row>
    <row r="52" spans="1:9" s="285" customFormat="1" hidden="1" x14ac:dyDescent="0.25">
      <c r="A52" s="118">
        <v>42</v>
      </c>
      <c r="B52" s="151">
        <v>5260</v>
      </c>
      <c r="C52" s="94" t="s">
        <v>90</v>
      </c>
      <c r="D52" s="85"/>
      <c r="E52" s="85"/>
      <c r="F52" s="85">
        <v>0</v>
      </c>
      <c r="G52" s="85"/>
      <c r="H52" s="85"/>
      <c r="I52" s="85"/>
    </row>
    <row r="53" spans="1:9" s="285" customFormat="1" hidden="1" x14ac:dyDescent="0.25">
      <c r="A53" s="118">
        <v>42</v>
      </c>
      <c r="B53" s="151">
        <v>5265</v>
      </c>
      <c r="C53" s="94" t="s">
        <v>87</v>
      </c>
      <c r="D53" s="85"/>
      <c r="E53" s="85"/>
      <c r="F53" s="85">
        <v>0</v>
      </c>
      <c r="G53" s="85"/>
      <c r="H53" s="85"/>
      <c r="I53" s="85"/>
    </row>
    <row r="54" spans="1:9" s="285" customFormat="1" hidden="1" x14ac:dyDescent="0.25">
      <c r="A54" s="118">
        <v>42</v>
      </c>
      <c r="B54" s="151">
        <v>5270</v>
      </c>
      <c r="C54" s="94" t="s">
        <v>89</v>
      </c>
      <c r="D54" s="85"/>
      <c r="E54" s="85"/>
      <c r="F54" s="85">
        <v>0</v>
      </c>
      <c r="G54" s="85"/>
      <c r="H54" s="85"/>
      <c r="I54" s="85"/>
    </row>
    <row r="55" spans="1:9" s="285" customFormat="1" hidden="1" x14ac:dyDescent="0.25">
      <c r="A55" s="118">
        <v>42</v>
      </c>
      <c r="B55" s="151">
        <v>5275</v>
      </c>
      <c r="C55" s="94" t="s">
        <v>93</v>
      </c>
      <c r="D55" s="85"/>
      <c r="E55" s="85"/>
      <c r="F55" s="85">
        <v>0</v>
      </c>
      <c r="G55" s="85"/>
      <c r="H55" s="85"/>
      <c r="I55" s="85"/>
    </row>
    <row r="56" spans="1:9" s="285" customFormat="1" hidden="1" x14ac:dyDescent="0.25">
      <c r="A56" s="118">
        <v>42</v>
      </c>
      <c r="B56" s="151">
        <v>5280</v>
      </c>
      <c r="C56" s="94" t="s">
        <v>94</v>
      </c>
      <c r="D56" s="85"/>
      <c r="E56" s="85"/>
      <c r="F56" s="85">
        <v>0</v>
      </c>
      <c r="G56" s="85"/>
      <c r="H56" s="85"/>
      <c r="I56" s="85"/>
    </row>
    <row r="57" spans="1:9" s="285" customFormat="1" x14ac:dyDescent="0.25">
      <c r="A57" s="118">
        <v>42</v>
      </c>
      <c r="B57" s="151">
        <v>5285</v>
      </c>
      <c r="C57" s="94" t="s">
        <v>60</v>
      </c>
      <c r="D57" s="85">
        <f>62101+48213</f>
        <v>110314</v>
      </c>
      <c r="E57" s="85">
        <v>212200</v>
      </c>
      <c r="F57" s="85">
        <v>232200</v>
      </c>
      <c r="G57" s="85">
        <v>347200</v>
      </c>
      <c r="H57" s="85">
        <v>380000</v>
      </c>
      <c r="I57" s="85">
        <v>411000</v>
      </c>
    </row>
    <row r="58" spans="1:9" s="285" customFormat="1" hidden="1" x14ac:dyDescent="0.25">
      <c r="A58" s="118">
        <v>42</v>
      </c>
      <c r="B58" s="151">
        <v>5290</v>
      </c>
      <c r="C58" s="94" t="s">
        <v>186</v>
      </c>
      <c r="D58" s="85"/>
      <c r="E58" s="108"/>
      <c r="F58" s="85">
        <v>0</v>
      </c>
      <c r="G58" s="85">
        <f>0/8*12</f>
        <v>0</v>
      </c>
      <c r="H58" s="85"/>
      <c r="I58" s="85">
        <f>G58*(1+[4]INPUT!D$10)</f>
        <v>0</v>
      </c>
    </row>
    <row r="59" spans="1:9" s="285" customFormat="1" x14ac:dyDescent="0.25">
      <c r="A59" s="344"/>
      <c r="B59" s="151"/>
      <c r="C59" s="94"/>
      <c r="D59" s="110">
        <f t="shared" ref="D59:E59" si="11">SUM(D40:D58)</f>
        <v>326528</v>
      </c>
      <c r="E59" s="110">
        <f t="shared" si="11"/>
        <v>568200</v>
      </c>
      <c r="F59" s="110">
        <v>672200</v>
      </c>
      <c r="G59" s="110">
        <f t="shared" ref="G59:I59" si="12">SUM(G40:G58)</f>
        <v>603200</v>
      </c>
      <c r="H59" s="110">
        <f t="shared" si="12"/>
        <v>661600</v>
      </c>
      <c r="I59" s="110">
        <f t="shared" si="12"/>
        <v>708200</v>
      </c>
    </row>
    <row r="60" spans="1:9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42</v>
      </c>
      <c r="B61" s="151">
        <v>5400</v>
      </c>
      <c r="C61" s="94" t="s">
        <v>334</v>
      </c>
      <c r="D61" s="85"/>
      <c r="E61" s="86"/>
      <c r="F61" s="85"/>
      <c r="G61" s="85">
        <f>0/8*12</f>
        <v>0</v>
      </c>
      <c r="H61" s="86"/>
      <c r="I61" s="86"/>
    </row>
    <row r="62" spans="1:9" s="285" customFormat="1" hidden="1" x14ac:dyDescent="0.25">
      <c r="A62" s="118">
        <v>42</v>
      </c>
      <c r="B62" s="151">
        <v>5405</v>
      </c>
      <c r="C62" s="94" t="s">
        <v>335</v>
      </c>
      <c r="D62" s="85"/>
      <c r="E62" s="108"/>
      <c r="F62" s="85"/>
      <c r="G62" s="85">
        <f>0/8*12</f>
        <v>0</v>
      </c>
      <c r="H62" s="85"/>
      <c r="I62" s="108"/>
    </row>
    <row r="63" spans="1:9" s="285" customFormat="1" hidden="1" x14ac:dyDescent="0.25">
      <c r="A63" s="344"/>
      <c r="B63" s="151"/>
      <c r="C63" s="94"/>
      <c r="D63" s="89">
        <f>D62</f>
        <v>0</v>
      </c>
      <c r="E63" s="89">
        <f>SUM(E61:E62)</f>
        <v>0</v>
      </c>
      <c r="F63" s="89">
        <v>0</v>
      </c>
      <c r="G63" s="89">
        <f>SUM(G61:G62)</f>
        <v>0</v>
      </c>
      <c r="H63" s="89"/>
      <c r="I63" s="89">
        <f>SUM(I61:I62)</f>
        <v>0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42</v>
      </c>
      <c r="B65" s="151">
        <v>5450</v>
      </c>
      <c r="C65" s="94" t="s">
        <v>351</v>
      </c>
      <c r="D65" s="85"/>
      <c r="E65" s="108"/>
      <c r="F65" s="85"/>
      <c r="G65" s="85">
        <f>0/8*12</f>
        <v>0</v>
      </c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E66" si="13">D65</f>
        <v>0</v>
      </c>
      <c r="E66" s="89">
        <f t="shared" si="13"/>
        <v>0</v>
      </c>
      <c r="F66" s="89">
        <v>0</v>
      </c>
      <c r="G66" s="89">
        <f t="shared" ref="G66:I66" si="14">G65</f>
        <v>0</v>
      </c>
      <c r="H66" s="89"/>
      <c r="I66" s="89">
        <f t="shared" si="14"/>
        <v>0</v>
      </c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hidden="1" x14ac:dyDescent="0.25">
      <c r="A68" s="118">
        <v>42</v>
      </c>
      <c r="B68" s="151">
        <v>5470</v>
      </c>
      <c r="C68" s="94" t="s">
        <v>97</v>
      </c>
      <c r="D68" s="85"/>
      <c r="E68" s="86"/>
      <c r="F68" s="85">
        <v>0</v>
      </c>
      <c r="G68" s="85">
        <f>0/8*12</f>
        <v>0</v>
      </c>
      <c r="H68" s="85"/>
      <c r="I68" s="85">
        <f>G68*(1+[4]INPUT!D11)</f>
        <v>0</v>
      </c>
    </row>
    <row r="69" spans="1:9" s="285" customFormat="1" hidden="1" x14ac:dyDescent="0.25">
      <c r="A69" s="118">
        <v>42</v>
      </c>
      <c r="B69" s="151">
        <v>5475</v>
      </c>
      <c r="C69" s="94" t="s">
        <v>134</v>
      </c>
      <c r="D69" s="85"/>
      <c r="E69" s="86"/>
      <c r="F69" s="85">
        <v>0</v>
      </c>
      <c r="G69" s="85">
        <f>0/8*12</f>
        <v>0</v>
      </c>
      <c r="H69" s="85"/>
      <c r="I69" s="85">
        <f>G69*(1+[4]INPUT!D12)</f>
        <v>0</v>
      </c>
    </row>
    <row r="70" spans="1:9" s="285" customFormat="1" hidden="1" x14ac:dyDescent="0.25">
      <c r="A70" s="344"/>
      <c r="B70" s="151"/>
      <c r="C70" s="94"/>
      <c r="D70" s="110">
        <f t="shared" ref="D70:E70" si="15">SUM(D68:D69)</f>
        <v>0</v>
      </c>
      <c r="E70" s="110">
        <f t="shared" si="15"/>
        <v>0</v>
      </c>
      <c r="F70" s="110">
        <v>0</v>
      </c>
      <c r="G70" s="110">
        <f t="shared" ref="G70:I70" si="16">SUM(G68:G69)</f>
        <v>0</v>
      </c>
      <c r="H70" s="110"/>
      <c r="I70" s="110">
        <f t="shared" si="16"/>
        <v>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42</v>
      </c>
      <c r="B72" s="151">
        <v>5505</v>
      </c>
      <c r="C72" s="94" t="s">
        <v>259</v>
      </c>
      <c r="D72" s="85">
        <f>115011+100000</f>
        <v>215011</v>
      </c>
      <c r="E72" s="85">
        <v>420000</v>
      </c>
      <c r="F72" s="85">
        <v>420000</v>
      </c>
      <c r="G72" s="85">
        <v>585000</v>
      </c>
      <c r="H72" s="85">
        <v>630000</v>
      </c>
      <c r="I72" s="85">
        <v>690000</v>
      </c>
    </row>
    <row r="73" spans="1:9" s="285" customFormat="1" x14ac:dyDescent="0.25">
      <c r="A73" s="118">
        <v>42</v>
      </c>
      <c r="B73" s="151">
        <v>5510</v>
      </c>
      <c r="C73" s="94" t="s">
        <v>63</v>
      </c>
      <c r="D73" s="85"/>
      <c r="E73" s="85">
        <v>21645</v>
      </c>
      <c r="F73" s="85">
        <v>21645</v>
      </c>
      <c r="G73" s="85">
        <v>22000</v>
      </c>
      <c r="H73" s="85">
        <v>22000</v>
      </c>
      <c r="I73" s="85">
        <v>22000</v>
      </c>
    </row>
    <row r="74" spans="1:9" s="285" customFormat="1" hidden="1" x14ac:dyDescent="0.25">
      <c r="A74" s="118">
        <v>42</v>
      </c>
      <c r="B74" s="151">
        <v>5520</v>
      </c>
      <c r="C74" s="94" t="s">
        <v>260</v>
      </c>
      <c r="D74" s="85"/>
      <c r="E74" s="85"/>
      <c r="F74" s="85">
        <v>0</v>
      </c>
      <c r="G74" s="85"/>
      <c r="H74" s="85"/>
      <c r="I74" s="85"/>
    </row>
    <row r="75" spans="1:9" s="285" customFormat="1" hidden="1" x14ac:dyDescent="0.25">
      <c r="A75" s="118">
        <v>42</v>
      </c>
      <c r="B75" s="151">
        <v>5525</v>
      </c>
      <c r="C75" s="94" t="s">
        <v>261</v>
      </c>
      <c r="D75" s="85"/>
      <c r="E75" s="85"/>
      <c r="F75" s="85">
        <v>0</v>
      </c>
      <c r="G75" s="85"/>
      <c r="H75" s="85"/>
      <c r="I75" s="85"/>
    </row>
    <row r="76" spans="1:9" s="285" customFormat="1" hidden="1" x14ac:dyDescent="0.25">
      <c r="A76" s="118">
        <v>42</v>
      </c>
      <c r="B76" s="151">
        <v>5530</v>
      </c>
      <c r="C76" s="94" t="s">
        <v>262</v>
      </c>
      <c r="D76" s="85"/>
      <c r="E76" s="85"/>
      <c r="F76" s="85">
        <v>0</v>
      </c>
      <c r="G76" s="85"/>
      <c r="H76" s="85"/>
      <c r="I76" s="85"/>
    </row>
    <row r="77" spans="1:9" s="285" customFormat="1" hidden="1" x14ac:dyDescent="0.25">
      <c r="A77" s="118">
        <v>42</v>
      </c>
      <c r="B77" s="151">
        <v>5535</v>
      </c>
      <c r="C77" s="94" t="s">
        <v>263</v>
      </c>
      <c r="D77" s="85"/>
      <c r="E77" s="85"/>
      <c r="F77" s="85">
        <v>0</v>
      </c>
      <c r="G77" s="85"/>
      <c r="H77" s="85"/>
      <c r="I77" s="85"/>
    </row>
    <row r="78" spans="1:9" s="285" customFormat="1" hidden="1" x14ac:dyDescent="0.25">
      <c r="A78" s="118">
        <v>42</v>
      </c>
      <c r="B78" s="151">
        <v>5540</v>
      </c>
      <c r="C78" s="94" t="s">
        <v>264</v>
      </c>
      <c r="D78" s="85"/>
      <c r="E78" s="85"/>
      <c r="F78" s="85">
        <v>0</v>
      </c>
      <c r="G78" s="85"/>
      <c r="H78" s="85"/>
      <c r="I78" s="85"/>
    </row>
    <row r="79" spans="1:9" s="285" customFormat="1" ht="13.5" hidden="1" customHeight="1" x14ac:dyDescent="0.25">
      <c r="A79" s="118">
        <v>42</v>
      </c>
      <c r="B79" s="151">
        <v>5545</v>
      </c>
      <c r="C79" s="94" t="s">
        <v>265</v>
      </c>
      <c r="D79" s="85"/>
      <c r="E79" s="85"/>
      <c r="F79" s="85">
        <v>0</v>
      </c>
      <c r="G79" s="85"/>
      <c r="H79" s="85"/>
      <c r="I79" s="85"/>
    </row>
    <row r="80" spans="1:9" s="285" customFormat="1" hidden="1" x14ac:dyDescent="0.25">
      <c r="A80" s="118">
        <v>42</v>
      </c>
      <c r="B80" s="151">
        <v>5550</v>
      </c>
      <c r="C80" s="94" t="s">
        <v>267</v>
      </c>
      <c r="D80" s="85"/>
      <c r="E80" s="85"/>
      <c r="F80" s="85">
        <v>0</v>
      </c>
      <c r="G80" s="85"/>
      <c r="H80" s="85"/>
      <c r="I80" s="85"/>
    </row>
    <row r="81" spans="1:9" s="285" customFormat="1" x14ac:dyDescent="0.25">
      <c r="A81" s="118">
        <v>42</v>
      </c>
      <c r="B81" s="151">
        <v>5555</v>
      </c>
      <c r="C81" s="94" t="s">
        <v>268</v>
      </c>
      <c r="D81" s="85">
        <v>64213</v>
      </c>
      <c r="E81" s="85">
        <v>117979</v>
      </c>
      <c r="F81" s="85">
        <v>117979</v>
      </c>
      <c r="G81" s="85"/>
      <c r="H81" s="85"/>
      <c r="I81" s="85"/>
    </row>
    <row r="82" spans="1:9" s="285" customFormat="1" hidden="1" x14ac:dyDescent="0.25">
      <c r="A82" s="118">
        <v>42</v>
      </c>
      <c r="B82" s="151">
        <v>5560</v>
      </c>
      <c r="C82" s="94" t="s">
        <v>269</v>
      </c>
      <c r="D82" s="85"/>
      <c r="E82" s="85"/>
      <c r="F82" s="85">
        <v>0</v>
      </c>
      <c r="G82" s="85"/>
      <c r="H82" s="85"/>
      <c r="I82" s="85"/>
    </row>
    <row r="83" spans="1:9" s="285" customFormat="1" hidden="1" x14ac:dyDescent="0.25">
      <c r="A83" s="118">
        <v>42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85"/>
      <c r="I83" s="85"/>
    </row>
    <row r="84" spans="1:9" s="285" customFormat="1" x14ac:dyDescent="0.25">
      <c r="A84" s="118">
        <v>42</v>
      </c>
      <c r="B84" s="151">
        <v>5570</v>
      </c>
      <c r="C84" s="94" t="s">
        <v>270</v>
      </c>
      <c r="D84" s="85"/>
      <c r="E84" s="85">
        <v>4748.5549999999994</v>
      </c>
      <c r="F84" s="85">
        <v>4748.5549999999994</v>
      </c>
      <c r="G84" s="85">
        <v>4800</v>
      </c>
      <c r="H84" s="85">
        <v>4800</v>
      </c>
      <c r="I84" s="85">
        <v>4800</v>
      </c>
    </row>
    <row r="85" spans="1:9" s="285" customFormat="1" hidden="1" x14ac:dyDescent="0.25">
      <c r="A85" s="118">
        <v>42</v>
      </c>
      <c r="B85" s="151">
        <v>5575</v>
      </c>
      <c r="C85" s="94" t="s">
        <v>271</v>
      </c>
      <c r="D85" s="85"/>
      <c r="E85" s="85"/>
      <c r="F85" s="85">
        <v>0</v>
      </c>
      <c r="G85" s="85"/>
      <c r="H85" s="85"/>
      <c r="I85" s="85"/>
    </row>
    <row r="86" spans="1:9" s="285" customFormat="1" hidden="1" x14ac:dyDescent="0.25">
      <c r="A86" s="118">
        <v>42</v>
      </c>
      <c r="B86" s="151">
        <v>5580</v>
      </c>
      <c r="C86" s="94" t="s">
        <v>272</v>
      </c>
      <c r="D86" s="85"/>
      <c r="E86" s="85"/>
      <c r="F86" s="85">
        <v>0</v>
      </c>
      <c r="G86" s="85"/>
      <c r="H86" s="85"/>
      <c r="I86" s="85"/>
    </row>
    <row r="87" spans="1:9" s="285" customFormat="1" hidden="1" x14ac:dyDescent="0.25">
      <c r="A87" s="118">
        <v>42</v>
      </c>
      <c r="B87" s="151">
        <v>5585</v>
      </c>
      <c r="C87" s="94" t="s">
        <v>273</v>
      </c>
      <c r="D87" s="86"/>
      <c r="E87" s="85"/>
      <c r="F87" s="85">
        <v>0</v>
      </c>
      <c r="G87" s="85"/>
      <c r="H87" s="85"/>
      <c r="I87" s="85"/>
    </row>
    <row r="88" spans="1:9" s="285" customFormat="1" hidden="1" x14ac:dyDescent="0.25">
      <c r="A88" s="118">
        <v>42</v>
      </c>
      <c r="B88" s="151">
        <v>5590</v>
      </c>
      <c r="C88" s="94" t="s">
        <v>274</v>
      </c>
      <c r="D88" s="86"/>
      <c r="E88" s="85"/>
      <c r="F88" s="85">
        <v>0</v>
      </c>
      <c r="G88" s="85"/>
      <c r="H88" s="85"/>
      <c r="I88" s="85"/>
    </row>
    <row r="89" spans="1:9" s="285" customFormat="1" hidden="1" x14ac:dyDescent="0.25">
      <c r="A89" s="118">
        <v>42</v>
      </c>
      <c r="B89" s="151">
        <v>5595</v>
      </c>
      <c r="C89" s="94" t="s">
        <v>275</v>
      </c>
      <c r="D89" s="85"/>
      <c r="E89" s="85"/>
      <c r="F89" s="85">
        <v>0</v>
      </c>
      <c r="G89" s="85"/>
      <c r="H89" s="85"/>
      <c r="I89" s="85"/>
    </row>
    <row r="90" spans="1:9" s="285" customFormat="1" hidden="1" x14ac:dyDescent="0.25">
      <c r="A90" s="118">
        <v>42</v>
      </c>
      <c r="B90" s="151">
        <v>5600</v>
      </c>
      <c r="C90" s="159" t="s">
        <v>276</v>
      </c>
      <c r="D90" s="85"/>
      <c r="E90" s="85"/>
      <c r="F90" s="85">
        <v>0</v>
      </c>
      <c r="G90" s="85"/>
      <c r="H90" s="85"/>
      <c r="I90" s="85"/>
    </row>
    <row r="91" spans="1:9" s="285" customFormat="1" hidden="1" x14ac:dyDescent="0.25">
      <c r="A91" s="118">
        <v>42</v>
      </c>
      <c r="B91" s="151">
        <v>5605</v>
      </c>
      <c r="C91" s="159" t="s">
        <v>277</v>
      </c>
      <c r="D91" s="85"/>
      <c r="E91" s="85"/>
      <c r="F91" s="85">
        <v>0</v>
      </c>
      <c r="G91" s="85"/>
      <c r="H91" s="85"/>
      <c r="I91" s="85"/>
    </row>
    <row r="92" spans="1:9" s="285" customFormat="1" hidden="1" x14ac:dyDescent="0.25">
      <c r="A92" s="118">
        <v>42</v>
      </c>
      <c r="B92" s="151">
        <v>5610</v>
      </c>
      <c r="C92" s="159" t="s">
        <v>278</v>
      </c>
      <c r="D92" s="85"/>
      <c r="E92" s="85"/>
      <c r="F92" s="85">
        <v>0</v>
      </c>
      <c r="G92" s="85"/>
      <c r="H92" s="85"/>
      <c r="I92" s="85"/>
    </row>
    <row r="93" spans="1:9" s="285" customFormat="1" hidden="1" x14ac:dyDescent="0.25">
      <c r="A93" s="118">
        <v>42</v>
      </c>
      <c r="B93" s="151">
        <v>5615</v>
      </c>
      <c r="C93" s="159" t="s">
        <v>279</v>
      </c>
      <c r="D93" s="85"/>
      <c r="E93" s="85"/>
      <c r="F93" s="85">
        <v>0</v>
      </c>
      <c r="G93" s="85"/>
      <c r="H93" s="85"/>
      <c r="I93" s="85"/>
    </row>
    <row r="94" spans="1:9" s="285" customFormat="1" hidden="1" x14ac:dyDescent="0.25">
      <c r="A94" s="118">
        <v>42</v>
      </c>
      <c r="B94" s="151">
        <v>5620</v>
      </c>
      <c r="C94" s="159" t="s">
        <v>280</v>
      </c>
      <c r="D94" s="85"/>
      <c r="E94" s="85"/>
      <c r="F94" s="85">
        <v>0</v>
      </c>
      <c r="G94" s="85"/>
      <c r="H94" s="85"/>
      <c r="I94" s="85"/>
    </row>
    <row r="95" spans="1:9" s="285" customFormat="1" hidden="1" x14ac:dyDescent="0.25">
      <c r="A95" s="118">
        <v>42</v>
      </c>
      <c r="B95" s="151">
        <v>5625</v>
      </c>
      <c r="C95" s="159" t="s">
        <v>281</v>
      </c>
      <c r="D95" s="85"/>
      <c r="E95" s="85"/>
      <c r="F95" s="85">
        <v>0</v>
      </c>
      <c r="G95" s="85"/>
      <c r="H95" s="85"/>
      <c r="I95" s="85"/>
    </row>
    <row r="96" spans="1:9" s="285" customFormat="1" hidden="1" x14ac:dyDescent="0.25">
      <c r="A96" s="118">
        <v>42</v>
      </c>
      <c r="B96" s="151">
        <v>5630</v>
      </c>
      <c r="C96" s="159" t="s">
        <v>282</v>
      </c>
      <c r="D96" s="85"/>
      <c r="E96" s="85"/>
      <c r="F96" s="85">
        <v>0</v>
      </c>
      <c r="G96" s="85"/>
      <c r="H96" s="85"/>
      <c r="I96" s="85"/>
    </row>
    <row r="97" spans="1:9" s="285" customFormat="1" hidden="1" x14ac:dyDescent="0.25">
      <c r="A97" s="118">
        <v>42</v>
      </c>
      <c r="B97" s="151">
        <v>5635</v>
      </c>
      <c r="C97" s="159" t="s">
        <v>283</v>
      </c>
      <c r="D97" s="85"/>
      <c r="E97" s="85"/>
      <c r="F97" s="85">
        <v>0</v>
      </c>
      <c r="G97" s="85"/>
      <c r="H97" s="85"/>
      <c r="I97" s="85"/>
    </row>
    <row r="98" spans="1:9" s="285" customFormat="1" hidden="1" x14ac:dyDescent="0.25">
      <c r="A98" s="118">
        <v>42</v>
      </c>
      <c r="B98" s="151">
        <v>5640</v>
      </c>
      <c r="C98" s="159" t="s">
        <v>284</v>
      </c>
      <c r="D98" s="85"/>
      <c r="E98" s="85"/>
      <c r="F98" s="85">
        <v>0</v>
      </c>
      <c r="G98" s="85"/>
      <c r="H98" s="85"/>
      <c r="I98" s="85"/>
    </row>
    <row r="99" spans="1:9" s="285" customFormat="1" hidden="1" x14ac:dyDescent="0.25">
      <c r="A99" s="118">
        <v>42</v>
      </c>
      <c r="B99" s="151">
        <v>5645</v>
      </c>
      <c r="C99" s="159" t="s">
        <v>285</v>
      </c>
      <c r="D99" s="85"/>
      <c r="E99" s="85"/>
      <c r="F99" s="85">
        <v>0</v>
      </c>
      <c r="G99" s="85"/>
      <c r="H99" s="85"/>
      <c r="I99" s="85"/>
    </row>
    <row r="100" spans="1:9" s="285" customFormat="1" hidden="1" x14ac:dyDescent="0.25">
      <c r="A100" s="118">
        <v>42</v>
      </c>
      <c r="B100" s="151">
        <v>5650</v>
      </c>
      <c r="C100" s="159" t="s">
        <v>286</v>
      </c>
      <c r="D100" s="85"/>
      <c r="E100" s="85"/>
      <c r="F100" s="85">
        <v>0</v>
      </c>
      <c r="G100" s="85"/>
      <c r="H100" s="85"/>
      <c r="I100" s="85"/>
    </row>
    <row r="101" spans="1:9" s="285" customFormat="1" hidden="1" x14ac:dyDescent="0.25">
      <c r="A101" s="118">
        <v>42</v>
      </c>
      <c r="B101" s="151">
        <v>5655</v>
      </c>
      <c r="C101" s="159" t="s">
        <v>287</v>
      </c>
      <c r="D101" s="85"/>
      <c r="E101" s="85"/>
      <c r="F101" s="85">
        <v>0</v>
      </c>
      <c r="G101" s="85"/>
      <c r="H101" s="85"/>
      <c r="I101" s="85"/>
    </row>
    <row r="102" spans="1:9" s="285" customFormat="1" hidden="1" x14ac:dyDescent="0.25">
      <c r="A102" s="118">
        <v>42</v>
      </c>
      <c r="B102" s="151">
        <v>5660</v>
      </c>
      <c r="C102" s="159" t="s">
        <v>288</v>
      </c>
      <c r="D102" s="85"/>
      <c r="E102" s="85"/>
      <c r="F102" s="85">
        <v>0</v>
      </c>
      <c r="G102" s="85"/>
      <c r="H102" s="85"/>
      <c r="I102" s="85"/>
    </row>
    <row r="103" spans="1:9" s="285" customFormat="1" hidden="1" x14ac:dyDescent="0.25">
      <c r="A103" s="118">
        <v>42</v>
      </c>
      <c r="B103" s="151">
        <v>5665</v>
      </c>
      <c r="C103" s="94" t="s">
        <v>289</v>
      </c>
      <c r="D103" s="85"/>
      <c r="E103" s="85"/>
      <c r="F103" s="85">
        <v>0</v>
      </c>
      <c r="G103" s="85"/>
      <c r="H103" s="85"/>
      <c r="I103" s="85"/>
    </row>
    <row r="104" spans="1:9" s="285" customFormat="1" hidden="1" x14ac:dyDescent="0.25">
      <c r="A104" s="118">
        <v>42</v>
      </c>
      <c r="B104" s="151">
        <v>5670</v>
      </c>
      <c r="C104" s="94" t="s">
        <v>290</v>
      </c>
      <c r="D104" s="85"/>
      <c r="E104" s="85"/>
      <c r="F104" s="85">
        <v>0</v>
      </c>
      <c r="G104" s="85"/>
      <c r="H104" s="85"/>
      <c r="I104" s="85"/>
    </row>
    <row r="105" spans="1:9" s="285" customFormat="1" hidden="1" x14ac:dyDescent="0.25">
      <c r="A105" s="118">
        <v>42</v>
      </c>
      <c r="B105" s="151">
        <v>5675</v>
      </c>
      <c r="C105" s="94" t="s">
        <v>291</v>
      </c>
      <c r="D105" s="85"/>
      <c r="E105" s="85"/>
      <c r="F105" s="85">
        <v>0</v>
      </c>
      <c r="G105" s="85"/>
      <c r="H105" s="85"/>
      <c r="I105" s="85"/>
    </row>
    <row r="106" spans="1:9" s="285" customFormat="1" hidden="1" x14ac:dyDescent="0.25">
      <c r="A106" s="118">
        <v>42</v>
      </c>
      <c r="B106" s="151">
        <v>5680</v>
      </c>
      <c r="C106" s="94" t="s">
        <v>292</v>
      </c>
      <c r="D106" s="85"/>
      <c r="E106" s="85"/>
      <c r="F106" s="85">
        <v>0</v>
      </c>
      <c r="G106" s="85"/>
      <c r="H106" s="85"/>
      <c r="I106" s="85"/>
    </row>
    <row r="107" spans="1:9" s="285" customFormat="1" hidden="1" x14ac:dyDescent="0.25">
      <c r="A107" s="118">
        <v>42</v>
      </c>
      <c r="B107" s="151">
        <v>5685</v>
      </c>
      <c r="C107" s="94" t="s">
        <v>293</v>
      </c>
      <c r="D107" s="85"/>
      <c r="E107" s="85"/>
      <c r="F107" s="85">
        <v>0</v>
      </c>
      <c r="G107" s="85"/>
      <c r="H107" s="85"/>
      <c r="I107" s="85"/>
    </row>
    <row r="108" spans="1:9" s="285" customFormat="1" hidden="1" x14ac:dyDescent="0.25">
      <c r="A108" s="118">
        <v>42</v>
      </c>
      <c r="B108" s="151">
        <v>5690</v>
      </c>
      <c r="C108" s="94" t="s">
        <v>247</v>
      </c>
      <c r="D108" s="85"/>
      <c r="E108" s="85"/>
      <c r="F108" s="85">
        <v>0</v>
      </c>
      <c r="G108" s="85"/>
      <c r="H108" s="85"/>
      <c r="I108" s="85"/>
    </row>
    <row r="109" spans="1:9" s="285" customFormat="1" hidden="1" x14ac:dyDescent="0.25">
      <c r="A109" s="118">
        <v>42</v>
      </c>
      <c r="B109" s="151">
        <v>5695</v>
      </c>
      <c r="C109" s="94" t="s">
        <v>294</v>
      </c>
      <c r="D109" s="85"/>
      <c r="E109" s="85"/>
      <c r="F109" s="85">
        <v>0</v>
      </c>
      <c r="G109" s="85"/>
      <c r="H109" s="85"/>
      <c r="I109" s="85"/>
    </row>
    <row r="110" spans="1:9" s="285" customFormat="1" x14ac:dyDescent="0.25">
      <c r="A110" s="118">
        <v>42</v>
      </c>
      <c r="B110" s="151">
        <v>5700</v>
      </c>
      <c r="C110" s="94" t="s">
        <v>295</v>
      </c>
      <c r="D110" s="85">
        <v>85621</v>
      </c>
      <c r="E110" s="85">
        <v>170000</v>
      </c>
      <c r="F110" s="85">
        <v>170000</v>
      </c>
      <c r="G110" s="85">
        <v>210000</v>
      </c>
      <c r="H110" s="85">
        <v>170000</v>
      </c>
      <c r="I110" s="85">
        <v>190000</v>
      </c>
    </row>
    <row r="111" spans="1:9" s="285" customFormat="1" hidden="1" x14ac:dyDescent="0.25">
      <c r="A111" s="118">
        <v>42</v>
      </c>
      <c r="B111" s="151">
        <v>5710</v>
      </c>
      <c r="C111" s="94" t="s">
        <v>297</v>
      </c>
      <c r="D111" s="85"/>
      <c r="E111" s="85"/>
      <c r="F111" s="85">
        <v>0</v>
      </c>
      <c r="G111" s="85"/>
      <c r="H111" s="85"/>
      <c r="I111" s="85"/>
    </row>
    <row r="112" spans="1:9" s="285" customFormat="1" hidden="1" x14ac:dyDescent="0.25">
      <c r="A112" s="118">
        <v>42</v>
      </c>
      <c r="B112" s="151">
        <v>5715</v>
      </c>
      <c r="C112" s="94" t="s">
        <v>298</v>
      </c>
      <c r="D112" s="85"/>
      <c r="E112" s="85"/>
      <c r="F112" s="85">
        <v>0</v>
      </c>
      <c r="G112" s="85"/>
      <c r="H112" s="85"/>
      <c r="I112" s="85"/>
    </row>
    <row r="113" spans="1:9" s="285" customFormat="1" hidden="1" x14ac:dyDescent="0.25">
      <c r="A113" s="118">
        <v>42</v>
      </c>
      <c r="B113" s="151">
        <v>5720</v>
      </c>
      <c r="C113" s="94" t="s">
        <v>299</v>
      </c>
      <c r="D113" s="85"/>
      <c r="E113" s="85"/>
      <c r="F113" s="85">
        <v>0</v>
      </c>
      <c r="G113" s="85"/>
      <c r="H113" s="85"/>
      <c r="I113" s="85"/>
    </row>
    <row r="114" spans="1:9" s="285" customFormat="1" hidden="1" x14ac:dyDescent="0.25">
      <c r="A114" s="118">
        <v>42</v>
      </c>
      <c r="B114" s="151">
        <v>5730</v>
      </c>
      <c r="C114" s="94" t="s">
        <v>300</v>
      </c>
      <c r="D114" s="85"/>
      <c r="E114" s="85"/>
      <c r="F114" s="85">
        <v>0</v>
      </c>
      <c r="G114" s="85"/>
      <c r="H114" s="85"/>
      <c r="I114" s="85"/>
    </row>
    <row r="115" spans="1:9" s="285" customFormat="1" hidden="1" x14ac:dyDescent="0.25">
      <c r="A115" s="118">
        <v>42</v>
      </c>
      <c r="B115" s="151">
        <v>5735</v>
      </c>
      <c r="C115" s="94" t="s">
        <v>301</v>
      </c>
      <c r="D115" s="85"/>
      <c r="E115" s="85"/>
      <c r="F115" s="85">
        <v>0</v>
      </c>
      <c r="G115" s="85"/>
      <c r="H115" s="85"/>
      <c r="I115" s="85"/>
    </row>
    <row r="116" spans="1:9" s="285" customFormat="1" hidden="1" x14ac:dyDescent="0.25">
      <c r="A116" s="118">
        <v>42</v>
      </c>
      <c r="B116" s="151">
        <v>5740</v>
      </c>
      <c r="C116" s="94" t="s">
        <v>302</v>
      </c>
      <c r="D116" s="85"/>
      <c r="E116" s="85"/>
      <c r="F116" s="85">
        <v>0</v>
      </c>
      <c r="G116" s="85"/>
      <c r="H116" s="85"/>
      <c r="I116" s="85"/>
    </row>
    <row r="117" spans="1:9" s="285" customFormat="1" hidden="1" x14ac:dyDescent="0.25">
      <c r="A117" s="118">
        <v>42</v>
      </c>
      <c r="B117" s="151">
        <v>5745</v>
      </c>
      <c r="C117" s="94" t="s">
        <v>303</v>
      </c>
      <c r="D117" s="85"/>
      <c r="E117" s="85"/>
      <c r="F117" s="85">
        <v>0</v>
      </c>
      <c r="G117" s="85"/>
      <c r="H117" s="85"/>
      <c r="I117" s="85"/>
    </row>
    <row r="118" spans="1:9" s="285" customFormat="1" x14ac:dyDescent="0.25">
      <c r="A118" s="118">
        <v>42</v>
      </c>
      <c r="B118" s="151">
        <v>5750</v>
      </c>
      <c r="C118" s="94" t="s">
        <v>304</v>
      </c>
      <c r="D118" s="85"/>
      <c r="E118" s="85">
        <v>4600</v>
      </c>
      <c r="F118" s="85">
        <v>4600</v>
      </c>
      <c r="G118" s="85">
        <v>5000</v>
      </c>
      <c r="H118" s="85">
        <v>5000</v>
      </c>
      <c r="I118" s="85">
        <v>5000</v>
      </c>
    </row>
    <row r="119" spans="1:9" s="285" customFormat="1" x14ac:dyDescent="0.25">
      <c r="A119" s="118">
        <v>42</v>
      </c>
      <c r="B119" s="151">
        <v>5755</v>
      </c>
      <c r="C119" s="94" t="s">
        <v>305</v>
      </c>
      <c r="D119" s="85"/>
      <c r="E119" s="85">
        <v>44000</v>
      </c>
      <c r="F119" s="85">
        <v>44000</v>
      </c>
      <c r="G119" s="85">
        <v>44000</v>
      </c>
      <c r="H119" s="85">
        <v>44000</v>
      </c>
      <c r="I119" s="85">
        <v>44000</v>
      </c>
    </row>
    <row r="120" spans="1:9" s="285" customFormat="1" ht="12" customHeight="1" x14ac:dyDescent="0.25">
      <c r="A120" s="118">
        <v>42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85"/>
      <c r="H120" s="85"/>
      <c r="I120" s="85"/>
    </row>
    <row r="121" spans="1:9" s="285" customFormat="1" x14ac:dyDescent="0.25">
      <c r="A121" s="118">
        <v>42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85"/>
      <c r="H121" s="85"/>
      <c r="I121" s="85"/>
    </row>
    <row r="122" spans="1:9" s="285" customFormat="1" x14ac:dyDescent="0.25">
      <c r="A122" s="118">
        <v>42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85"/>
      <c r="H122" s="85"/>
      <c r="I122" s="85"/>
    </row>
    <row r="123" spans="1:9" s="285" customFormat="1" x14ac:dyDescent="0.25">
      <c r="A123" s="118">
        <v>42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85"/>
      <c r="H123" s="85"/>
      <c r="I123" s="85"/>
    </row>
    <row r="124" spans="1:9" s="285" customFormat="1" x14ac:dyDescent="0.25">
      <c r="A124" s="118">
        <v>42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85"/>
      <c r="H124" s="85"/>
      <c r="I124" s="85"/>
    </row>
    <row r="125" spans="1:9" s="285" customFormat="1" x14ac:dyDescent="0.25">
      <c r="A125" s="118">
        <v>42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85"/>
      <c r="H125" s="85"/>
      <c r="I125" s="85"/>
    </row>
    <row r="126" spans="1:9" s="285" customFormat="1" x14ac:dyDescent="0.25">
      <c r="A126" s="118">
        <v>42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85"/>
      <c r="H126" s="85"/>
      <c r="I126" s="85"/>
    </row>
    <row r="127" spans="1:9" s="285" customFormat="1" x14ac:dyDescent="0.25">
      <c r="A127" s="118">
        <v>42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85"/>
      <c r="H127" s="85"/>
      <c r="I127" s="85"/>
    </row>
    <row r="128" spans="1:9" s="285" customFormat="1" x14ac:dyDescent="0.25">
      <c r="A128" s="118">
        <v>42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85"/>
      <c r="H128" s="85"/>
      <c r="I128" s="85"/>
    </row>
    <row r="129" spans="1:9" s="285" customFormat="1" x14ac:dyDescent="0.25">
      <c r="A129" s="118">
        <v>42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85"/>
      <c r="H129" s="85"/>
      <c r="I129" s="85"/>
    </row>
    <row r="130" spans="1:9" s="285" customFormat="1" x14ac:dyDescent="0.25">
      <c r="A130" s="118">
        <v>42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85"/>
      <c r="H130" s="85"/>
      <c r="I130" s="85"/>
    </row>
    <row r="131" spans="1:9" s="285" customFormat="1" x14ac:dyDescent="0.25">
      <c r="A131" s="118">
        <v>42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85"/>
      <c r="H131" s="85"/>
      <c r="I131" s="85"/>
    </row>
    <row r="132" spans="1:9" s="285" customFormat="1" x14ac:dyDescent="0.25">
      <c r="A132" s="118">
        <v>42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85"/>
      <c r="H132" s="85"/>
      <c r="I132" s="85"/>
    </row>
    <row r="133" spans="1:9" s="285" customFormat="1" x14ac:dyDescent="0.25">
      <c r="A133" s="118">
        <v>42</v>
      </c>
      <c r="B133" s="151">
        <v>5825</v>
      </c>
      <c r="C133" s="94" t="s">
        <v>317</v>
      </c>
      <c r="D133" s="86">
        <f>6320+45213</f>
        <v>51533</v>
      </c>
      <c r="E133" s="85">
        <v>84747.095000000001</v>
      </c>
      <c r="F133" s="85">
        <v>84747.095000000001</v>
      </c>
      <c r="G133" s="85">
        <v>700000</v>
      </c>
      <c r="H133" s="85">
        <v>800000</v>
      </c>
      <c r="I133" s="85">
        <v>880000</v>
      </c>
    </row>
    <row r="134" spans="1:9" s="285" customFormat="1" x14ac:dyDescent="0.25">
      <c r="A134" s="118">
        <v>42</v>
      </c>
      <c r="B134" s="151">
        <v>5830</v>
      </c>
      <c r="C134" s="94" t="s">
        <v>318</v>
      </c>
      <c r="D134" s="86"/>
      <c r="E134" s="85"/>
      <c r="F134" s="85">
        <v>0</v>
      </c>
      <c r="G134" s="85">
        <f t="shared" ref="G134:G147" si="17">0/8*12</f>
        <v>0</v>
      </c>
      <c r="H134" s="85"/>
      <c r="I134" s="85">
        <f>G134*(1+[4]INPUT!D$10)</f>
        <v>0</v>
      </c>
    </row>
    <row r="135" spans="1:9" s="285" customFormat="1" x14ac:dyDescent="0.25">
      <c r="A135" s="118">
        <v>42</v>
      </c>
      <c r="B135" s="151">
        <v>5835</v>
      </c>
      <c r="C135" s="94" t="s">
        <v>319</v>
      </c>
      <c r="D135" s="86"/>
      <c r="E135" s="85"/>
      <c r="F135" s="85">
        <v>0</v>
      </c>
      <c r="G135" s="85">
        <f t="shared" si="17"/>
        <v>0</v>
      </c>
      <c r="H135" s="85"/>
      <c r="I135" s="85">
        <f>G135*(1+[4]INPUT!D$10)</f>
        <v>0</v>
      </c>
    </row>
    <row r="136" spans="1:9" s="285" customFormat="1" x14ac:dyDescent="0.25">
      <c r="A136" s="118">
        <v>42</v>
      </c>
      <c r="B136" s="151">
        <v>5840</v>
      </c>
      <c r="C136" s="94" t="s">
        <v>332</v>
      </c>
      <c r="D136" s="115"/>
      <c r="E136" s="85"/>
      <c r="F136" s="85">
        <v>0</v>
      </c>
      <c r="G136" s="85">
        <f t="shared" si="17"/>
        <v>0</v>
      </c>
      <c r="H136" s="85"/>
      <c r="I136" s="85">
        <f>G136*(1+[4]INPUT!D$10)</f>
        <v>0</v>
      </c>
    </row>
    <row r="137" spans="1:9" s="285" customFormat="1" x14ac:dyDescent="0.25">
      <c r="A137" s="118">
        <v>42</v>
      </c>
      <c r="B137" s="151">
        <v>5845</v>
      </c>
      <c r="C137" s="94" t="s">
        <v>320</v>
      </c>
      <c r="D137" s="86"/>
      <c r="E137" s="85"/>
      <c r="F137" s="85">
        <v>0</v>
      </c>
      <c r="G137" s="85">
        <f t="shared" si="17"/>
        <v>0</v>
      </c>
      <c r="H137" s="85"/>
      <c r="I137" s="85">
        <f>G137*(1+[4]INPUT!D$10)</f>
        <v>0</v>
      </c>
    </row>
    <row r="138" spans="1:9" s="285" customFormat="1" x14ac:dyDescent="0.25">
      <c r="A138" s="118">
        <v>42</v>
      </c>
      <c r="B138" s="151">
        <v>5855</v>
      </c>
      <c r="C138" s="94" t="s">
        <v>321</v>
      </c>
      <c r="D138" s="85"/>
      <c r="E138" s="85"/>
      <c r="F138" s="85">
        <v>0</v>
      </c>
      <c r="G138" s="85">
        <f t="shared" si="17"/>
        <v>0</v>
      </c>
      <c r="H138" s="85"/>
      <c r="I138" s="85">
        <f>G138*(1+[4]INPUT!D$10)</f>
        <v>0</v>
      </c>
    </row>
    <row r="139" spans="1:9" s="285" customFormat="1" x14ac:dyDescent="0.25">
      <c r="A139" s="118">
        <v>42</v>
      </c>
      <c r="B139" s="151">
        <v>5860</v>
      </c>
      <c r="C139" s="94" t="s">
        <v>322</v>
      </c>
      <c r="D139" s="85"/>
      <c r="E139" s="85"/>
      <c r="F139" s="85">
        <v>0</v>
      </c>
      <c r="G139" s="85">
        <f t="shared" si="17"/>
        <v>0</v>
      </c>
      <c r="H139" s="85"/>
      <c r="I139" s="85">
        <f>G139*(1+[4]INPUT!D$10)</f>
        <v>0</v>
      </c>
    </row>
    <row r="140" spans="1:9" s="285" customFormat="1" x14ac:dyDescent="0.25">
      <c r="A140" s="118">
        <v>42</v>
      </c>
      <c r="B140" s="151">
        <v>5865</v>
      </c>
      <c r="C140" s="94" t="s">
        <v>323</v>
      </c>
      <c r="D140" s="85"/>
      <c r="E140" s="85"/>
      <c r="F140" s="85">
        <v>0</v>
      </c>
      <c r="G140" s="85">
        <f t="shared" si="17"/>
        <v>0</v>
      </c>
      <c r="H140" s="85"/>
      <c r="I140" s="85">
        <f>G140*(1+[4]INPUT!D$10)</f>
        <v>0</v>
      </c>
    </row>
    <row r="141" spans="1:9" s="285" customFormat="1" x14ac:dyDescent="0.25">
      <c r="A141" s="118">
        <v>42</v>
      </c>
      <c r="B141" s="151">
        <v>5870</v>
      </c>
      <c r="C141" s="94" t="s">
        <v>324</v>
      </c>
      <c r="D141" s="85"/>
      <c r="E141" s="85"/>
      <c r="F141" s="85">
        <v>0</v>
      </c>
      <c r="G141" s="85">
        <f t="shared" si="17"/>
        <v>0</v>
      </c>
      <c r="H141" s="85"/>
      <c r="I141" s="85">
        <f>G141*(1+[4]INPUT!D$10)</f>
        <v>0</v>
      </c>
    </row>
    <row r="142" spans="1:9" s="285" customFormat="1" x14ac:dyDescent="0.25">
      <c r="A142" s="118">
        <v>42</v>
      </c>
      <c r="B142" s="151">
        <v>5875</v>
      </c>
      <c r="C142" s="94" t="s">
        <v>325</v>
      </c>
      <c r="D142" s="85"/>
      <c r="E142" s="85"/>
      <c r="F142" s="85">
        <v>0</v>
      </c>
      <c r="G142" s="85">
        <f t="shared" si="17"/>
        <v>0</v>
      </c>
      <c r="H142" s="85"/>
      <c r="I142" s="85">
        <f>G142*(1+[4]INPUT!D$10)</f>
        <v>0</v>
      </c>
    </row>
    <row r="143" spans="1:9" s="285" customFormat="1" x14ac:dyDescent="0.25">
      <c r="A143" s="118">
        <v>42</v>
      </c>
      <c r="B143" s="151">
        <v>5880</v>
      </c>
      <c r="C143" s="94" t="s">
        <v>326</v>
      </c>
      <c r="D143" s="85"/>
      <c r="E143" s="85"/>
      <c r="F143" s="85">
        <v>0</v>
      </c>
      <c r="G143" s="85">
        <f t="shared" si="17"/>
        <v>0</v>
      </c>
      <c r="H143" s="85"/>
      <c r="I143" s="85">
        <f>G143*(1+[4]INPUT!D$10)</f>
        <v>0</v>
      </c>
    </row>
    <row r="144" spans="1:9" s="285" customFormat="1" x14ac:dyDescent="0.25">
      <c r="A144" s="118">
        <v>42</v>
      </c>
      <c r="B144" s="151">
        <v>5885</v>
      </c>
      <c r="C144" s="94" t="s">
        <v>331</v>
      </c>
      <c r="D144" s="85"/>
      <c r="E144" s="85"/>
      <c r="F144" s="85">
        <v>0</v>
      </c>
      <c r="G144" s="85">
        <f t="shared" si="17"/>
        <v>0</v>
      </c>
      <c r="H144" s="85"/>
      <c r="I144" s="85">
        <f>G144*(1+[4]INPUT!D$10)</f>
        <v>0</v>
      </c>
    </row>
    <row r="145" spans="1:10" s="285" customFormat="1" x14ac:dyDescent="0.25">
      <c r="A145" s="118">
        <v>42</v>
      </c>
      <c r="B145" s="151">
        <v>5890</v>
      </c>
      <c r="C145" s="94" t="s">
        <v>327</v>
      </c>
      <c r="D145" s="85"/>
      <c r="E145" s="85"/>
      <c r="F145" s="85">
        <v>0</v>
      </c>
      <c r="G145" s="85">
        <f t="shared" si="17"/>
        <v>0</v>
      </c>
      <c r="H145" s="85"/>
      <c r="I145" s="85">
        <f>G145*(1+[4]INPUT!D$10)</f>
        <v>0</v>
      </c>
    </row>
    <row r="146" spans="1:10" s="285" customFormat="1" x14ac:dyDescent="0.25">
      <c r="A146" s="118">
        <v>42</v>
      </c>
      <c r="B146" s="151">
        <v>5895</v>
      </c>
      <c r="C146" s="94" t="s">
        <v>328</v>
      </c>
      <c r="D146" s="85"/>
      <c r="E146" s="85"/>
      <c r="F146" s="85">
        <v>0</v>
      </c>
      <c r="G146" s="85">
        <f t="shared" si="17"/>
        <v>0</v>
      </c>
      <c r="H146" s="85"/>
      <c r="I146" s="85">
        <f>G146*(1+[4]INPUT!D$10)</f>
        <v>0</v>
      </c>
    </row>
    <row r="147" spans="1:10" s="285" customFormat="1" x14ac:dyDescent="0.25">
      <c r="A147" s="118">
        <v>42</v>
      </c>
      <c r="B147" s="151">
        <v>5910</v>
      </c>
      <c r="C147" s="94" t="s">
        <v>330</v>
      </c>
      <c r="D147" s="85"/>
      <c r="E147" s="85"/>
      <c r="F147" s="85">
        <v>0</v>
      </c>
      <c r="G147" s="85">
        <f t="shared" si="17"/>
        <v>0</v>
      </c>
      <c r="H147" s="85"/>
      <c r="I147" s="85">
        <f>G147*(1+[4]INPUT!D$10)</f>
        <v>0</v>
      </c>
    </row>
    <row r="148" spans="1:10" s="285" customFormat="1" x14ac:dyDescent="0.25">
      <c r="A148" s="344"/>
      <c r="B148" s="151"/>
      <c r="C148" s="94"/>
      <c r="D148" s="89">
        <f t="shared" ref="D148:E148" si="18">SUM(D72:D147)</f>
        <v>416378</v>
      </c>
      <c r="E148" s="89">
        <f t="shared" si="18"/>
        <v>867719.65</v>
      </c>
      <c r="F148" s="89">
        <v>867719.65</v>
      </c>
      <c r="G148" s="89">
        <f>SUM(G72:G147)</f>
        <v>1570800</v>
      </c>
      <c r="H148" s="89">
        <f>SUM(H72:H147)</f>
        <v>1675800</v>
      </c>
      <c r="I148" s="89">
        <f>SUM(I72:I147)</f>
        <v>1835800</v>
      </c>
    </row>
    <row r="149" spans="1:10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10" s="285" customFormat="1" x14ac:dyDescent="0.25">
      <c r="A150" s="118">
        <v>42</v>
      </c>
      <c r="B150" s="151">
        <v>6005</v>
      </c>
      <c r="C150" s="94" t="s">
        <v>188</v>
      </c>
      <c r="D150" s="85"/>
      <c r="E150" s="108"/>
      <c r="F150" s="85">
        <v>0</v>
      </c>
      <c r="G150" s="85">
        <f>0/8*12</f>
        <v>0</v>
      </c>
      <c r="H150" s="435">
        <f t="shared" ref="H150:I150" si="19">0/8*12</f>
        <v>0</v>
      </c>
      <c r="I150" s="435">
        <f t="shared" si="19"/>
        <v>0</v>
      </c>
      <c r="J150" s="435"/>
    </row>
    <row r="151" spans="1:10" s="285" customFormat="1" x14ac:dyDescent="0.25">
      <c r="A151" s="344"/>
      <c r="B151" s="151"/>
      <c r="C151" s="94"/>
      <c r="D151" s="89">
        <f t="shared" ref="D151:E151" si="20">SUM(D150)</f>
        <v>0</v>
      </c>
      <c r="E151" s="89">
        <f t="shared" si="20"/>
        <v>0</v>
      </c>
      <c r="F151" s="89">
        <v>0</v>
      </c>
      <c r="G151" s="89">
        <f t="shared" ref="G151:I151" si="21">SUM(G150)</f>
        <v>0</v>
      </c>
      <c r="H151" s="436">
        <f t="shared" si="21"/>
        <v>0</v>
      </c>
      <c r="I151" s="436">
        <f t="shared" si="21"/>
        <v>0</v>
      </c>
    </row>
    <row r="152" spans="1:10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10" s="285" customFormat="1" x14ac:dyDescent="0.25">
      <c r="A153" s="118">
        <v>42</v>
      </c>
      <c r="B153" s="151">
        <v>6105</v>
      </c>
      <c r="C153" s="94" t="s">
        <v>336</v>
      </c>
      <c r="D153" s="85"/>
      <c r="E153" s="108"/>
      <c r="F153" s="85">
        <v>0</v>
      </c>
      <c r="G153" s="85">
        <f>0/8*12</f>
        <v>0</v>
      </c>
      <c r="H153" s="85"/>
      <c r="I153" s="108">
        <f>G153*(1+[4]INPUT!D$10)</f>
        <v>0</v>
      </c>
    </row>
    <row r="154" spans="1:10" s="285" customFormat="1" x14ac:dyDescent="0.25">
      <c r="A154" s="118">
        <v>42</v>
      </c>
      <c r="B154" s="151">
        <v>6110</v>
      </c>
      <c r="C154" s="94" t="s">
        <v>337</v>
      </c>
      <c r="D154" s="85"/>
      <c r="E154" s="108">
        <v>0</v>
      </c>
      <c r="F154" s="85">
        <v>0</v>
      </c>
      <c r="G154" s="85">
        <f>0/8*12</f>
        <v>0</v>
      </c>
      <c r="H154" s="85"/>
      <c r="I154" s="108">
        <f>G154*(1+[4]INPUT!D$10)</f>
        <v>0</v>
      </c>
    </row>
    <row r="155" spans="1:10" s="285" customFormat="1" x14ac:dyDescent="0.25">
      <c r="A155" s="118">
        <v>42</v>
      </c>
      <c r="B155" s="151">
        <v>6115</v>
      </c>
      <c r="C155" s="94" t="s">
        <v>60</v>
      </c>
      <c r="D155" s="85"/>
      <c r="E155" s="108"/>
      <c r="F155" s="85"/>
      <c r="G155" s="85"/>
      <c r="H155" s="85"/>
      <c r="I155" s="108"/>
    </row>
    <row r="156" spans="1:10" s="285" customFormat="1" x14ac:dyDescent="0.25">
      <c r="A156" s="344"/>
      <c r="B156" s="151"/>
      <c r="C156" s="94"/>
      <c r="D156" s="89">
        <f>D153</f>
        <v>0</v>
      </c>
      <c r="E156" s="89">
        <f t="shared" ref="E156" si="22">SUM(E153:E155)</f>
        <v>0</v>
      </c>
      <c r="F156" s="89">
        <v>0</v>
      </c>
      <c r="G156" s="89">
        <f t="shared" ref="G156:I156" si="23">SUM(G153:G155)</f>
        <v>0</v>
      </c>
      <c r="H156" s="89">
        <f t="shared" si="23"/>
        <v>0</v>
      </c>
      <c r="I156" s="89">
        <f t="shared" si="23"/>
        <v>0</v>
      </c>
    </row>
    <row r="157" spans="1:10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10" s="285" customFormat="1" x14ac:dyDescent="0.25">
      <c r="A158" s="118">
        <v>42</v>
      </c>
      <c r="B158" s="151">
        <v>6205</v>
      </c>
      <c r="C158" s="94" t="s">
        <v>338</v>
      </c>
      <c r="D158" s="85"/>
      <c r="E158" s="108"/>
      <c r="F158" s="85">
        <v>0</v>
      </c>
      <c r="G158" s="85">
        <f>0/8*12</f>
        <v>0</v>
      </c>
      <c r="H158" s="85">
        <f>0/8*12</f>
        <v>0</v>
      </c>
      <c r="I158" s="85">
        <f>G158*(1+[4]INPUT!D$10)</f>
        <v>0</v>
      </c>
    </row>
    <row r="159" spans="1:10" s="285" customFormat="1" x14ac:dyDescent="0.25">
      <c r="A159" s="118">
        <v>42</v>
      </c>
      <c r="B159" s="151">
        <v>6210</v>
      </c>
      <c r="C159" s="94" t="s">
        <v>339</v>
      </c>
      <c r="D159" s="85"/>
      <c r="E159" s="85"/>
      <c r="F159" s="85">
        <v>0</v>
      </c>
      <c r="G159" s="85">
        <f>0/8*12</f>
        <v>0</v>
      </c>
      <c r="H159" s="85">
        <f>0/8*12</f>
        <v>0</v>
      </c>
      <c r="I159" s="85">
        <f>G159*(1+[4]INPUT!D$10)</f>
        <v>0</v>
      </c>
    </row>
    <row r="160" spans="1:10" s="285" customFormat="1" x14ac:dyDescent="0.25">
      <c r="A160" s="344"/>
      <c r="B160" s="346"/>
      <c r="C160" s="347"/>
      <c r="D160" s="116">
        <f t="shared" ref="D160:E160" si="24">SUM(D158:D159)</f>
        <v>0</v>
      </c>
      <c r="E160" s="116">
        <f t="shared" si="24"/>
        <v>0</v>
      </c>
      <c r="F160" s="116">
        <v>0</v>
      </c>
      <c r="G160" s="116">
        <f t="shared" ref="G160:I160" si="25">SUM(G158:G159)</f>
        <v>0</v>
      </c>
      <c r="H160" s="116">
        <f t="shared" ref="H160" si="26">SUM(H158:H159)</f>
        <v>0</v>
      </c>
      <c r="I160" s="116">
        <f t="shared" si="25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F161" si="27">D160+D156+D151+D148+D70+D66+D63+D59+D38+D35+D32+D29+D25+D18</f>
        <v>3192503</v>
      </c>
      <c r="E161" s="116">
        <f t="shared" si="27"/>
        <v>11073611.959567999</v>
      </c>
      <c r="F161" s="116">
        <f t="shared" si="27"/>
        <v>6977611.9595679995</v>
      </c>
      <c r="G161" s="116"/>
      <c r="H161" s="116"/>
      <c r="I161" s="116"/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116">
        <v>24093818</v>
      </c>
      <c r="H162" s="116">
        <v>8000000</v>
      </c>
      <c r="I162" s="116">
        <v>7000000</v>
      </c>
    </row>
    <row r="163" spans="1:9" s="285" customFormat="1" x14ac:dyDescent="0.25">
      <c r="A163" s="118">
        <v>42</v>
      </c>
      <c r="B163" s="151">
        <v>6305</v>
      </c>
      <c r="C163" s="94" t="s">
        <v>190</v>
      </c>
      <c r="D163" s="85"/>
      <c r="E163" s="85"/>
      <c r="F163" s="85"/>
      <c r="G163" s="116">
        <v>2575200</v>
      </c>
      <c r="H163" s="116">
        <v>2580000</v>
      </c>
      <c r="I163" s="116">
        <v>2580000</v>
      </c>
    </row>
    <row r="164" spans="1:9" s="285" customFormat="1" x14ac:dyDescent="0.25">
      <c r="A164" s="344"/>
      <c r="B164" s="151"/>
      <c r="C164" s="94"/>
      <c r="D164" s="116">
        <f t="shared" ref="D164:E164" si="28">D163</f>
        <v>0</v>
      </c>
      <c r="E164" s="116">
        <f t="shared" si="28"/>
        <v>0</v>
      </c>
      <c r="F164" s="116">
        <v>0</v>
      </c>
      <c r="G164" s="116">
        <f>G160+G156+G151+G148+G70+G66+G63+G59+G38+G35+G32+G29+G25+G18</f>
        <v>7983877.5405247994</v>
      </c>
      <c r="H164" s="116">
        <v>10580000</v>
      </c>
      <c r="I164" s="116">
        <v>9580000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29">SUM(D161+D164)</f>
        <v>3192503</v>
      </c>
      <c r="E165" s="160">
        <f t="shared" si="29"/>
        <v>11073611.959567999</v>
      </c>
      <c r="F165" s="160">
        <f t="shared" si="29"/>
        <v>6977611.9595679995</v>
      </c>
      <c r="G165" s="463">
        <f t="shared" si="29"/>
        <v>7983877.5405247994</v>
      </c>
      <c r="H165" s="463">
        <f t="shared" si="29"/>
        <v>10580000</v>
      </c>
      <c r="I165" s="463">
        <f t="shared" si="29"/>
        <v>9580000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85">
        <f>0/8*12</f>
        <v>0</v>
      </c>
      <c r="H166" s="85">
        <f>0/8*12</f>
        <v>0</v>
      </c>
      <c r="I166" s="85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6">
        <f t="shared" ref="G167:I167" si="30">G166</f>
        <v>0</v>
      </c>
      <c r="H167" s="116">
        <f t="shared" si="30"/>
        <v>0</v>
      </c>
      <c r="I167" s="116">
        <f t="shared" si="30"/>
        <v>0</v>
      </c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160">
        <f>SUM(G164+G167)</f>
        <v>7983877.5405247994</v>
      </c>
      <c r="H168" s="160">
        <f>SUM(H164+H167)</f>
        <v>10580000</v>
      </c>
      <c r="I168" s="160">
        <f>SUM(I164+I167)</f>
        <v>9580000</v>
      </c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42</v>
      </c>
      <c r="B172" s="151">
        <v>1237</v>
      </c>
      <c r="C172" s="94" t="s">
        <v>99</v>
      </c>
      <c r="D172" s="122"/>
      <c r="E172" s="108"/>
      <c r="F172" s="98">
        <v>0</v>
      </c>
      <c r="G172" s="98"/>
      <c r="H172" s="98"/>
      <c r="I172" s="108"/>
    </row>
    <row r="173" spans="1:9" s="285" customFormat="1" hidden="1" x14ac:dyDescent="0.25">
      <c r="A173" s="118">
        <v>42</v>
      </c>
      <c r="B173" s="151">
        <v>5725</v>
      </c>
      <c r="C173" s="94" t="s">
        <v>402</v>
      </c>
      <c r="D173" s="85">
        <v>0</v>
      </c>
      <c r="E173" s="85">
        <v>0</v>
      </c>
      <c r="F173" s="85">
        <v>0</v>
      </c>
      <c r="G173" s="85"/>
      <c r="H173" s="85"/>
      <c r="I173" s="85"/>
    </row>
    <row r="174" spans="1:9" s="285" customFormat="1" hidden="1" x14ac:dyDescent="0.25">
      <c r="A174" s="344"/>
      <c r="B174" s="151"/>
      <c r="C174" s="94"/>
      <c r="D174" s="99">
        <f t="shared" ref="D174:E174" si="31">SUM(D173)</f>
        <v>0</v>
      </c>
      <c r="E174" s="99">
        <f t="shared" si="31"/>
        <v>0</v>
      </c>
      <c r="F174" s="99">
        <v>0</v>
      </c>
      <c r="G174" s="99"/>
      <c r="H174" s="99"/>
      <c r="I174" s="99"/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42</v>
      </c>
      <c r="B176" s="151">
        <v>1147</v>
      </c>
      <c r="C176" s="94" t="s">
        <v>102</v>
      </c>
      <c r="D176" s="122"/>
      <c r="E176" s="98"/>
      <c r="F176" s="98">
        <v>0</v>
      </c>
      <c r="G176" s="98"/>
      <c r="H176" s="98"/>
      <c r="I176" s="98"/>
    </row>
    <row r="177" spans="1:9" s="285" customFormat="1" hidden="1" x14ac:dyDescent="0.25">
      <c r="A177" s="118">
        <v>42</v>
      </c>
      <c r="B177" s="151">
        <v>1202</v>
      </c>
      <c r="C177" s="94" t="s">
        <v>343</v>
      </c>
      <c r="D177" s="122"/>
      <c r="E177" s="98"/>
      <c r="F177" s="98">
        <v>0</v>
      </c>
      <c r="G177" s="98"/>
      <c r="H177" s="98"/>
      <c r="I177" s="98"/>
    </row>
    <row r="178" spans="1:9" s="285" customFormat="1" hidden="1" x14ac:dyDescent="0.25">
      <c r="A178" s="118">
        <v>42</v>
      </c>
      <c r="B178" s="151">
        <v>1207</v>
      </c>
      <c r="C178" s="94" t="s">
        <v>104</v>
      </c>
      <c r="D178" s="122"/>
      <c r="E178" s="98"/>
      <c r="F178" s="98">
        <v>0</v>
      </c>
      <c r="G178" s="98"/>
      <c r="H178" s="98"/>
      <c r="I178" s="98"/>
    </row>
    <row r="179" spans="1:9" s="285" customFormat="1" hidden="1" x14ac:dyDescent="0.25">
      <c r="A179" s="118">
        <v>42</v>
      </c>
      <c r="B179" s="151">
        <v>1153</v>
      </c>
      <c r="C179" s="94" t="s">
        <v>115</v>
      </c>
      <c r="D179" s="122"/>
      <c r="E179" s="98"/>
      <c r="F179" s="98">
        <v>0</v>
      </c>
      <c r="G179" s="98"/>
      <c r="H179" s="98"/>
      <c r="I179" s="98"/>
    </row>
    <row r="180" spans="1:9" s="285" customFormat="1" hidden="1" x14ac:dyDescent="0.25">
      <c r="A180" s="118">
        <v>42</v>
      </c>
      <c r="B180" s="151">
        <v>1143</v>
      </c>
      <c r="C180" s="94" t="s">
        <v>109</v>
      </c>
      <c r="D180" s="122"/>
      <c r="E180" s="98"/>
      <c r="F180" s="98">
        <v>0</v>
      </c>
      <c r="G180" s="98"/>
      <c r="H180" s="98"/>
      <c r="I180" s="98"/>
    </row>
    <row r="181" spans="1:9" s="285" customFormat="1" ht="13.5" customHeight="1" x14ac:dyDescent="0.25">
      <c r="A181" s="118">
        <v>42</v>
      </c>
      <c r="B181" s="151">
        <v>5500</v>
      </c>
      <c r="C181" s="94" t="s">
        <v>266</v>
      </c>
      <c r="D181" s="85"/>
      <c r="E181" s="85">
        <v>-33969</v>
      </c>
      <c r="F181" s="85">
        <v>-33969</v>
      </c>
      <c r="G181" s="85">
        <f t="shared" ref="G181:I181" si="32">(F181*0.1)+F181</f>
        <v>-37365.9</v>
      </c>
      <c r="H181" s="85">
        <f t="shared" si="32"/>
        <v>-41102.490000000005</v>
      </c>
      <c r="I181" s="85">
        <f t="shared" si="32"/>
        <v>-45212.739000000009</v>
      </c>
    </row>
    <row r="182" spans="1:9" s="285" customFormat="1" hidden="1" x14ac:dyDescent="0.25">
      <c r="A182" s="118">
        <v>42</v>
      </c>
      <c r="B182" s="151">
        <v>5705</v>
      </c>
      <c r="C182" s="94" t="s">
        <v>296</v>
      </c>
      <c r="D182" s="85"/>
      <c r="E182" s="85"/>
      <c r="F182" s="85">
        <v>0</v>
      </c>
      <c r="G182" s="85">
        <f t="shared" ref="G182:I182" si="33">(F182*0.1)+F182</f>
        <v>0</v>
      </c>
      <c r="H182" s="85">
        <f t="shared" si="33"/>
        <v>0</v>
      </c>
      <c r="I182" s="85">
        <f t="shared" si="33"/>
        <v>0</v>
      </c>
    </row>
    <row r="183" spans="1:9" s="285" customFormat="1" hidden="1" x14ac:dyDescent="0.25">
      <c r="A183" s="118">
        <v>42</v>
      </c>
      <c r="B183" s="151">
        <v>1140</v>
      </c>
      <c r="C183" s="94" t="s">
        <v>113</v>
      </c>
      <c r="D183" s="122"/>
      <c r="E183" s="98"/>
      <c r="F183" s="85">
        <v>0</v>
      </c>
      <c r="G183" s="85">
        <f t="shared" ref="G183:I183" si="34">(F183*0.1)+F183</f>
        <v>0</v>
      </c>
      <c r="H183" s="85">
        <f t="shared" si="34"/>
        <v>0</v>
      </c>
      <c r="I183" s="85">
        <f t="shared" si="34"/>
        <v>0</v>
      </c>
    </row>
    <row r="184" spans="1:9" s="285" customFormat="1" hidden="1" x14ac:dyDescent="0.25">
      <c r="A184" s="118">
        <v>42</v>
      </c>
      <c r="B184" s="151">
        <v>1145</v>
      </c>
      <c r="C184" s="94" t="s">
        <v>132</v>
      </c>
      <c r="D184" s="122"/>
      <c r="E184" s="98"/>
      <c r="F184" s="85">
        <v>0</v>
      </c>
      <c r="G184" s="85">
        <f t="shared" ref="G184:I184" si="35">(F184*0.1)+F184</f>
        <v>0</v>
      </c>
      <c r="H184" s="85">
        <f t="shared" si="35"/>
        <v>0</v>
      </c>
      <c r="I184" s="85">
        <f t="shared" si="35"/>
        <v>0</v>
      </c>
    </row>
    <row r="185" spans="1:9" s="285" customFormat="1" hidden="1" x14ac:dyDescent="0.25">
      <c r="A185" s="118">
        <v>42</v>
      </c>
      <c r="B185" s="151">
        <v>1150</v>
      </c>
      <c r="C185" s="94" t="s">
        <v>120</v>
      </c>
      <c r="D185" s="122"/>
      <c r="E185" s="98"/>
      <c r="F185" s="85">
        <v>0</v>
      </c>
      <c r="G185" s="85">
        <f t="shared" ref="G185:I185" si="36">(F185*0.1)+F185</f>
        <v>0</v>
      </c>
      <c r="H185" s="85">
        <f t="shared" si="36"/>
        <v>0</v>
      </c>
      <c r="I185" s="85">
        <f t="shared" si="36"/>
        <v>0</v>
      </c>
    </row>
    <row r="186" spans="1:9" s="285" customFormat="1" hidden="1" x14ac:dyDescent="0.25">
      <c r="A186" s="118">
        <v>42</v>
      </c>
      <c r="B186" s="151">
        <v>1155</v>
      </c>
      <c r="C186" s="94" t="s">
        <v>116</v>
      </c>
      <c r="D186" s="122"/>
      <c r="E186" s="98"/>
      <c r="F186" s="85">
        <v>0</v>
      </c>
      <c r="G186" s="85">
        <f t="shared" ref="G186:I186" si="37">(F186*0.1)+F186</f>
        <v>0</v>
      </c>
      <c r="H186" s="85">
        <f t="shared" si="37"/>
        <v>0</v>
      </c>
      <c r="I186" s="85">
        <f t="shared" si="37"/>
        <v>0</v>
      </c>
    </row>
    <row r="187" spans="1:9" s="285" customFormat="1" hidden="1" x14ac:dyDescent="0.25">
      <c r="A187" s="118">
        <v>42</v>
      </c>
      <c r="B187" s="151">
        <v>1160</v>
      </c>
      <c r="C187" s="94" t="s">
        <v>101</v>
      </c>
      <c r="D187" s="122"/>
      <c r="E187" s="98"/>
      <c r="F187" s="85">
        <v>0</v>
      </c>
      <c r="G187" s="85">
        <f t="shared" ref="G187:I187" si="38">(F187*0.1)+F187</f>
        <v>0</v>
      </c>
      <c r="H187" s="85">
        <f t="shared" si="38"/>
        <v>0</v>
      </c>
      <c r="I187" s="85">
        <f t="shared" si="38"/>
        <v>0</v>
      </c>
    </row>
    <row r="188" spans="1:9" s="285" customFormat="1" x14ac:dyDescent="0.25">
      <c r="A188" s="118">
        <v>42</v>
      </c>
      <c r="B188" s="151">
        <v>1165</v>
      </c>
      <c r="C188" s="94" t="s">
        <v>114</v>
      </c>
      <c r="D188" s="122">
        <v>4899569</v>
      </c>
      <c r="E188" s="98">
        <v>9195169.3648000006</v>
      </c>
      <c r="F188" s="85">
        <v>9495169.3648000006</v>
      </c>
      <c r="G188" s="85">
        <f t="shared" ref="G188:I188" si="39">(F188*0.1)+F188</f>
        <v>10444686.301280001</v>
      </c>
      <c r="H188" s="85">
        <f t="shared" si="39"/>
        <v>11489154.931408001</v>
      </c>
      <c r="I188" s="85">
        <f t="shared" si="39"/>
        <v>12638070.424548801</v>
      </c>
    </row>
    <row r="189" spans="1:9" s="285" customFormat="1" x14ac:dyDescent="0.25">
      <c r="A189" s="118">
        <v>42</v>
      </c>
      <c r="B189" s="151">
        <v>5905</v>
      </c>
      <c r="C189" s="94" t="s">
        <v>403</v>
      </c>
      <c r="D189" s="122">
        <v>-649824</v>
      </c>
      <c r="E189" s="98">
        <v>-2862000</v>
      </c>
      <c r="F189" s="85">
        <v>-1462000</v>
      </c>
      <c r="G189" s="85">
        <f t="shared" ref="G189:I189" si="40">(F189*0.1)+F189</f>
        <v>-1608200</v>
      </c>
      <c r="H189" s="85">
        <f t="shared" si="40"/>
        <v>-1769020</v>
      </c>
      <c r="I189" s="85">
        <f t="shared" si="40"/>
        <v>-1945922</v>
      </c>
    </row>
    <row r="190" spans="1:9" s="285" customFormat="1" hidden="1" x14ac:dyDescent="0.25">
      <c r="A190" s="118">
        <v>42</v>
      </c>
      <c r="B190" s="151">
        <v>1180</v>
      </c>
      <c r="C190" s="94" t="s">
        <v>404</v>
      </c>
      <c r="D190" s="122"/>
      <c r="E190" s="98"/>
      <c r="F190" s="85">
        <v>0</v>
      </c>
      <c r="G190" s="85">
        <f t="shared" ref="G190:I190" si="41">(F190*0.1)+F190</f>
        <v>0</v>
      </c>
      <c r="H190" s="85">
        <f t="shared" si="41"/>
        <v>0</v>
      </c>
      <c r="I190" s="85">
        <f t="shared" si="41"/>
        <v>0</v>
      </c>
    </row>
    <row r="191" spans="1:9" s="285" customFormat="1" hidden="1" x14ac:dyDescent="0.25">
      <c r="A191" s="118">
        <v>42</v>
      </c>
      <c r="B191" s="151">
        <v>1185</v>
      </c>
      <c r="C191" s="94" t="s">
        <v>405</v>
      </c>
      <c r="D191" s="122"/>
      <c r="E191" s="98"/>
      <c r="F191" s="85">
        <v>0</v>
      </c>
      <c r="G191" s="85">
        <f t="shared" ref="G191:I191" si="42">(F191*0.1)+F191</f>
        <v>0</v>
      </c>
      <c r="H191" s="85">
        <f t="shared" si="42"/>
        <v>0</v>
      </c>
      <c r="I191" s="85">
        <f t="shared" si="42"/>
        <v>0</v>
      </c>
    </row>
    <row r="192" spans="1:9" s="285" customFormat="1" hidden="1" x14ac:dyDescent="0.25">
      <c r="A192" s="118">
        <v>42</v>
      </c>
      <c r="B192" s="151">
        <v>1190</v>
      </c>
      <c r="C192" s="94" t="s">
        <v>406</v>
      </c>
      <c r="D192" s="122"/>
      <c r="E192" s="98"/>
      <c r="F192" s="85">
        <v>0</v>
      </c>
      <c r="G192" s="85">
        <f t="shared" ref="G192:I192" si="43">(F192*0.1)+F192</f>
        <v>0</v>
      </c>
      <c r="H192" s="85">
        <f t="shared" si="43"/>
        <v>0</v>
      </c>
      <c r="I192" s="85">
        <f t="shared" si="43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85">
        <v>0</v>
      </c>
      <c r="G193" s="85">
        <f t="shared" ref="G193:I193" si="44">(F193*0.1)+F193</f>
        <v>0</v>
      </c>
      <c r="H193" s="85">
        <f t="shared" si="44"/>
        <v>0</v>
      </c>
      <c r="I193" s="85">
        <f t="shared" si="44"/>
        <v>0</v>
      </c>
    </row>
    <row r="194" spans="1:9" s="285" customFormat="1" hidden="1" x14ac:dyDescent="0.25">
      <c r="A194" s="118">
        <v>42</v>
      </c>
      <c r="B194" s="151">
        <v>1195</v>
      </c>
      <c r="C194" s="94" t="s">
        <v>199</v>
      </c>
      <c r="D194" s="122"/>
      <c r="E194" s="98"/>
      <c r="F194" s="85">
        <v>0</v>
      </c>
      <c r="G194" s="85">
        <f t="shared" ref="G194:I194" si="45">(F194*0.1)+F194</f>
        <v>0</v>
      </c>
      <c r="H194" s="85">
        <f t="shared" si="45"/>
        <v>0</v>
      </c>
      <c r="I194" s="85">
        <f t="shared" si="45"/>
        <v>0</v>
      </c>
    </row>
    <row r="195" spans="1:9" s="285" customFormat="1" hidden="1" x14ac:dyDescent="0.25">
      <c r="A195" s="118">
        <v>42</v>
      </c>
      <c r="B195" s="151">
        <v>1200</v>
      </c>
      <c r="C195" s="94" t="s">
        <v>117</v>
      </c>
      <c r="D195" s="122"/>
      <c r="E195" s="98"/>
      <c r="F195" s="85">
        <v>0</v>
      </c>
      <c r="G195" s="85">
        <f t="shared" ref="G195:I195" si="46">(F195*0.1)+F195</f>
        <v>0</v>
      </c>
      <c r="H195" s="85">
        <f t="shared" si="46"/>
        <v>0</v>
      </c>
      <c r="I195" s="85">
        <f t="shared" si="46"/>
        <v>0</v>
      </c>
    </row>
    <row r="196" spans="1:9" s="285" customFormat="1" hidden="1" x14ac:dyDescent="0.25">
      <c r="A196" s="118">
        <v>42</v>
      </c>
      <c r="B196" s="151">
        <v>1205</v>
      </c>
      <c r="C196" s="115" t="s">
        <v>105</v>
      </c>
      <c r="D196" s="122"/>
      <c r="E196" s="98"/>
      <c r="F196" s="85">
        <v>0</v>
      </c>
      <c r="G196" s="85">
        <f t="shared" ref="G196:I196" si="47">(F196*0.1)+F196</f>
        <v>0</v>
      </c>
      <c r="H196" s="85">
        <f t="shared" si="47"/>
        <v>0</v>
      </c>
      <c r="I196" s="85">
        <f t="shared" si="47"/>
        <v>0</v>
      </c>
    </row>
    <row r="197" spans="1:9" s="285" customFormat="1" hidden="1" x14ac:dyDescent="0.25">
      <c r="A197" s="118">
        <v>42</v>
      </c>
      <c r="B197" s="151">
        <v>1210</v>
      </c>
      <c r="C197" s="94" t="s">
        <v>118</v>
      </c>
      <c r="D197" s="122"/>
      <c r="E197" s="98"/>
      <c r="F197" s="85">
        <v>0</v>
      </c>
      <c r="G197" s="85">
        <f t="shared" ref="G197:I197" si="48">(F197*0.1)+F197</f>
        <v>0</v>
      </c>
      <c r="H197" s="85">
        <f t="shared" si="48"/>
        <v>0</v>
      </c>
      <c r="I197" s="85">
        <f t="shared" si="48"/>
        <v>0</v>
      </c>
    </row>
    <row r="198" spans="1:9" s="285" customFormat="1" hidden="1" x14ac:dyDescent="0.25">
      <c r="A198" s="118">
        <v>42</v>
      </c>
      <c r="B198" s="151">
        <v>1215</v>
      </c>
      <c r="C198" s="94" t="s">
        <v>133</v>
      </c>
      <c r="D198" s="122"/>
      <c r="E198" s="98"/>
      <c r="F198" s="85">
        <v>0</v>
      </c>
      <c r="G198" s="85">
        <f t="shared" ref="G198:I198" si="49">(F198*0.1)+F198</f>
        <v>0</v>
      </c>
      <c r="H198" s="85">
        <f t="shared" si="49"/>
        <v>0</v>
      </c>
      <c r="I198" s="85">
        <f t="shared" si="49"/>
        <v>0</v>
      </c>
    </row>
    <row r="199" spans="1:9" s="285" customFormat="1" hidden="1" x14ac:dyDescent="0.25">
      <c r="A199" s="118">
        <v>42</v>
      </c>
      <c r="B199" s="151">
        <v>5905</v>
      </c>
      <c r="C199" s="94" t="s">
        <v>329</v>
      </c>
      <c r="D199" s="85"/>
      <c r="E199" s="85"/>
      <c r="F199" s="85">
        <v>0</v>
      </c>
      <c r="G199" s="85">
        <f t="shared" ref="G199:I199" si="50">(F199*0.1)+F199</f>
        <v>0</v>
      </c>
      <c r="H199" s="85">
        <f t="shared" si="50"/>
        <v>0</v>
      </c>
      <c r="I199" s="85">
        <f t="shared" si="50"/>
        <v>0</v>
      </c>
    </row>
    <row r="200" spans="1:9" s="285" customFormat="1" x14ac:dyDescent="0.25">
      <c r="A200" s="118">
        <v>42</v>
      </c>
      <c r="B200" s="151">
        <v>5900</v>
      </c>
      <c r="C200" s="94" t="s">
        <v>333</v>
      </c>
      <c r="D200" s="85"/>
      <c r="E200" s="85">
        <v>-17024</v>
      </c>
      <c r="F200" s="85">
        <v>-17024</v>
      </c>
      <c r="G200" s="85">
        <f t="shared" ref="G200:I200" si="51">(F200*0.1)+F200</f>
        <v>-18726.400000000001</v>
      </c>
      <c r="H200" s="85">
        <f t="shared" si="51"/>
        <v>-20599.04</v>
      </c>
      <c r="I200" s="85">
        <f t="shared" si="51"/>
        <v>-22658.944</v>
      </c>
    </row>
    <row r="201" spans="1:9" s="285" customFormat="1" hidden="1" x14ac:dyDescent="0.25">
      <c r="A201" s="118">
        <v>42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85">
        <f t="shared" ref="G201:I201" si="52">(F201*0.1)+F201</f>
        <v>0</v>
      </c>
      <c r="H201" s="85">
        <f t="shared" si="52"/>
        <v>0</v>
      </c>
      <c r="I201" s="85">
        <f t="shared" si="52"/>
        <v>0</v>
      </c>
    </row>
    <row r="202" spans="1:9" s="285" customFormat="1" hidden="1" x14ac:dyDescent="0.25">
      <c r="A202" s="118">
        <v>42</v>
      </c>
      <c r="B202" s="151">
        <v>1225</v>
      </c>
      <c r="C202" s="94" t="s">
        <v>372</v>
      </c>
      <c r="D202" s="122"/>
      <c r="E202" s="98">
        <v>0</v>
      </c>
      <c r="F202" s="85">
        <v>0</v>
      </c>
      <c r="G202" s="85">
        <f t="shared" ref="G202:I202" si="53">(F202*0.1)+F202</f>
        <v>0</v>
      </c>
      <c r="H202" s="85">
        <f t="shared" si="53"/>
        <v>0</v>
      </c>
      <c r="I202" s="85">
        <f t="shared" si="53"/>
        <v>0</v>
      </c>
    </row>
    <row r="203" spans="1:9" s="285" customFormat="1" hidden="1" x14ac:dyDescent="0.25">
      <c r="A203" s="118">
        <v>42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85">
        <f t="shared" ref="G203:I203" si="54">(F203*0.1)+F203</f>
        <v>0</v>
      </c>
      <c r="H203" s="85">
        <f t="shared" si="54"/>
        <v>0</v>
      </c>
      <c r="I203" s="85">
        <f t="shared" si="54"/>
        <v>0</v>
      </c>
    </row>
    <row r="204" spans="1:9" s="285" customFormat="1" hidden="1" x14ac:dyDescent="0.25">
      <c r="A204" s="118">
        <v>42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85">
        <f t="shared" ref="G204:I204" si="55">(F204*0.1)+F204</f>
        <v>0</v>
      </c>
      <c r="H204" s="85">
        <f t="shared" si="55"/>
        <v>0</v>
      </c>
      <c r="I204" s="85">
        <f t="shared" si="55"/>
        <v>0</v>
      </c>
    </row>
    <row r="205" spans="1:9" s="285" customFormat="1" x14ac:dyDescent="0.25">
      <c r="A205" s="118"/>
      <c r="B205" s="151"/>
      <c r="C205" s="94" t="s">
        <v>512</v>
      </c>
      <c r="D205" s="225"/>
      <c r="E205" s="85"/>
      <c r="F205" s="85">
        <v>0</v>
      </c>
      <c r="G205" s="85">
        <f t="shared" ref="G205:I206" si="56">(F205*0.1)+F205</f>
        <v>0</v>
      </c>
      <c r="H205" s="85">
        <f t="shared" si="56"/>
        <v>0</v>
      </c>
      <c r="I205" s="85">
        <f t="shared" si="56"/>
        <v>0</v>
      </c>
    </row>
    <row r="206" spans="1:9" s="285" customFormat="1" x14ac:dyDescent="0.25">
      <c r="A206" s="344"/>
      <c r="B206" s="151"/>
      <c r="C206" s="94"/>
      <c r="D206" s="100">
        <f t="shared" ref="D206:E206" si="57">SUM(D176:D204)</f>
        <v>4249745</v>
      </c>
      <c r="E206" s="100">
        <f t="shared" si="57"/>
        <v>6282176.3648000006</v>
      </c>
      <c r="F206" s="100">
        <v>7982176.3648000006</v>
      </c>
      <c r="G206" s="100">
        <f>SUM(G181:G205)</f>
        <v>8780394.0012800004</v>
      </c>
      <c r="H206" s="100">
        <f t="shared" si="56"/>
        <v>9658433.4014079999</v>
      </c>
      <c r="I206" s="100">
        <f t="shared" si="56"/>
        <v>10624276.741548799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42</v>
      </c>
      <c r="B208" s="151">
        <v>1305</v>
      </c>
      <c r="C208" s="94" t="s">
        <v>342</v>
      </c>
      <c r="D208" s="122"/>
      <c r="E208" s="98"/>
      <c r="F208" s="98">
        <v>0</v>
      </c>
      <c r="G208" s="98"/>
      <c r="H208" s="98"/>
      <c r="I208" s="98"/>
    </row>
    <row r="209" spans="1:9" s="285" customFormat="1" hidden="1" x14ac:dyDescent="0.25">
      <c r="A209" s="118">
        <v>42</v>
      </c>
      <c r="B209" s="151">
        <v>1310</v>
      </c>
      <c r="C209" s="94" t="s">
        <v>344</v>
      </c>
      <c r="D209" s="122"/>
      <c r="E209" s="98"/>
      <c r="F209" s="98">
        <v>0</v>
      </c>
      <c r="G209" s="98"/>
      <c r="H209" s="98"/>
      <c r="I209" s="98"/>
    </row>
    <row r="210" spans="1:9" s="285" customFormat="1" hidden="1" x14ac:dyDescent="0.25">
      <c r="A210" s="118">
        <v>42</v>
      </c>
      <c r="B210" s="151">
        <v>1320</v>
      </c>
      <c r="C210" s="94" t="s">
        <v>345</v>
      </c>
      <c r="D210" s="122"/>
      <c r="E210" s="98"/>
      <c r="F210" s="98">
        <v>0</v>
      </c>
      <c r="G210" s="98"/>
      <c r="H210" s="98"/>
      <c r="I210" s="98"/>
    </row>
    <row r="211" spans="1:9" s="285" customFormat="1" hidden="1" x14ac:dyDescent="0.25">
      <c r="A211" s="118">
        <v>42</v>
      </c>
      <c r="B211" s="151">
        <v>1315</v>
      </c>
      <c r="C211" s="94" t="s">
        <v>346</v>
      </c>
      <c r="D211" s="122"/>
      <c r="E211" s="108"/>
      <c r="F211" s="98">
        <v>0</v>
      </c>
      <c r="G211" s="98"/>
      <c r="H211" s="98"/>
      <c r="I211" s="108"/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>SUM(E208:E211)</f>
        <v>0</v>
      </c>
      <c r="F212" s="99">
        <v>0</v>
      </c>
      <c r="G212" s="99"/>
      <c r="H212" s="99"/>
      <c r="I212" s="99"/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42</v>
      </c>
      <c r="B214" s="151">
        <v>1400</v>
      </c>
      <c r="C214" s="94" t="s">
        <v>68</v>
      </c>
      <c r="D214" s="122"/>
      <c r="E214" s="108"/>
      <c r="F214" s="98"/>
      <c r="G214" s="98"/>
      <c r="H214" s="98"/>
      <c r="I214" s="108"/>
    </row>
    <row r="215" spans="1:9" s="285" customFormat="1" hidden="1" x14ac:dyDescent="0.25">
      <c r="A215" s="118">
        <v>42</v>
      </c>
      <c r="B215" s="151">
        <v>1405</v>
      </c>
      <c r="C215" s="94" t="s">
        <v>69</v>
      </c>
      <c r="D215" s="122"/>
      <c r="E215" s="108"/>
      <c r="F215" s="98"/>
      <c r="G215" s="98"/>
      <c r="H215" s="98"/>
      <c r="I215" s="108"/>
    </row>
    <row r="216" spans="1:9" s="285" customFormat="1" hidden="1" x14ac:dyDescent="0.25">
      <c r="A216" s="344"/>
      <c r="B216" s="151"/>
      <c r="C216" s="94"/>
      <c r="D216" s="99">
        <f t="shared" ref="D216:E216" si="58">SUM(D214:D215)</f>
        <v>0</v>
      </c>
      <c r="E216" s="99">
        <f t="shared" si="58"/>
        <v>0</v>
      </c>
      <c r="F216" s="99">
        <v>0</v>
      </c>
      <c r="G216" s="99"/>
      <c r="H216" s="99"/>
      <c r="I216" s="99"/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42</v>
      </c>
      <c r="B218" s="151">
        <v>1500</v>
      </c>
      <c r="C218" s="94" t="s">
        <v>106</v>
      </c>
      <c r="D218" s="122"/>
      <c r="E218" s="108"/>
      <c r="F218" s="98"/>
      <c r="G218" s="98"/>
      <c r="H218" s="98"/>
      <c r="I218" s="108"/>
    </row>
    <row r="219" spans="1:9" s="285" customFormat="1" hidden="1" x14ac:dyDescent="0.25">
      <c r="A219" s="118">
        <v>42</v>
      </c>
      <c r="B219" s="151">
        <v>1505</v>
      </c>
      <c r="C219" s="94" t="s">
        <v>71</v>
      </c>
      <c r="D219" s="122"/>
      <c r="E219" s="108"/>
      <c r="F219" s="98"/>
      <c r="G219" s="98"/>
      <c r="H219" s="98"/>
      <c r="I219" s="108"/>
    </row>
    <row r="220" spans="1:9" s="285" customFormat="1" hidden="1" x14ac:dyDescent="0.25">
      <c r="A220" s="118">
        <v>42</v>
      </c>
      <c r="B220" s="151">
        <v>1510</v>
      </c>
      <c r="C220" s="94" t="s">
        <v>72</v>
      </c>
      <c r="D220" s="122"/>
      <c r="E220" s="108"/>
      <c r="F220" s="98"/>
      <c r="G220" s="98"/>
      <c r="H220" s="98"/>
      <c r="I220" s="108"/>
    </row>
    <row r="221" spans="1:9" s="285" customFormat="1" hidden="1" x14ac:dyDescent="0.25">
      <c r="A221" s="344"/>
      <c r="B221" s="151"/>
      <c r="C221" s="94"/>
      <c r="D221" s="99">
        <f t="shared" ref="D221:E221" si="59">SUM(D218:D220)</f>
        <v>0</v>
      </c>
      <c r="E221" s="99">
        <f t="shared" si="59"/>
        <v>0</v>
      </c>
      <c r="F221" s="99">
        <v>0</v>
      </c>
      <c r="G221" s="99"/>
      <c r="H221" s="99"/>
      <c r="I221" s="99"/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42</v>
      </c>
      <c r="B223" s="151">
        <v>1550</v>
      </c>
      <c r="C223" s="94" t="s">
        <v>349</v>
      </c>
      <c r="D223" s="122"/>
      <c r="E223" s="98"/>
      <c r="F223" s="98"/>
      <c r="G223" s="98"/>
      <c r="H223" s="98"/>
      <c r="I223" s="98"/>
    </row>
    <row r="224" spans="1:9" s="285" customFormat="1" hidden="1" x14ac:dyDescent="0.25">
      <c r="A224" s="118">
        <v>42</v>
      </c>
      <c r="B224" s="151">
        <v>1555</v>
      </c>
      <c r="C224" s="94" t="s">
        <v>348</v>
      </c>
      <c r="D224" s="122"/>
      <c r="E224" s="98"/>
      <c r="F224" s="98"/>
      <c r="G224" s="98"/>
      <c r="H224" s="98"/>
      <c r="I224" s="108"/>
    </row>
    <row r="225" spans="1:9" s="285" customFormat="1" hidden="1" x14ac:dyDescent="0.25">
      <c r="A225" s="344"/>
      <c r="B225" s="151"/>
      <c r="C225" s="94"/>
      <c r="D225" s="100">
        <f t="shared" ref="D225:E225" si="60">SUM(D223:D224)</f>
        <v>0</v>
      </c>
      <c r="E225" s="100">
        <f t="shared" si="60"/>
        <v>0</v>
      </c>
      <c r="F225" s="100">
        <v>0</v>
      </c>
      <c r="G225" s="100"/>
      <c r="H225" s="100"/>
      <c r="I225" s="100"/>
    </row>
    <row r="226" spans="1:9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x14ac:dyDescent="0.25">
      <c r="A227" s="118">
        <v>42</v>
      </c>
      <c r="B227" s="151">
        <v>1605</v>
      </c>
      <c r="C227" s="94" t="s">
        <v>75</v>
      </c>
      <c r="D227" s="122">
        <v>6706260</v>
      </c>
      <c r="E227" s="98">
        <v>9000000</v>
      </c>
      <c r="F227" s="85">
        <v>9000000</v>
      </c>
      <c r="G227" s="86">
        <v>9333000</v>
      </c>
      <c r="H227" s="98">
        <v>9711000</v>
      </c>
      <c r="I227" s="85">
        <v>9468000</v>
      </c>
    </row>
    <row r="228" spans="1:9" s="285" customFormat="1" hidden="1" x14ac:dyDescent="0.25">
      <c r="A228" s="118">
        <v>42</v>
      </c>
      <c r="B228" s="151">
        <v>1610</v>
      </c>
      <c r="C228" s="94" t="s">
        <v>131</v>
      </c>
      <c r="D228" s="122"/>
      <c r="E228" s="108"/>
      <c r="F228" s="98"/>
      <c r="G228" s="98"/>
      <c r="H228" s="98"/>
      <c r="I228" s="98"/>
    </row>
    <row r="229" spans="1:9" s="285" customFormat="1" hidden="1" x14ac:dyDescent="0.25">
      <c r="A229" s="118">
        <v>42</v>
      </c>
      <c r="B229" s="151">
        <v>1615</v>
      </c>
      <c r="C229" s="94" t="s">
        <v>182</v>
      </c>
      <c r="D229" s="122"/>
      <c r="E229" s="108"/>
      <c r="F229" s="98"/>
      <c r="G229" s="98"/>
      <c r="H229" s="98"/>
      <c r="I229" s="98"/>
    </row>
    <row r="230" spans="1:9" s="285" customFormat="1" hidden="1" x14ac:dyDescent="0.25">
      <c r="A230" s="118">
        <v>42</v>
      </c>
      <c r="B230" s="151">
        <v>1620</v>
      </c>
      <c r="C230" s="94" t="s">
        <v>255</v>
      </c>
      <c r="D230" s="122"/>
      <c r="E230" s="108"/>
      <c r="F230" s="98"/>
      <c r="G230" s="98"/>
      <c r="H230" s="98"/>
      <c r="I230" s="98"/>
    </row>
    <row r="231" spans="1:9" s="285" customFormat="1" hidden="1" x14ac:dyDescent="0.25">
      <c r="A231" s="118">
        <v>42</v>
      </c>
      <c r="B231" s="151">
        <v>1625</v>
      </c>
      <c r="C231" s="94" t="s">
        <v>108</v>
      </c>
      <c r="D231" s="122"/>
      <c r="E231" s="108"/>
      <c r="F231" s="98"/>
      <c r="G231" s="98"/>
      <c r="H231" s="98"/>
      <c r="I231" s="98"/>
    </row>
    <row r="232" spans="1:9" s="285" customFormat="1" hidden="1" x14ac:dyDescent="0.25">
      <c r="A232" s="118">
        <v>42</v>
      </c>
      <c r="B232" s="151">
        <v>1630</v>
      </c>
      <c r="C232" s="94" t="s">
        <v>76</v>
      </c>
      <c r="D232" s="122"/>
      <c r="E232" s="108"/>
      <c r="F232" s="98"/>
      <c r="G232" s="98"/>
      <c r="H232" s="98"/>
      <c r="I232" s="98"/>
    </row>
    <row r="233" spans="1:9" s="285" customFormat="1" hidden="1" x14ac:dyDescent="0.25">
      <c r="A233" s="118">
        <v>42</v>
      </c>
      <c r="B233" s="151">
        <v>1635</v>
      </c>
      <c r="C233" s="94" t="s">
        <v>180</v>
      </c>
      <c r="D233" s="122"/>
      <c r="E233" s="108"/>
      <c r="F233" s="98"/>
      <c r="G233" s="98"/>
      <c r="H233" s="98"/>
      <c r="I233" s="98"/>
    </row>
    <row r="234" spans="1:9" s="285" customFormat="1" hidden="1" x14ac:dyDescent="0.25">
      <c r="A234" s="118">
        <v>42</v>
      </c>
      <c r="B234" s="151">
        <v>1640</v>
      </c>
      <c r="C234" s="94" t="s">
        <v>184</v>
      </c>
      <c r="D234" s="122"/>
      <c r="E234" s="108"/>
      <c r="F234" s="98"/>
      <c r="G234" s="98"/>
      <c r="H234" s="98"/>
      <c r="I234" s="98"/>
    </row>
    <row r="235" spans="1:9" s="285" customFormat="1" hidden="1" x14ac:dyDescent="0.25">
      <c r="A235" s="118">
        <v>42</v>
      </c>
      <c r="B235" s="151">
        <v>1645</v>
      </c>
      <c r="C235" s="94" t="s">
        <v>77</v>
      </c>
      <c r="D235" s="122"/>
      <c r="E235" s="108"/>
      <c r="F235" s="98"/>
      <c r="G235" s="98"/>
      <c r="H235" s="98"/>
      <c r="I235" s="98"/>
    </row>
    <row r="236" spans="1:9" s="285" customFormat="1" hidden="1" x14ac:dyDescent="0.25">
      <c r="A236" s="118">
        <v>42</v>
      </c>
      <c r="B236" s="151">
        <v>1650</v>
      </c>
      <c r="C236" s="94" t="s">
        <v>78</v>
      </c>
      <c r="D236" s="122"/>
      <c r="E236" s="108"/>
      <c r="F236" s="98"/>
      <c r="G236" s="98"/>
      <c r="H236" s="98"/>
      <c r="I236" s="98"/>
    </row>
    <row r="237" spans="1:9" s="285" customFormat="1" hidden="1" x14ac:dyDescent="0.25">
      <c r="A237" s="118">
        <v>42</v>
      </c>
      <c r="B237" s="151"/>
      <c r="C237" s="94" t="s">
        <v>200</v>
      </c>
      <c r="D237" s="122"/>
      <c r="E237" s="108"/>
      <c r="F237" s="98"/>
      <c r="G237" s="98"/>
      <c r="H237" s="98"/>
      <c r="I237" s="98"/>
    </row>
    <row r="238" spans="1:9" s="285" customFormat="1" hidden="1" x14ac:dyDescent="0.25">
      <c r="A238" s="118">
        <v>42</v>
      </c>
      <c r="B238" s="151">
        <v>1660</v>
      </c>
      <c r="C238" s="94" t="s">
        <v>185</v>
      </c>
      <c r="D238" s="122"/>
      <c r="E238" s="108"/>
      <c r="F238" s="98"/>
      <c r="G238" s="98"/>
      <c r="H238" s="98"/>
      <c r="I238" s="98"/>
    </row>
    <row r="239" spans="1:9" s="285" customFormat="1" hidden="1" x14ac:dyDescent="0.25">
      <c r="A239" s="118">
        <v>42</v>
      </c>
      <c r="B239" s="151">
        <v>1665</v>
      </c>
      <c r="C239" s="94" t="s">
        <v>181</v>
      </c>
      <c r="D239" s="122"/>
      <c r="E239" s="108"/>
      <c r="F239" s="98"/>
      <c r="G239" s="98"/>
      <c r="H239" s="98"/>
      <c r="I239" s="98"/>
    </row>
    <row r="240" spans="1:9" s="285" customFormat="1" x14ac:dyDescent="0.25">
      <c r="A240" s="344"/>
      <c r="B240" s="151"/>
      <c r="C240" s="94"/>
      <c r="D240" s="99">
        <f t="shared" ref="D240:E240" si="61">SUM(D227:D239)</f>
        <v>6706260</v>
      </c>
      <c r="E240" s="99">
        <f t="shared" si="61"/>
        <v>9000000</v>
      </c>
      <c r="F240" s="99">
        <v>9000000</v>
      </c>
      <c r="G240" s="443">
        <v>9000000</v>
      </c>
      <c r="H240" s="443">
        <v>9000000</v>
      </c>
      <c r="I240" s="443">
        <v>9000000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42"/>
      <c r="H241" s="442"/>
      <c r="I241" s="442"/>
    </row>
    <row r="242" spans="1:9" s="285" customFormat="1" hidden="1" x14ac:dyDescent="0.25">
      <c r="A242" s="118">
        <v>42</v>
      </c>
      <c r="B242" s="151">
        <v>1705</v>
      </c>
      <c r="C242" s="94" t="s">
        <v>123</v>
      </c>
      <c r="D242" s="122"/>
      <c r="E242" s="98"/>
      <c r="F242" s="98"/>
      <c r="G242" s="442"/>
      <c r="H242" s="442"/>
      <c r="I242" s="442"/>
    </row>
    <row r="243" spans="1:9" s="285" customFormat="1" hidden="1" x14ac:dyDescent="0.25">
      <c r="A243" s="118">
        <v>42</v>
      </c>
      <c r="B243" s="151">
        <v>1710</v>
      </c>
      <c r="C243" s="94" t="s">
        <v>242</v>
      </c>
      <c r="D243" s="122"/>
      <c r="E243" s="98"/>
      <c r="F243" s="98"/>
      <c r="G243" s="442"/>
      <c r="H243" s="442"/>
      <c r="I243" s="442"/>
    </row>
    <row r="244" spans="1:9" s="285" customFormat="1" hidden="1" x14ac:dyDescent="0.25">
      <c r="A244" s="118">
        <v>42</v>
      </c>
      <c r="B244" s="151">
        <v>1715</v>
      </c>
      <c r="C244" s="94" t="s">
        <v>183</v>
      </c>
      <c r="D244" s="122"/>
      <c r="E244" s="98"/>
      <c r="F244" s="98"/>
      <c r="G244" s="442"/>
      <c r="H244" s="442"/>
      <c r="I244" s="442"/>
    </row>
    <row r="245" spans="1:9" s="285" customFormat="1" hidden="1" x14ac:dyDescent="0.25">
      <c r="A245" s="118">
        <v>42</v>
      </c>
      <c r="B245" s="151">
        <v>1720</v>
      </c>
      <c r="C245" s="94" t="s">
        <v>103</v>
      </c>
      <c r="D245" s="122"/>
      <c r="E245" s="98"/>
      <c r="F245" s="98"/>
      <c r="G245" s="442"/>
      <c r="H245" s="442"/>
      <c r="I245" s="442"/>
    </row>
    <row r="246" spans="1:9" s="285" customFormat="1" hidden="1" x14ac:dyDescent="0.25">
      <c r="A246" s="118">
        <v>42</v>
      </c>
      <c r="B246" s="151">
        <v>1725</v>
      </c>
      <c r="C246" s="94" t="s">
        <v>107</v>
      </c>
      <c r="D246" s="122"/>
      <c r="E246" s="98"/>
      <c r="F246" s="98"/>
      <c r="G246" s="442"/>
      <c r="H246" s="442"/>
      <c r="I246" s="442"/>
    </row>
    <row r="247" spans="1:9" s="285" customFormat="1" hidden="1" x14ac:dyDescent="0.25">
      <c r="A247" s="118">
        <v>42</v>
      </c>
      <c r="B247" s="151">
        <v>1730</v>
      </c>
      <c r="C247" s="94" t="s">
        <v>256</v>
      </c>
      <c r="D247" s="122"/>
      <c r="E247" s="98"/>
      <c r="F247" s="98"/>
      <c r="G247" s="442"/>
      <c r="H247" s="442"/>
      <c r="I247" s="442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" si="62">SUM(E242:E247)</f>
        <v>0</v>
      </c>
      <c r="F248" s="99">
        <v>0</v>
      </c>
      <c r="G248" s="443">
        <v>0</v>
      </c>
      <c r="H248" s="443">
        <v>0</v>
      </c>
      <c r="I248" s="443"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42"/>
      <c r="H249" s="442"/>
      <c r="I249" s="442"/>
    </row>
    <row r="250" spans="1:9" s="285" customFormat="1" hidden="1" x14ac:dyDescent="0.25">
      <c r="A250" s="118">
        <v>42</v>
      </c>
      <c r="B250" s="151">
        <v>1805</v>
      </c>
      <c r="C250" s="94" t="s">
        <v>81</v>
      </c>
      <c r="D250" s="122"/>
      <c r="E250" s="108"/>
      <c r="F250" s="98"/>
      <c r="G250" s="442"/>
      <c r="H250" s="442"/>
      <c r="I250" s="442"/>
    </row>
    <row r="251" spans="1:9" s="285" customFormat="1" hidden="1" x14ac:dyDescent="0.25">
      <c r="A251" s="344"/>
      <c r="B251" s="151"/>
      <c r="C251" s="94"/>
      <c r="D251" s="99">
        <f t="shared" ref="D251:E251" si="63">D250</f>
        <v>0</v>
      </c>
      <c r="E251" s="99">
        <f t="shared" si="63"/>
        <v>0</v>
      </c>
      <c r="F251" s="99">
        <v>0</v>
      </c>
      <c r="G251" s="443">
        <v>0</v>
      </c>
      <c r="H251" s="443">
        <v>0</v>
      </c>
      <c r="I251" s="443"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E252" si="64">SUM(D171:D251)/2</f>
        <v>10956005</v>
      </c>
      <c r="E252" s="117">
        <f t="shared" si="64"/>
        <v>15282176.364800001</v>
      </c>
      <c r="F252" s="117">
        <v>16982176.364799999</v>
      </c>
      <c r="G252" s="449">
        <v>16982176.364799999</v>
      </c>
      <c r="H252" s="449">
        <v>16982176.364799999</v>
      </c>
      <c r="I252" s="449">
        <v>16982176.364799999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449"/>
      <c r="H253" s="449"/>
      <c r="I253" s="449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52"/>
      <c r="H254" s="452"/>
      <c r="I254" s="452"/>
    </row>
    <row r="255" spans="1:9" s="285" customFormat="1" hidden="1" x14ac:dyDescent="0.25">
      <c r="A255" s="118">
        <v>42</v>
      </c>
      <c r="B255" s="151">
        <v>1905</v>
      </c>
      <c r="C255" s="118" t="s">
        <v>194</v>
      </c>
      <c r="D255" s="127"/>
      <c r="E255" s="147"/>
      <c r="F255" s="98"/>
      <c r="G255" s="442"/>
      <c r="H255" s="442"/>
      <c r="I255" s="442"/>
    </row>
    <row r="256" spans="1:9" s="285" customFormat="1" hidden="1" x14ac:dyDescent="0.25">
      <c r="A256" s="344"/>
      <c r="B256" s="151"/>
      <c r="C256" s="94"/>
      <c r="D256" s="117">
        <f t="shared" ref="D256:E256" si="65">SUM(D255)</f>
        <v>0</v>
      </c>
      <c r="E256" s="117">
        <f t="shared" si="65"/>
        <v>0</v>
      </c>
      <c r="F256" s="117">
        <v>0</v>
      </c>
      <c r="G256" s="449">
        <v>0</v>
      </c>
      <c r="H256" s="449">
        <v>0</v>
      </c>
      <c r="I256" s="449"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E257" si="66">D252+D256</f>
        <v>10956005</v>
      </c>
      <c r="E257" s="117">
        <f t="shared" si="66"/>
        <v>15282176.364800001</v>
      </c>
      <c r="F257" s="117">
        <v>16982176.364799999</v>
      </c>
      <c r="G257" s="449">
        <v>16982176.364799999</v>
      </c>
      <c r="H257" s="449">
        <v>16982176.364799999</v>
      </c>
      <c r="I257" s="449">
        <v>16982176.364799999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53"/>
      <c r="H258" s="453"/>
      <c r="I258" s="453"/>
    </row>
    <row r="259" spans="1:9" s="285" customFormat="1" hidden="1" x14ac:dyDescent="0.25">
      <c r="A259" s="118">
        <v>42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442">
        <f t="shared" ref="G259:I259" si="67">F259/8*12</f>
        <v>0</v>
      </c>
      <c r="H259" s="442">
        <f t="shared" si="67"/>
        <v>0</v>
      </c>
      <c r="I259" s="442">
        <f t="shared" si="67"/>
        <v>0</v>
      </c>
    </row>
    <row r="260" spans="1:9" s="285" customFormat="1" hidden="1" x14ac:dyDescent="0.25">
      <c r="A260" s="344"/>
      <c r="B260" s="346"/>
      <c r="C260" s="94"/>
      <c r="D260" s="124">
        <f t="shared" ref="D260:F260" si="68">D259</f>
        <v>0</v>
      </c>
      <c r="E260" s="124">
        <f t="shared" si="68"/>
        <v>0</v>
      </c>
      <c r="F260" s="124">
        <f t="shared" si="68"/>
        <v>0</v>
      </c>
      <c r="G260" s="452">
        <f t="shared" ref="G260:I260" si="69">G259</f>
        <v>0</v>
      </c>
      <c r="H260" s="452">
        <f t="shared" si="69"/>
        <v>0</v>
      </c>
      <c r="I260" s="452">
        <f t="shared" si="69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F261" si="70">D257+D260</f>
        <v>10956005</v>
      </c>
      <c r="E261" s="160">
        <f t="shared" si="70"/>
        <v>15282176.364800001</v>
      </c>
      <c r="F261" s="160">
        <f t="shared" si="70"/>
        <v>16982176.364799999</v>
      </c>
      <c r="G261" s="463">
        <f t="shared" ref="G261:I261" si="71">G257+G260</f>
        <v>16982176.364799999</v>
      </c>
      <c r="H261" s="463">
        <f t="shared" si="71"/>
        <v>16982176.364799999</v>
      </c>
      <c r="I261" s="463">
        <f t="shared" si="71"/>
        <v>16982176.364799999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F262" si="72">D261-D165</f>
        <v>7763502</v>
      </c>
      <c r="E262" s="161">
        <f t="shared" si="72"/>
        <v>4208564.4052320011</v>
      </c>
      <c r="F262" s="161">
        <f t="shared" si="72"/>
        <v>10004564.405231999</v>
      </c>
      <c r="G262" s="464">
        <f t="shared" ref="G262:I262" si="73">G261-G165</f>
        <v>8998298.8242751993</v>
      </c>
      <c r="H262" s="464">
        <f t="shared" si="73"/>
        <v>6402176.3647999987</v>
      </c>
      <c r="I262" s="464">
        <f t="shared" si="73"/>
        <v>7402176.3647999987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5" spans="1:9" s="285" customFormat="1" x14ac:dyDescent="0.25">
      <c r="B265" s="352"/>
    </row>
    <row r="266" spans="1:9" s="285" customFormat="1" x14ac:dyDescent="0.25">
      <c r="B266" s="352"/>
      <c r="E266" s="128"/>
      <c r="F266" s="128"/>
      <c r="G266" s="128"/>
      <c r="H266" s="128"/>
    </row>
    <row r="267" spans="1:9" s="285" customFormat="1" x14ac:dyDescent="0.25">
      <c r="B267" s="352"/>
      <c r="E267" s="128"/>
      <c r="F267" s="128"/>
      <c r="G267" s="128"/>
      <c r="H267" s="128"/>
      <c r="I267" s="355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5" right="0.75" top="1" bottom="1" header="0.5" footer="0.5"/>
  <pageSetup scale="4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68"/>
  <sheetViews>
    <sheetView view="pageBreakPreview" zoomScaleSheetLayoutView="100" workbookViewId="0">
      <selection activeCell="I32" sqref="I32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7" width="16.332031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364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x14ac:dyDescent="0.25">
      <c r="A3" s="703" t="s">
        <v>417</v>
      </c>
      <c r="B3" s="704"/>
      <c r="C3" s="705"/>
      <c r="D3" s="149"/>
      <c r="E3" s="102"/>
      <c r="F3" s="102"/>
      <c r="G3" s="424"/>
      <c r="H3" s="276"/>
      <c r="I3" s="276"/>
    </row>
    <row r="4" spans="1:9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x14ac:dyDescent="0.25">
      <c r="A6" s="129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44</v>
      </c>
      <c r="B7" s="155">
        <v>5005</v>
      </c>
      <c r="C7" s="94" t="s">
        <v>241</v>
      </c>
      <c r="D7" s="85">
        <f>360*6</f>
        <v>2160</v>
      </c>
      <c r="E7" s="85">
        <v>1600</v>
      </c>
      <c r="F7" s="85">
        <v>1600</v>
      </c>
      <c r="G7" s="435">
        <f t="shared" ref="G7:I17" si="0">(F7*0.068)+F7</f>
        <v>1708.8</v>
      </c>
      <c r="H7" s="435">
        <f t="shared" si="0"/>
        <v>1824.9983999999999</v>
      </c>
      <c r="I7" s="435">
        <f t="shared" si="0"/>
        <v>1949.0982911999999</v>
      </c>
    </row>
    <row r="8" spans="1:9" s="285" customFormat="1" hidden="1" x14ac:dyDescent="0.25">
      <c r="A8" s="118">
        <v>44</v>
      </c>
      <c r="B8" s="151">
        <v>5010</v>
      </c>
      <c r="C8" s="94" t="s">
        <v>34</v>
      </c>
      <c r="D8" s="85"/>
      <c r="E8" s="85"/>
      <c r="F8" s="85"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hidden="1" x14ac:dyDescent="0.25">
      <c r="A9" s="118">
        <v>44</v>
      </c>
      <c r="B9" s="151">
        <v>5015</v>
      </c>
      <c r="C9" s="94" t="s">
        <v>35</v>
      </c>
      <c r="D9" s="85"/>
      <c r="E9" s="85"/>
      <c r="F9" s="85">
        <v>0</v>
      </c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s="285" customFormat="1" hidden="1" x14ac:dyDescent="0.25">
      <c r="A10" s="118">
        <v>44</v>
      </c>
      <c r="B10" s="151">
        <v>5020</v>
      </c>
      <c r="C10" s="94" t="s">
        <v>350</v>
      </c>
      <c r="D10" s="85"/>
      <c r="E10" s="85"/>
      <c r="F10" s="85"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hidden="1" x14ac:dyDescent="0.25">
      <c r="A11" s="118">
        <v>44</v>
      </c>
      <c r="B11" s="151">
        <v>5025</v>
      </c>
      <c r="C11" s="94" t="s">
        <v>36</v>
      </c>
      <c r="D11" s="85"/>
      <c r="E11" s="85"/>
      <c r="F11" s="85"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44</v>
      </c>
      <c r="B12" s="151">
        <v>5030</v>
      </c>
      <c r="C12" s="94" t="s">
        <v>85</v>
      </c>
      <c r="D12" s="85">
        <v>12155</v>
      </c>
      <c r="E12" s="85">
        <v>42000</v>
      </c>
      <c r="F12" s="85">
        <v>42000</v>
      </c>
      <c r="G12" s="435">
        <f t="shared" si="0"/>
        <v>44856</v>
      </c>
      <c r="H12" s="435">
        <f t="shared" si="0"/>
        <v>47906.207999999999</v>
      </c>
      <c r="I12" s="435">
        <f t="shared" si="0"/>
        <v>51163.830144</v>
      </c>
    </row>
    <row r="13" spans="1:9" s="285" customFormat="1" hidden="1" x14ac:dyDescent="0.25">
      <c r="A13" s="118">
        <v>44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44</v>
      </c>
      <c r="B14" s="151">
        <v>5040</v>
      </c>
      <c r="C14" s="94" t="s">
        <v>37</v>
      </c>
      <c r="D14" s="85">
        <v>163328</v>
      </c>
      <c r="E14" s="85">
        <v>400000</v>
      </c>
      <c r="F14" s="85">
        <v>400000</v>
      </c>
      <c r="G14" s="435">
        <f t="shared" si="0"/>
        <v>427200</v>
      </c>
      <c r="H14" s="435">
        <f t="shared" si="0"/>
        <v>456249.59999999998</v>
      </c>
      <c r="I14" s="435">
        <f t="shared" si="0"/>
        <v>487274.57279999997</v>
      </c>
    </row>
    <row r="15" spans="1:9" s="285" customFormat="1" hidden="1" x14ac:dyDescent="0.25">
      <c r="A15" s="118">
        <v>44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44</v>
      </c>
      <c r="B16" s="151">
        <v>5050</v>
      </c>
      <c r="C16" s="94" t="s">
        <v>83</v>
      </c>
      <c r="D16" s="85">
        <v>147198</v>
      </c>
      <c r="E16" s="85">
        <v>135000</v>
      </c>
      <c r="F16" s="85">
        <v>135000</v>
      </c>
      <c r="G16" s="435">
        <f t="shared" si="0"/>
        <v>144180</v>
      </c>
      <c r="H16" s="435">
        <f t="shared" si="0"/>
        <v>153984.24</v>
      </c>
      <c r="I16" s="435">
        <f t="shared" si="0"/>
        <v>164455.16832</v>
      </c>
    </row>
    <row r="17" spans="1:9" s="285" customFormat="1" x14ac:dyDescent="0.25">
      <c r="A17" s="118">
        <v>44</v>
      </c>
      <c r="B17" s="151">
        <v>5055</v>
      </c>
      <c r="C17" s="94" t="s">
        <v>39</v>
      </c>
      <c r="D17" s="85">
        <f>316691*6</f>
        <v>1900146</v>
      </c>
      <c r="E17" s="85">
        <v>4040000</v>
      </c>
      <c r="F17" s="85">
        <v>4040000</v>
      </c>
      <c r="G17" s="435">
        <f t="shared" si="0"/>
        <v>4314720</v>
      </c>
      <c r="H17" s="435">
        <f t="shared" si="0"/>
        <v>4608120.96</v>
      </c>
      <c r="I17" s="435">
        <f t="shared" si="0"/>
        <v>4921473.1852799999</v>
      </c>
    </row>
    <row r="18" spans="1:9" s="285" customFormat="1" x14ac:dyDescent="0.25">
      <c r="A18" s="344"/>
      <c r="B18" s="151"/>
      <c r="C18" s="94"/>
      <c r="D18" s="89">
        <f t="shared" ref="D18:E18" si="1">SUM(D7:D17)</f>
        <v>2224987</v>
      </c>
      <c r="E18" s="89">
        <f t="shared" si="1"/>
        <v>4618600</v>
      </c>
      <c r="F18" s="89">
        <v>4618600</v>
      </c>
      <c r="G18" s="89">
        <f>SUM(G7:G17)</f>
        <v>4932664.8</v>
      </c>
      <c r="H18" s="89">
        <f t="shared" ref="H18:I18" si="2">SUM(H7:H17)</f>
        <v>5268086.0064000003</v>
      </c>
      <c r="I18" s="89">
        <f t="shared" si="2"/>
        <v>5626315.8548352001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44</v>
      </c>
      <c r="B20" s="151">
        <v>5105</v>
      </c>
      <c r="C20" s="94" t="s">
        <v>41</v>
      </c>
      <c r="D20" s="85">
        <f>25278*6</f>
        <v>151668</v>
      </c>
      <c r="E20" s="85">
        <v>232000</v>
      </c>
      <c r="F20" s="85">
        <v>232000</v>
      </c>
      <c r="G20" s="435">
        <f t="shared" ref="G20:I24" si="3">(F20*0.068)+F20</f>
        <v>247776</v>
      </c>
      <c r="H20" s="435">
        <f t="shared" si="3"/>
        <v>264624.76799999998</v>
      </c>
      <c r="I20" s="435">
        <f t="shared" si="3"/>
        <v>282619.252224</v>
      </c>
    </row>
    <row r="21" spans="1:9" s="285" customFormat="1" x14ac:dyDescent="0.25">
      <c r="A21" s="118">
        <v>44</v>
      </c>
      <c r="B21" s="151">
        <v>5115</v>
      </c>
      <c r="C21" s="94" t="s">
        <v>42</v>
      </c>
      <c r="D21" s="85">
        <f>51177*6</f>
        <v>307062</v>
      </c>
      <c r="E21" s="85">
        <v>652000</v>
      </c>
      <c r="F21" s="85">
        <v>652000</v>
      </c>
      <c r="G21" s="435">
        <f t="shared" si="3"/>
        <v>696336</v>
      </c>
      <c r="H21" s="435">
        <f t="shared" si="3"/>
        <v>743686.848</v>
      </c>
      <c r="I21" s="435">
        <f t="shared" si="3"/>
        <v>794257.55366400001</v>
      </c>
    </row>
    <row r="22" spans="1:9" s="285" customFormat="1" x14ac:dyDescent="0.25">
      <c r="A22" s="118">
        <v>44</v>
      </c>
      <c r="B22" s="151">
        <v>5120</v>
      </c>
      <c r="C22" s="94" t="s">
        <v>43</v>
      </c>
      <c r="D22" s="85">
        <f>11509*6</f>
        <v>69054</v>
      </c>
      <c r="E22" s="85">
        <v>139000</v>
      </c>
      <c r="F22" s="85">
        <v>139000</v>
      </c>
      <c r="G22" s="435">
        <f t="shared" si="3"/>
        <v>148452</v>
      </c>
      <c r="H22" s="435">
        <f t="shared" si="3"/>
        <v>158546.736</v>
      </c>
      <c r="I22" s="435">
        <f t="shared" si="3"/>
        <v>169327.91404800001</v>
      </c>
    </row>
    <row r="23" spans="1:9" s="285" customFormat="1" hidden="1" x14ac:dyDescent="0.25">
      <c r="A23" s="118">
        <v>44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3"/>
        <v>0</v>
      </c>
      <c r="H23" s="435">
        <f t="shared" si="3"/>
        <v>0</v>
      </c>
      <c r="I23" s="435">
        <f t="shared" si="3"/>
        <v>0</v>
      </c>
    </row>
    <row r="24" spans="1:9" s="285" customFormat="1" x14ac:dyDescent="0.25">
      <c r="A24" s="118">
        <v>44</v>
      </c>
      <c r="B24" s="151">
        <v>5130</v>
      </c>
      <c r="C24" s="94" t="s">
        <v>45</v>
      </c>
      <c r="D24" s="85">
        <f>4070*6</f>
        <v>24420</v>
      </c>
      <c r="E24" s="85">
        <v>51500</v>
      </c>
      <c r="F24" s="85">
        <v>51500</v>
      </c>
      <c r="G24" s="435">
        <f t="shared" si="3"/>
        <v>55002</v>
      </c>
      <c r="H24" s="435">
        <f t="shared" si="3"/>
        <v>58742.135999999999</v>
      </c>
      <c r="I24" s="435">
        <f t="shared" si="3"/>
        <v>62736.601247999999</v>
      </c>
    </row>
    <row r="25" spans="1:9" s="285" customFormat="1" x14ac:dyDescent="0.25">
      <c r="A25" s="344"/>
      <c r="B25" s="151"/>
      <c r="C25" s="94"/>
      <c r="D25" s="89">
        <f t="shared" ref="D25:E25" si="4">SUM(D20:D24)</f>
        <v>552204</v>
      </c>
      <c r="E25" s="89">
        <f t="shared" si="4"/>
        <v>1074500</v>
      </c>
      <c r="F25" s="89">
        <v>1074500</v>
      </c>
      <c r="G25" s="89">
        <f>SUM(G20:G24)</f>
        <v>1147566</v>
      </c>
      <c r="H25" s="89">
        <f t="shared" ref="H25:I25" si="5">SUM(H20:H24)</f>
        <v>1225600.4879999999</v>
      </c>
      <c r="I25" s="89">
        <f t="shared" si="5"/>
        <v>1308941.321184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t="14.25" hidden="1" customHeigh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44</v>
      </c>
      <c r="B28" s="151">
        <v>5150</v>
      </c>
      <c r="C28" s="94" t="s">
        <v>48</v>
      </c>
      <c r="D28" s="85"/>
      <c r="E28" s="85"/>
      <c r="F28" s="85"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E29" si="6">D28</f>
        <v>0</v>
      </c>
      <c r="E29" s="89">
        <f t="shared" si="6"/>
        <v>0</v>
      </c>
      <c r="F29" s="89">
        <v>0</v>
      </c>
      <c r="G29" s="89"/>
      <c r="H29" s="89"/>
      <c r="I29" s="89"/>
    </row>
    <row r="30" spans="1:9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x14ac:dyDescent="0.25">
      <c r="A31" s="118">
        <v>44</v>
      </c>
      <c r="B31" s="151">
        <v>5170</v>
      </c>
      <c r="C31" s="94" t="s">
        <v>341</v>
      </c>
      <c r="D31" s="85"/>
      <c r="E31" s="85">
        <v>8129985.6119040009</v>
      </c>
      <c r="F31" s="85">
        <v>129985.61190400086</v>
      </c>
      <c r="G31" s="606">
        <v>922984</v>
      </c>
      <c r="H31" s="606">
        <v>1518343</v>
      </c>
      <c r="I31" s="606">
        <v>2506978</v>
      </c>
    </row>
    <row r="32" spans="1:9" s="285" customFormat="1" x14ac:dyDescent="0.25">
      <c r="A32" s="344"/>
      <c r="B32" s="151"/>
      <c r="C32" s="94"/>
      <c r="D32" s="89">
        <f t="shared" ref="D32:E32" si="7">SUM(D31)</f>
        <v>0</v>
      </c>
      <c r="E32" s="89">
        <f t="shared" si="7"/>
        <v>8129985.6119040009</v>
      </c>
      <c r="F32" s="89">
        <v>129985.61190400086</v>
      </c>
      <c r="G32" s="89">
        <f>SUM(G31)</f>
        <v>922984</v>
      </c>
      <c r="H32" s="89">
        <f t="shared" ref="H32:I32" si="8">SUM(H31)</f>
        <v>1518343</v>
      </c>
      <c r="I32" s="89">
        <f t="shared" si="8"/>
        <v>2506978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44</v>
      </c>
      <c r="B34" s="151">
        <v>5180</v>
      </c>
      <c r="C34" s="94" t="s">
        <v>51</v>
      </c>
      <c r="D34" s="85"/>
      <c r="E34" s="108"/>
      <c r="F34" s="85"/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E35" si="9">SUM(D34)</f>
        <v>0</v>
      </c>
      <c r="E35" s="89">
        <f t="shared" si="9"/>
        <v>0</v>
      </c>
      <c r="F35" s="89">
        <v>0</v>
      </c>
      <c r="G35" s="89"/>
      <c r="H35" s="89"/>
      <c r="I35" s="89"/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44</v>
      </c>
      <c r="B37" s="151">
        <v>5190</v>
      </c>
      <c r="C37" s="94" t="s">
        <v>53</v>
      </c>
      <c r="D37" s="85"/>
      <c r="E37" s="85"/>
      <c r="F37" s="108"/>
      <c r="G37" s="108"/>
      <c r="H37" s="108"/>
      <c r="I37" s="85"/>
    </row>
    <row r="38" spans="1:9" s="285" customFormat="1" hidden="1" x14ac:dyDescent="0.25">
      <c r="A38" s="344"/>
      <c r="B38" s="151"/>
      <c r="C38" s="94"/>
      <c r="D38" s="89">
        <f t="shared" ref="D38:E38" si="10">D37</f>
        <v>0</v>
      </c>
      <c r="E38" s="89">
        <f t="shared" si="10"/>
        <v>0</v>
      </c>
      <c r="F38" s="89">
        <v>0</v>
      </c>
      <c r="G38" s="89"/>
      <c r="H38" s="89"/>
      <c r="I38" s="89"/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hidden="1" x14ac:dyDescent="0.25">
      <c r="A40" s="118">
        <v>44</v>
      </c>
      <c r="B40" s="151">
        <v>5200</v>
      </c>
      <c r="C40" s="94" t="s">
        <v>55</v>
      </c>
      <c r="D40" s="85"/>
      <c r="E40" s="108"/>
      <c r="F40" s="85">
        <v>0</v>
      </c>
      <c r="G40" s="85"/>
      <c r="H40" s="85"/>
      <c r="I40" s="85"/>
    </row>
    <row r="41" spans="1:9" s="285" customFormat="1" x14ac:dyDescent="0.25">
      <c r="A41" s="118">
        <v>44</v>
      </c>
      <c r="B41" s="151">
        <v>5205</v>
      </c>
      <c r="C41" s="94" t="s">
        <v>56</v>
      </c>
      <c r="D41" s="85">
        <v>614</v>
      </c>
      <c r="E41" s="85">
        <v>71775.87</v>
      </c>
      <c r="F41" s="85">
        <v>21775.869999999995</v>
      </c>
      <c r="G41" s="85">
        <f t="shared" ref="G41:I41" si="11">(F41*0.1)+F41</f>
        <v>23953.456999999995</v>
      </c>
      <c r="H41" s="85">
        <f t="shared" si="11"/>
        <v>26348.802699999993</v>
      </c>
      <c r="I41" s="85">
        <f t="shared" si="11"/>
        <v>28983.682969999994</v>
      </c>
    </row>
    <row r="42" spans="1:9" s="285" customFormat="1" x14ac:dyDescent="0.25">
      <c r="A42" s="118">
        <v>44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85">
        <f t="shared" ref="G42:I42" si="12">(F42*0.1)+F42</f>
        <v>0</v>
      </c>
      <c r="H42" s="85">
        <f t="shared" si="12"/>
        <v>0</v>
      </c>
      <c r="I42" s="85">
        <f t="shared" si="12"/>
        <v>0</v>
      </c>
    </row>
    <row r="43" spans="1:9" s="285" customFormat="1" x14ac:dyDescent="0.25">
      <c r="A43" s="118">
        <v>44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85">
        <f t="shared" ref="G43:I43" si="13">(F43*0.1)+F43</f>
        <v>0</v>
      </c>
      <c r="H43" s="85">
        <f t="shared" si="13"/>
        <v>0</v>
      </c>
      <c r="I43" s="85">
        <f t="shared" si="13"/>
        <v>0</v>
      </c>
    </row>
    <row r="44" spans="1:9" s="285" customFormat="1" x14ac:dyDescent="0.25">
      <c r="A44" s="118">
        <v>44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85">
        <f t="shared" ref="G44:I44" si="14">(F44*0.1)+F44</f>
        <v>0</v>
      </c>
      <c r="H44" s="85">
        <f t="shared" si="14"/>
        <v>0</v>
      </c>
      <c r="I44" s="85">
        <f t="shared" si="14"/>
        <v>0</v>
      </c>
    </row>
    <row r="45" spans="1:9" s="285" customFormat="1" x14ac:dyDescent="0.25">
      <c r="A45" s="118">
        <v>44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85">
        <f t="shared" ref="G45:I45" si="15">(F45*0.1)+F45</f>
        <v>0</v>
      </c>
      <c r="H45" s="85">
        <f t="shared" si="15"/>
        <v>0</v>
      </c>
      <c r="I45" s="85">
        <f t="shared" si="15"/>
        <v>0</v>
      </c>
    </row>
    <row r="46" spans="1:9" s="285" customFormat="1" x14ac:dyDescent="0.25">
      <c r="A46" s="118">
        <v>44</v>
      </c>
      <c r="B46" s="151">
        <v>5230</v>
      </c>
      <c r="C46" s="94" t="s">
        <v>86</v>
      </c>
      <c r="D46" s="85">
        <f>[1]Sheet1!$D$742</f>
        <v>16070</v>
      </c>
      <c r="E46" s="85">
        <v>727354.11911999993</v>
      </c>
      <c r="F46" s="85">
        <v>727354.11911999993</v>
      </c>
      <c r="G46" s="85">
        <f t="shared" ref="G46:I46" si="16">(F46*0.1)+F46</f>
        <v>800089.53103199997</v>
      </c>
      <c r="H46" s="85">
        <f t="shared" si="16"/>
        <v>880098.48413520004</v>
      </c>
      <c r="I46" s="85">
        <f t="shared" si="16"/>
        <v>968108.33254872006</v>
      </c>
    </row>
    <row r="47" spans="1:9" s="285" customFormat="1" x14ac:dyDescent="0.25">
      <c r="A47" s="118">
        <v>44</v>
      </c>
      <c r="B47" s="151">
        <v>5235</v>
      </c>
      <c r="C47" s="94" t="s">
        <v>124</v>
      </c>
      <c r="D47" s="85">
        <f>[1]Sheet1!$E$747+1660097</f>
        <v>3500041</v>
      </c>
      <c r="E47" s="85">
        <v>263750</v>
      </c>
      <c r="F47" s="85">
        <v>4563750</v>
      </c>
      <c r="G47" s="85">
        <v>1500000</v>
      </c>
      <c r="H47" s="85">
        <f t="shared" ref="H47:I47" si="17">(G47*0.1)+G47</f>
        <v>1650000</v>
      </c>
      <c r="I47" s="85">
        <f t="shared" si="17"/>
        <v>1815000</v>
      </c>
    </row>
    <row r="48" spans="1:9" s="285" customFormat="1" x14ac:dyDescent="0.25">
      <c r="A48" s="118">
        <v>44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85">
        <f t="shared" ref="G48:I48" si="18">(F48*0.1)+F48</f>
        <v>0</v>
      </c>
      <c r="H48" s="85">
        <f t="shared" si="18"/>
        <v>0</v>
      </c>
      <c r="I48" s="85">
        <f t="shared" si="18"/>
        <v>0</v>
      </c>
    </row>
    <row r="49" spans="1:9" s="285" customFormat="1" x14ac:dyDescent="0.25">
      <c r="A49" s="118">
        <v>44</v>
      </c>
      <c r="B49" s="151">
        <v>5245</v>
      </c>
      <c r="C49" s="94" t="s">
        <v>547</v>
      </c>
      <c r="D49" s="85"/>
      <c r="E49" s="85">
        <v>0</v>
      </c>
      <c r="F49" s="85">
        <v>0</v>
      </c>
      <c r="G49" s="85">
        <f t="shared" ref="G49:I49" si="19">(F49*0.1)+F49</f>
        <v>0</v>
      </c>
      <c r="H49" s="85">
        <f t="shared" si="19"/>
        <v>0</v>
      </c>
      <c r="I49" s="85">
        <f t="shared" si="19"/>
        <v>0</v>
      </c>
    </row>
    <row r="50" spans="1:9" s="285" customFormat="1" x14ac:dyDescent="0.25">
      <c r="A50" s="118">
        <v>44</v>
      </c>
      <c r="B50" s="151">
        <v>5250</v>
      </c>
      <c r="C50" s="94" t="s">
        <v>88</v>
      </c>
      <c r="D50" s="85">
        <v>14538</v>
      </c>
      <c r="E50" s="85">
        <v>143869.54397999999</v>
      </c>
      <c r="F50" s="85">
        <v>93869.543979999988</v>
      </c>
      <c r="G50" s="426">
        <f t="shared" ref="G50:I50" si="20">(F50*0.1)+F50</f>
        <v>103256.49837799999</v>
      </c>
      <c r="H50" s="85">
        <f t="shared" si="20"/>
        <v>113582.14821579999</v>
      </c>
      <c r="I50" s="85">
        <f t="shared" si="20"/>
        <v>124940.36303737998</v>
      </c>
    </row>
    <row r="51" spans="1:9" s="285" customFormat="1" x14ac:dyDescent="0.25">
      <c r="A51" s="118">
        <v>44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85">
        <f t="shared" ref="G51:I51" si="21">(F51*0.1)+F51</f>
        <v>0</v>
      </c>
      <c r="H51" s="85">
        <f t="shared" si="21"/>
        <v>0</v>
      </c>
      <c r="I51" s="85">
        <f t="shared" si="21"/>
        <v>0</v>
      </c>
    </row>
    <row r="52" spans="1:9" s="285" customFormat="1" x14ac:dyDescent="0.25">
      <c r="A52" s="118">
        <v>44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85">
        <f t="shared" ref="G52:I52" si="22">(F52*0.1)+F52</f>
        <v>0</v>
      </c>
      <c r="H52" s="85">
        <f t="shared" si="22"/>
        <v>0</v>
      </c>
      <c r="I52" s="85">
        <f t="shared" si="22"/>
        <v>0</v>
      </c>
    </row>
    <row r="53" spans="1:9" s="285" customFormat="1" x14ac:dyDescent="0.25">
      <c r="A53" s="118">
        <v>44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85">
        <f t="shared" ref="G53:I53" si="23">(F53*0.1)+F53</f>
        <v>0</v>
      </c>
      <c r="H53" s="85">
        <f t="shared" si="23"/>
        <v>0</v>
      </c>
      <c r="I53" s="85">
        <f t="shared" si="23"/>
        <v>0</v>
      </c>
    </row>
    <row r="54" spans="1:9" s="285" customFormat="1" x14ac:dyDescent="0.25">
      <c r="A54" s="118">
        <v>44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85">
        <f t="shared" ref="G54:I54" si="24">(F54*0.1)+F54</f>
        <v>0</v>
      </c>
      <c r="H54" s="85">
        <f t="shared" si="24"/>
        <v>0</v>
      </c>
      <c r="I54" s="85">
        <f t="shared" si="24"/>
        <v>0</v>
      </c>
    </row>
    <row r="55" spans="1:9" s="285" customFormat="1" x14ac:dyDescent="0.25">
      <c r="A55" s="118">
        <v>44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85">
        <f t="shared" ref="G55:I55" si="25">(F55*0.1)+F55</f>
        <v>0</v>
      </c>
      <c r="H55" s="85">
        <f t="shared" si="25"/>
        <v>0</v>
      </c>
      <c r="I55" s="85">
        <f t="shared" si="25"/>
        <v>0</v>
      </c>
    </row>
    <row r="56" spans="1:9" s="285" customFormat="1" x14ac:dyDescent="0.25">
      <c r="A56" s="118">
        <v>44</v>
      </c>
      <c r="B56" s="151">
        <v>5280</v>
      </c>
      <c r="C56" s="94" t="s">
        <v>94</v>
      </c>
      <c r="D56" s="85"/>
      <c r="E56" s="85">
        <v>93895</v>
      </c>
      <c r="F56" s="85">
        <v>43895</v>
      </c>
      <c r="G56" s="85">
        <v>0</v>
      </c>
      <c r="H56" s="85">
        <f t="shared" ref="H56:I56" si="26">(G56*0.1)+G56</f>
        <v>0</v>
      </c>
      <c r="I56" s="85">
        <f t="shared" si="26"/>
        <v>0</v>
      </c>
    </row>
    <row r="57" spans="1:9" s="285" customFormat="1" x14ac:dyDescent="0.25">
      <c r="A57" s="118">
        <v>44</v>
      </c>
      <c r="B57" s="151">
        <v>5285</v>
      </c>
      <c r="C57" s="94" t="s">
        <v>60</v>
      </c>
      <c r="D57" s="85">
        <v>15388</v>
      </c>
      <c r="E57" s="85">
        <v>130263.74069999999</v>
      </c>
      <c r="F57" s="85">
        <v>80263.740699999995</v>
      </c>
      <c r="G57" s="85">
        <f t="shared" ref="G57:I57" si="27">(F57*0.1)+F57</f>
        <v>88290.11477</v>
      </c>
      <c r="H57" s="85">
        <f t="shared" si="27"/>
        <v>97119.126247000007</v>
      </c>
      <c r="I57" s="85">
        <f t="shared" si="27"/>
        <v>106831.0388717</v>
      </c>
    </row>
    <row r="58" spans="1:9" s="285" customFormat="1" x14ac:dyDescent="0.25">
      <c r="A58" s="118">
        <v>44</v>
      </c>
      <c r="B58" s="151">
        <v>5290</v>
      </c>
      <c r="C58" s="94" t="s">
        <v>186</v>
      </c>
      <c r="D58" s="85"/>
      <c r="E58" s="108"/>
      <c r="F58" s="85">
        <v>0</v>
      </c>
      <c r="G58" s="85"/>
      <c r="H58" s="85"/>
      <c r="I58" s="85"/>
    </row>
    <row r="59" spans="1:9" s="285" customFormat="1" x14ac:dyDescent="0.25">
      <c r="A59" s="344"/>
      <c r="B59" s="151"/>
      <c r="C59" s="94"/>
      <c r="D59" s="110">
        <f t="shared" ref="D59:E59" si="28">SUM(D40:D58)</f>
        <v>3546651</v>
      </c>
      <c r="E59" s="110">
        <f t="shared" si="28"/>
        <v>1430908.2738000001</v>
      </c>
      <c r="F59" s="110">
        <v>5530908.2737999996</v>
      </c>
      <c r="G59" s="110">
        <f>SUM(G41:G58)</f>
        <v>2515589.6011800002</v>
      </c>
      <c r="H59" s="110">
        <f t="shared" ref="H59:I59" si="29">SUM(H41:H58)</f>
        <v>2767148.5612980002</v>
      </c>
      <c r="I59" s="110">
        <f t="shared" si="29"/>
        <v>3043863.4174278001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x14ac:dyDescent="0.25">
      <c r="A61" s="118">
        <v>44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</row>
    <row r="62" spans="1:9" s="285" customFormat="1" x14ac:dyDescent="0.25">
      <c r="A62" s="118">
        <v>44</v>
      </c>
      <c r="B62" s="151">
        <v>5405</v>
      </c>
      <c r="C62" s="94" t="s">
        <v>335</v>
      </c>
      <c r="D62" s="85">
        <v>83963</v>
      </c>
      <c r="E62" s="108">
        <v>114534</v>
      </c>
      <c r="F62" s="85">
        <v>114534</v>
      </c>
      <c r="G62" s="85">
        <v>114534</v>
      </c>
      <c r="H62" s="85">
        <v>114534</v>
      </c>
      <c r="I62" s="85">
        <v>114534</v>
      </c>
    </row>
    <row r="63" spans="1:9" s="285" customFormat="1" x14ac:dyDescent="0.25">
      <c r="A63" s="344"/>
      <c r="B63" s="151"/>
      <c r="C63" s="94"/>
      <c r="D63" s="89">
        <f t="shared" ref="D63:E63" si="30">SUM(D61:D62)</f>
        <v>83963</v>
      </c>
      <c r="E63" s="89">
        <f t="shared" si="30"/>
        <v>114534</v>
      </c>
      <c r="F63" s="89">
        <v>114534</v>
      </c>
      <c r="G63" s="89">
        <v>114534</v>
      </c>
      <c r="H63" s="89">
        <v>114534</v>
      </c>
      <c r="I63" s="89">
        <v>114534</v>
      </c>
    </row>
    <row r="64" spans="1:9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x14ac:dyDescent="0.25">
      <c r="A65" s="118">
        <v>44</v>
      </c>
      <c r="B65" s="151">
        <v>5450</v>
      </c>
      <c r="C65" s="94" t="s">
        <v>351</v>
      </c>
      <c r="D65" s="85"/>
      <c r="E65" s="108"/>
      <c r="F65" s="85"/>
      <c r="G65" s="85"/>
      <c r="H65" s="85"/>
      <c r="I65" s="108"/>
    </row>
    <row r="66" spans="1:9" s="285" customFormat="1" x14ac:dyDescent="0.25">
      <c r="A66" s="344"/>
      <c r="B66" s="151"/>
      <c r="C66" s="94"/>
      <c r="D66" s="89">
        <f t="shared" ref="D66:E66" si="31">D65</f>
        <v>0</v>
      </c>
      <c r="E66" s="89">
        <f t="shared" si="31"/>
        <v>0</v>
      </c>
      <c r="F66" s="89">
        <v>0</v>
      </c>
      <c r="G66" s="89"/>
      <c r="H66" s="89"/>
      <c r="I66" s="89"/>
    </row>
    <row r="67" spans="1:9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x14ac:dyDescent="0.25">
      <c r="A68" s="118">
        <v>44</v>
      </c>
      <c r="B68" s="151">
        <v>5470</v>
      </c>
      <c r="C68" s="94" t="s">
        <v>97</v>
      </c>
      <c r="D68" s="85"/>
      <c r="E68" s="86"/>
      <c r="F68" s="85">
        <v>0</v>
      </c>
      <c r="G68" s="85"/>
      <c r="H68" s="85"/>
      <c r="I68" s="85"/>
    </row>
    <row r="69" spans="1:9" s="285" customFormat="1" x14ac:dyDescent="0.25">
      <c r="A69" s="118">
        <v>44</v>
      </c>
      <c r="B69" s="151">
        <v>5475</v>
      </c>
      <c r="C69" s="94" t="s">
        <v>134</v>
      </c>
      <c r="D69" s="85"/>
      <c r="E69" s="86"/>
      <c r="F69" s="85">
        <v>0</v>
      </c>
      <c r="G69" s="85"/>
      <c r="H69" s="85"/>
      <c r="I69" s="85"/>
    </row>
    <row r="70" spans="1:9" s="285" customFormat="1" x14ac:dyDescent="0.25">
      <c r="A70" s="344"/>
      <c r="B70" s="151"/>
      <c r="C70" s="94"/>
      <c r="D70" s="110">
        <f t="shared" ref="D70:E70" si="32">SUM(D68:D69)</f>
        <v>0</v>
      </c>
      <c r="E70" s="110">
        <f t="shared" si="32"/>
        <v>0</v>
      </c>
      <c r="F70" s="110">
        <v>0</v>
      </c>
      <c r="G70" s="110"/>
      <c r="H70" s="110"/>
      <c r="I70" s="110"/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44</v>
      </c>
      <c r="B72" s="151">
        <v>5505</v>
      </c>
      <c r="C72" s="94" t="s">
        <v>259</v>
      </c>
      <c r="D72" s="85"/>
      <c r="E72" s="85"/>
      <c r="F72" s="85">
        <v>0</v>
      </c>
      <c r="G72" s="85">
        <v>50000</v>
      </c>
      <c r="H72" s="85">
        <f t="shared" ref="H72:I72" si="33">(G72*0.1)+G72</f>
        <v>55000</v>
      </c>
      <c r="I72" s="85">
        <f t="shared" si="33"/>
        <v>60500</v>
      </c>
    </row>
    <row r="73" spans="1:9" s="285" customFormat="1" x14ac:dyDescent="0.25">
      <c r="A73" s="118">
        <v>44</v>
      </c>
      <c r="B73" s="151">
        <v>5510</v>
      </c>
      <c r="C73" s="94" t="s">
        <v>63</v>
      </c>
      <c r="D73" s="85">
        <v>14245</v>
      </c>
      <c r="E73" s="85">
        <v>35173</v>
      </c>
      <c r="F73" s="85">
        <v>15173</v>
      </c>
      <c r="G73" s="85">
        <f t="shared" ref="G73:I73" si="34">(F73*0.1)+F73</f>
        <v>16690.3</v>
      </c>
      <c r="H73" s="85">
        <f t="shared" si="34"/>
        <v>18359.329999999998</v>
      </c>
      <c r="I73" s="85">
        <f t="shared" si="34"/>
        <v>20195.262999999999</v>
      </c>
    </row>
    <row r="74" spans="1:9" s="285" customFormat="1" x14ac:dyDescent="0.25">
      <c r="A74" s="118">
        <v>44</v>
      </c>
      <c r="B74" s="151">
        <v>5520</v>
      </c>
      <c r="C74" s="94" t="s">
        <v>260</v>
      </c>
      <c r="D74" s="85">
        <v>97616</v>
      </c>
      <c r="E74" s="85">
        <v>250000</v>
      </c>
      <c r="F74" s="85">
        <v>250000</v>
      </c>
      <c r="G74" s="85">
        <f t="shared" ref="G74:I74" si="35">(F74*0.1)+F74</f>
        <v>275000</v>
      </c>
      <c r="H74" s="85">
        <f t="shared" si="35"/>
        <v>302500</v>
      </c>
      <c r="I74" s="85">
        <f t="shared" si="35"/>
        <v>332750</v>
      </c>
    </row>
    <row r="75" spans="1:9" s="285" customFormat="1" x14ac:dyDescent="0.25">
      <c r="A75" s="118">
        <v>44</v>
      </c>
      <c r="B75" s="151">
        <v>5525</v>
      </c>
      <c r="C75" s="94" t="s">
        <v>261</v>
      </c>
      <c r="D75" s="85"/>
      <c r="E75" s="85"/>
      <c r="F75" s="85">
        <v>0</v>
      </c>
      <c r="G75" s="85">
        <f t="shared" ref="G75:I75" si="36">(F75*0.1)+F75</f>
        <v>0</v>
      </c>
      <c r="H75" s="85">
        <f t="shared" si="36"/>
        <v>0</v>
      </c>
      <c r="I75" s="85">
        <f t="shared" si="36"/>
        <v>0</v>
      </c>
    </row>
    <row r="76" spans="1:9" s="285" customFormat="1" x14ac:dyDescent="0.25">
      <c r="A76" s="118">
        <v>44</v>
      </c>
      <c r="B76" s="151">
        <v>5530</v>
      </c>
      <c r="C76" s="94" t="s">
        <v>262</v>
      </c>
      <c r="D76" s="85"/>
      <c r="E76" s="85"/>
      <c r="F76" s="85">
        <v>0</v>
      </c>
      <c r="G76" s="85">
        <f t="shared" ref="G76:I76" si="37">(F76*0.1)+F76</f>
        <v>0</v>
      </c>
      <c r="H76" s="85">
        <f t="shared" si="37"/>
        <v>0</v>
      </c>
      <c r="I76" s="85">
        <f t="shared" si="37"/>
        <v>0</v>
      </c>
    </row>
    <row r="77" spans="1:9" s="285" customFormat="1" x14ac:dyDescent="0.25">
      <c r="A77" s="118">
        <v>44</v>
      </c>
      <c r="B77" s="151">
        <v>5535</v>
      </c>
      <c r="C77" s="94" t="s">
        <v>263</v>
      </c>
      <c r="D77" s="85"/>
      <c r="E77" s="85"/>
      <c r="F77" s="85">
        <v>0</v>
      </c>
      <c r="G77" s="85">
        <f t="shared" ref="G77:I77" si="38">(F77*0.1)+F77</f>
        <v>0</v>
      </c>
      <c r="H77" s="85">
        <f t="shared" si="38"/>
        <v>0</v>
      </c>
      <c r="I77" s="85">
        <f t="shared" si="38"/>
        <v>0</v>
      </c>
    </row>
    <row r="78" spans="1:9" s="285" customFormat="1" x14ac:dyDescent="0.25">
      <c r="A78" s="118">
        <v>44</v>
      </c>
      <c r="B78" s="151">
        <v>5540</v>
      </c>
      <c r="C78" s="94" t="s">
        <v>264</v>
      </c>
      <c r="D78" s="85"/>
      <c r="E78" s="85"/>
      <c r="F78" s="85">
        <v>0</v>
      </c>
      <c r="G78" s="85">
        <f t="shared" ref="G78:I78" si="39">(F78*0.1)+F78</f>
        <v>0</v>
      </c>
      <c r="H78" s="85">
        <f t="shared" si="39"/>
        <v>0</v>
      </c>
      <c r="I78" s="85">
        <f t="shared" si="39"/>
        <v>0</v>
      </c>
    </row>
    <row r="79" spans="1:9" s="285" customFormat="1" ht="13.5" customHeight="1" x14ac:dyDescent="0.25">
      <c r="A79" s="118">
        <v>44</v>
      </c>
      <c r="B79" s="151">
        <v>5545</v>
      </c>
      <c r="C79" s="94" t="s">
        <v>265</v>
      </c>
      <c r="D79" s="85"/>
      <c r="E79" s="85"/>
      <c r="F79" s="85">
        <v>0</v>
      </c>
      <c r="G79" s="85">
        <f t="shared" ref="G79:I79" si="40">(F79*0.1)+F79</f>
        <v>0</v>
      </c>
      <c r="H79" s="85">
        <f t="shared" si="40"/>
        <v>0</v>
      </c>
      <c r="I79" s="85">
        <f t="shared" si="40"/>
        <v>0</v>
      </c>
    </row>
    <row r="80" spans="1:9" s="285" customFormat="1" x14ac:dyDescent="0.25">
      <c r="A80" s="118">
        <v>44</v>
      </c>
      <c r="B80" s="151">
        <v>5550</v>
      </c>
      <c r="C80" s="94" t="s">
        <v>267</v>
      </c>
      <c r="D80" s="85"/>
      <c r="E80" s="85"/>
      <c r="F80" s="85">
        <v>0</v>
      </c>
      <c r="G80" s="85">
        <f t="shared" ref="G80:I80" si="41">(F80*0.1)+F80</f>
        <v>0</v>
      </c>
      <c r="H80" s="85">
        <f t="shared" si="41"/>
        <v>0</v>
      </c>
      <c r="I80" s="85">
        <f t="shared" si="41"/>
        <v>0</v>
      </c>
    </row>
    <row r="81" spans="1:9" s="285" customFormat="1" x14ac:dyDescent="0.25">
      <c r="A81" s="118">
        <v>44</v>
      </c>
      <c r="B81" s="151">
        <v>5555</v>
      </c>
      <c r="C81" s="94" t="s">
        <v>268</v>
      </c>
      <c r="D81" s="85">
        <v>76950</v>
      </c>
      <c r="E81" s="85">
        <v>141188</v>
      </c>
      <c r="F81" s="85">
        <v>81188</v>
      </c>
      <c r="G81" s="85">
        <f t="shared" ref="G81:I81" si="42">(F81*0.1)+F81</f>
        <v>89306.8</v>
      </c>
      <c r="H81" s="85">
        <f t="shared" si="42"/>
        <v>98237.48000000001</v>
      </c>
      <c r="I81" s="85">
        <f t="shared" si="42"/>
        <v>108061.22800000002</v>
      </c>
    </row>
    <row r="82" spans="1:9" s="285" customFormat="1" x14ac:dyDescent="0.25">
      <c r="A82" s="118">
        <v>44</v>
      </c>
      <c r="B82" s="151">
        <v>5560</v>
      </c>
      <c r="C82" s="94" t="s">
        <v>269</v>
      </c>
      <c r="D82" s="85"/>
      <c r="E82" s="85"/>
      <c r="F82" s="85">
        <v>0</v>
      </c>
      <c r="G82" s="85">
        <f t="shared" ref="G82:I82" si="43">(F82*0.1)+F82</f>
        <v>0</v>
      </c>
      <c r="H82" s="85">
        <f t="shared" si="43"/>
        <v>0</v>
      </c>
      <c r="I82" s="85">
        <f t="shared" si="43"/>
        <v>0</v>
      </c>
    </row>
    <row r="83" spans="1:9" s="285" customFormat="1" x14ac:dyDescent="0.25">
      <c r="A83" s="118">
        <v>44</v>
      </c>
      <c r="B83" s="151">
        <v>5565</v>
      </c>
      <c r="C83" s="94" t="s">
        <v>246</v>
      </c>
      <c r="D83" s="85"/>
      <c r="E83" s="85"/>
      <c r="F83" s="85">
        <v>0</v>
      </c>
      <c r="G83" s="85">
        <f t="shared" ref="G83:I83" si="44">(F83*0.1)+F83</f>
        <v>0</v>
      </c>
      <c r="H83" s="85">
        <f t="shared" si="44"/>
        <v>0</v>
      </c>
      <c r="I83" s="85">
        <f t="shared" si="44"/>
        <v>0</v>
      </c>
    </row>
    <row r="84" spans="1:9" s="285" customFormat="1" x14ac:dyDescent="0.25">
      <c r="A84" s="118">
        <v>44</v>
      </c>
      <c r="B84" s="151">
        <v>5570</v>
      </c>
      <c r="C84" s="94" t="s">
        <v>270</v>
      </c>
      <c r="D84" s="85"/>
      <c r="E84" s="85">
        <v>4531.2249999999995</v>
      </c>
      <c r="F84" s="85">
        <v>4531.2249999999995</v>
      </c>
      <c r="G84" s="85">
        <v>0</v>
      </c>
      <c r="H84" s="85">
        <f t="shared" ref="H84:I84" si="45">(G84*0.1)+G84</f>
        <v>0</v>
      </c>
      <c r="I84" s="85">
        <f t="shared" si="45"/>
        <v>0</v>
      </c>
    </row>
    <row r="85" spans="1:9" s="285" customFormat="1" x14ac:dyDescent="0.25">
      <c r="A85" s="118">
        <v>44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85">
        <f t="shared" ref="G85:I85" si="46">(F85*0.1)+F85</f>
        <v>0</v>
      </c>
      <c r="H85" s="85">
        <f t="shared" si="46"/>
        <v>0</v>
      </c>
      <c r="I85" s="85">
        <f t="shared" si="46"/>
        <v>0</v>
      </c>
    </row>
    <row r="86" spans="1:9" s="285" customFormat="1" x14ac:dyDescent="0.25">
      <c r="A86" s="118">
        <v>44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85">
        <f t="shared" ref="G86:I86" si="47">(F86*0.1)+F86</f>
        <v>0</v>
      </c>
      <c r="H86" s="85">
        <f t="shared" si="47"/>
        <v>0</v>
      </c>
      <c r="I86" s="85">
        <f t="shared" si="47"/>
        <v>0</v>
      </c>
    </row>
    <row r="87" spans="1:9" s="285" customFormat="1" x14ac:dyDescent="0.25">
      <c r="A87" s="118">
        <v>44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85">
        <f t="shared" ref="G87:I87" si="48">(F87*0.1)+F87</f>
        <v>0</v>
      </c>
      <c r="H87" s="85">
        <f t="shared" si="48"/>
        <v>0</v>
      </c>
      <c r="I87" s="85">
        <f t="shared" si="48"/>
        <v>0</v>
      </c>
    </row>
    <row r="88" spans="1:9" s="285" customFormat="1" x14ac:dyDescent="0.25">
      <c r="A88" s="118">
        <v>44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85">
        <f t="shared" ref="G88:I88" si="49">(F88*0.1)+F88</f>
        <v>0</v>
      </c>
      <c r="H88" s="85">
        <f t="shared" si="49"/>
        <v>0</v>
      </c>
      <c r="I88" s="85">
        <f t="shared" si="49"/>
        <v>0</v>
      </c>
    </row>
    <row r="89" spans="1:9" s="285" customFormat="1" x14ac:dyDescent="0.25">
      <c r="A89" s="118">
        <v>44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85">
        <f t="shared" ref="G89:I89" si="50">(F89*0.1)+F89</f>
        <v>0</v>
      </c>
      <c r="H89" s="85">
        <f t="shared" si="50"/>
        <v>0</v>
      </c>
      <c r="I89" s="85">
        <f t="shared" si="50"/>
        <v>0</v>
      </c>
    </row>
    <row r="90" spans="1:9" s="285" customFormat="1" x14ac:dyDescent="0.25">
      <c r="A90" s="118">
        <v>44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85">
        <f t="shared" ref="G90:I90" si="51">(F90*0.1)+F90</f>
        <v>0</v>
      </c>
      <c r="H90" s="85">
        <f t="shared" si="51"/>
        <v>0</v>
      </c>
      <c r="I90" s="85">
        <f t="shared" si="51"/>
        <v>0</v>
      </c>
    </row>
    <row r="91" spans="1:9" s="285" customFormat="1" x14ac:dyDescent="0.25">
      <c r="A91" s="118">
        <v>44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85">
        <f t="shared" ref="G91:I91" si="52">(F91*0.1)+F91</f>
        <v>0</v>
      </c>
      <c r="H91" s="85">
        <f t="shared" si="52"/>
        <v>0</v>
      </c>
      <c r="I91" s="85">
        <f t="shared" si="52"/>
        <v>0</v>
      </c>
    </row>
    <row r="92" spans="1:9" s="285" customFormat="1" x14ac:dyDescent="0.25">
      <c r="A92" s="118">
        <v>44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85">
        <f t="shared" ref="G92:I92" si="53">(F92*0.1)+F92</f>
        <v>0</v>
      </c>
      <c r="H92" s="85">
        <f t="shared" si="53"/>
        <v>0</v>
      </c>
      <c r="I92" s="85">
        <f t="shared" si="53"/>
        <v>0</v>
      </c>
    </row>
    <row r="93" spans="1:9" s="285" customFormat="1" x14ac:dyDescent="0.25">
      <c r="A93" s="118">
        <v>44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85">
        <f t="shared" ref="G93:I93" si="54">(F93*0.1)+F93</f>
        <v>0</v>
      </c>
      <c r="H93" s="85">
        <f t="shared" si="54"/>
        <v>0</v>
      </c>
      <c r="I93" s="85">
        <f t="shared" si="54"/>
        <v>0</v>
      </c>
    </row>
    <row r="94" spans="1:9" s="285" customFormat="1" x14ac:dyDescent="0.25">
      <c r="A94" s="118">
        <v>44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85">
        <f t="shared" ref="G94:I94" si="55">(F94*0.1)+F94</f>
        <v>0</v>
      </c>
      <c r="H94" s="85">
        <f t="shared" si="55"/>
        <v>0</v>
      </c>
      <c r="I94" s="85">
        <f t="shared" si="55"/>
        <v>0</v>
      </c>
    </row>
    <row r="95" spans="1:9" s="285" customFormat="1" x14ac:dyDescent="0.25">
      <c r="A95" s="118">
        <v>44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85">
        <f t="shared" ref="G95:I95" si="56">(F95*0.1)+F95</f>
        <v>0</v>
      </c>
      <c r="H95" s="85">
        <f t="shared" si="56"/>
        <v>0</v>
      </c>
      <c r="I95" s="85">
        <f t="shared" si="56"/>
        <v>0</v>
      </c>
    </row>
    <row r="96" spans="1:9" s="285" customFormat="1" x14ac:dyDescent="0.25">
      <c r="A96" s="118">
        <v>44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85">
        <f t="shared" ref="G96:I96" si="57">(F96*0.1)+F96</f>
        <v>0</v>
      </c>
      <c r="H96" s="85">
        <f t="shared" si="57"/>
        <v>0</v>
      </c>
      <c r="I96" s="85">
        <f t="shared" si="57"/>
        <v>0</v>
      </c>
    </row>
    <row r="97" spans="1:9" s="285" customFormat="1" x14ac:dyDescent="0.25">
      <c r="A97" s="118">
        <v>44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85">
        <f t="shared" ref="G97:I97" si="58">(F97*0.1)+F97</f>
        <v>0</v>
      </c>
      <c r="H97" s="85">
        <f t="shared" si="58"/>
        <v>0</v>
      </c>
      <c r="I97" s="85">
        <f t="shared" si="58"/>
        <v>0</v>
      </c>
    </row>
    <row r="98" spans="1:9" s="285" customFormat="1" x14ac:dyDescent="0.25">
      <c r="A98" s="118">
        <v>44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85">
        <f t="shared" ref="G98:I98" si="59">(F98*0.1)+F98</f>
        <v>0</v>
      </c>
      <c r="H98" s="85">
        <f t="shared" si="59"/>
        <v>0</v>
      </c>
      <c r="I98" s="85">
        <f t="shared" si="59"/>
        <v>0</v>
      </c>
    </row>
    <row r="99" spans="1:9" s="285" customFormat="1" x14ac:dyDescent="0.25">
      <c r="A99" s="118">
        <v>44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85">
        <f t="shared" ref="G99:I99" si="60">(F99*0.1)+F99</f>
        <v>0</v>
      </c>
      <c r="H99" s="85">
        <f t="shared" si="60"/>
        <v>0</v>
      </c>
      <c r="I99" s="85">
        <f t="shared" si="60"/>
        <v>0</v>
      </c>
    </row>
    <row r="100" spans="1:9" s="285" customFormat="1" x14ac:dyDescent="0.25">
      <c r="A100" s="118">
        <v>44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85">
        <f t="shared" ref="G100:I100" si="61">(F100*0.1)+F100</f>
        <v>0</v>
      </c>
      <c r="H100" s="85">
        <f t="shared" si="61"/>
        <v>0</v>
      </c>
      <c r="I100" s="85">
        <f t="shared" si="61"/>
        <v>0</v>
      </c>
    </row>
    <row r="101" spans="1:9" s="285" customFormat="1" x14ac:dyDescent="0.25">
      <c r="A101" s="118">
        <v>44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85">
        <f t="shared" ref="G101:I101" si="62">(F101*0.1)+F101</f>
        <v>0</v>
      </c>
      <c r="H101" s="85">
        <f t="shared" si="62"/>
        <v>0</v>
      </c>
      <c r="I101" s="85">
        <f t="shared" si="62"/>
        <v>0</v>
      </c>
    </row>
    <row r="102" spans="1:9" s="285" customFormat="1" x14ac:dyDescent="0.25">
      <c r="A102" s="118">
        <v>44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85">
        <f t="shared" ref="G102:I102" si="63">(F102*0.1)+F102</f>
        <v>0</v>
      </c>
      <c r="H102" s="85">
        <f t="shared" si="63"/>
        <v>0</v>
      </c>
      <c r="I102" s="85">
        <f t="shared" si="63"/>
        <v>0</v>
      </c>
    </row>
    <row r="103" spans="1:9" s="285" customFormat="1" x14ac:dyDescent="0.25">
      <c r="A103" s="118">
        <v>44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85">
        <f t="shared" ref="G103:I103" si="64">(F103*0.1)+F103</f>
        <v>0</v>
      </c>
      <c r="H103" s="85">
        <f t="shared" si="64"/>
        <v>0</v>
      </c>
      <c r="I103" s="85">
        <f t="shared" si="64"/>
        <v>0</v>
      </c>
    </row>
    <row r="104" spans="1:9" s="285" customFormat="1" x14ac:dyDescent="0.25">
      <c r="A104" s="118">
        <v>44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85">
        <f t="shared" ref="G104:I104" si="65">(F104*0.1)+F104</f>
        <v>0</v>
      </c>
      <c r="H104" s="85">
        <f t="shared" si="65"/>
        <v>0</v>
      </c>
      <c r="I104" s="85">
        <f t="shared" si="65"/>
        <v>0</v>
      </c>
    </row>
    <row r="105" spans="1:9" s="285" customFormat="1" x14ac:dyDescent="0.25">
      <c r="A105" s="118">
        <v>44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85">
        <f t="shared" ref="G105:I105" si="66">(F105*0.1)+F105</f>
        <v>0</v>
      </c>
      <c r="H105" s="85">
        <f t="shared" si="66"/>
        <v>0</v>
      </c>
      <c r="I105" s="85">
        <f t="shared" si="66"/>
        <v>0</v>
      </c>
    </row>
    <row r="106" spans="1:9" s="285" customFormat="1" x14ac:dyDescent="0.25">
      <c r="A106" s="118">
        <v>44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85">
        <f t="shared" ref="G106:I106" si="67">(F106*0.1)+F106</f>
        <v>0</v>
      </c>
      <c r="H106" s="85">
        <f t="shared" si="67"/>
        <v>0</v>
      </c>
      <c r="I106" s="85">
        <f t="shared" si="67"/>
        <v>0</v>
      </c>
    </row>
    <row r="107" spans="1:9" s="285" customFormat="1" x14ac:dyDescent="0.25">
      <c r="A107" s="118">
        <v>44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85">
        <f t="shared" ref="G107:I107" si="68">(F107*0.1)+F107</f>
        <v>0</v>
      </c>
      <c r="H107" s="85">
        <f t="shared" si="68"/>
        <v>0</v>
      </c>
      <c r="I107" s="85">
        <f t="shared" si="68"/>
        <v>0</v>
      </c>
    </row>
    <row r="108" spans="1:9" s="285" customFormat="1" x14ac:dyDescent="0.25">
      <c r="A108" s="118">
        <v>44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85">
        <f t="shared" ref="G108:I108" si="69">(F108*0.1)+F108</f>
        <v>0</v>
      </c>
      <c r="H108" s="85">
        <f t="shared" si="69"/>
        <v>0</v>
      </c>
      <c r="I108" s="85">
        <f t="shared" si="69"/>
        <v>0</v>
      </c>
    </row>
    <row r="109" spans="1:9" s="285" customFormat="1" x14ac:dyDescent="0.25">
      <c r="A109" s="118">
        <v>44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85">
        <f t="shared" ref="G109:I109" si="70">(F109*0.1)+F109</f>
        <v>0</v>
      </c>
      <c r="H109" s="85">
        <f t="shared" si="70"/>
        <v>0</v>
      </c>
      <c r="I109" s="85">
        <f t="shared" si="70"/>
        <v>0</v>
      </c>
    </row>
    <row r="110" spans="1:9" s="285" customFormat="1" x14ac:dyDescent="0.25">
      <c r="A110" s="118">
        <v>44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85">
        <f t="shared" ref="G110:I110" si="71">(F110*0.1)+F110</f>
        <v>0</v>
      </c>
      <c r="H110" s="85">
        <f t="shared" si="71"/>
        <v>0</v>
      </c>
      <c r="I110" s="85">
        <f t="shared" si="71"/>
        <v>0</v>
      </c>
    </row>
    <row r="111" spans="1:9" s="285" customFormat="1" x14ac:dyDescent="0.25">
      <c r="A111" s="118">
        <v>44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85">
        <f t="shared" ref="G111:I111" si="72">(F111*0.1)+F111</f>
        <v>0</v>
      </c>
      <c r="H111" s="85">
        <f t="shared" si="72"/>
        <v>0</v>
      </c>
      <c r="I111" s="85">
        <f t="shared" si="72"/>
        <v>0</v>
      </c>
    </row>
    <row r="112" spans="1:9" s="285" customFormat="1" x14ac:dyDescent="0.25">
      <c r="A112" s="118">
        <v>44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85">
        <f t="shared" ref="G112:I112" si="73">(F112*0.1)+F112</f>
        <v>0</v>
      </c>
      <c r="H112" s="85">
        <f t="shared" si="73"/>
        <v>0</v>
      </c>
      <c r="I112" s="85">
        <f t="shared" si="73"/>
        <v>0</v>
      </c>
    </row>
    <row r="113" spans="1:9" s="285" customFormat="1" x14ac:dyDescent="0.25">
      <c r="A113" s="118">
        <v>44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85">
        <f t="shared" ref="G113:I113" si="74">(F113*0.1)+F113</f>
        <v>0</v>
      </c>
      <c r="H113" s="85">
        <f t="shared" si="74"/>
        <v>0</v>
      </c>
      <c r="I113" s="85">
        <f t="shared" si="74"/>
        <v>0</v>
      </c>
    </row>
    <row r="114" spans="1:9" s="285" customFormat="1" x14ac:dyDescent="0.25">
      <c r="A114" s="118">
        <v>44</v>
      </c>
      <c r="B114" s="151">
        <v>5730</v>
      </c>
      <c r="C114" s="94" t="s">
        <v>300</v>
      </c>
      <c r="D114" s="85"/>
      <c r="E114" s="85">
        <v>0</v>
      </c>
      <c r="F114" s="85">
        <v>0</v>
      </c>
      <c r="G114" s="85">
        <f t="shared" ref="G114:I114" si="75">(F114*0.1)+F114</f>
        <v>0</v>
      </c>
      <c r="H114" s="85">
        <f t="shared" si="75"/>
        <v>0</v>
      </c>
      <c r="I114" s="85">
        <f t="shared" si="75"/>
        <v>0</v>
      </c>
    </row>
    <row r="115" spans="1:9" s="285" customFormat="1" x14ac:dyDescent="0.25">
      <c r="A115" s="118">
        <v>44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85">
        <f t="shared" ref="G115:I115" si="76">(F115*0.1)+F115</f>
        <v>0</v>
      </c>
      <c r="H115" s="85">
        <f t="shared" si="76"/>
        <v>0</v>
      </c>
      <c r="I115" s="85">
        <f t="shared" si="76"/>
        <v>0</v>
      </c>
    </row>
    <row r="116" spans="1:9" s="285" customFormat="1" x14ac:dyDescent="0.25">
      <c r="A116" s="118">
        <v>44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85">
        <f t="shared" ref="G116:I116" si="77">(F116*0.1)+F116</f>
        <v>0</v>
      </c>
      <c r="H116" s="85">
        <f t="shared" si="77"/>
        <v>0</v>
      </c>
      <c r="I116" s="85">
        <f t="shared" si="77"/>
        <v>0</v>
      </c>
    </row>
    <row r="117" spans="1:9" s="285" customFormat="1" x14ac:dyDescent="0.25">
      <c r="A117" s="118">
        <v>44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85">
        <f t="shared" ref="G117:I117" si="78">(F117*0.1)+F117</f>
        <v>0</v>
      </c>
      <c r="H117" s="85">
        <f t="shared" si="78"/>
        <v>0</v>
      </c>
      <c r="I117" s="85">
        <f t="shared" si="78"/>
        <v>0</v>
      </c>
    </row>
    <row r="118" spans="1:9" s="285" customFormat="1" x14ac:dyDescent="0.25">
      <c r="A118" s="118">
        <v>44</v>
      </c>
      <c r="B118" s="151">
        <v>5750</v>
      </c>
      <c r="C118" s="94" t="s">
        <v>304</v>
      </c>
      <c r="D118" s="85"/>
      <c r="E118" s="85">
        <v>4500</v>
      </c>
      <c r="F118" s="85">
        <v>4500</v>
      </c>
      <c r="G118" s="85">
        <f t="shared" ref="G118:I118" si="79">(F118*0.1)+F118</f>
        <v>4950</v>
      </c>
      <c r="H118" s="85">
        <f t="shared" si="79"/>
        <v>5445</v>
      </c>
      <c r="I118" s="85">
        <f t="shared" si="79"/>
        <v>5989.5</v>
      </c>
    </row>
    <row r="119" spans="1:9" s="285" customFormat="1" x14ac:dyDescent="0.25">
      <c r="A119" s="118">
        <v>44</v>
      </c>
      <c r="B119" s="151">
        <v>5755</v>
      </c>
      <c r="C119" s="94" t="s">
        <v>305</v>
      </c>
      <c r="D119" s="85"/>
      <c r="E119" s="85">
        <v>49500</v>
      </c>
      <c r="F119" s="85">
        <v>49500</v>
      </c>
      <c r="G119" s="85">
        <f t="shared" ref="G119:I119" si="80">(F119*0.1)+F119</f>
        <v>54450</v>
      </c>
      <c r="H119" s="85">
        <f t="shared" si="80"/>
        <v>59895</v>
      </c>
      <c r="I119" s="85">
        <f t="shared" si="80"/>
        <v>65884.5</v>
      </c>
    </row>
    <row r="120" spans="1:9" s="285" customFormat="1" ht="12" customHeight="1" x14ac:dyDescent="0.25">
      <c r="A120" s="118">
        <v>44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85">
        <f t="shared" ref="G120:I120" si="81">(F120*0.1)+F120</f>
        <v>0</v>
      </c>
      <c r="H120" s="85">
        <f t="shared" si="81"/>
        <v>0</v>
      </c>
      <c r="I120" s="85">
        <f t="shared" si="81"/>
        <v>0</v>
      </c>
    </row>
    <row r="121" spans="1:9" s="285" customFormat="1" x14ac:dyDescent="0.25">
      <c r="A121" s="118">
        <v>44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85">
        <f t="shared" ref="G121:I121" si="82">(F121*0.1)+F121</f>
        <v>0</v>
      </c>
      <c r="H121" s="85">
        <f t="shared" si="82"/>
        <v>0</v>
      </c>
      <c r="I121" s="85">
        <f t="shared" si="82"/>
        <v>0</v>
      </c>
    </row>
    <row r="122" spans="1:9" s="285" customFormat="1" x14ac:dyDescent="0.25">
      <c r="A122" s="118">
        <v>44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85">
        <f t="shared" ref="G122:I122" si="83">(F122*0.1)+F122</f>
        <v>0</v>
      </c>
      <c r="H122" s="85">
        <f t="shared" si="83"/>
        <v>0</v>
      </c>
      <c r="I122" s="85">
        <f t="shared" si="83"/>
        <v>0</v>
      </c>
    </row>
    <row r="123" spans="1:9" s="285" customFormat="1" x14ac:dyDescent="0.25">
      <c r="A123" s="118">
        <v>44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85">
        <f t="shared" ref="G123:I123" si="84">(F123*0.1)+F123</f>
        <v>0</v>
      </c>
      <c r="H123" s="85">
        <f t="shared" si="84"/>
        <v>0</v>
      </c>
      <c r="I123" s="85">
        <f t="shared" si="84"/>
        <v>0</v>
      </c>
    </row>
    <row r="124" spans="1:9" s="285" customFormat="1" x14ac:dyDescent="0.25">
      <c r="A124" s="118">
        <v>44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85">
        <f t="shared" ref="G124:I124" si="85">(F124*0.1)+F124</f>
        <v>0</v>
      </c>
      <c r="H124" s="85">
        <f t="shared" si="85"/>
        <v>0</v>
      </c>
      <c r="I124" s="85">
        <f t="shared" si="85"/>
        <v>0</v>
      </c>
    </row>
    <row r="125" spans="1:9" s="285" customFormat="1" x14ac:dyDescent="0.25">
      <c r="A125" s="118">
        <v>44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85">
        <f t="shared" ref="G125:I125" si="86">(F125*0.1)+F125</f>
        <v>0</v>
      </c>
      <c r="H125" s="85">
        <f t="shared" si="86"/>
        <v>0</v>
      </c>
      <c r="I125" s="85">
        <f t="shared" si="86"/>
        <v>0</v>
      </c>
    </row>
    <row r="126" spans="1:9" s="285" customFormat="1" x14ac:dyDescent="0.25">
      <c r="A126" s="118">
        <v>44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85">
        <f t="shared" ref="G126:I126" si="87">(F126*0.1)+F126</f>
        <v>0</v>
      </c>
      <c r="H126" s="85">
        <f t="shared" si="87"/>
        <v>0</v>
      </c>
      <c r="I126" s="85">
        <f t="shared" si="87"/>
        <v>0</v>
      </c>
    </row>
    <row r="127" spans="1:9" s="285" customFormat="1" x14ac:dyDescent="0.25">
      <c r="A127" s="118">
        <v>44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85">
        <f t="shared" ref="G127:I127" si="88">(F127*0.1)+F127</f>
        <v>0</v>
      </c>
      <c r="H127" s="85">
        <f t="shared" si="88"/>
        <v>0</v>
      </c>
      <c r="I127" s="85">
        <f t="shared" si="88"/>
        <v>0</v>
      </c>
    </row>
    <row r="128" spans="1:9" s="285" customFormat="1" x14ac:dyDescent="0.25">
      <c r="A128" s="118">
        <v>44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85">
        <f t="shared" ref="G128:I128" si="89">(F128*0.1)+F128</f>
        <v>0</v>
      </c>
      <c r="H128" s="85">
        <f t="shared" si="89"/>
        <v>0</v>
      </c>
      <c r="I128" s="85">
        <f t="shared" si="89"/>
        <v>0</v>
      </c>
    </row>
    <row r="129" spans="1:9" s="285" customFormat="1" x14ac:dyDescent="0.25">
      <c r="A129" s="118">
        <v>44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85">
        <f t="shared" ref="G129:I129" si="90">(F129*0.1)+F129</f>
        <v>0</v>
      </c>
      <c r="H129" s="85">
        <f t="shared" si="90"/>
        <v>0</v>
      </c>
      <c r="I129" s="85">
        <f t="shared" si="90"/>
        <v>0</v>
      </c>
    </row>
    <row r="130" spans="1:9" s="285" customFormat="1" x14ac:dyDescent="0.25">
      <c r="A130" s="118">
        <v>44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85">
        <f t="shared" ref="G130:I130" si="91">(F130*0.1)+F130</f>
        <v>0</v>
      </c>
      <c r="H130" s="85">
        <f t="shared" si="91"/>
        <v>0</v>
      </c>
      <c r="I130" s="85">
        <f t="shared" si="91"/>
        <v>0</v>
      </c>
    </row>
    <row r="131" spans="1:9" s="285" customFormat="1" x14ac:dyDescent="0.25">
      <c r="A131" s="118">
        <v>44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85">
        <f t="shared" ref="G131:I131" si="92">(F131*0.1)+F131</f>
        <v>0</v>
      </c>
      <c r="H131" s="85">
        <f t="shared" si="92"/>
        <v>0</v>
      </c>
      <c r="I131" s="85">
        <f t="shared" si="92"/>
        <v>0</v>
      </c>
    </row>
    <row r="132" spans="1:9" s="285" customFormat="1" x14ac:dyDescent="0.25">
      <c r="A132" s="118">
        <v>44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85">
        <f t="shared" ref="G132:I132" si="93">(F132*0.1)+F132</f>
        <v>0</v>
      </c>
      <c r="H132" s="85">
        <f t="shared" si="93"/>
        <v>0</v>
      </c>
      <c r="I132" s="85">
        <f t="shared" si="93"/>
        <v>0</v>
      </c>
    </row>
    <row r="133" spans="1:9" s="285" customFormat="1" x14ac:dyDescent="0.25">
      <c r="A133" s="118">
        <v>44</v>
      </c>
      <c r="B133" s="151">
        <v>5825</v>
      </c>
      <c r="C133" s="94" t="s">
        <v>317</v>
      </c>
      <c r="D133" s="86"/>
      <c r="E133" s="85">
        <v>39234.188220000004</v>
      </c>
      <c r="F133" s="85">
        <v>19234.188220000004</v>
      </c>
      <c r="G133" s="85">
        <f t="shared" ref="G133:I133" si="94">(F133*0.1)+F133</f>
        <v>21157.607042000003</v>
      </c>
      <c r="H133" s="85">
        <f t="shared" si="94"/>
        <v>23273.367746200005</v>
      </c>
      <c r="I133" s="85">
        <f t="shared" si="94"/>
        <v>25600.704520820007</v>
      </c>
    </row>
    <row r="134" spans="1:9" s="285" customFormat="1" x14ac:dyDescent="0.25">
      <c r="A134" s="118">
        <v>44</v>
      </c>
      <c r="B134" s="151">
        <v>5830</v>
      </c>
      <c r="C134" s="94" t="s">
        <v>318</v>
      </c>
      <c r="D134" s="86"/>
      <c r="E134" s="85"/>
      <c r="F134" s="85">
        <v>0</v>
      </c>
      <c r="G134" s="85">
        <f t="shared" ref="G134:I134" si="95">(F134*0.1)+F134</f>
        <v>0</v>
      </c>
      <c r="H134" s="85">
        <f t="shared" si="95"/>
        <v>0</v>
      </c>
      <c r="I134" s="85">
        <f t="shared" si="95"/>
        <v>0</v>
      </c>
    </row>
    <row r="135" spans="1:9" s="285" customFormat="1" x14ac:dyDescent="0.25">
      <c r="A135" s="118">
        <v>44</v>
      </c>
      <c r="B135" s="151">
        <v>5835</v>
      </c>
      <c r="C135" s="94" t="s">
        <v>319</v>
      </c>
      <c r="D135" s="86"/>
      <c r="E135" s="85"/>
      <c r="F135" s="85">
        <v>0</v>
      </c>
      <c r="G135" s="85">
        <f t="shared" ref="G135:I135" si="96">(F135*0.1)+F135</f>
        <v>0</v>
      </c>
      <c r="H135" s="85">
        <f t="shared" si="96"/>
        <v>0</v>
      </c>
      <c r="I135" s="85">
        <f t="shared" si="96"/>
        <v>0</v>
      </c>
    </row>
    <row r="136" spans="1:9" s="285" customFormat="1" x14ac:dyDescent="0.25">
      <c r="A136" s="118">
        <v>44</v>
      </c>
      <c r="B136" s="151">
        <v>5840</v>
      </c>
      <c r="C136" s="94" t="s">
        <v>332</v>
      </c>
      <c r="D136" s="115"/>
      <c r="E136" s="85"/>
      <c r="F136" s="85">
        <v>0</v>
      </c>
      <c r="G136" s="85">
        <f t="shared" ref="G136:I136" si="97">(F136*0.1)+F136</f>
        <v>0</v>
      </c>
      <c r="H136" s="85">
        <f t="shared" si="97"/>
        <v>0</v>
      </c>
      <c r="I136" s="85">
        <f t="shared" si="97"/>
        <v>0</v>
      </c>
    </row>
    <row r="137" spans="1:9" s="285" customFormat="1" x14ac:dyDescent="0.25">
      <c r="A137" s="118">
        <v>44</v>
      </c>
      <c r="B137" s="151">
        <v>5845</v>
      </c>
      <c r="C137" s="94" t="s">
        <v>320</v>
      </c>
      <c r="D137" s="86"/>
      <c r="E137" s="85"/>
      <c r="F137" s="85">
        <v>0</v>
      </c>
      <c r="G137" s="85">
        <f t="shared" ref="G137:I137" si="98">(F137*0.1)+F137</f>
        <v>0</v>
      </c>
      <c r="H137" s="85">
        <f t="shared" si="98"/>
        <v>0</v>
      </c>
      <c r="I137" s="85">
        <f t="shared" si="98"/>
        <v>0</v>
      </c>
    </row>
    <row r="138" spans="1:9" s="285" customFormat="1" x14ac:dyDescent="0.25">
      <c r="A138" s="118">
        <v>44</v>
      </c>
      <c r="B138" s="151">
        <v>5855</v>
      </c>
      <c r="C138" s="94" t="s">
        <v>321</v>
      </c>
      <c r="D138" s="85"/>
      <c r="E138" s="85"/>
      <c r="F138" s="85">
        <v>0</v>
      </c>
      <c r="G138" s="85">
        <f t="shared" ref="G138:I138" si="99">(F138*0.1)+F138</f>
        <v>0</v>
      </c>
      <c r="H138" s="85">
        <f t="shared" si="99"/>
        <v>0</v>
      </c>
      <c r="I138" s="85">
        <f t="shared" si="99"/>
        <v>0</v>
      </c>
    </row>
    <row r="139" spans="1:9" s="285" customFormat="1" x14ac:dyDescent="0.25">
      <c r="A139" s="118">
        <v>44</v>
      </c>
      <c r="B139" s="151">
        <v>5860</v>
      </c>
      <c r="C139" s="94" t="s">
        <v>322</v>
      </c>
      <c r="D139" s="85"/>
      <c r="E139" s="85"/>
      <c r="F139" s="85">
        <v>0</v>
      </c>
      <c r="G139" s="85">
        <f t="shared" ref="G139:I139" si="100">(F139*0.1)+F139</f>
        <v>0</v>
      </c>
      <c r="H139" s="85">
        <f t="shared" si="100"/>
        <v>0</v>
      </c>
      <c r="I139" s="85">
        <f t="shared" si="100"/>
        <v>0</v>
      </c>
    </row>
    <row r="140" spans="1:9" s="285" customFormat="1" x14ac:dyDescent="0.25">
      <c r="A140" s="118">
        <v>44</v>
      </c>
      <c r="B140" s="151">
        <v>5865</v>
      </c>
      <c r="C140" s="94" t="s">
        <v>323</v>
      </c>
      <c r="D140" s="85"/>
      <c r="E140" s="85"/>
      <c r="F140" s="85">
        <v>0</v>
      </c>
      <c r="G140" s="85">
        <f t="shared" ref="G140:I140" si="101">(F140*0.1)+F140</f>
        <v>0</v>
      </c>
      <c r="H140" s="85">
        <f t="shared" si="101"/>
        <v>0</v>
      </c>
      <c r="I140" s="85">
        <f t="shared" si="101"/>
        <v>0</v>
      </c>
    </row>
    <row r="141" spans="1:9" s="285" customFormat="1" x14ac:dyDescent="0.25">
      <c r="A141" s="118">
        <v>44</v>
      </c>
      <c r="B141" s="151">
        <v>5870</v>
      </c>
      <c r="C141" s="94" t="s">
        <v>324</v>
      </c>
      <c r="D141" s="85"/>
      <c r="E141" s="85"/>
      <c r="F141" s="85">
        <v>0</v>
      </c>
      <c r="G141" s="85">
        <f t="shared" ref="G141:I141" si="102">(F141*0.1)+F141</f>
        <v>0</v>
      </c>
      <c r="H141" s="85">
        <f t="shared" si="102"/>
        <v>0</v>
      </c>
      <c r="I141" s="85">
        <f t="shared" si="102"/>
        <v>0</v>
      </c>
    </row>
    <row r="142" spans="1:9" s="285" customFormat="1" x14ac:dyDescent="0.25">
      <c r="A142" s="118">
        <v>44</v>
      </c>
      <c r="B142" s="151">
        <v>5875</v>
      </c>
      <c r="C142" s="94" t="s">
        <v>325</v>
      </c>
      <c r="D142" s="85"/>
      <c r="E142" s="85"/>
      <c r="F142" s="85">
        <v>0</v>
      </c>
      <c r="G142" s="85">
        <f t="shared" ref="G142:I142" si="103">(F142*0.1)+F142</f>
        <v>0</v>
      </c>
      <c r="H142" s="85">
        <f t="shared" si="103"/>
        <v>0</v>
      </c>
      <c r="I142" s="85">
        <f t="shared" si="103"/>
        <v>0</v>
      </c>
    </row>
    <row r="143" spans="1:9" s="285" customFormat="1" x14ac:dyDescent="0.25">
      <c r="A143" s="118">
        <v>44</v>
      </c>
      <c r="B143" s="151">
        <v>5880</v>
      </c>
      <c r="C143" s="94" t="s">
        <v>326</v>
      </c>
      <c r="D143" s="85"/>
      <c r="E143" s="85"/>
      <c r="F143" s="85">
        <v>0</v>
      </c>
      <c r="G143" s="85">
        <f t="shared" ref="G143:I143" si="104">(F143*0.1)+F143</f>
        <v>0</v>
      </c>
      <c r="H143" s="85">
        <f t="shared" si="104"/>
        <v>0</v>
      </c>
      <c r="I143" s="85">
        <f t="shared" si="104"/>
        <v>0</v>
      </c>
    </row>
    <row r="144" spans="1:9" s="285" customFormat="1" x14ac:dyDescent="0.25">
      <c r="A144" s="118">
        <v>44</v>
      </c>
      <c r="B144" s="151">
        <v>5885</v>
      </c>
      <c r="C144" s="94" t="s">
        <v>331</v>
      </c>
      <c r="D144" s="85"/>
      <c r="E144" s="85"/>
      <c r="F144" s="85">
        <v>0</v>
      </c>
      <c r="G144" s="85">
        <f t="shared" ref="G144:I144" si="105">(F144*0.1)+F144</f>
        <v>0</v>
      </c>
      <c r="H144" s="85">
        <f t="shared" si="105"/>
        <v>0</v>
      </c>
      <c r="I144" s="85">
        <f t="shared" si="105"/>
        <v>0</v>
      </c>
    </row>
    <row r="145" spans="1:9" s="285" customFormat="1" x14ac:dyDescent="0.25">
      <c r="A145" s="118">
        <v>44</v>
      </c>
      <c r="B145" s="151">
        <v>5890</v>
      </c>
      <c r="C145" s="94" t="s">
        <v>327</v>
      </c>
      <c r="D145" s="85"/>
      <c r="E145" s="85"/>
      <c r="F145" s="85">
        <v>0</v>
      </c>
      <c r="G145" s="85">
        <f t="shared" ref="G145:I145" si="106">(F145*0.1)+F145</f>
        <v>0</v>
      </c>
      <c r="H145" s="85">
        <f t="shared" si="106"/>
        <v>0</v>
      </c>
      <c r="I145" s="85">
        <f t="shared" si="106"/>
        <v>0</v>
      </c>
    </row>
    <row r="146" spans="1:9" s="285" customFormat="1" x14ac:dyDescent="0.25">
      <c r="A146" s="118">
        <v>44</v>
      </c>
      <c r="B146" s="151">
        <v>5895</v>
      </c>
      <c r="C146" s="94" t="s">
        <v>328</v>
      </c>
      <c r="D146" s="85"/>
      <c r="E146" s="85"/>
      <c r="F146" s="85">
        <v>0</v>
      </c>
      <c r="G146" s="85">
        <f t="shared" ref="G146:I146" si="107">(F146*0.1)+F146</f>
        <v>0</v>
      </c>
      <c r="H146" s="85">
        <f t="shared" si="107"/>
        <v>0</v>
      </c>
      <c r="I146" s="85">
        <f t="shared" si="107"/>
        <v>0</v>
      </c>
    </row>
    <row r="147" spans="1:9" s="285" customFormat="1" x14ac:dyDescent="0.25">
      <c r="A147" s="118">
        <v>44</v>
      </c>
      <c r="B147" s="151">
        <v>5910</v>
      </c>
      <c r="C147" s="94" t="s">
        <v>330</v>
      </c>
      <c r="D147" s="85"/>
      <c r="E147" s="85"/>
      <c r="F147" s="85">
        <v>0</v>
      </c>
      <c r="G147" s="85">
        <f t="shared" ref="G147:I148" si="108">(F147*0.1)+F147</f>
        <v>0</v>
      </c>
      <c r="H147" s="85">
        <f t="shared" si="108"/>
        <v>0</v>
      </c>
      <c r="I147" s="85">
        <f t="shared" si="108"/>
        <v>0</v>
      </c>
    </row>
    <row r="148" spans="1:9" s="285" customFormat="1" x14ac:dyDescent="0.25">
      <c r="A148" s="344"/>
      <c r="B148" s="151"/>
      <c r="C148" s="94"/>
      <c r="D148" s="89">
        <f t="shared" ref="D148:E148" si="109">SUM(D72:D147)</f>
        <v>188811</v>
      </c>
      <c r="E148" s="89">
        <f t="shared" si="109"/>
        <v>524126.41321999999</v>
      </c>
      <c r="F148" s="89">
        <v>424126.41321999999</v>
      </c>
      <c r="G148" s="89">
        <f>SUM(G72:G147)</f>
        <v>511554.70704199997</v>
      </c>
      <c r="H148" s="89">
        <f t="shared" si="108"/>
        <v>562710.1777462</v>
      </c>
      <c r="I148" s="89">
        <f t="shared" si="108"/>
        <v>618981.19552081998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44</v>
      </c>
      <c r="B150" s="151">
        <v>6005</v>
      </c>
      <c r="C150" s="94" t="s">
        <v>188</v>
      </c>
      <c r="D150" s="85"/>
      <c r="E150" s="108"/>
      <c r="F150" s="85">
        <v>0</v>
      </c>
      <c r="G150" s="85"/>
      <c r="H150" s="85"/>
      <c r="I150" s="108"/>
    </row>
    <row r="151" spans="1:9" s="285" customFormat="1" x14ac:dyDescent="0.25">
      <c r="A151" s="344"/>
      <c r="B151" s="151"/>
      <c r="C151" s="94"/>
      <c r="D151" s="89">
        <f t="shared" ref="D151:E151" si="110">SUM(D150)</f>
        <v>0</v>
      </c>
      <c r="E151" s="89">
        <f t="shared" si="110"/>
        <v>0</v>
      </c>
      <c r="F151" s="89">
        <v>0</v>
      </c>
      <c r="G151" s="89"/>
      <c r="H151" s="89"/>
      <c r="I151" s="89"/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44</v>
      </c>
      <c r="B153" s="151">
        <v>6105</v>
      </c>
      <c r="C153" s="94" t="s">
        <v>336</v>
      </c>
      <c r="D153" s="85"/>
      <c r="E153" s="108"/>
      <c r="F153" s="85">
        <v>0</v>
      </c>
      <c r="G153" s="85"/>
      <c r="H153" s="85"/>
      <c r="I153" s="108"/>
    </row>
    <row r="154" spans="1:9" s="285" customFormat="1" x14ac:dyDescent="0.25">
      <c r="A154" s="118">
        <v>44</v>
      </c>
      <c r="B154" s="151">
        <v>6110</v>
      </c>
      <c r="C154" s="94" t="s">
        <v>337</v>
      </c>
      <c r="D154" s="85">
        <f>[2]SC13c!$G$42</f>
        <v>161000</v>
      </c>
      <c r="E154" s="108">
        <v>394000</v>
      </c>
      <c r="F154" s="85">
        <v>394000</v>
      </c>
      <c r="G154" s="85"/>
      <c r="H154" s="85"/>
      <c r="I154" s="85"/>
    </row>
    <row r="155" spans="1:9" s="285" customFormat="1" x14ac:dyDescent="0.25">
      <c r="A155" s="118">
        <v>44</v>
      </c>
      <c r="B155" s="151">
        <v>6115</v>
      </c>
      <c r="C155" s="94" t="s">
        <v>60</v>
      </c>
      <c r="D155" s="85"/>
      <c r="E155" s="108"/>
      <c r="F155" s="85">
        <v>0</v>
      </c>
      <c r="G155" s="85"/>
      <c r="H155" s="85"/>
      <c r="I155" s="85"/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" si="111">SUM(E153:E155)</f>
        <v>394000</v>
      </c>
      <c r="F156" s="89">
        <v>394000</v>
      </c>
      <c r="G156" s="89">
        <f>SUM(G153:G155)</f>
        <v>0</v>
      </c>
      <c r="H156" s="89">
        <f t="shared" ref="H156:I156" si="112">SUM(H153:H155)</f>
        <v>0</v>
      </c>
      <c r="I156" s="89">
        <f t="shared" si="112"/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x14ac:dyDescent="0.25">
      <c r="A158" s="118">
        <v>44</v>
      </c>
      <c r="B158" s="151">
        <v>6205</v>
      </c>
      <c r="C158" s="94" t="s">
        <v>338</v>
      </c>
      <c r="D158" s="85"/>
      <c r="E158" s="108"/>
      <c r="F158" s="85">
        <v>0</v>
      </c>
      <c r="G158" s="85"/>
      <c r="H158" s="85"/>
      <c r="I158" s="85"/>
    </row>
    <row r="159" spans="1:9" s="285" customFormat="1" x14ac:dyDescent="0.25">
      <c r="A159" s="118">
        <v>44</v>
      </c>
      <c r="B159" s="151">
        <v>6210</v>
      </c>
      <c r="C159" s="94" t="s">
        <v>339</v>
      </c>
      <c r="D159" s="85"/>
      <c r="E159" s="85"/>
      <c r="F159" s="85">
        <v>0</v>
      </c>
      <c r="G159" s="85"/>
      <c r="H159" s="85"/>
      <c r="I159" s="85"/>
    </row>
    <row r="160" spans="1:9" s="285" customFormat="1" x14ac:dyDescent="0.25">
      <c r="A160" s="344"/>
      <c r="B160" s="346"/>
      <c r="C160" s="347"/>
      <c r="D160" s="116">
        <f t="shared" ref="D160:E160" si="113">SUM(D158:D159)</f>
        <v>0</v>
      </c>
      <c r="E160" s="116">
        <f t="shared" si="113"/>
        <v>0</v>
      </c>
      <c r="F160" s="116">
        <v>0</v>
      </c>
      <c r="G160" s="448">
        <v>0</v>
      </c>
      <c r="H160" s="448">
        <v>0</v>
      </c>
      <c r="I160" s="448"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E161" si="114">D160+D156+D151+D148+D70+D66+D63+D59+D38+D35+D32+D29+D25+D18</f>
        <v>6596616</v>
      </c>
      <c r="E161" s="116">
        <f t="shared" si="114"/>
        <v>16286654.298924001</v>
      </c>
      <c r="F161" s="116">
        <v>12286654.298924001</v>
      </c>
      <c r="G161" s="448">
        <v>12286654.298924001</v>
      </c>
      <c r="H161" s="448">
        <v>12286654.298924001</v>
      </c>
      <c r="I161" s="448">
        <v>12286654.298924001</v>
      </c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449"/>
      <c r="H162" s="449"/>
      <c r="I162" s="449"/>
    </row>
    <row r="163" spans="1:9" s="285" customFormat="1" x14ac:dyDescent="0.25">
      <c r="A163" s="118">
        <v>44</v>
      </c>
      <c r="B163" s="151">
        <v>6305</v>
      </c>
      <c r="C163" s="94" t="s">
        <v>190</v>
      </c>
      <c r="D163" s="85"/>
      <c r="E163" s="85"/>
      <c r="F163" s="85"/>
      <c r="G163" s="435"/>
      <c r="H163" s="435"/>
      <c r="I163" s="435"/>
    </row>
    <row r="164" spans="1:9" s="285" customFormat="1" x14ac:dyDescent="0.25">
      <c r="A164" s="344"/>
      <c r="B164" s="151"/>
      <c r="C164" s="94"/>
      <c r="D164" s="116">
        <f t="shared" ref="D164:E164" si="115">D163</f>
        <v>0</v>
      </c>
      <c r="E164" s="116">
        <f t="shared" si="115"/>
        <v>0</v>
      </c>
      <c r="F164" s="116">
        <v>0</v>
      </c>
      <c r="G164" s="448">
        <v>0</v>
      </c>
      <c r="H164" s="448">
        <v>0</v>
      </c>
      <c r="I164" s="448"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E165" si="116">SUM(D161+D164)</f>
        <v>6596616</v>
      </c>
      <c r="E165" s="160">
        <f t="shared" si="116"/>
        <v>16286654.298924001</v>
      </c>
      <c r="F165" s="160">
        <v>12286654.298924001</v>
      </c>
      <c r="G165" s="463">
        <v>12286654.298924001</v>
      </c>
      <c r="H165" s="463">
        <v>12286654.298924001</v>
      </c>
      <c r="I165" s="463">
        <v>12286654.298924001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424"/>
      <c r="H168" s="338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44</v>
      </c>
      <c r="B172" s="151">
        <v>1237</v>
      </c>
      <c r="C172" s="94" t="s">
        <v>99</v>
      </c>
      <c r="D172" s="122"/>
      <c r="E172" s="108"/>
      <c r="F172" s="98">
        <v>0</v>
      </c>
      <c r="G172" s="98"/>
      <c r="H172" s="98"/>
      <c r="I172" s="108"/>
    </row>
    <row r="173" spans="1:9" s="285" customFormat="1" hidden="1" x14ac:dyDescent="0.25">
      <c r="A173" s="118">
        <v>44</v>
      </c>
      <c r="B173" s="151">
        <v>5725</v>
      </c>
      <c r="C173" s="94" t="s">
        <v>402</v>
      </c>
      <c r="D173" s="85">
        <v>0</v>
      </c>
      <c r="E173" s="85">
        <v>0</v>
      </c>
      <c r="F173" s="85">
        <v>0</v>
      </c>
      <c r="G173" s="85"/>
      <c r="H173" s="85"/>
      <c r="I173" s="85"/>
    </row>
    <row r="174" spans="1:9" s="285" customFormat="1" hidden="1" x14ac:dyDescent="0.25">
      <c r="A174" s="344"/>
      <c r="B174" s="151"/>
      <c r="C174" s="94"/>
      <c r="D174" s="99">
        <f t="shared" ref="D174:E174" si="117">SUM(D173)</f>
        <v>0</v>
      </c>
      <c r="E174" s="99">
        <f t="shared" si="117"/>
        <v>0</v>
      </c>
      <c r="F174" s="99">
        <v>0</v>
      </c>
      <c r="G174" s="99"/>
      <c r="H174" s="99"/>
      <c r="I174" s="99"/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44</v>
      </c>
      <c r="B176" s="151">
        <v>1147</v>
      </c>
      <c r="C176" s="94" t="s">
        <v>102</v>
      </c>
      <c r="D176" s="122"/>
      <c r="E176" s="98"/>
      <c r="F176" s="98">
        <v>0</v>
      </c>
      <c r="G176" s="98"/>
      <c r="H176" s="98"/>
      <c r="I176" s="98"/>
    </row>
    <row r="177" spans="1:9" s="285" customFormat="1" hidden="1" x14ac:dyDescent="0.25">
      <c r="A177" s="118">
        <v>44</v>
      </c>
      <c r="B177" s="151">
        <v>1202</v>
      </c>
      <c r="C177" s="94" t="s">
        <v>343</v>
      </c>
      <c r="D177" s="122"/>
      <c r="E177" s="98"/>
      <c r="F177" s="98">
        <v>0</v>
      </c>
      <c r="G177" s="98"/>
      <c r="H177" s="98"/>
      <c r="I177" s="98"/>
    </row>
    <row r="178" spans="1:9" s="285" customFormat="1" hidden="1" x14ac:dyDescent="0.25">
      <c r="A178" s="118">
        <v>44</v>
      </c>
      <c r="B178" s="151">
        <v>1207</v>
      </c>
      <c r="C178" s="94" t="s">
        <v>104</v>
      </c>
      <c r="D178" s="122"/>
      <c r="E178" s="98"/>
      <c r="F178" s="98">
        <v>0</v>
      </c>
      <c r="G178" s="98"/>
      <c r="H178" s="98"/>
      <c r="I178" s="98"/>
    </row>
    <row r="179" spans="1:9" s="285" customFormat="1" hidden="1" x14ac:dyDescent="0.25">
      <c r="A179" s="118">
        <v>44</v>
      </c>
      <c r="B179" s="151">
        <v>1153</v>
      </c>
      <c r="C179" s="94" t="s">
        <v>115</v>
      </c>
      <c r="D179" s="122"/>
      <c r="E179" s="98"/>
      <c r="F179" s="98">
        <v>0</v>
      </c>
      <c r="G179" s="98"/>
      <c r="H179" s="98"/>
      <c r="I179" s="98"/>
    </row>
    <row r="180" spans="1:9" s="285" customFormat="1" hidden="1" x14ac:dyDescent="0.25">
      <c r="A180" s="118">
        <v>44</v>
      </c>
      <c r="B180" s="151">
        <v>1143</v>
      </c>
      <c r="C180" s="94" t="s">
        <v>109</v>
      </c>
      <c r="D180" s="122"/>
      <c r="E180" s="98"/>
      <c r="F180" s="98">
        <v>0</v>
      </c>
      <c r="G180" s="98"/>
      <c r="H180" s="98"/>
      <c r="I180" s="98"/>
    </row>
    <row r="181" spans="1:9" s="285" customFormat="1" x14ac:dyDescent="0.25">
      <c r="A181" s="118">
        <v>44</v>
      </c>
      <c r="B181" s="151">
        <v>5500</v>
      </c>
      <c r="C181" s="94" t="s">
        <v>266</v>
      </c>
      <c r="D181" s="85"/>
      <c r="E181" s="85">
        <v>-113230</v>
      </c>
      <c r="F181" s="85">
        <v>-113230</v>
      </c>
      <c r="G181" s="85">
        <f>(F181*0.1)+F181</f>
        <v>-124553</v>
      </c>
      <c r="H181" s="85">
        <f t="shared" ref="H181:I181" si="118">(G181*0.1)+G181</f>
        <v>-137008.29999999999</v>
      </c>
      <c r="I181" s="85">
        <f t="shared" si="118"/>
        <v>-150709.12999999998</v>
      </c>
    </row>
    <row r="182" spans="1:9" s="285" customFormat="1" hidden="1" x14ac:dyDescent="0.25">
      <c r="A182" s="118">
        <v>44</v>
      </c>
      <c r="B182" s="151">
        <v>5705</v>
      </c>
      <c r="C182" s="94" t="s">
        <v>296</v>
      </c>
      <c r="D182" s="85"/>
      <c r="E182" s="85"/>
      <c r="F182" s="85">
        <v>0</v>
      </c>
      <c r="G182" s="85">
        <f t="shared" ref="G182:I182" si="119">(F182*0.1)+F182</f>
        <v>0</v>
      </c>
      <c r="H182" s="85">
        <f t="shared" si="119"/>
        <v>0</v>
      </c>
      <c r="I182" s="85">
        <f t="shared" si="119"/>
        <v>0</v>
      </c>
    </row>
    <row r="183" spans="1:9" s="285" customFormat="1" hidden="1" x14ac:dyDescent="0.25">
      <c r="A183" s="118">
        <v>44</v>
      </c>
      <c r="B183" s="151">
        <v>1140</v>
      </c>
      <c r="C183" s="94" t="s">
        <v>113</v>
      </c>
      <c r="D183" s="122"/>
      <c r="E183" s="98"/>
      <c r="F183" s="85">
        <v>0</v>
      </c>
      <c r="G183" s="85">
        <f t="shared" ref="G183:I183" si="120">(F183*0.1)+F183</f>
        <v>0</v>
      </c>
      <c r="H183" s="85">
        <f t="shared" si="120"/>
        <v>0</v>
      </c>
      <c r="I183" s="85">
        <f t="shared" si="120"/>
        <v>0</v>
      </c>
    </row>
    <row r="184" spans="1:9" s="285" customFormat="1" hidden="1" x14ac:dyDescent="0.25">
      <c r="A184" s="118">
        <v>44</v>
      </c>
      <c r="B184" s="151">
        <v>1145</v>
      </c>
      <c r="C184" s="94" t="s">
        <v>132</v>
      </c>
      <c r="D184" s="122"/>
      <c r="E184" s="98"/>
      <c r="F184" s="85">
        <v>0</v>
      </c>
      <c r="G184" s="85">
        <f t="shared" ref="G184:I184" si="121">(F184*0.1)+F184</f>
        <v>0</v>
      </c>
      <c r="H184" s="85">
        <f t="shared" si="121"/>
        <v>0</v>
      </c>
      <c r="I184" s="85">
        <f t="shared" si="121"/>
        <v>0</v>
      </c>
    </row>
    <row r="185" spans="1:9" s="285" customFormat="1" hidden="1" x14ac:dyDescent="0.25">
      <c r="A185" s="118">
        <v>44</v>
      </c>
      <c r="B185" s="151">
        <v>1150</v>
      </c>
      <c r="C185" s="94" t="s">
        <v>120</v>
      </c>
      <c r="D185" s="122"/>
      <c r="E185" s="98"/>
      <c r="F185" s="85">
        <v>0</v>
      </c>
      <c r="G185" s="85">
        <f t="shared" ref="G185:I185" si="122">(F185*0.1)+F185</f>
        <v>0</v>
      </c>
      <c r="H185" s="85">
        <f t="shared" si="122"/>
        <v>0</v>
      </c>
      <c r="I185" s="85">
        <f t="shared" si="122"/>
        <v>0</v>
      </c>
    </row>
    <row r="186" spans="1:9" s="285" customFormat="1" hidden="1" x14ac:dyDescent="0.25">
      <c r="A186" s="118">
        <v>44</v>
      </c>
      <c r="B186" s="151">
        <v>1155</v>
      </c>
      <c r="C186" s="94" t="s">
        <v>116</v>
      </c>
      <c r="D186" s="122"/>
      <c r="E186" s="98"/>
      <c r="F186" s="85">
        <v>0</v>
      </c>
      <c r="G186" s="85">
        <f t="shared" ref="G186:I186" si="123">(F186*0.1)+F186</f>
        <v>0</v>
      </c>
      <c r="H186" s="85">
        <f t="shared" si="123"/>
        <v>0</v>
      </c>
      <c r="I186" s="85">
        <f t="shared" si="123"/>
        <v>0</v>
      </c>
    </row>
    <row r="187" spans="1:9" s="285" customFormat="1" hidden="1" x14ac:dyDescent="0.25">
      <c r="A187" s="118">
        <v>44</v>
      </c>
      <c r="B187" s="151">
        <v>1160</v>
      </c>
      <c r="C187" s="94" t="s">
        <v>101</v>
      </c>
      <c r="D187" s="122"/>
      <c r="E187" s="98"/>
      <c r="F187" s="85">
        <v>0</v>
      </c>
      <c r="G187" s="85">
        <f t="shared" ref="G187:I187" si="124">(F187*0.1)+F187</f>
        <v>0</v>
      </c>
      <c r="H187" s="85">
        <f t="shared" si="124"/>
        <v>0</v>
      </c>
      <c r="I187" s="85">
        <f t="shared" si="124"/>
        <v>0</v>
      </c>
    </row>
    <row r="188" spans="1:9" s="285" customFormat="1" hidden="1" x14ac:dyDescent="0.25">
      <c r="A188" s="118">
        <v>44</v>
      </c>
      <c r="B188" s="151">
        <v>1165</v>
      </c>
      <c r="C188" s="94" t="s">
        <v>114</v>
      </c>
      <c r="D188" s="122"/>
      <c r="E188" s="98"/>
      <c r="F188" s="85">
        <v>0</v>
      </c>
      <c r="G188" s="85">
        <f t="shared" ref="G188:I188" si="125">(F188*0.1)+F188</f>
        <v>0</v>
      </c>
      <c r="H188" s="85">
        <f t="shared" si="125"/>
        <v>0</v>
      </c>
      <c r="I188" s="85">
        <f t="shared" si="125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85">
        <v>0</v>
      </c>
      <c r="G189" s="85">
        <f t="shared" ref="G189:I189" si="126">(F189*0.1)+F189</f>
        <v>0</v>
      </c>
      <c r="H189" s="85">
        <f t="shared" si="126"/>
        <v>0</v>
      </c>
      <c r="I189" s="85">
        <f t="shared" si="126"/>
        <v>0</v>
      </c>
    </row>
    <row r="190" spans="1:9" s="285" customFormat="1" x14ac:dyDescent="0.25">
      <c r="A190" s="118">
        <v>44</v>
      </c>
      <c r="B190" s="151">
        <v>1180</v>
      </c>
      <c r="C190" s="94" t="s">
        <v>404</v>
      </c>
      <c r="D190" s="122"/>
      <c r="E190" s="98">
        <v>2120</v>
      </c>
      <c r="F190" s="85">
        <v>2120</v>
      </c>
      <c r="G190" s="85">
        <f t="shared" ref="G190:I190" si="127">(F190*0.1)+F190</f>
        <v>2332</v>
      </c>
      <c r="H190" s="85">
        <f t="shared" si="127"/>
        <v>2565.1999999999998</v>
      </c>
      <c r="I190" s="85">
        <f t="shared" si="127"/>
        <v>2821.72</v>
      </c>
    </row>
    <row r="191" spans="1:9" s="285" customFormat="1" x14ac:dyDescent="0.25">
      <c r="A191" s="118">
        <v>44</v>
      </c>
      <c r="B191" s="151">
        <v>1185</v>
      </c>
      <c r="C191" s="94" t="s">
        <v>405</v>
      </c>
      <c r="D191" s="122"/>
      <c r="E191" s="98">
        <v>1605</v>
      </c>
      <c r="F191" s="85">
        <v>1605</v>
      </c>
      <c r="G191" s="85">
        <f t="shared" ref="G191:I191" si="128">(F191*0.1)+F191</f>
        <v>1765.5</v>
      </c>
      <c r="H191" s="85">
        <f t="shared" si="128"/>
        <v>1942.05</v>
      </c>
      <c r="I191" s="85">
        <f t="shared" si="128"/>
        <v>2136.2550000000001</v>
      </c>
    </row>
    <row r="192" spans="1:9" s="285" customFormat="1" x14ac:dyDescent="0.25">
      <c r="A192" s="118">
        <v>44</v>
      </c>
      <c r="B192" s="151">
        <v>1190</v>
      </c>
      <c r="C192" s="94" t="s">
        <v>406</v>
      </c>
      <c r="D192" s="122">
        <f>10018770+1122</f>
        <v>10019892</v>
      </c>
      <c r="E192" s="98">
        <v>17733799.024800003</v>
      </c>
      <c r="F192" s="85">
        <v>19033799.024800003</v>
      </c>
      <c r="G192" s="85">
        <f t="shared" ref="G192:I192" si="129">(F192*0.1)+F192</f>
        <v>20937178.927280001</v>
      </c>
      <c r="H192" s="85">
        <f t="shared" si="129"/>
        <v>23030896.820008002</v>
      </c>
      <c r="I192" s="85">
        <f t="shared" si="129"/>
        <v>25333986.502008803</v>
      </c>
    </row>
    <row r="193" spans="1:9" s="285" customFormat="1" x14ac:dyDescent="0.25">
      <c r="A193" s="118">
        <v>44</v>
      </c>
      <c r="B193" s="151">
        <v>5905</v>
      </c>
      <c r="C193" s="94" t="s">
        <v>407</v>
      </c>
      <c r="D193" s="122">
        <v>-1104250</v>
      </c>
      <c r="E193" s="98">
        <v>-3794800</v>
      </c>
      <c r="F193" s="85">
        <v>-2294800</v>
      </c>
      <c r="G193" s="85">
        <f t="shared" ref="G193:I193" si="130">(F193*0.1)+F193</f>
        <v>-2524280</v>
      </c>
      <c r="H193" s="85">
        <f t="shared" si="130"/>
        <v>-2776708</v>
      </c>
      <c r="I193" s="85">
        <f t="shared" si="130"/>
        <v>-3054378.8</v>
      </c>
    </row>
    <row r="194" spans="1:9" s="285" customFormat="1" hidden="1" x14ac:dyDescent="0.25">
      <c r="A194" s="118">
        <v>44</v>
      </c>
      <c r="B194" s="151">
        <v>1195</v>
      </c>
      <c r="C194" s="94" t="s">
        <v>199</v>
      </c>
      <c r="D194" s="122"/>
      <c r="E194" s="98"/>
      <c r="F194" s="85">
        <v>0</v>
      </c>
      <c r="G194" s="85">
        <f t="shared" ref="G194:I194" si="131">(F194*0.1)+F194</f>
        <v>0</v>
      </c>
      <c r="H194" s="85">
        <f t="shared" si="131"/>
        <v>0</v>
      </c>
      <c r="I194" s="85">
        <f t="shared" si="131"/>
        <v>0</v>
      </c>
    </row>
    <row r="195" spans="1:9" s="285" customFormat="1" hidden="1" x14ac:dyDescent="0.25">
      <c r="A195" s="118">
        <v>44</v>
      </c>
      <c r="B195" s="151">
        <v>1200</v>
      </c>
      <c r="C195" s="94" t="s">
        <v>117</v>
      </c>
      <c r="D195" s="122"/>
      <c r="E195" s="98"/>
      <c r="F195" s="85">
        <v>0</v>
      </c>
      <c r="G195" s="85">
        <f t="shared" ref="G195:I195" si="132">(F195*0.1)+F195</f>
        <v>0</v>
      </c>
      <c r="H195" s="85">
        <f t="shared" si="132"/>
        <v>0</v>
      </c>
      <c r="I195" s="85">
        <f t="shared" si="132"/>
        <v>0</v>
      </c>
    </row>
    <row r="196" spans="1:9" s="285" customFormat="1" hidden="1" x14ac:dyDescent="0.25">
      <c r="A196" s="118">
        <v>44</v>
      </c>
      <c r="B196" s="151">
        <v>1205</v>
      </c>
      <c r="C196" s="115" t="s">
        <v>105</v>
      </c>
      <c r="D196" s="122"/>
      <c r="E196" s="98"/>
      <c r="F196" s="85">
        <v>0</v>
      </c>
      <c r="G196" s="85">
        <f t="shared" ref="G196:I196" si="133">(F196*0.1)+F196</f>
        <v>0</v>
      </c>
      <c r="H196" s="85">
        <f t="shared" si="133"/>
        <v>0</v>
      </c>
      <c r="I196" s="85">
        <f t="shared" si="133"/>
        <v>0</v>
      </c>
    </row>
    <row r="197" spans="1:9" s="285" customFormat="1" hidden="1" x14ac:dyDescent="0.25">
      <c r="A197" s="118">
        <v>44</v>
      </c>
      <c r="B197" s="151">
        <v>1210</v>
      </c>
      <c r="C197" s="94" t="s">
        <v>118</v>
      </c>
      <c r="D197" s="122"/>
      <c r="E197" s="98"/>
      <c r="F197" s="85">
        <v>0</v>
      </c>
      <c r="G197" s="85">
        <f t="shared" ref="G197:I197" si="134">(F197*0.1)+F197</f>
        <v>0</v>
      </c>
      <c r="H197" s="85">
        <f t="shared" si="134"/>
        <v>0</v>
      </c>
      <c r="I197" s="85">
        <f t="shared" si="134"/>
        <v>0</v>
      </c>
    </row>
    <row r="198" spans="1:9" s="285" customFormat="1" hidden="1" x14ac:dyDescent="0.25">
      <c r="A198" s="118">
        <v>44</v>
      </c>
      <c r="B198" s="151">
        <v>1215</v>
      </c>
      <c r="C198" s="94" t="s">
        <v>133</v>
      </c>
      <c r="D198" s="122"/>
      <c r="E198" s="98"/>
      <c r="F198" s="85">
        <v>0</v>
      </c>
      <c r="G198" s="85">
        <f t="shared" ref="G198:I198" si="135">(F198*0.1)+F198</f>
        <v>0</v>
      </c>
      <c r="H198" s="85">
        <f t="shared" si="135"/>
        <v>0</v>
      </c>
      <c r="I198" s="85">
        <f t="shared" si="135"/>
        <v>0</v>
      </c>
    </row>
    <row r="199" spans="1:9" s="285" customFormat="1" hidden="1" x14ac:dyDescent="0.25">
      <c r="A199" s="118">
        <v>44</v>
      </c>
      <c r="B199" s="151">
        <v>5905</v>
      </c>
      <c r="C199" s="94" t="s">
        <v>329</v>
      </c>
      <c r="D199" s="85"/>
      <c r="E199" s="85"/>
      <c r="F199" s="85">
        <v>0</v>
      </c>
      <c r="G199" s="85">
        <f t="shared" ref="G199:I199" si="136">(F199*0.1)+F199</f>
        <v>0</v>
      </c>
      <c r="H199" s="85">
        <f t="shared" si="136"/>
        <v>0</v>
      </c>
      <c r="I199" s="85">
        <f t="shared" si="136"/>
        <v>0</v>
      </c>
    </row>
    <row r="200" spans="1:9" s="285" customFormat="1" x14ac:dyDescent="0.25">
      <c r="A200" s="118">
        <v>44</v>
      </c>
      <c r="B200" s="151">
        <v>5900</v>
      </c>
      <c r="C200" s="94" t="s">
        <v>333</v>
      </c>
      <c r="D200" s="85">
        <v>105</v>
      </c>
      <c r="E200" s="85">
        <v>-17024</v>
      </c>
      <c r="F200" s="85">
        <v>-17024</v>
      </c>
      <c r="G200" s="85">
        <f t="shared" ref="G200:I200" si="137">(F200*0.1)+F200</f>
        <v>-18726.400000000001</v>
      </c>
      <c r="H200" s="85">
        <f t="shared" si="137"/>
        <v>-20599.04</v>
      </c>
      <c r="I200" s="85">
        <f t="shared" si="137"/>
        <v>-22658.944</v>
      </c>
    </row>
    <row r="201" spans="1:9" s="285" customFormat="1" hidden="1" x14ac:dyDescent="0.25">
      <c r="A201" s="118">
        <v>44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85">
        <f t="shared" ref="G201:I201" si="138">(F201*0.1)+F201</f>
        <v>0</v>
      </c>
      <c r="H201" s="85">
        <f t="shared" si="138"/>
        <v>0</v>
      </c>
      <c r="I201" s="85">
        <f t="shared" si="138"/>
        <v>0</v>
      </c>
    </row>
    <row r="202" spans="1:9" s="285" customFormat="1" hidden="1" x14ac:dyDescent="0.25">
      <c r="A202" s="118">
        <v>44</v>
      </c>
      <c r="B202" s="151">
        <v>1225</v>
      </c>
      <c r="C202" s="94" t="s">
        <v>372</v>
      </c>
      <c r="D202" s="122"/>
      <c r="E202" s="98">
        <v>0</v>
      </c>
      <c r="F202" s="85">
        <v>0</v>
      </c>
      <c r="G202" s="85">
        <f t="shared" ref="G202:I202" si="139">(F202*0.1)+F202</f>
        <v>0</v>
      </c>
      <c r="H202" s="85">
        <f t="shared" si="139"/>
        <v>0</v>
      </c>
      <c r="I202" s="85">
        <f t="shared" si="139"/>
        <v>0</v>
      </c>
    </row>
    <row r="203" spans="1:9" s="285" customFormat="1" hidden="1" x14ac:dyDescent="0.25">
      <c r="A203" s="118">
        <v>44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85">
        <f t="shared" ref="G203:I203" si="140">(F203*0.1)+F203</f>
        <v>0</v>
      </c>
      <c r="H203" s="85">
        <f t="shared" si="140"/>
        <v>0</v>
      </c>
      <c r="I203" s="85">
        <f t="shared" si="140"/>
        <v>0</v>
      </c>
    </row>
    <row r="204" spans="1:9" s="285" customFormat="1" hidden="1" x14ac:dyDescent="0.25">
      <c r="A204" s="118">
        <v>44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85">
        <f t="shared" ref="G204:I204" si="141">(F204*0.1)+F204</f>
        <v>0</v>
      </c>
      <c r="H204" s="85">
        <f t="shared" si="141"/>
        <v>0</v>
      </c>
      <c r="I204" s="85">
        <f t="shared" si="141"/>
        <v>0</v>
      </c>
    </row>
    <row r="205" spans="1:9" s="285" customFormat="1" x14ac:dyDescent="0.25">
      <c r="A205" s="118"/>
      <c r="B205" s="151"/>
      <c r="C205" s="94" t="s">
        <v>512</v>
      </c>
      <c r="D205" s="225"/>
      <c r="E205" s="85"/>
      <c r="F205" s="85">
        <v>0</v>
      </c>
      <c r="G205" s="85">
        <f t="shared" ref="G205:I206" si="142">(F205*0.1)+F205</f>
        <v>0</v>
      </c>
      <c r="H205" s="85">
        <f t="shared" si="142"/>
        <v>0</v>
      </c>
      <c r="I205" s="85">
        <f t="shared" si="142"/>
        <v>0</v>
      </c>
    </row>
    <row r="206" spans="1:9" s="285" customFormat="1" x14ac:dyDescent="0.25">
      <c r="A206" s="344"/>
      <c r="B206" s="151"/>
      <c r="C206" s="94"/>
      <c r="D206" s="100">
        <f t="shared" ref="D206:E206" si="143">SUM(D176:D204)</f>
        <v>8915747</v>
      </c>
      <c r="E206" s="100">
        <f t="shared" si="143"/>
        <v>13812470.024800003</v>
      </c>
      <c r="F206" s="100">
        <v>16612470.024800003</v>
      </c>
      <c r="G206" s="100">
        <f>SUM(G181:G205)</f>
        <v>18273717.027280003</v>
      </c>
      <c r="H206" s="100">
        <f t="shared" si="142"/>
        <v>20101088.730008002</v>
      </c>
      <c r="I206" s="100">
        <f t="shared" si="142"/>
        <v>22111197.603008803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44</v>
      </c>
      <c r="B208" s="151">
        <v>1305</v>
      </c>
      <c r="C208" s="94" t="s">
        <v>342</v>
      </c>
      <c r="D208" s="122"/>
      <c r="E208" s="98"/>
      <c r="F208" s="98">
        <v>0</v>
      </c>
      <c r="G208" s="98"/>
      <c r="H208" s="98"/>
      <c r="I208" s="98"/>
    </row>
    <row r="209" spans="1:9" s="285" customFormat="1" hidden="1" x14ac:dyDescent="0.25">
      <c r="A209" s="118">
        <v>44</v>
      </c>
      <c r="B209" s="151">
        <v>1310</v>
      </c>
      <c r="C209" s="94" t="s">
        <v>344</v>
      </c>
      <c r="D209" s="122"/>
      <c r="E209" s="98"/>
      <c r="F209" s="98">
        <v>0</v>
      </c>
      <c r="G209" s="98"/>
      <c r="H209" s="98"/>
      <c r="I209" s="98"/>
    </row>
    <row r="210" spans="1:9" s="285" customFormat="1" hidden="1" x14ac:dyDescent="0.25">
      <c r="A210" s="118">
        <v>44</v>
      </c>
      <c r="B210" s="151">
        <v>1320</v>
      </c>
      <c r="C210" s="94" t="s">
        <v>345</v>
      </c>
      <c r="D210" s="122"/>
      <c r="E210" s="98"/>
      <c r="F210" s="98">
        <v>0</v>
      </c>
      <c r="G210" s="98"/>
      <c r="H210" s="98"/>
      <c r="I210" s="98"/>
    </row>
    <row r="211" spans="1:9" s="285" customFormat="1" hidden="1" x14ac:dyDescent="0.25">
      <c r="A211" s="118">
        <v>44</v>
      </c>
      <c r="B211" s="151">
        <v>1315</v>
      </c>
      <c r="C211" s="94" t="s">
        <v>346</v>
      </c>
      <c r="D211" s="122"/>
      <c r="E211" s="108"/>
      <c r="F211" s="98">
        <v>0</v>
      </c>
      <c r="G211" s="98"/>
      <c r="H211" s="98"/>
      <c r="I211" s="108"/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>SUM(E208:E211)</f>
        <v>0</v>
      </c>
      <c r="F212" s="99">
        <v>0</v>
      </c>
      <c r="G212" s="99"/>
      <c r="H212" s="99"/>
      <c r="I212" s="99"/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44</v>
      </c>
      <c r="B214" s="151">
        <v>1400</v>
      </c>
      <c r="C214" s="94" t="s">
        <v>68</v>
      </c>
      <c r="D214" s="122"/>
      <c r="E214" s="108"/>
      <c r="F214" s="98"/>
      <c r="G214" s="98"/>
      <c r="H214" s="98"/>
      <c r="I214" s="108"/>
    </row>
    <row r="215" spans="1:9" s="285" customFormat="1" hidden="1" x14ac:dyDescent="0.25">
      <c r="A215" s="118">
        <v>44</v>
      </c>
      <c r="B215" s="151">
        <v>1405</v>
      </c>
      <c r="C215" s="94" t="s">
        <v>69</v>
      </c>
      <c r="D215" s="122"/>
      <c r="E215" s="108"/>
      <c r="F215" s="98"/>
      <c r="G215" s="98"/>
      <c r="H215" s="98"/>
      <c r="I215" s="108"/>
    </row>
    <row r="216" spans="1:9" s="285" customFormat="1" hidden="1" x14ac:dyDescent="0.25">
      <c r="A216" s="344"/>
      <c r="B216" s="151"/>
      <c r="C216" s="94"/>
      <c r="D216" s="99">
        <f t="shared" ref="D216:E216" si="144">SUM(D214:D215)</f>
        <v>0</v>
      </c>
      <c r="E216" s="99">
        <f t="shared" si="144"/>
        <v>0</v>
      </c>
      <c r="F216" s="99">
        <v>0</v>
      </c>
      <c r="G216" s="99"/>
      <c r="H216" s="99"/>
      <c r="I216" s="99"/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44</v>
      </c>
      <c r="B218" s="151">
        <v>1500</v>
      </c>
      <c r="C218" s="94" t="s">
        <v>106</v>
      </c>
      <c r="D218" s="122"/>
      <c r="E218" s="108"/>
      <c r="F218" s="98"/>
      <c r="G218" s="98"/>
      <c r="H218" s="98"/>
      <c r="I218" s="108"/>
    </row>
    <row r="219" spans="1:9" s="285" customFormat="1" hidden="1" x14ac:dyDescent="0.25">
      <c r="A219" s="118">
        <v>44</v>
      </c>
      <c r="B219" s="151">
        <v>1505</v>
      </c>
      <c r="C219" s="94" t="s">
        <v>71</v>
      </c>
      <c r="D219" s="122"/>
      <c r="E219" s="108"/>
      <c r="F219" s="98"/>
      <c r="G219" s="98"/>
      <c r="H219" s="98"/>
      <c r="I219" s="108"/>
    </row>
    <row r="220" spans="1:9" s="285" customFormat="1" hidden="1" x14ac:dyDescent="0.25">
      <c r="A220" s="118">
        <v>44</v>
      </c>
      <c r="B220" s="151">
        <v>1510</v>
      </c>
      <c r="C220" s="94" t="s">
        <v>72</v>
      </c>
      <c r="D220" s="122"/>
      <c r="E220" s="108"/>
      <c r="F220" s="98"/>
      <c r="G220" s="98"/>
      <c r="H220" s="98"/>
      <c r="I220" s="108"/>
    </row>
    <row r="221" spans="1:9" s="285" customFormat="1" hidden="1" x14ac:dyDescent="0.25">
      <c r="A221" s="344"/>
      <c r="B221" s="151"/>
      <c r="C221" s="94"/>
      <c r="D221" s="99">
        <f t="shared" ref="D221:E221" si="145">SUM(D218:D220)</f>
        <v>0</v>
      </c>
      <c r="E221" s="99">
        <f t="shared" si="145"/>
        <v>0</v>
      </c>
      <c r="F221" s="99">
        <v>0</v>
      </c>
      <c r="G221" s="99"/>
      <c r="H221" s="99"/>
      <c r="I221" s="99"/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44</v>
      </c>
      <c r="B223" s="151">
        <v>1550</v>
      </c>
      <c r="C223" s="94" t="s">
        <v>349</v>
      </c>
      <c r="D223" s="122"/>
      <c r="E223" s="98"/>
      <c r="F223" s="98"/>
      <c r="G223" s="98"/>
      <c r="H223" s="98"/>
      <c r="I223" s="98"/>
    </row>
    <row r="224" spans="1:9" s="285" customFormat="1" hidden="1" x14ac:dyDescent="0.25">
      <c r="A224" s="118">
        <v>44</v>
      </c>
      <c r="B224" s="151">
        <v>1555</v>
      </c>
      <c r="C224" s="94" t="s">
        <v>348</v>
      </c>
      <c r="D224" s="122"/>
      <c r="E224" s="98"/>
      <c r="F224" s="98"/>
      <c r="G224" s="98"/>
      <c r="H224" s="98"/>
      <c r="I224" s="108"/>
    </row>
    <row r="225" spans="1:9" s="285" customFormat="1" hidden="1" x14ac:dyDescent="0.25">
      <c r="A225" s="344"/>
      <c r="B225" s="151"/>
      <c r="C225" s="94"/>
      <c r="D225" s="100">
        <f t="shared" ref="D225:E225" si="146">SUM(D223:D224)</f>
        <v>0</v>
      </c>
      <c r="E225" s="100">
        <f t="shared" si="146"/>
        <v>0</v>
      </c>
      <c r="F225" s="100">
        <v>0</v>
      </c>
      <c r="G225" s="100"/>
      <c r="H225" s="100"/>
      <c r="I225" s="100"/>
    </row>
    <row r="226" spans="1:9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x14ac:dyDescent="0.25">
      <c r="A227" s="118">
        <v>44</v>
      </c>
      <c r="B227" s="151">
        <v>1605</v>
      </c>
      <c r="C227" s="94" t="s">
        <v>75</v>
      </c>
      <c r="D227" s="122">
        <v>6706260</v>
      </c>
      <c r="E227" s="98">
        <v>9000000</v>
      </c>
      <c r="F227" s="85">
        <v>9000000</v>
      </c>
      <c r="G227" s="86">
        <v>9333000</v>
      </c>
      <c r="H227" s="98">
        <v>9711000</v>
      </c>
      <c r="I227" s="85">
        <v>9468000</v>
      </c>
    </row>
    <row r="228" spans="1:9" s="285" customFormat="1" hidden="1" x14ac:dyDescent="0.25">
      <c r="A228" s="118">
        <v>44</v>
      </c>
      <c r="B228" s="151">
        <v>1610</v>
      </c>
      <c r="C228" s="94" t="s">
        <v>131</v>
      </c>
      <c r="D228" s="122"/>
      <c r="E228" s="98"/>
      <c r="F228" s="98"/>
      <c r="G228" s="98"/>
      <c r="H228" s="98"/>
      <c r="I228" s="98"/>
    </row>
    <row r="229" spans="1:9" s="285" customFormat="1" hidden="1" x14ac:dyDescent="0.25">
      <c r="A229" s="118">
        <v>44</v>
      </c>
      <c r="B229" s="151">
        <v>1615</v>
      </c>
      <c r="C229" s="94" t="s">
        <v>182</v>
      </c>
      <c r="D229" s="122"/>
      <c r="E229" s="98"/>
      <c r="F229" s="98"/>
      <c r="G229" s="98"/>
      <c r="H229" s="98"/>
      <c r="I229" s="98"/>
    </row>
    <row r="230" spans="1:9" s="285" customFormat="1" hidden="1" x14ac:dyDescent="0.25">
      <c r="A230" s="118">
        <v>44</v>
      </c>
      <c r="B230" s="151">
        <v>1620</v>
      </c>
      <c r="C230" s="94" t="s">
        <v>255</v>
      </c>
      <c r="D230" s="122"/>
      <c r="E230" s="98"/>
      <c r="F230" s="98"/>
      <c r="G230" s="98"/>
      <c r="H230" s="98"/>
      <c r="I230" s="98"/>
    </row>
    <row r="231" spans="1:9" s="285" customFormat="1" hidden="1" x14ac:dyDescent="0.25">
      <c r="A231" s="118">
        <v>44</v>
      </c>
      <c r="B231" s="151">
        <v>1625</v>
      </c>
      <c r="C231" s="94" t="s">
        <v>108</v>
      </c>
      <c r="D231" s="122"/>
      <c r="E231" s="98"/>
      <c r="F231" s="98"/>
      <c r="G231" s="98"/>
      <c r="H231" s="98"/>
      <c r="I231" s="98"/>
    </row>
    <row r="232" spans="1:9" s="285" customFormat="1" hidden="1" x14ac:dyDescent="0.25">
      <c r="A232" s="118">
        <v>44</v>
      </c>
      <c r="B232" s="151">
        <v>1630</v>
      </c>
      <c r="C232" s="94" t="s">
        <v>76</v>
      </c>
      <c r="D232" s="122"/>
      <c r="E232" s="98"/>
      <c r="F232" s="98"/>
      <c r="G232" s="98"/>
      <c r="H232" s="98"/>
      <c r="I232" s="98"/>
    </row>
    <row r="233" spans="1:9" s="285" customFormat="1" hidden="1" x14ac:dyDescent="0.25">
      <c r="A233" s="118">
        <v>44</v>
      </c>
      <c r="B233" s="151">
        <v>1635</v>
      </c>
      <c r="C233" s="94" t="s">
        <v>180</v>
      </c>
      <c r="D233" s="122"/>
      <c r="E233" s="98"/>
      <c r="F233" s="98"/>
      <c r="G233" s="98"/>
      <c r="H233" s="98"/>
      <c r="I233" s="98"/>
    </row>
    <row r="234" spans="1:9" s="285" customFormat="1" hidden="1" x14ac:dyDescent="0.25">
      <c r="A234" s="118">
        <v>44</v>
      </c>
      <c r="B234" s="151">
        <v>1640</v>
      </c>
      <c r="C234" s="94" t="s">
        <v>184</v>
      </c>
      <c r="D234" s="122"/>
      <c r="E234" s="98"/>
      <c r="F234" s="98"/>
      <c r="G234" s="98"/>
      <c r="H234" s="98"/>
      <c r="I234" s="98"/>
    </row>
    <row r="235" spans="1:9" s="285" customFormat="1" hidden="1" x14ac:dyDescent="0.25">
      <c r="A235" s="118">
        <v>44</v>
      </c>
      <c r="B235" s="151">
        <v>1645</v>
      </c>
      <c r="C235" s="94" t="s">
        <v>77</v>
      </c>
      <c r="D235" s="122"/>
      <c r="E235" s="98"/>
      <c r="F235" s="98"/>
      <c r="G235" s="98"/>
      <c r="H235" s="98"/>
      <c r="I235" s="98"/>
    </row>
    <row r="236" spans="1:9" s="285" customFormat="1" hidden="1" x14ac:dyDescent="0.25">
      <c r="A236" s="118">
        <v>44</v>
      </c>
      <c r="B236" s="151">
        <v>1650</v>
      </c>
      <c r="C236" s="94" t="s">
        <v>78</v>
      </c>
      <c r="D236" s="122"/>
      <c r="E236" s="98"/>
      <c r="F236" s="98"/>
      <c r="G236" s="98"/>
      <c r="H236" s="98"/>
      <c r="I236" s="98"/>
    </row>
    <row r="237" spans="1:9" s="285" customFormat="1" hidden="1" x14ac:dyDescent="0.25">
      <c r="A237" s="118">
        <v>44</v>
      </c>
      <c r="B237" s="151"/>
      <c r="C237" s="94" t="s">
        <v>200</v>
      </c>
      <c r="D237" s="122"/>
      <c r="E237" s="98"/>
      <c r="F237" s="98"/>
      <c r="G237" s="98"/>
      <c r="H237" s="98"/>
      <c r="I237" s="98"/>
    </row>
    <row r="238" spans="1:9" s="285" customFormat="1" hidden="1" x14ac:dyDescent="0.25">
      <c r="A238" s="118">
        <v>44</v>
      </c>
      <c r="B238" s="151">
        <v>1660</v>
      </c>
      <c r="C238" s="94" t="s">
        <v>185</v>
      </c>
      <c r="D238" s="122"/>
      <c r="E238" s="98"/>
      <c r="F238" s="98"/>
      <c r="G238" s="98"/>
      <c r="H238" s="98"/>
      <c r="I238" s="98"/>
    </row>
    <row r="239" spans="1:9" s="285" customFormat="1" hidden="1" x14ac:dyDescent="0.25">
      <c r="A239" s="118">
        <v>44</v>
      </c>
      <c r="B239" s="151">
        <v>1665</v>
      </c>
      <c r="C239" s="94" t="s">
        <v>181</v>
      </c>
      <c r="D239" s="122"/>
      <c r="E239" s="98"/>
      <c r="F239" s="98"/>
      <c r="G239" s="98"/>
      <c r="H239" s="98"/>
      <c r="I239" s="98"/>
    </row>
    <row r="240" spans="1:9" s="285" customFormat="1" x14ac:dyDescent="0.25">
      <c r="A240" s="344"/>
      <c r="B240" s="151"/>
      <c r="C240" s="94"/>
      <c r="D240" s="99">
        <f t="shared" ref="D240:E240" si="147">SUM(D227:D227)</f>
        <v>6706260</v>
      </c>
      <c r="E240" s="99">
        <f t="shared" si="147"/>
        <v>9000000</v>
      </c>
      <c r="F240" s="99">
        <v>9000000</v>
      </c>
      <c r="G240" s="443">
        <v>9000000</v>
      </c>
      <c r="H240" s="443">
        <v>9000000</v>
      </c>
      <c r="I240" s="443">
        <v>9000000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42"/>
      <c r="H241" s="442"/>
      <c r="I241" s="442"/>
    </row>
    <row r="242" spans="1:9" s="285" customFormat="1" hidden="1" x14ac:dyDescent="0.25">
      <c r="A242" s="118">
        <v>44</v>
      </c>
      <c r="B242" s="151">
        <v>1705</v>
      </c>
      <c r="C242" s="94" t="s">
        <v>123</v>
      </c>
      <c r="D242" s="122"/>
      <c r="E242" s="98"/>
      <c r="F242" s="98"/>
      <c r="G242" s="442"/>
      <c r="H242" s="442"/>
      <c r="I242" s="442"/>
    </row>
    <row r="243" spans="1:9" s="285" customFormat="1" hidden="1" x14ac:dyDescent="0.25">
      <c r="A243" s="118">
        <v>44</v>
      </c>
      <c r="B243" s="151">
        <v>1710</v>
      </c>
      <c r="C243" s="94" t="s">
        <v>242</v>
      </c>
      <c r="D243" s="122"/>
      <c r="E243" s="98"/>
      <c r="F243" s="98"/>
      <c r="G243" s="442"/>
      <c r="H243" s="442"/>
      <c r="I243" s="442"/>
    </row>
    <row r="244" spans="1:9" s="285" customFormat="1" hidden="1" x14ac:dyDescent="0.25">
      <c r="A244" s="118">
        <v>44</v>
      </c>
      <c r="B244" s="151">
        <v>1715</v>
      </c>
      <c r="C244" s="94" t="s">
        <v>183</v>
      </c>
      <c r="D244" s="122"/>
      <c r="E244" s="98"/>
      <c r="F244" s="98"/>
      <c r="G244" s="442"/>
      <c r="H244" s="442"/>
      <c r="I244" s="442"/>
    </row>
    <row r="245" spans="1:9" s="285" customFormat="1" hidden="1" x14ac:dyDescent="0.25">
      <c r="A245" s="118">
        <v>44</v>
      </c>
      <c r="B245" s="151">
        <v>1720</v>
      </c>
      <c r="C245" s="94" t="s">
        <v>103</v>
      </c>
      <c r="D245" s="122"/>
      <c r="E245" s="98"/>
      <c r="F245" s="98"/>
      <c r="G245" s="442"/>
      <c r="H245" s="442"/>
      <c r="I245" s="442"/>
    </row>
    <row r="246" spans="1:9" s="285" customFormat="1" hidden="1" x14ac:dyDescent="0.25">
      <c r="A246" s="118">
        <v>44</v>
      </c>
      <c r="B246" s="151">
        <v>1725</v>
      </c>
      <c r="C246" s="94" t="s">
        <v>107</v>
      </c>
      <c r="D246" s="122"/>
      <c r="E246" s="98"/>
      <c r="F246" s="98"/>
      <c r="G246" s="442"/>
      <c r="H246" s="442"/>
      <c r="I246" s="442"/>
    </row>
    <row r="247" spans="1:9" s="285" customFormat="1" hidden="1" x14ac:dyDescent="0.25">
      <c r="A247" s="118">
        <v>44</v>
      </c>
      <c r="B247" s="151">
        <v>1730</v>
      </c>
      <c r="C247" s="94" t="s">
        <v>256</v>
      </c>
      <c r="D247" s="122"/>
      <c r="E247" s="98"/>
      <c r="F247" s="98"/>
      <c r="G247" s="442"/>
      <c r="H247" s="442"/>
      <c r="I247" s="442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" si="148">SUM(E242:E247)</f>
        <v>0</v>
      </c>
      <c r="F248" s="99">
        <v>0</v>
      </c>
      <c r="G248" s="443">
        <v>0</v>
      </c>
      <c r="H248" s="443">
        <v>0</v>
      </c>
      <c r="I248" s="443"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42"/>
      <c r="H249" s="442"/>
      <c r="I249" s="442"/>
    </row>
    <row r="250" spans="1:9" s="285" customFormat="1" hidden="1" x14ac:dyDescent="0.25">
      <c r="A250" s="118">
        <v>44</v>
      </c>
      <c r="B250" s="151">
        <v>1805</v>
      </c>
      <c r="C250" s="94" t="s">
        <v>81</v>
      </c>
      <c r="D250" s="122"/>
      <c r="E250" s="108"/>
      <c r="F250" s="98"/>
      <c r="G250" s="442"/>
      <c r="H250" s="442"/>
      <c r="I250" s="442"/>
    </row>
    <row r="251" spans="1:9" s="285" customFormat="1" hidden="1" x14ac:dyDescent="0.25">
      <c r="A251" s="344"/>
      <c r="B251" s="151"/>
      <c r="C251" s="94"/>
      <c r="D251" s="99">
        <f t="shared" ref="D251:E251" si="149">D250</f>
        <v>0</v>
      </c>
      <c r="E251" s="99">
        <f t="shared" si="149"/>
        <v>0</v>
      </c>
      <c r="F251" s="99">
        <v>0</v>
      </c>
      <c r="G251" s="443">
        <v>0</v>
      </c>
      <c r="H251" s="443">
        <v>0</v>
      </c>
      <c r="I251" s="443"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E252" si="150">SUM(D171:D251)/2</f>
        <v>15622007</v>
      </c>
      <c r="E252" s="117">
        <f t="shared" si="150"/>
        <v>22812470.024800003</v>
      </c>
      <c r="F252" s="117">
        <v>25612470.024800003</v>
      </c>
      <c r="G252" s="449">
        <v>25612470.024800003</v>
      </c>
      <c r="H252" s="449">
        <v>25612470.024800003</v>
      </c>
      <c r="I252" s="449">
        <v>25612470.024800003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449"/>
      <c r="H253" s="449"/>
      <c r="I253" s="449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52"/>
      <c r="H254" s="452"/>
      <c r="I254" s="452"/>
    </row>
    <row r="255" spans="1:9" s="285" customFormat="1" hidden="1" x14ac:dyDescent="0.25">
      <c r="A255" s="118">
        <v>44</v>
      </c>
      <c r="B255" s="151">
        <v>1905</v>
      </c>
      <c r="C255" s="118" t="s">
        <v>194</v>
      </c>
      <c r="D255" s="127"/>
      <c r="E255" s="147"/>
      <c r="F255" s="98"/>
      <c r="G255" s="442"/>
      <c r="H255" s="442"/>
      <c r="I255" s="442"/>
    </row>
    <row r="256" spans="1:9" s="285" customFormat="1" hidden="1" x14ac:dyDescent="0.25">
      <c r="A256" s="344"/>
      <c r="B256" s="151"/>
      <c r="C256" s="94"/>
      <c r="D256" s="117">
        <f t="shared" ref="D256:E256" si="151">SUM(D255)</f>
        <v>0</v>
      </c>
      <c r="E256" s="117">
        <f t="shared" si="151"/>
        <v>0</v>
      </c>
      <c r="F256" s="117">
        <v>0</v>
      </c>
      <c r="G256" s="449">
        <v>0</v>
      </c>
      <c r="H256" s="449">
        <v>0</v>
      </c>
      <c r="I256" s="449"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E257" si="152">D252+D256</f>
        <v>15622007</v>
      </c>
      <c r="E257" s="117">
        <f t="shared" si="152"/>
        <v>22812470.024800003</v>
      </c>
      <c r="F257" s="117">
        <v>25612470.024800003</v>
      </c>
      <c r="G257" s="449">
        <v>25612470.024800003</v>
      </c>
      <c r="H257" s="449">
        <v>25612470.024800003</v>
      </c>
      <c r="I257" s="449">
        <v>25612470.024800003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53"/>
      <c r="H258" s="453"/>
      <c r="I258" s="453"/>
    </row>
    <row r="259" spans="1:9" s="285" customFormat="1" hidden="1" x14ac:dyDescent="0.25">
      <c r="A259" s="118">
        <v>44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442">
        <f t="shared" ref="G259:I259" si="153">F259/8*12</f>
        <v>0</v>
      </c>
      <c r="H259" s="442">
        <f t="shared" si="153"/>
        <v>0</v>
      </c>
      <c r="I259" s="442">
        <f t="shared" si="153"/>
        <v>0</v>
      </c>
    </row>
    <row r="260" spans="1:9" s="285" customFormat="1" hidden="1" x14ac:dyDescent="0.25">
      <c r="A260" s="344"/>
      <c r="B260" s="346"/>
      <c r="C260" s="94"/>
      <c r="D260" s="124">
        <f t="shared" ref="D260:F260" si="154">D259</f>
        <v>0</v>
      </c>
      <c r="E260" s="124">
        <f t="shared" si="154"/>
        <v>0</v>
      </c>
      <c r="F260" s="124">
        <f t="shared" si="154"/>
        <v>0</v>
      </c>
      <c r="G260" s="452">
        <f t="shared" ref="G260:I260" si="155">G259</f>
        <v>0</v>
      </c>
      <c r="H260" s="452">
        <f t="shared" si="155"/>
        <v>0</v>
      </c>
      <c r="I260" s="452">
        <f t="shared" si="155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F261" si="156">D257+D260</f>
        <v>15622007</v>
      </c>
      <c r="E261" s="160">
        <f t="shared" si="156"/>
        <v>22812470.024800003</v>
      </c>
      <c r="F261" s="160">
        <f t="shared" si="156"/>
        <v>25612470.024800003</v>
      </c>
      <c r="G261" s="463">
        <f t="shared" ref="G261:I261" si="157">G257+G260</f>
        <v>25612470.024800003</v>
      </c>
      <c r="H261" s="463">
        <f t="shared" si="157"/>
        <v>25612470.024800003</v>
      </c>
      <c r="I261" s="463">
        <f t="shared" si="157"/>
        <v>25612470.024800003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F262" si="158">D261-D165</f>
        <v>9025391</v>
      </c>
      <c r="E262" s="161">
        <f t="shared" si="158"/>
        <v>6525815.7258760016</v>
      </c>
      <c r="F262" s="161">
        <f t="shared" si="158"/>
        <v>13325815.725876002</v>
      </c>
      <c r="G262" s="464">
        <f t="shared" ref="G262:I262" si="159">G261-G165</f>
        <v>13325815.725876002</v>
      </c>
      <c r="H262" s="464">
        <f t="shared" si="159"/>
        <v>13325815.725876002</v>
      </c>
      <c r="I262" s="464">
        <f t="shared" si="159"/>
        <v>13325815.725876002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5" spans="1:9" s="285" customFormat="1" x14ac:dyDescent="0.25">
      <c r="B265" s="352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3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68"/>
  <sheetViews>
    <sheetView view="pageBreakPreview" topLeftCell="A136" zoomScaleSheetLayoutView="100" workbookViewId="0">
      <selection activeCell="H156" sqref="H156:I156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7" width="16.33203125" style="96" customWidth="1"/>
    <col min="8" max="9" width="12.88671875" style="96" customWidth="1"/>
    <col min="10" max="16384" width="9.109375" style="96"/>
  </cols>
  <sheetData>
    <row r="1" spans="1:9" s="285" customFormat="1" ht="12.75" customHeight="1" x14ac:dyDescent="0.25">
      <c r="A1" s="699" t="s">
        <v>365</v>
      </c>
      <c r="B1" s="700"/>
      <c r="C1" s="700"/>
      <c r="D1" s="700"/>
      <c r="E1" s="700"/>
      <c r="F1" s="700"/>
      <c r="G1" s="700"/>
      <c r="H1" s="700"/>
      <c r="I1" s="700"/>
    </row>
    <row r="2" spans="1:9" s="285" customFormat="1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03" t="s">
        <v>417</v>
      </c>
      <c r="B3" s="704"/>
      <c r="C3" s="705"/>
      <c r="D3" s="149"/>
      <c r="E3" s="338"/>
      <c r="F3" s="338"/>
      <c r="G3" s="424"/>
      <c r="H3" s="338"/>
      <c r="I3" s="338"/>
    </row>
    <row r="4" spans="1:9" s="285" customFormat="1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85"/>
      <c r="E6" s="85"/>
      <c r="F6" s="85"/>
      <c r="G6" s="85"/>
      <c r="H6" s="85"/>
      <c r="I6" s="85"/>
    </row>
    <row r="7" spans="1:9" s="285" customFormat="1" x14ac:dyDescent="0.25">
      <c r="A7" s="118">
        <v>46</v>
      </c>
      <c r="B7" s="155">
        <v>5005</v>
      </c>
      <c r="C7" s="94" t="s">
        <v>241</v>
      </c>
      <c r="D7" s="85">
        <f>2520*6</f>
        <v>15120</v>
      </c>
      <c r="E7" s="85">
        <v>19500</v>
      </c>
      <c r="F7" s="85">
        <v>19500</v>
      </c>
      <c r="G7" s="435">
        <f t="shared" ref="G7:I17" si="0">(F7*0.068)+F7</f>
        <v>20826</v>
      </c>
      <c r="H7" s="435">
        <f t="shared" si="0"/>
        <v>22242.168000000001</v>
      </c>
      <c r="I7" s="435">
        <f t="shared" si="0"/>
        <v>23754.635424</v>
      </c>
    </row>
    <row r="8" spans="1:9" s="285" customFormat="1" hidden="1" x14ac:dyDescent="0.25">
      <c r="A8" s="118">
        <v>46</v>
      </c>
      <c r="B8" s="151">
        <v>5010</v>
      </c>
      <c r="C8" s="94" t="s">
        <v>34</v>
      </c>
      <c r="D8" s="85"/>
      <c r="E8" s="85"/>
      <c r="F8" s="85"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46</v>
      </c>
      <c r="B9" s="151">
        <v>5015</v>
      </c>
      <c r="C9" s="94" t="s">
        <v>35</v>
      </c>
      <c r="D9" s="85">
        <v>3132</v>
      </c>
      <c r="E9" s="85">
        <v>14000</v>
      </c>
      <c r="F9" s="85">
        <v>14000</v>
      </c>
      <c r="G9" s="435">
        <f t="shared" si="0"/>
        <v>14952</v>
      </c>
      <c r="H9" s="435">
        <f t="shared" si="0"/>
        <v>15968.736000000001</v>
      </c>
      <c r="I9" s="435">
        <f t="shared" si="0"/>
        <v>17054.610048000002</v>
      </c>
    </row>
    <row r="10" spans="1:9" s="285" customFormat="1" x14ac:dyDescent="0.25">
      <c r="A10" s="118">
        <v>46</v>
      </c>
      <c r="B10" s="151">
        <v>5020</v>
      </c>
      <c r="C10" s="94" t="s">
        <v>350</v>
      </c>
      <c r="D10" s="85">
        <f>15950*6</f>
        <v>95700</v>
      </c>
      <c r="E10" s="85">
        <v>270000</v>
      </c>
      <c r="F10" s="85">
        <v>270000</v>
      </c>
      <c r="G10" s="435">
        <f t="shared" si="0"/>
        <v>288360</v>
      </c>
      <c r="H10" s="435">
        <f t="shared" si="0"/>
        <v>307968.48</v>
      </c>
      <c r="I10" s="435">
        <f t="shared" si="0"/>
        <v>328910.33663999999</v>
      </c>
    </row>
    <row r="11" spans="1:9" s="285" customFormat="1" hidden="1" x14ac:dyDescent="0.25">
      <c r="A11" s="118">
        <v>46</v>
      </c>
      <c r="B11" s="151">
        <v>5025</v>
      </c>
      <c r="C11" s="94" t="s">
        <v>36</v>
      </c>
      <c r="D11" s="85"/>
      <c r="E11" s="85"/>
      <c r="F11" s="85"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46</v>
      </c>
      <c r="B12" s="151">
        <v>5030</v>
      </c>
      <c r="C12" s="94" t="s">
        <v>85</v>
      </c>
      <c r="D12" s="85">
        <v>18275</v>
      </c>
      <c r="E12" s="85">
        <v>115000</v>
      </c>
      <c r="F12" s="85">
        <v>115000</v>
      </c>
      <c r="G12" s="435">
        <f t="shared" si="0"/>
        <v>122820</v>
      </c>
      <c r="H12" s="435">
        <f t="shared" si="0"/>
        <v>131171.76</v>
      </c>
      <c r="I12" s="435">
        <f t="shared" si="0"/>
        <v>140091.43968000001</v>
      </c>
    </row>
    <row r="13" spans="1:9" s="285" customFormat="1" x14ac:dyDescent="0.25">
      <c r="A13" s="118">
        <v>46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46</v>
      </c>
      <c r="B14" s="151">
        <v>5040</v>
      </c>
      <c r="C14" s="94" t="s">
        <v>37</v>
      </c>
      <c r="D14" s="85">
        <v>146999</v>
      </c>
      <c r="E14" s="85">
        <v>693000</v>
      </c>
      <c r="F14" s="85">
        <v>693000</v>
      </c>
      <c r="G14" s="435">
        <f t="shared" si="0"/>
        <v>740124</v>
      </c>
      <c r="H14" s="435">
        <f t="shared" si="0"/>
        <v>790452.43200000003</v>
      </c>
      <c r="I14" s="435">
        <f t="shared" si="0"/>
        <v>844203.197376</v>
      </c>
    </row>
    <row r="15" spans="1:9" s="285" customFormat="1" hidden="1" x14ac:dyDescent="0.25">
      <c r="A15" s="118">
        <v>46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46</v>
      </c>
      <c r="B16" s="151">
        <v>5050</v>
      </c>
      <c r="C16" s="94" t="s">
        <v>83</v>
      </c>
      <c r="D16" s="85">
        <v>121939</v>
      </c>
      <c r="E16" s="85">
        <v>141000</v>
      </c>
      <c r="F16" s="85">
        <v>141000</v>
      </c>
      <c r="G16" s="435">
        <f t="shared" si="0"/>
        <v>150588</v>
      </c>
      <c r="H16" s="435">
        <f t="shared" si="0"/>
        <v>160827.984</v>
      </c>
      <c r="I16" s="435">
        <f t="shared" si="0"/>
        <v>171764.28691200001</v>
      </c>
    </row>
    <row r="17" spans="1:9" s="285" customFormat="1" x14ac:dyDescent="0.25">
      <c r="A17" s="118">
        <v>46</v>
      </c>
      <c r="B17" s="151">
        <v>5055</v>
      </c>
      <c r="C17" s="94" t="s">
        <v>39</v>
      </c>
      <c r="D17" s="85">
        <f>399989*6</f>
        <v>2399934</v>
      </c>
      <c r="E17" s="85">
        <v>9180000</v>
      </c>
      <c r="F17" s="85">
        <v>5322697</v>
      </c>
      <c r="G17" s="435">
        <f t="shared" si="0"/>
        <v>5684640.3959999997</v>
      </c>
      <c r="H17" s="435">
        <f t="shared" si="0"/>
        <v>6071195.9429279994</v>
      </c>
      <c r="I17" s="435">
        <f t="shared" si="0"/>
        <v>6484037.2670471035</v>
      </c>
    </row>
    <row r="18" spans="1:9" s="285" customFormat="1" x14ac:dyDescent="0.25">
      <c r="A18" s="344"/>
      <c r="B18" s="151"/>
      <c r="C18" s="94"/>
      <c r="D18" s="89">
        <f t="shared" ref="D18:I18" si="1">SUM(D7:D17)</f>
        <v>2801099</v>
      </c>
      <c r="E18" s="89">
        <f t="shared" si="1"/>
        <v>10432500</v>
      </c>
      <c r="F18" s="89">
        <f t="shared" si="1"/>
        <v>6575197</v>
      </c>
      <c r="G18" s="89">
        <f t="shared" si="1"/>
        <v>7022310.3959999997</v>
      </c>
      <c r="H18" s="89">
        <f t="shared" si="1"/>
        <v>7499827.502927999</v>
      </c>
      <c r="I18" s="89">
        <f t="shared" si="1"/>
        <v>8009815.7731271032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5"/>
    </row>
    <row r="20" spans="1:9" s="285" customFormat="1" x14ac:dyDescent="0.25">
      <c r="A20" s="118">
        <v>46</v>
      </c>
      <c r="B20" s="151">
        <v>5105</v>
      </c>
      <c r="C20" s="94" t="s">
        <v>41</v>
      </c>
      <c r="D20" s="85">
        <f>22247*6</f>
        <v>133482</v>
      </c>
      <c r="E20" s="85">
        <v>225000</v>
      </c>
      <c r="F20" s="85">
        <v>225000</v>
      </c>
      <c r="G20" s="435">
        <f t="shared" ref="G20:I24" si="2">(F20*0.068)+F20</f>
        <v>240300</v>
      </c>
      <c r="H20" s="435">
        <f t="shared" si="2"/>
        <v>256640.4</v>
      </c>
      <c r="I20" s="435">
        <f t="shared" si="2"/>
        <v>274091.9472</v>
      </c>
    </row>
    <row r="21" spans="1:9" s="285" customFormat="1" x14ac:dyDescent="0.25">
      <c r="A21" s="118">
        <v>46</v>
      </c>
      <c r="B21" s="151">
        <v>5115</v>
      </c>
      <c r="C21" s="94" t="s">
        <v>42</v>
      </c>
      <c r="D21" s="85">
        <f>64381*6</f>
        <v>386286</v>
      </c>
      <c r="E21" s="85">
        <v>765000</v>
      </c>
      <c r="F21" s="85">
        <v>765000</v>
      </c>
      <c r="G21" s="435">
        <f t="shared" si="2"/>
        <v>817020</v>
      </c>
      <c r="H21" s="435">
        <f t="shared" si="2"/>
        <v>872577.36</v>
      </c>
      <c r="I21" s="435">
        <f t="shared" si="2"/>
        <v>931912.62048000004</v>
      </c>
    </row>
    <row r="22" spans="1:9" s="285" customFormat="1" x14ac:dyDescent="0.25">
      <c r="A22" s="118">
        <v>46</v>
      </c>
      <c r="B22" s="151">
        <v>5120</v>
      </c>
      <c r="C22" s="94" t="s">
        <v>43</v>
      </c>
      <c r="D22" s="85">
        <f>10901*6</f>
        <v>65406</v>
      </c>
      <c r="E22" s="85">
        <v>108000</v>
      </c>
      <c r="F22" s="85">
        <v>108000</v>
      </c>
      <c r="G22" s="435">
        <f t="shared" si="2"/>
        <v>115344</v>
      </c>
      <c r="H22" s="435">
        <f t="shared" si="2"/>
        <v>123187.39200000001</v>
      </c>
      <c r="I22" s="435">
        <f t="shared" si="2"/>
        <v>131564.13465600001</v>
      </c>
    </row>
    <row r="23" spans="1:9" s="285" customFormat="1" hidden="1" x14ac:dyDescent="0.25">
      <c r="A23" s="118">
        <v>46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9" s="285" customFormat="1" x14ac:dyDescent="0.25">
      <c r="A24" s="118">
        <v>46</v>
      </c>
      <c r="B24" s="151">
        <v>5130</v>
      </c>
      <c r="C24" s="94" t="s">
        <v>45</v>
      </c>
      <c r="D24" s="85">
        <f>4496*6</f>
        <v>26976</v>
      </c>
      <c r="E24" s="85">
        <v>92000</v>
      </c>
      <c r="F24" s="85">
        <v>92000</v>
      </c>
      <c r="G24" s="435">
        <f t="shared" si="2"/>
        <v>98256</v>
      </c>
      <c r="H24" s="435">
        <f t="shared" si="2"/>
        <v>104937.408</v>
      </c>
      <c r="I24" s="435">
        <f t="shared" si="2"/>
        <v>112073.151744</v>
      </c>
    </row>
    <row r="25" spans="1:9" s="285" customFormat="1" x14ac:dyDescent="0.25">
      <c r="A25" s="344"/>
      <c r="B25" s="151"/>
      <c r="C25" s="94"/>
      <c r="D25" s="89">
        <f t="shared" ref="D25:I25" si="3">SUM(D20:D24)</f>
        <v>612150</v>
      </c>
      <c r="E25" s="89">
        <f t="shared" si="3"/>
        <v>1190000</v>
      </c>
      <c r="F25" s="89">
        <f t="shared" si="3"/>
        <v>1190000</v>
      </c>
      <c r="G25" s="89">
        <f t="shared" si="3"/>
        <v>1270920</v>
      </c>
      <c r="H25" s="89">
        <f t="shared" si="3"/>
        <v>1357342.56</v>
      </c>
      <c r="I25" s="89">
        <f t="shared" si="3"/>
        <v>1449641.85408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46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F29" si="4">D28</f>
        <v>0</v>
      </c>
      <c r="E29" s="89">
        <f t="shared" si="4"/>
        <v>0</v>
      </c>
      <c r="F29" s="89">
        <f t="shared" si="4"/>
        <v>0</v>
      </c>
      <c r="G29" s="89"/>
      <c r="H29" s="89"/>
      <c r="I29" s="89"/>
    </row>
    <row r="30" spans="1:9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hidden="1" x14ac:dyDescent="0.25">
      <c r="A31" s="118">
        <v>46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85"/>
      <c r="H31" s="85"/>
      <c r="I31" s="85"/>
    </row>
    <row r="32" spans="1:9" s="285" customFormat="1" hidden="1" x14ac:dyDescent="0.25">
      <c r="A32" s="344"/>
      <c r="B32" s="151"/>
      <c r="C32" s="94"/>
      <c r="D32" s="89">
        <f t="shared" ref="D32:F32" si="5">SUM(D31)</f>
        <v>0</v>
      </c>
      <c r="E32" s="89">
        <f t="shared" si="5"/>
        <v>0</v>
      </c>
      <c r="F32" s="89">
        <f t="shared" si="5"/>
        <v>0</v>
      </c>
      <c r="G32" s="89"/>
      <c r="H32" s="89"/>
      <c r="I32" s="89"/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46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F35" si="6">SUM(D34)</f>
        <v>0</v>
      </c>
      <c r="E35" s="89">
        <f t="shared" si="6"/>
        <v>0</v>
      </c>
      <c r="F35" s="89">
        <f t="shared" si="6"/>
        <v>0</v>
      </c>
      <c r="G35" s="89"/>
      <c r="H35" s="89"/>
      <c r="I35" s="89"/>
    </row>
    <row r="36" spans="1:9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x14ac:dyDescent="0.25">
      <c r="A37" s="118">
        <v>46</v>
      </c>
      <c r="B37" s="151">
        <v>5190</v>
      </c>
      <c r="C37" s="94" t="s">
        <v>53</v>
      </c>
      <c r="D37" s="85"/>
      <c r="E37" s="108">
        <v>2006400</v>
      </c>
      <c r="F37" s="85">
        <v>6400</v>
      </c>
      <c r="G37" s="108">
        <f>(F37*0.1)+F37</f>
        <v>7040</v>
      </c>
      <c r="H37" s="108">
        <f t="shared" ref="H37:I37" si="7">(G37*0.1)+G37</f>
        <v>7744</v>
      </c>
      <c r="I37" s="108">
        <f t="shared" si="7"/>
        <v>8518.4</v>
      </c>
    </row>
    <row r="38" spans="1:9" s="285" customFormat="1" x14ac:dyDescent="0.25">
      <c r="A38" s="344"/>
      <c r="B38" s="151"/>
      <c r="C38" s="94"/>
      <c r="D38" s="89">
        <f t="shared" ref="D38:I38" si="8">D37</f>
        <v>0</v>
      </c>
      <c r="E38" s="89">
        <f t="shared" si="8"/>
        <v>2006400</v>
      </c>
      <c r="F38" s="89">
        <f t="shared" si="8"/>
        <v>6400</v>
      </c>
      <c r="G38" s="89">
        <f t="shared" si="8"/>
        <v>7040</v>
      </c>
      <c r="H38" s="89">
        <f t="shared" si="8"/>
        <v>7744</v>
      </c>
      <c r="I38" s="89">
        <f t="shared" si="8"/>
        <v>8518.4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hidden="1" x14ac:dyDescent="0.25">
      <c r="A40" s="118">
        <v>46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85"/>
      <c r="H40" s="85"/>
      <c r="I40" s="85"/>
    </row>
    <row r="41" spans="1:9" s="285" customFormat="1" x14ac:dyDescent="0.25">
      <c r="A41" s="118">
        <v>46</v>
      </c>
      <c r="B41" s="151">
        <v>5205</v>
      </c>
      <c r="C41" s="94" t="s">
        <v>56</v>
      </c>
      <c r="D41" s="85">
        <v>32000</v>
      </c>
      <c r="E41" s="85">
        <v>50000</v>
      </c>
      <c r="F41" s="85">
        <v>50000</v>
      </c>
      <c r="G41" s="85">
        <v>50000</v>
      </c>
      <c r="H41" s="85">
        <f>(G41*10/100)+G41</f>
        <v>55000</v>
      </c>
      <c r="I41" s="85">
        <f>(H41*10/100)+H41</f>
        <v>60500</v>
      </c>
    </row>
    <row r="42" spans="1:9" s="285" customFormat="1" hidden="1" x14ac:dyDescent="0.25">
      <c r="A42" s="118">
        <v>46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85"/>
      <c r="H42" s="85">
        <f t="shared" ref="H42:I57" si="9">(G42*10/100)+G42</f>
        <v>0</v>
      </c>
      <c r="I42" s="85">
        <f t="shared" si="9"/>
        <v>0</v>
      </c>
    </row>
    <row r="43" spans="1:9" s="285" customFormat="1" hidden="1" x14ac:dyDescent="0.25">
      <c r="A43" s="118">
        <v>46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85"/>
      <c r="H43" s="85">
        <f t="shared" si="9"/>
        <v>0</v>
      </c>
      <c r="I43" s="85">
        <f t="shared" si="9"/>
        <v>0</v>
      </c>
    </row>
    <row r="44" spans="1:9" s="285" customFormat="1" hidden="1" x14ac:dyDescent="0.25">
      <c r="A44" s="118">
        <v>46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85"/>
      <c r="H44" s="85">
        <f t="shared" si="9"/>
        <v>0</v>
      </c>
      <c r="I44" s="85">
        <f t="shared" si="9"/>
        <v>0</v>
      </c>
    </row>
    <row r="45" spans="1:9" s="285" customFormat="1" hidden="1" x14ac:dyDescent="0.25">
      <c r="A45" s="118">
        <v>46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85"/>
      <c r="H45" s="85">
        <f t="shared" si="9"/>
        <v>0</v>
      </c>
      <c r="I45" s="85">
        <f t="shared" si="9"/>
        <v>0</v>
      </c>
    </row>
    <row r="46" spans="1:9" s="285" customFormat="1" x14ac:dyDescent="0.25">
      <c r="A46" s="118">
        <v>46</v>
      </c>
      <c r="B46" s="151">
        <v>5230</v>
      </c>
      <c r="C46" s="94" t="s">
        <v>86</v>
      </c>
      <c r="D46" s="85">
        <v>18796</v>
      </c>
      <c r="E46" s="85">
        <v>160388.48499999999</v>
      </c>
      <c r="F46" s="85">
        <v>20388.484999999986</v>
      </c>
      <c r="G46" s="85">
        <v>0</v>
      </c>
      <c r="H46" s="85">
        <f t="shared" si="9"/>
        <v>0</v>
      </c>
      <c r="I46" s="85">
        <f t="shared" si="9"/>
        <v>0</v>
      </c>
    </row>
    <row r="47" spans="1:9" s="285" customFormat="1" hidden="1" x14ac:dyDescent="0.25">
      <c r="A47" s="118">
        <v>46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85"/>
      <c r="H47" s="85">
        <f t="shared" si="9"/>
        <v>0</v>
      </c>
      <c r="I47" s="85">
        <f t="shared" si="9"/>
        <v>0</v>
      </c>
    </row>
    <row r="48" spans="1:9" s="285" customFormat="1" hidden="1" x14ac:dyDescent="0.25">
      <c r="A48" s="118">
        <v>46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85"/>
      <c r="H48" s="85">
        <f t="shared" si="9"/>
        <v>0</v>
      </c>
      <c r="I48" s="85">
        <f t="shared" si="9"/>
        <v>0</v>
      </c>
    </row>
    <row r="49" spans="1:9" s="285" customFormat="1" hidden="1" x14ac:dyDescent="0.25">
      <c r="A49" s="118">
        <v>46</v>
      </c>
      <c r="B49" s="151">
        <v>5245</v>
      </c>
      <c r="C49" s="94" t="s">
        <v>91</v>
      </c>
      <c r="D49" s="85"/>
      <c r="E49" s="85">
        <v>0</v>
      </c>
      <c r="F49" s="85">
        <v>0</v>
      </c>
      <c r="G49" s="85"/>
      <c r="H49" s="85">
        <f t="shared" si="9"/>
        <v>0</v>
      </c>
      <c r="I49" s="85">
        <f t="shared" si="9"/>
        <v>0</v>
      </c>
    </row>
    <row r="50" spans="1:9" s="285" customFormat="1" x14ac:dyDescent="0.25">
      <c r="A50" s="118">
        <v>46</v>
      </c>
      <c r="B50" s="151">
        <v>5250</v>
      </c>
      <c r="C50" s="94" t="s">
        <v>88</v>
      </c>
      <c r="D50" s="85">
        <f>[1]Sheet1!$D$726+[1]Sheet1!$D$730</f>
        <v>36343</v>
      </c>
      <c r="E50" s="85">
        <v>52750</v>
      </c>
      <c r="F50" s="85">
        <v>52750</v>
      </c>
      <c r="G50" s="85">
        <v>200000</v>
      </c>
      <c r="H50" s="85">
        <f t="shared" si="9"/>
        <v>220000</v>
      </c>
      <c r="I50" s="85">
        <f t="shared" si="9"/>
        <v>242000</v>
      </c>
    </row>
    <row r="51" spans="1:9" s="285" customFormat="1" hidden="1" x14ac:dyDescent="0.25">
      <c r="A51" s="118">
        <v>46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85"/>
      <c r="H51" s="85">
        <f t="shared" si="9"/>
        <v>0</v>
      </c>
      <c r="I51" s="85">
        <f t="shared" si="9"/>
        <v>0</v>
      </c>
    </row>
    <row r="52" spans="1:9" s="285" customFormat="1" hidden="1" x14ac:dyDescent="0.25">
      <c r="A52" s="118">
        <v>46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85"/>
      <c r="H52" s="85">
        <f t="shared" si="9"/>
        <v>0</v>
      </c>
      <c r="I52" s="85">
        <f t="shared" si="9"/>
        <v>0</v>
      </c>
    </row>
    <row r="53" spans="1:9" s="285" customFormat="1" x14ac:dyDescent="0.25">
      <c r="A53" s="118">
        <v>46</v>
      </c>
      <c r="B53" s="151">
        <v>5265</v>
      </c>
      <c r="C53" s="94" t="s">
        <v>87</v>
      </c>
      <c r="D53" s="85">
        <f>[1]Sheet1!$D$727</f>
        <v>956342</v>
      </c>
      <c r="E53" s="85">
        <v>601350</v>
      </c>
      <c r="F53" s="85">
        <v>1441350</v>
      </c>
      <c r="G53" s="85">
        <v>1000000</v>
      </c>
      <c r="H53" s="85">
        <f t="shared" si="9"/>
        <v>1100000</v>
      </c>
      <c r="I53" s="85">
        <f t="shared" si="9"/>
        <v>1210000</v>
      </c>
    </row>
    <row r="54" spans="1:9" s="285" customFormat="1" hidden="1" x14ac:dyDescent="0.25">
      <c r="A54" s="118">
        <v>46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85"/>
      <c r="H54" s="85">
        <f t="shared" si="9"/>
        <v>0</v>
      </c>
      <c r="I54" s="85">
        <f t="shared" si="9"/>
        <v>0</v>
      </c>
    </row>
    <row r="55" spans="1:9" s="285" customFormat="1" hidden="1" x14ac:dyDescent="0.25">
      <c r="A55" s="118">
        <v>46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85"/>
      <c r="H55" s="85">
        <f t="shared" si="9"/>
        <v>0</v>
      </c>
      <c r="I55" s="85">
        <f t="shared" si="9"/>
        <v>0</v>
      </c>
    </row>
    <row r="56" spans="1:9" s="285" customFormat="1" hidden="1" x14ac:dyDescent="0.25">
      <c r="A56" s="118">
        <v>46</v>
      </c>
      <c r="B56" s="151">
        <v>5280</v>
      </c>
      <c r="C56" s="94" t="s">
        <v>94</v>
      </c>
      <c r="D56" s="85"/>
      <c r="E56" s="85">
        <v>0</v>
      </c>
      <c r="F56" s="85">
        <v>0</v>
      </c>
      <c r="G56" s="85"/>
      <c r="H56" s="85">
        <f t="shared" si="9"/>
        <v>0</v>
      </c>
      <c r="I56" s="85">
        <f t="shared" si="9"/>
        <v>0</v>
      </c>
    </row>
    <row r="57" spans="1:9" s="285" customFormat="1" x14ac:dyDescent="0.25">
      <c r="A57" s="118">
        <v>46</v>
      </c>
      <c r="B57" s="151">
        <v>5285</v>
      </c>
      <c r="C57" s="94" t="s">
        <v>60</v>
      </c>
      <c r="D57" s="85">
        <f>[1]Sheet1!$D$728</f>
        <v>157787.89000000001</v>
      </c>
      <c r="E57" s="85">
        <v>749050</v>
      </c>
      <c r="F57" s="85">
        <v>249050</v>
      </c>
      <c r="G57" s="85">
        <v>300000</v>
      </c>
      <c r="H57" s="85">
        <f t="shared" si="9"/>
        <v>330000</v>
      </c>
      <c r="I57" s="85">
        <f t="shared" si="9"/>
        <v>363000</v>
      </c>
    </row>
    <row r="58" spans="1:9" s="285" customFormat="1" hidden="1" x14ac:dyDescent="0.25">
      <c r="A58" s="118">
        <v>46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85"/>
      <c r="H58" s="85"/>
      <c r="I58" s="85"/>
    </row>
    <row r="59" spans="1:9" s="285" customFormat="1" x14ac:dyDescent="0.25">
      <c r="A59" s="344"/>
      <c r="B59" s="151"/>
      <c r="C59" s="94"/>
      <c r="D59" s="110">
        <f t="shared" ref="D59:I59" si="10">SUM(D40:D58)</f>
        <v>1201268.8900000001</v>
      </c>
      <c r="E59" s="110">
        <f t="shared" si="10"/>
        <v>1613538.4849999999</v>
      </c>
      <c r="F59" s="110">
        <f t="shared" si="10"/>
        <v>1813538.4849999999</v>
      </c>
      <c r="G59" s="110">
        <f t="shared" si="10"/>
        <v>1550000</v>
      </c>
      <c r="H59" s="110">
        <f t="shared" si="10"/>
        <v>1705000</v>
      </c>
      <c r="I59" s="110">
        <f t="shared" si="10"/>
        <v>1875500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46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</row>
    <row r="62" spans="1:9" s="285" customFormat="1" x14ac:dyDescent="0.25">
      <c r="A62" s="118">
        <v>46</v>
      </c>
      <c r="B62" s="151">
        <v>5405</v>
      </c>
      <c r="C62" s="94" t="s">
        <v>335</v>
      </c>
      <c r="D62" s="85">
        <v>497764</v>
      </c>
      <c r="E62" s="108">
        <v>21210</v>
      </c>
      <c r="F62" s="85">
        <v>921210</v>
      </c>
      <c r="G62" s="85">
        <f>F62</f>
        <v>921210</v>
      </c>
      <c r="H62" s="85">
        <f t="shared" ref="H62:I62" si="11">G62</f>
        <v>921210</v>
      </c>
      <c r="I62" s="85">
        <f t="shared" si="11"/>
        <v>921210</v>
      </c>
    </row>
    <row r="63" spans="1:9" s="285" customFormat="1" x14ac:dyDescent="0.25">
      <c r="A63" s="344"/>
      <c r="B63" s="151"/>
      <c r="C63" s="94"/>
      <c r="D63" s="89">
        <f t="shared" ref="D63:I63" si="12">SUM(D61:D62)</f>
        <v>497764</v>
      </c>
      <c r="E63" s="89">
        <f t="shared" si="12"/>
        <v>21210</v>
      </c>
      <c r="F63" s="89">
        <f t="shared" si="12"/>
        <v>921210</v>
      </c>
      <c r="G63" s="89">
        <f t="shared" si="12"/>
        <v>921210</v>
      </c>
      <c r="H63" s="89">
        <f t="shared" si="12"/>
        <v>921210</v>
      </c>
      <c r="I63" s="89">
        <f t="shared" si="12"/>
        <v>921210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46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F66" si="13">D65</f>
        <v>0</v>
      </c>
      <c r="E66" s="89">
        <f t="shared" si="13"/>
        <v>0</v>
      </c>
      <c r="F66" s="89">
        <f t="shared" si="13"/>
        <v>0</v>
      </c>
      <c r="G66" s="89"/>
      <c r="H66" s="89"/>
      <c r="I66" s="89"/>
    </row>
    <row r="67" spans="1:9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hidden="1" x14ac:dyDescent="0.25">
      <c r="A68" s="118">
        <v>46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85"/>
      <c r="H68" s="85"/>
      <c r="I68" s="85"/>
    </row>
    <row r="69" spans="1:9" s="285" customFormat="1" hidden="1" x14ac:dyDescent="0.25">
      <c r="A69" s="118">
        <v>46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/>
    </row>
    <row r="70" spans="1:9" s="285" customFormat="1" hidden="1" x14ac:dyDescent="0.25">
      <c r="A70" s="344"/>
      <c r="B70" s="151"/>
      <c r="C70" s="94"/>
      <c r="D70" s="110">
        <f t="shared" ref="D70:F70" si="14">SUM(D68:D69)</f>
        <v>0</v>
      </c>
      <c r="E70" s="110">
        <f t="shared" si="14"/>
        <v>0</v>
      </c>
      <c r="F70" s="110">
        <f t="shared" si="14"/>
        <v>0</v>
      </c>
      <c r="G70" s="110"/>
      <c r="H70" s="110"/>
      <c r="I70" s="110"/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46</v>
      </c>
      <c r="B72" s="151">
        <v>5505</v>
      </c>
      <c r="C72" s="94" t="s">
        <v>259</v>
      </c>
      <c r="D72" s="85">
        <v>421173</v>
      </c>
      <c r="E72" s="85">
        <v>885000</v>
      </c>
      <c r="F72" s="85">
        <v>885000</v>
      </c>
      <c r="G72" s="85">
        <f>(F72*10/100)+F72</f>
        <v>973500</v>
      </c>
      <c r="H72" s="85">
        <f t="shared" ref="H72:I72" si="15">(G72*10/100)+G72</f>
        <v>1070850</v>
      </c>
      <c r="I72" s="85">
        <f t="shared" si="15"/>
        <v>1177935</v>
      </c>
    </row>
    <row r="73" spans="1:9" s="285" customFormat="1" x14ac:dyDescent="0.25">
      <c r="A73" s="118">
        <v>46</v>
      </c>
      <c r="B73" s="151">
        <v>5510</v>
      </c>
      <c r="C73" s="94" t="s">
        <v>63</v>
      </c>
      <c r="D73" s="85"/>
      <c r="E73" s="85">
        <v>24350</v>
      </c>
      <c r="F73" s="85">
        <v>0</v>
      </c>
      <c r="G73" s="85">
        <f t="shared" ref="G73:I73" si="16">(F73*10/100)+F73</f>
        <v>0</v>
      </c>
      <c r="H73" s="85">
        <f t="shared" si="16"/>
        <v>0</v>
      </c>
      <c r="I73" s="85">
        <f t="shared" si="16"/>
        <v>0</v>
      </c>
    </row>
    <row r="74" spans="1:9" s="285" customFormat="1" x14ac:dyDescent="0.25">
      <c r="A74" s="118">
        <v>46</v>
      </c>
      <c r="B74" s="151">
        <v>5520</v>
      </c>
      <c r="C74" s="94" t="s">
        <v>260</v>
      </c>
      <c r="D74" s="85"/>
      <c r="E74" s="85">
        <v>182.51499999999999</v>
      </c>
      <c r="F74" s="85">
        <v>182.51499999999999</v>
      </c>
      <c r="G74" s="85">
        <f t="shared" ref="G74:I74" si="17">(F74*10/100)+F74</f>
        <v>200.76649999999998</v>
      </c>
      <c r="H74" s="85">
        <f t="shared" si="17"/>
        <v>220.84314999999998</v>
      </c>
      <c r="I74" s="85">
        <f t="shared" si="17"/>
        <v>242.92746499999998</v>
      </c>
    </row>
    <row r="75" spans="1:9" s="285" customFormat="1" x14ac:dyDescent="0.25">
      <c r="A75" s="118">
        <v>46</v>
      </c>
      <c r="B75" s="151">
        <v>5525</v>
      </c>
      <c r="C75" s="94" t="s">
        <v>261</v>
      </c>
      <c r="D75" s="85"/>
      <c r="E75" s="85">
        <v>30353.404999999999</v>
      </c>
      <c r="F75" s="85">
        <v>0</v>
      </c>
      <c r="G75" s="85">
        <f t="shared" ref="G75:I75" si="18">(F75*10/100)+F75</f>
        <v>0</v>
      </c>
      <c r="H75" s="85">
        <f t="shared" si="18"/>
        <v>0</v>
      </c>
      <c r="I75" s="85">
        <f t="shared" si="18"/>
        <v>0</v>
      </c>
    </row>
    <row r="76" spans="1:9" s="285" customFormat="1" x14ac:dyDescent="0.25">
      <c r="A76" s="118">
        <v>46</v>
      </c>
      <c r="B76" s="151">
        <v>5530</v>
      </c>
      <c r="C76" s="94" t="s">
        <v>262</v>
      </c>
      <c r="D76" s="85"/>
      <c r="E76" s="85"/>
      <c r="F76" s="85">
        <v>0</v>
      </c>
      <c r="G76" s="85">
        <f t="shared" ref="G76:I76" si="19">(F76*10/100)+F76</f>
        <v>0</v>
      </c>
      <c r="H76" s="85">
        <f t="shared" si="19"/>
        <v>0</v>
      </c>
      <c r="I76" s="85">
        <f t="shared" si="19"/>
        <v>0</v>
      </c>
    </row>
    <row r="77" spans="1:9" s="285" customFormat="1" x14ac:dyDescent="0.25">
      <c r="A77" s="118">
        <v>46</v>
      </c>
      <c r="B77" s="151">
        <v>5535</v>
      </c>
      <c r="C77" s="94" t="s">
        <v>263</v>
      </c>
      <c r="D77" s="85">
        <v>5480</v>
      </c>
      <c r="E77" s="85">
        <v>15000</v>
      </c>
      <c r="F77" s="85">
        <v>6000</v>
      </c>
      <c r="G77" s="85">
        <f t="shared" ref="G77:I77" si="20">(F77*10/100)+F77</f>
        <v>6600</v>
      </c>
      <c r="H77" s="85">
        <f t="shared" si="20"/>
        <v>7260</v>
      </c>
      <c r="I77" s="85">
        <f t="shared" si="20"/>
        <v>7986</v>
      </c>
    </row>
    <row r="78" spans="1:9" s="285" customFormat="1" x14ac:dyDescent="0.25">
      <c r="A78" s="118">
        <v>46</v>
      </c>
      <c r="B78" s="151">
        <v>5540</v>
      </c>
      <c r="C78" s="94" t="s">
        <v>264</v>
      </c>
      <c r="D78" s="85"/>
      <c r="E78" s="85">
        <v>43626</v>
      </c>
      <c r="F78" s="85">
        <v>3626</v>
      </c>
      <c r="G78" s="85">
        <f t="shared" ref="G78:I78" si="21">(F78*10/100)+F78</f>
        <v>3988.6</v>
      </c>
      <c r="H78" s="85">
        <f t="shared" si="21"/>
        <v>4387.46</v>
      </c>
      <c r="I78" s="85">
        <f t="shared" si="21"/>
        <v>4826.2060000000001</v>
      </c>
    </row>
    <row r="79" spans="1:9" s="285" customFormat="1" ht="13.5" customHeight="1" x14ac:dyDescent="0.25">
      <c r="A79" s="118">
        <v>46</v>
      </c>
      <c r="B79" s="151">
        <v>5545</v>
      </c>
      <c r="C79" s="94" t="s">
        <v>265</v>
      </c>
      <c r="D79" s="85">
        <v>17738</v>
      </c>
      <c r="E79" s="85">
        <v>53805</v>
      </c>
      <c r="F79" s="85">
        <v>33805</v>
      </c>
      <c r="G79" s="85">
        <f t="shared" ref="G79:I79" si="22">(F79*10/100)+F79</f>
        <v>37185.5</v>
      </c>
      <c r="H79" s="85">
        <f t="shared" si="22"/>
        <v>40904.050000000003</v>
      </c>
      <c r="I79" s="85">
        <f t="shared" si="22"/>
        <v>44994.455000000002</v>
      </c>
    </row>
    <row r="80" spans="1:9" s="285" customFormat="1" x14ac:dyDescent="0.25">
      <c r="A80" s="118">
        <v>46</v>
      </c>
      <c r="B80" s="151">
        <v>5550</v>
      </c>
      <c r="C80" s="94" t="s">
        <v>267</v>
      </c>
      <c r="D80" s="85"/>
      <c r="E80" s="85"/>
      <c r="F80" s="85">
        <v>0</v>
      </c>
      <c r="G80" s="85">
        <f t="shared" ref="G80:I80" si="23">(F80*10/100)+F80</f>
        <v>0</v>
      </c>
      <c r="H80" s="85">
        <f t="shared" si="23"/>
        <v>0</v>
      </c>
      <c r="I80" s="85">
        <f t="shared" si="23"/>
        <v>0</v>
      </c>
    </row>
    <row r="81" spans="1:9" s="285" customFormat="1" x14ac:dyDescent="0.25">
      <c r="A81" s="118">
        <v>46</v>
      </c>
      <c r="B81" s="151">
        <v>5555</v>
      </c>
      <c r="C81" s="94" t="s">
        <v>268</v>
      </c>
      <c r="D81" s="85">
        <v>58836</v>
      </c>
      <c r="E81" s="85">
        <v>100572</v>
      </c>
      <c r="F81" s="85">
        <v>60572</v>
      </c>
      <c r="G81" s="85">
        <f t="shared" ref="G81:I81" si="24">(F81*10/100)+F81</f>
        <v>66629.2</v>
      </c>
      <c r="H81" s="85">
        <f t="shared" si="24"/>
        <v>73292.12</v>
      </c>
      <c r="I81" s="85">
        <f t="shared" si="24"/>
        <v>80621.331999999995</v>
      </c>
    </row>
    <row r="82" spans="1:9" s="285" customFormat="1" x14ac:dyDescent="0.25">
      <c r="A82" s="118">
        <v>46</v>
      </c>
      <c r="B82" s="151">
        <v>5560</v>
      </c>
      <c r="C82" s="94" t="s">
        <v>269</v>
      </c>
      <c r="D82" s="85">
        <v>63425</v>
      </c>
      <c r="E82" s="85">
        <v>25320</v>
      </c>
      <c r="F82" s="85">
        <v>126320</v>
      </c>
      <c r="G82" s="85">
        <f t="shared" ref="G82:I82" si="25">(F82*10/100)+F82</f>
        <v>138952</v>
      </c>
      <c r="H82" s="85">
        <f t="shared" si="25"/>
        <v>152847.20000000001</v>
      </c>
      <c r="I82" s="85">
        <f t="shared" si="25"/>
        <v>168131.92</v>
      </c>
    </row>
    <row r="83" spans="1:9" s="285" customFormat="1" x14ac:dyDescent="0.25">
      <c r="A83" s="118">
        <v>46</v>
      </c>
      <c r="B83" s="151">
        <v>5565</v>
      </c>
      <c r="C83" s="94" t="s">
        <v>246</v>
      </c>
      <c r="D83" s="85"/>
      <c r="E83" s="85"/>
      <c r="F83" s="85">
        <v>0</v>
      </c>
      <c r="G83" s="85">
        <f t="shared" ref="G83:I83" si="26">(F83*10/100)+F83</f>
        <v>0</v>
      </c>
      <c r="H83" s="85">
        <f t="shared" si="26"/>
        <v>0</v>
      </c>
      <c r="I83" s="85">
        <f t="shared" si="26"/>
        <v>0</v>
      </c>
    </row>
    <row r="84" spans="1:9" s="285" customFormat="1" x14ac:dyDescent="0.25">
      <c r="A84" s="118">
        <v>46</v>
      </c>
      <c r="B84" s="151">
        <v>5570</v>
      </c>
      <c r="C84" s="94" t="s">
        <v>270</v>
      </c>
      <c r="D84" s="85"/>
      <c r="E84" s="85"/>
      <c r="F84" s="85">
        <v>0</v>
      </c>
      <c r="G84" s="85">
        <f t="shared" ref="G84:I84" si="27">(F84*10/100)+F84</f>
        <v>0</v>
      </c>
      <c r="H84" s="85">
        <f t="shared" si="27"/>
        <v>0</v>
      </c>
      <c r="I84" s="85">
        <f t="shared" si="27"/>
        <v>0</v>
      </c>
    </row>
    <row r="85" spans="1:9" s="285" customFormat="1" x14ac:dyDescent="0.25">
      <c r="A85" s="118">
        <v>46</v>
      </c>
      <c r="B85" s="151">
        <v>5575</v>
      </c>
      <c r="C85" s="94" t="s">
        <v>271</v>
      </c>
      <c r="D85" s="85">
        <v>337569</v>
      </c>
      <c r="E85" s="85">
        <v>360000</v>
      </c>
      <c r="F85" s="85">
        <v>560000</v>
      </c>
      <c r="G85" s="85">
        <f t="shared" ref="G85:I85" si="28">(F85*10/100)+F85</f>
        <v>616000</v>
      </c>
      <c r="H85" s="85">
        <f t="shared" si="28"/>
        <v>677600</v>
      </c>
      <c r="I85" s="85">
        <f t="shared" si="28"/>
        <v>745360</v>
      </c>
    </row>
    <row r="86" spans="1:9" s="285" customFormat="1" x14ac:dyDescent="0.25">
      <c r="A86" s="118">
        <v>46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85">
        <f t="shared" ref="G86:I86" si="29">(F86*10/100)+F86</f>
        <v>0</v>
      </c>
      <c r="H86" s="85">
        <f t="shared" si="29"/>
        <v>0</v>
      </c>
      <c r="I86" s="85">
        <f t="shared" si="29"/>
        <v>0</v>
      </c>
    </row>
    <row r="87" spans="1:9" s="285" customFormat="1" x14ac:dyDescent="0.25">
      <c r="A87" s="118">
        <v>46</v>
      </c>
      <c r="B87" s="151">
        <v>5585</v>
      </c>
      <c r="C87" s="94" t="s">
        <v>273</v>
      </c>
      <c r="D87" s="86">
        <v>11866</v>
      </c>
      <c r="E87" s="85">
        <v>25892</v>
      </c>
      <c r="F87" s="85">
        <v>25892</v>
      </c>
      <c r="G87" s="85">
        <f t="shared" ref="G87:I87" si="30">(F87*10/100)+F87</f>
        <v>28481.200000000001</v>
      </c>
      <c r="H87" s="85">
        <f t="shared" si="30"/>
        <v>31329.32</v>
      </c>
      <c r="I87" s="85">
        <f t="shared" si="30"/>
        <v>34462.252</v>
      </c>
    </row>
    <row r="88" spans="1:9" s="285" customFormat="1" x14ac:dyDescent="0.25">
      <c r="A88" s="118">
        <v>46</v>
      </c>
      <c r="B88" s="151">
        <v>5590</v>
      </c>
      <c r="C88" s="94" t="s">
        <v>274</v>
      </c>
      <c r="D88" s="86">
        <v>120464</v>
      </c>
      <c r="E88" s="85">
        <v>25200</v>
      </c>
      <c r="F88" s="85">
        <v>225200</v>
      </c>
      <c r="G88" s="85">
        <f t="shared" ref="G88:I88" si="31">(F88*10/100)+F88</f>
        <v>247720</v>
      </c>
      <c r="H88" s="85">
        <f t="shared" si="31"/>
        <v>272492</v>
      </c>
      <c r="I88" s="85">
        <f t="shared" si="31"/>
        <v>299741.2</v>
      </c>
    </row>
    <row r="89" spans="1:9" s="285" customFormat="1" x14ac:dyDescent="0.25">
      <c r="A89" s="118">
        <v>46</v>
      </c>
      <c r="B89" s="151">
        <v>5595</v>
      </c>
      <c r="C89" s="94" t="s">
        <v>275</v>
      </c>
      <c r="D89" s="85"/>
      <c r="E89" s="85"/>
      <c r="F89" s="85">
        <v>0</v>
      </c>
      <c r="G89" s="85">
        <f t="shared" ref="G89:I89" si="32">(F89*10/100)+F89</f>
        <v>0</v>
      </c>
      <c r="H89" s="85">
        <f t="shared" si="32"/>
        <v>0</v>
      </c>
      <c r="I89" s="85">
        <f t="shared" si="32"/>
        <v>0</v>
      </c>
    </row>
    <row r="90" spans="1:9" s="285" customFormat="1" x14ac:dyDescent="0.25">
      <c r="A90" s="118">
        <v>46</v>
      </c>
      <c r="B90" s="151">
        <v>5600</v>
      </c>
      <c r="C90" s="159" t="s">
        <v>276</v>
      </c>
      <c r="D90" s="85"/>
      <c r="E90" s="85"/>
      <c r="F90" s="85">
        <v>0</v>
      </c>
      <c r="G90" s="85">
        <f t="shared" ref="G90:I90" si="33">(F90*10/100)+F90</f>
        <v>0</v>
      </c>
      <c r="H90" s="85">
        <f t="shared" si="33"/>
        <v>0</v>
      </c>
      <c r="I90" s="85">
        <f t="shared" si="33"/>
        <v>0</v>
      </c>
    </row>
    <row r="91" spans="1:9" s="285" customFormat="1" x14ac:dyDescent="0.25">
      <c r="A91" s="118">
        <v>46</v>
      </c>
      <c r="B91" s="151">
        <v>5605</v>
      </c>
      <c r="C91" s="159" t="s">
        <v>277</v>
      </c>
      <c r="D91" s="85"/>
      <c r="E91" s="85"/>
      <c r="F91" s="85">
        <v>0</v>
      </c>
      <c r="G91" s="85">
        <f t="shared" ref="G91:I91" si="34">(F91*10/100)+F91</f>
        <v>0</v>
      </c>
      <c r="H91" s="85">
        <f t="shared" si="34"/>
        <v>0</v>
      </c>
      <c r="I91" s="85">
        <f t="shared" si="34"/>
        <v>0</v>
      </c>
    </row>
    <row r="92" spans="1:9" s="285" customFormat="1" x14ac:dyDescent="0.25">
      <c r="A92" s="118">
        <v>46</v>
      </c>
      <c r="B92" s="151">
        <v>5610</v>
      </c>
      <c r="C92" s="159" t="s">
        <v>278</v>
      </c>
      <c r="D92" s="85"/>
      <c r="E92" s="85"/>
      <c r="F92" s="85">
        <v>0</v>
      </c>
      <c r="G92" s="85">
        <f t="shared" ref="G92:I92" si="35">(F92*10/100)+F92</f>
        <v>0</v>
      </c>
      <c r="H92" s="85">
        <f t="shared" si="35"/>
        <v>0</v>
      </c>
      <c r="I92" s="85">
        <f t="shared" si="35"/>
        <v>0</v>
      </c>
    </row>
    <row r="93" spans="1:9" s="285" customFormat="1" x14ac:dyDescent="0.25">
      <c r="A93" s="118">
        <v>46</v>
      </c>
      <c r="B93" s="151">
        <v>5615</v>
      </c>
      <c r="C93" s="159" t="s">
        <v>279</v>
      </c>
      <c r="D93" s="85"/>
      <c r="E93" s="85"/>
      <c r="F93" s="85">
        <v>0</v>
      </c>
      <c r="G93" s="85">
        <f t="shared" ref="G93:I93" si="36">(F93*10/100)+F93</f>
        <v>0</v>
      </c>
      <c r="H93" s="85">
        <f t="shared" si="36"/>
        <v>0</v>
      </c>
      <c r="I93" s="85">
        <f t="shared" si="36"/>
        <v>0</v>
      </c>
    </row>
    <row r="94" spans="1:9" s="285" customFormat="1" x14ac:dyDescent="0.25">
      <c r="A94" s="118">
        <v>46</v>
      </c>
      <c r="B94" s="151">
        <v>5620</v>
      </c>
      <c r="C94" s="159" t="s">
        <v>280</v>
      </c>
      <c r="D94" s="85"/>
      <c r="E94" s="85"/>
      <c r="F94" s="85">
        <v>0</v>
      </c>
      <c r="G94" s="85">
        <f t="shared" ref="G94:I94" si="37">(F94*10/100)+F94</f>
        <v>0</v>
      </c>
      <c r="H94" s="85">
        <f t="shared" si="37"/>
        <v>0</v>
      </c>
      <c r="I94" s="85">
        <f t="shared" si="37"/>
        <v>0</v>
      </c>
    </row>
    <row r="95" spans="1:9" s="285" customFormat="1" x14ac:dyDescent="0.25">
      <c r="A95" s="118">
        <v>46</v>
      </c>
      <c r="B95" s="151">
        <v>5625</v>
      </c>
      <c r="C95" s="159" t="s">
        <v>281</v>
      </c>
      <c r="D95" s="85"/>
      <c r="E95" s="85"/>
      <c r="F95" s="85">
        <v>0</v>
      </c>
      <c r="G95" s="85">
        <f t="shared" ref="G95:I95" si="38">(F95*10/100)+F95</f>
        <v>0</v>
      </c>
      <c r="H95" s="85">
        <f t="shared" si="38"/>
        <v>0</v>
      </c>
      <c r="I95" s="85">
        <f t="shared" si="38"/>
        <v>0</v>
      </c>
    </row>
    <row r="96" spans="1:9" s="285" customFormat="1" x14ac:dyDescent="0.25">
      <c r="A96" s="118">
        <v>46</v>
      </c>
      <c r="B96" s="151">
        <v>5630</v>
      </c>
      <c r="C96" s="159" t="s">
        <v>282</v>
      </c>
      <c r="D96" s="85"/>
      <c r="E96" s="85"/>
      <c r="F96" s="85">
        <v>0</v>
      </c>
      <c r="G96" s="85">
        <f t="shared" ref="G96:I96" si="39">(F96*10/100)+F96</f>
        <v>0</v>
      </c>
      <c r="H96" s="85">
        <f t="shared" si="39"/>
        <v>0</v>
      </c>
      <c r="I96" s="85">
        <f t="shared" si="39"/>
        <v>0</v>
      </c>
    </row>
    <row r="97" spans="1:9" s="285" customFormat="1" x14ac:dyDescent="0.25">
      <c r="A97" s="118">
        <v>46</v>
      </c>
      <c r="B97" s="151">
        <v>5635</v>
      </c>
      <c r="C97" s="159" t="s">
        <v>283</v>
      </c>
      <c r="D97" s="85"/>
      <c r="E97" s="85"/>
      <c r="F97" s="85">
        <v>0</v>
      </c>
      <c r="G97" s="85">
        <f t="shared" ref="G97:I97" si="40">(F97*10/100)+F97</f>
        <v>0</v>
      </c>
      <c r="H97" s="85">
        <f t="shared" si="40"/>
        <v>0</v>
      </c>
      <c r="I97" s="85">
        <f t="shared" si="40"/>
        <v>0</v>
      </c>
    </row>
    <row r="98" spans="1:9" s="285" customFormat="1" x14ac:dyDescent="0.25">
      <c r="A98" s="118">
        <v>46</v>
      </c>
      <c r="B98" s="151">
        <v>5640</v>
      </c>
      <c r="C98" s="159" t="s">
        <v>284</v>
      </c>
      <c r="D98" s="85"/>
      <c r="E98" s="85"/>
      <c r="F98" s="85">
        <v>0</v>
      </c>
      <c r="G98" s="85">
        <f t="shared" ref="G98:I98" si="41">(F98*10/100)+F98</f>
        <v>0</v>
      </c>
      <c r="H98" s="85">
        <f t="shared" si="41"/>
        <v>0</v>
      </c>
      <c r="I98" s="85">
        <f t="shared" si="41"/>
        <v>0</v>
      </c>
    </row>
    <row r="99" spans="1:9" s="285" customFormat="1" x14ac:dyDescent="0.25">
      <c r="A99" s="118">
        <v>46</v>
      </c>
      <c r="B99" s="151">
        <v>5645</v>
      </c>
      <c r="C99" s="159" t="s">
        <v>285</v>
      </c>
      <c r="D99" s="85"/>
      <c r="E99" s="85"/>
      <c r="F99" s="85">
        <v>0</v>
      </c>
      <c r="G99" s="85">
        <f t="shared" ref="G99:I99" si="42">(F99*10/100)+F99</f>
        <v>0</v>
      </c>
      <c r="H99" s="85">
        <f t="shared" si="42"/>
        <v>0</v>
      </c>
      <c r="I99" s="85">
        <f t="shared" si="42"/>
        <v>0</v>
      </c>
    </row>
    <row r="100" spans="1:9" s="285" customFormat="1" x14ac:dyDescent="0.25">
      <c r="A100" s="118">
        <v>46</v>
      </c>
      <c r="B100" s="151">
        <v>5650</v>
      </c>
      <c r="C100" s="159" t="s">
        <v>286</v>
      </c>
      <c r="D100" s="85"/>
      <c r="E100" s="85"/>
      <c r="F100" s="85">
        <v>0</v>
      </c>
      <c r="G100" s="85">
        <f t="shared" ref="G100:I100" si="43">(F100*10/100)+F100</f>
        <v>0</v>
      </c>
      <c r="H100" s="85">
        <f t="shared" si="43"/>
        <v>0</v>
      </c>
      <c r="I100" s="85">
        <f t="shared" si="43"/>
        <v>0</v>
      </c>
    </row>
    <row r="101" spans="1:9" s="285" customFormat="1" x14ac:dyDescent="0.25">
      <c r="A101" s="118">
        <v>46</v>
      </c>
      <c r="B101" s="151">
        <v>5655</v>
      </c>
      <c r="C101" s="159" t="s">
        <v>287</v>
      </c>
      <c r="D101" s="85"/>
      <c r="E101" s="85"/>
      <c r="F101" s="85">
        <v>0</v>
      </c>
      <c r="G101" s="85">
        <f t="shared" ref="G101:I101" si="44">(F101*10/100)+F101</f>
        <v>0</v>
      </c>
      <c r="H101" s="85">
        <f t="shared" si="44"/>
        <v>0</v>
      </c>
      <c r="I101" s="85">
        <f t="shared" si="44"/>
        <v>0</v>
      </c>
    </row>
    <row r="102" spans="1:9" s="285" customFormat="1" x14ac:dyDescent="0.25">
      <c r="A102" s="118">
        <v>46</v>
      </c>
      <c r="B102" s="151">
        <v>5660</v>
      </c>
      <c r="C102" s="159" t="s">
        <v>288</v>
      </c>
      <c r="D102" s="85"/>
      <c r="E102" s="85"/>
      <c r="F102" s="85">
        <v>0</v>
      </c>
      <c r="G102" s="85">
        <f t="shared" ref="G102:I102" si="45">(F102*10/100)+F102</f>
        <v>0</v>
      </c>
      <c r="H102" s="85">
        <f t="shared" si="45"/>
        <v>0</v>
      </c>
      <c r="I102" s="85">
        <f t="shared" si="45"/>
        <v>0</v>
      </c>
    </row>
    <row r="103" spans="1:9" s="285" customFormat="1" x14ac:dyDescent="0.25">
      <c r="A103" s="118">
        <v>46</v>
      </c>
      <c r="B103" s="151">
        <v>5665</v>
      </c>
      <c r="C103" s="94" t="s">
        <v>289</v>
      </c>
      <c r="D103" s="85"/>
      <c r="E103" s="85"/>
      <c r="F103" s="85">
        <v>0</v>
      </c>
      <c r="G103" s="85">
        <f t="shared" ref="G103:I103" si="46">(F103*10/100)+F103</f>
        <v>0</v>
      </c>
      <c r="H103" s="85">
        <f t="shared" si="46"/>
        <v>0</v>
      </c>
      <c r="I103" s="85">
        <f t="shared" si="46"/>
        <v>0</v>
      </c>
    </row>
    <row r="104" spans="1:9" s="285" customFormat="1" x14ac:dyDescent="0.25">
      <c r="A104" s="118">
        <v>46</v>
      </c>
      <c r="B104" s="151">
        <v>5670</v>
      </c>
      <c r="C104" s="94" t="s">
        <v>290</v>
      </c>
      <c r="D104" s="85"/>
      <c r="E104" s="85"/>
      <c r="F104" s="85">
        <v>0</v>
      </c>
      <c r="G104" s="85">
        <f t="shared" ref="G104:I104" si="47">(F104*10/100)+F104</f>
        <v>0</v>
      </c>
      <c r="H104" s="85">
        <f t="shared" si="47"/>
        <v>0</v>
      </c>
      <c r="I104" s="85">
        <f t="shared" si="47"/>
        <v>0</v>
      </c>
    </row>
    <row r="105" spans="1:9" s="285" customFormat="1" x14ac:dyDescent="0.25">
      <c r="A105" s="118">
        <v>46</v>
      </c>
      <c r="B105" s="151">
        <v>5675</v>
      </c>
      <c r="C105" s="94" t="s">
        <v>291</v>
      </c>
      <c r="D105" s="85"/>
      <c r="E105" s="85"/>
      <c r="F105" s="85">
        <v>0</v>
      </c>
      <c r="G105" s="85">
        <f t="shared" ref="G105:I105" si="48">(F105*10/100)+F105</f>
        <v>0</v>
      </c>
      <c r="H105" s="85">
        <f t="shared" si="48"/>
        <v>0</v>
      </c>
      <c r="I105" s="85">
        <f t="shared" si="48"/>
        <v>0</v>
      </c>
    </row>
    <row r="106" spans="1:9" s="285" customFormat="1" x14ac:dyDescent="0.25">
      <c r="A106" s="118">
        <v>46</v>
      </c>
      <c r="B106" s="151">
        <v>5680</v>
      </c>
      <c r="C106" s="94" t="s">
        <v>292</v>
      </c>
      <c r="D106" s="85"/>
      <c r="E106" s="85"/>
      <c r="F106" s="85">
        <v>0</v>
      </c>
      <c r="G106" s="85">
        <f t="shared" ref="G106:I106" si="49">(F106*10/100)+F106</f>
        <v>0</v>
      </c>
      <c r="H106" s="85">
        <f t="shared" si="49"/>
        <v>0</v>
      </c>
      <c r="I106" s="85">
        <f t="shared" si="49"/>
        <v>0</v>
      </c>
    </row>
    <row r="107" spans="1:9" s="285" customFormat="1" x14ac:dyDescent="0.25">
      <c r="A107" s="118">
        <v>46</v>
      </c>
      <c r="B107" s="151">
        <v>5685</v>
      </c>
      <c r="C107" s="94" t="s">
        <v>293</v>
      </c>
      <c r="D107" s="85"/>
      <c r="E107" s="85"/>
      <c r="F107" s="85">
        <v>0</v>
      </c>
      <c r="G107" s="85">
        <f t="shared" ref="G107:I107" si="50">(F107*10/100)+F107</f>
        <v>0</v>
      </c>
      <c r="H107" s="85">
        <f t="shared" si="50"/>
        <v>0</v>
      </c>
      <c r="I107" s="85">
        <f t="shared" si="50"/>
        <v>0</v>
      </c>
    </row>
    <row r="108" spans="1:9" s="285" customFormat="1" x14ac:dyDescent="0.25">
      <c r="A108" s="118">
        <v>46</v>
      </c>
      <c r="B108" s="151">
        <v>5690</v>
      </c>
      <c r="C108" s="94" t="s">
        <v>247</v>
      </c>
      <c r="D108" s="85"/>
      <c r="E108" s="85"/>
      <c r="F108" s="85">
        <v>0</v>
      </c>
      <c r="G108" s="85">
        <f t="shared" ref="G108:I108" si="51">(F108*10/100)+F108</f>
        <v>0</v>
      </c>
      <c r="H108" s="85">
        <f t="shared" si="51"/>
        <v>0</v>
      </c>
      <c r="I108" s="85">
        <f t="shared" si="51"/>
        <v>0</v>
      </c>
    </row>
    <row r="109" spans="1:9" s="285" customFormat="1" x14ac:dyDescent="0.25">
      <c r="A109" s="118">
        <v>46</v>
      </c>
      <c r="B109" s="151">
        <v>5695</v>
      </c>
      <c r="C109" s="94" t="s">
        <v>294</v>
      </c>
      <c r="D109" s="85"/>
      <c r="E109" s="85"/>
      <c r="F109" s="85">
        <v>0</v>
      </c>
      <c r="G109" s="85">
        <f t="shared" ref="G109:I109" si="52">(F109*10/100)+F109</f>
        <v>0</v>
      </c>
      <c r="H109" s="85">
        <f t="shared" si="52"/>
        <v>0</v>
      </c>
      <c r="I109" s="85">
        <f t="shared" si="52"/>
        <v>0</v>
      </c>
    </row>
    <row r="110" spans="1:9" s="285" customFormat="1" x14ac:dyDescent="0.25">
      <c r="A110" s="118">
        <v>46</v>
      </c>
      <c r="B110" s="151">
        <v>5700</v>
      </c>
      <c r="C110" s="94" t="s">
        <v>295</v>
      </c>
      <c r="D110" s="85">
        <v>13996</v>
      </c>
      <c r="E110" s="85">
        <v>131875</v>
      </c>
      <c r="F110" s="85">
        <v>31875</v>
      </c>
      <c r="G110" s="85">
        <f t="shared" ref="G110:I110" si="53">(F110*10/100)+F110</f>
        <v>35062.5</v>
      </c>
      <c r="H110" s="85">
        <f t="shared" si="53"/>
        <v>38568.75</v>
      </c>
      <c r="I110" s="85">
        <f t="shared" si="53"/>
        <v>42425.625</v>
      </c>
    </row>
    <row r="111" spans="1:9" s="285" customFormat="1" x14ac:dyDescent="0.25">
      <c r="A111" s="118">
        <v>46</v>
      </c>
      <c r="B111" s="151">
        <v>5710</v>
      </c>
      <c r="C111" s="94" t="s">
        <v>297</v>
      </c>
      <c r="D111" s="85"/>
      <c r="E111" s="85"/>
      <c r="F111" s="85">
        <v>0</v>
      </c>
      <c r="G111" s="85">
        <f t="shared" ref="G111:I111" si="54">(F111*10/100)+F111</f>
        <v>0</v>
      </c>
      <c r="H111" s="85">
        <f t="shared" si="54"/>
        <v>0</v>
      </c>
      <c r="I111" s="85">
        <f t="shared" si="54"/>
        <v>0</v>
      </c>
    </row>
    <row r="112" spans="1:9" s="285" customFormat="1" x14ac:dyDescent="0.25">
      <c r="A112" s="118">
        <v>46</v>
      </c>
      <c r="B112" s="151">
        <v>5715</v>
      </c>
      <c r="C112" s="94" t="s">
        <v>298</v>
      </c>
      <c r="D112" s="85"/>
      <c r="E112" s="85"/>
      <c r="F112" s="85">
        <v>0</v>
      </c>
      <c r="G112" s="85">
        <f t="shared" ref="G112:I112" si="55">(F112*10/100)+F112</f>
        <v>0</v>
      </c>
      <c r="H112" s="85">
        <f t="shared" si="55"/>
        <v>0</v>
      </c>
      <c r="I112" s="85">
        <f t="shared" si="55"/>
        <v>0</v>
      </c>
    </row>
    <row r="113" spans="1:9" s="285" customFormat="1" x14ac:dyDescent="0.25">
      <c r="A113" s="118">
        <v>46</v>
      </c>
      <c r="B113" s="151">
        <v>5720</v>
      </c>
      <c r="C113" s="94" t="s">
        <v>299</v>
      </c>
      <c r="D113" s="85"/>
      <c r="E113" s="85"/>
      <c r="F113" s="85">
        <v>0</v>
      </c>
      <c r="G113" s="85">
        <f t="shared" ref="G113:I113" si="56">(F113*10/100)+F113</f>
        <v>0</v>
      </c>
      <c r="H113" s="85">
        <f t="shared" si="56"/>
        <v>0</v>
      </c>
      <c r="I113" s="85">
        <f t="shared" si="56"/>
        <v>0</v>
      </c>
    </row>
    <row r="114" spans="1:9" s="285" customFormat="1" x14ac:dyDescent="0.25">
      <c r="A114" s="118">
        <v>46</v>
      </c>
      <c r="B114" s="151">
        <v>5730</v>
      </c>
      <c r="C114" s="94" t="s">
        <v>300</v>
      </c>
      <c r="D114" s="85"/>
      <c r="E114" s="85"/>
      <c r="F114" s="85">
        <v>0</v>
      </c>
      <c r="G114" s="85">
        <f t="shared" ref="G114:I114" si="57">(F114*10/100)+F114</f>
        <v>0</v>
      </c>
      <c r="H114" s="85">
        <f t="shared" si="57"/>
        <v>0</v>
      </c>
      <c r="I114" s="85">
        <f t="shared" si="57"/>
        <v>0</v>
      </c>
    </row>
    <row r="115" spans="1:9" s="285" customFormat="1" x14ac:dyDescent="0.25">
      <c r="A115" s="118">
        <v>46</v>
      </c>
      <c r="B115" s="151">
        <v>5735</v>
      </c>
      <c r="C115" s="94" t="s">
        <v>301</v>
      </c>
      <c r="D115" s="85"/>
      <c r="E115" s="85"/>
      <c r="F115" s="85">
        <v>0</v>
      </c>
      <c r="G115" s="85">
        <f t="shared" ref="G115:I115" si="58">(F115*10/100)+F115</f>
        <v>0</v>
      </c>
      <c r="H115" s="85">
        <f t="shared" si="58"/>
        <v>0</v>
      </c>
      <c r="I115" s="85">
        <f t="shared" si="58"/>
        <v>0</v>
      </c>
    </row>
    <row r="116" spans="1:9" s="285" customFormat="1" x14ac:dyDescent="0.25">
      <c r="A116" s="118">
        <v>46</v>
      </c>
      <c r="B116" s="151">
        <v>5740</v>
      </c>
      <c r="C116" s="94" t="s">
        <v>302</v>
      </c>
      <c r="D116" s="85"/>
      <c r="E116" s="85"/>
      <c r="F116" s="85">
        <v>0</v>
      </c>
      <c r="G116" s="85">
        <f t="shared" ref="G116:I116" si="59">(F116*10/100)+F116</f>
        <v>0</v>
      </c>
      <c r="H116" s="85">
        <f t="shared" si="59"/>
        <v>0</v>
      </c>
      <c r="I116" s="85">
        <f t="shared" si="59"/>
        <v>0</v>
      </c>
    </row>
    <row r="117" spans="1:9" s="285" customFormat="1" x14ac:dyDescent="0.25">
      <c r="A117" s="118">
        <v>46</v>
      </c>
      <c r="B117" s="151">
        <v>5745</v>
      </c>
      <c r="C117" s="94" t="s">
        <v>303</v>
      </c>
      <c r="D117" s="85"/>
      <c r="E117" s="85"/>
      <c r="F117" s="85">
        <v>0</v>
      </c>
      <c r="G117" s="85">
        <f t="shared" ref="G117:I117" si="60">(F117*10/100)+F117</f>
        <v>0</v>
      </c>
      <c r="H117" s="85">
        <f t="shared" si="60"/>
        <v>0</v>
      </c>
      <c r="I117" s="85">
        <f t="shared" si="60"/>
        <v>0</v>
      </c>
    </row>
    <row r="118" spans="1:9" s="285" customFormat="1" x14ac:dyDescent="0.25">
      <c r="A118" s="118">
        <v>46</v>
      </c>
      <c r="B118" s="151">
        <v>5750</v>
      </c>
      <c r="C118" s="94" t="s">
        <v>304</v>
      </c>
      <c r="D118" s="85"/>
      <c r="E118" s="85">
        <v>7000</v>
      </c>
      <c r="F118" s="85">
        <v>7000</v>
      </c>
      <c r="G118" s="85">
        <f t="shared" ref="G118:I118" si="61">(F118*10/100)+F118</f>
        <v>7700</v>
      </c>
      <c r="H118" s="85">
        <f t="shared" si="61"/>
        <v>8470</v>
      </c>
      <c r="I118" s="85">
        <f t="shared" si="61"/>
        <v>9317</v>
      </c>
    </row>
    <row r="119" spans="1:9" s="285" customFormat="1" x14ac:dyDescent="0.25">
      <c r="A119" s="118">
        <v>46</v>
      </c>
      <c r="B119" s="151">
        <v>5755</v>
      </c>
      <c r="C119" s="94" t="s">
        <v>305</v>
      </c>
      <c r="D119" s="85"/>
      <c r="E119" s="85">
        <v>95800</v>
      </c>
      <c r="F119" s="85">
        <v>95800</v>
      </c>
      <c r="G119" s="85">
        <f t="shared" ref="G119:I119" si="62">(F119*10/100)+F119</f>
        <v>105380</v>
      </c>
      <c r="H119" s="85">
        <f t="shared" si="62"/>
        <v>115918</v>
      </c>
      <c r="I119" s="85">
        <f t="shared" si="62"/>
        <v>127509.8</v>
      </c>
    </row>
    <row r="120" spans="1:9" s="285" customFormat="1" ht="12" customHeight="1" x14ac:dyDescent="0.25">
      <c r="A120" s="118">
        <v>46</v>
      </c>
      <c r="B120" s="151">
        <v>5760</v>
      </c>
      <c r="C120" s="94" t="s">
        <v>306</v>
      </c>
      <c r="D120" s="85"/>
      <c r="E120" s="85"/>
      <c r="F120" s="85">
        <v>0</v>
      </c>
      <c r="G120" s="85">
        <f t="shared" ref="G120:I120" si="63">(F120*10/100)+F120</f>
        <v>0</v>
      </c>
      <c r="H120" s="85">
        <f t="shared" si="63"/>
        <v>0</v>
      </c>
      <c r="I120" s="85">
        <f t="shared" si="63"/>
        <v>0</v>
      </c>
    </row>
    <row r="121" spans="1:9" s="285" customFormat="1" x14ac:dyDescent="0.25">
      <c r="A121" s="118">
        <v>46</v>
      </c>
      <c r="B121" s="151">
        <v>5765</v>
      </c>
      <c r="C121" s="94" t="s">
        <v>307</v>
      </c>
      <c r="D121" s="85"/>
      <c r="E121" s="85"/>
      <c r="F121" s="85">
        <v>0</v>
      </c>
      <c r="G121" s="85">
        <f t="shared" ref="G121:I121" si="64">(F121*10/100)+F121</f>
        <v>0</v>
      </c>
      <c r="H121" s="85">
        <f t="shared" si="64"/>
        <v>0</v>
      </c>
      <c r="I121" s="85">
        <f t="shared" si="64"/>
        <v>0</v>
      </c>
    </row>
    <row r="122" spans="1:9" s="285" customFormat="1" x14ac:dyDescent="0.25">
      <c r="A122" s="118">
        <v>46</v>
      </c>
      <c r="B122" s="151">
        <v>5770</v>
      </c>
      <c r="C122" s="94" t="s">
        <v>308</v>
      </c>
      <c r="D122" s="85">
        <v>0</v>
      </c>
      <c r="E122" s="85"/>
      <c r="F122" s="85">
        <v>0</v>
      </c>
      <c r="G122" s="85">
        <f t="shared" ref="G122:I122" si="65">(F122*10/100)+F122</f>
        <v>0</v>
      </c>
      <c r="H122" s="85">
        <f t="shared" si="65"/>
        <v>0</v>
      </c>
      <c r="I122" s="85">
        <f t="shared" si="65"/>
        <v>0</v>
      </c>
    </row>
    <row r="123" spans="1:9" s="285" customFormat="1" x14ac:dyDescent="0.25">
      <c r="A123" s="118">
        <v>46</v>
      </c>
      <c r="B123" s="151">
        <v>5775</v>
      </c>
      <c r="C123" s="94" t="s">
        <v>309</v>
      </c>
      <c r="D123" s="85"/>
      <c r="E123" s="85"/>
      <c r="F123" s="85">
        <v>0</v>
      </c>
      <c r="G123" s="85">
        <f t="shared" ref="G123:I123" si="66">(F123*10/100)+F123</f>
        <v>0</v>
      </c>
      <c r="H123" s="85">
        <f t="shared" si="66"/>
        <v>0</v>
      </c>
      <c r="I123" s="85">
        <f t="shared" si="66"/>
        <v>0</v>
      </c>
    </row>
    <row r="124" spans="1:9" s="285" customFormat="1" x14ac:dyDescent="0.25">
      <c r="A124" s="118">
        <v>46</v>
      </c>
      <c r="B124" s="151">
        <v>5780</v>
      </c>
      <c r="C124" s="94" t="s">
        <v>310</v>
      </c>
      <c r="D124" s="85"/>
      <c r="E124" s="85"/>
      <c r="F124" s="85">
        <v>0</v>
      </c>
      <c r="G124" s="85">
        <f t="shared" ref="G124:I124" si="67">(F124*10/100)+F124</f>
        <v>0</v>
      </c>
      <c r="H124" s="85">
        <f t="shared" si="67"/>
        <v>0</v>
      </c>
      <c r="I124" s="85">
        <f t="shared" si="67"/>
        <v>0</v>
      </c>
    </row>
    <row r="125" spans="1:9" s="285" customFormat="1" x14ac:dyDescent="0.25">
      <c r="A125" s="118">
        <v>46</v>
      </c>
      <c r="B125" s="151">
        <v>5785</v>
      </c>
      <c r="C125" s="94" t="s">
        <v>311</v>
      </c>
      <c r="D125" s="85"/>
      <c r="E125" s="85"/>
      <c r="F125" s="85">
        <v>0</v>
      </c>
      <c r="G125" s="85">
        <f t="shared" ref="G125:I125" si="68">(F125*10/100)+F125</f>
        <v>0</v>
      </c>
      <c r="H125" s="85">
        <f t="shared" si="68"/>
        <v>0</v>
      </c>
      <c r="I125" s="85">
        <f t="shared" si="68"/>
        <v>0</v>
      </c>
    </row>
    <row r="126" spans="1:9" s="285" customFormat="1" x14ac:dyDescent="0.25">
      <c r="A126" s="118">
        <v>46</v>
      </c>
      <c r="B126" s="151">
        <v>5790</v>
      </c>
      <c r="C126" s="94" t="s">
        <v>312</v>
      </c>
      <c r="D126" s="85"/>
      <c r="E126" s="85"/>
      <c r="F126" s="85">
        <v>0</v>
      </c>
      <c r="G126" s="85">
        <f t="shared" ref="G126:I126" si="69">(F126*10/100)+F126</f>
        <v>0</v>
      </c>
      <c r="H126" s="85">
        <f t="shared" si="69"/>
        <v>0</v>
      </c>
      <c r="I126" s="85">
        <f t="shared" si="69"/>
        <v>0</v>
      </c>
    </row>
    <row r="127" spans="1:9" s="285" customFormat="1" x14ac:dyDescent="0.25">
      <c r="A127" s="118">
        <v>46</v>
      </c>
      <c r="B127" s="151">
        <v>5795</v>
      </c>
      <c r="C127" s="94" t="s">
        <v>313</v>
      </c>
      <c r="D127" s="85"/>
      <c r="E127" s="85"/>
      <c r="F127" s="85">
        <v>0</v>
      </c>
      <c r="G127" s="85">
        <f t="shared" ref="G127:I127" si="70">(F127*10/100)+F127</f>
        <v>0</v>
      </c>
      <c r="H127" s="85">
        <f t="shared" si="70"/>
        <v>0</v>
      </c>
      <c r="I127" s="85">
        <f t="shared" si="70"/>
        <v>0</v>
      </c>
    </row>
    <row r="128" spans="1:9" s="285" customFormat="1" x14ac:dyDescent="0.25">
      <c r="A128" s="118">
        <v>46</v>
      </c>
      <c r="B128" s="151">
        <v>5800</v>
      </c>
      <c r="C128" s="94" t="s">
        <v>314</v>
      </c>
      <c r="D128" s="85"/>
      <c r="E128" s="85"/>
      <c r="F128" s="85">
        <v>0</v>
      </c>
      <c r="G128" s="85">
        <f t="shared" ref="G128:I128" si="71">(F128*10/100)+F128</f>
        <v>0</v>
      </c>
      <c r="H128" s="85">
        <f t="shared" si="71"/>
        <v>0</v>
      </c>
      <c r="I128" s="85">
        <f t="shared" si="71"/>
        <v>0</v>
      </c>
    </row>
    <row r="129" spans="1:9" s="285" customFormat="1" x14ac:dyDescent="0.25">
      <c r="A129" s="118">
        <v>46</v>
      </c>
      <c r="B129" s="151">
        <v>5805</v>
      </c>
      <c r="C129" s="94" t="s">
        <v>315</v>
      </c>
      <c r="D129" s="85"/>
      <c r="E129" s="85"/>
      <c r="F129" s="85">
        <v>0</v>
      </c>
      <c r="G129" s="85">
        <f t="shared" ref="G129:I129" si="72">(F129*10/100)+F129</f>
        <v>0</v>
      </c>
      <c r="H129" s="85">
        <f t="shared" si="72"/>
        <v>0</v>
      </c>
      <c r="I129" s="85">
        <f t="shared" si="72"/>
        <v>0</v>
      </c>
    </row>
    <row r="130" spans="1:9" s="285" customFormat="1" x14ac:dyDescent="0.25">
      <c r="A130" s="118">
        <v>46</v>
      </c>
      <c r="B130" s="151">
        <v>5810</v>
      </c>
      <c r="C130" s="94" t="s">
        <v>316</v>
      </c>
      <c r="D130" s="85"/>
      <c r="E130" s="85"/>
      <c r="F130" s="85">
        <v>0</v>
      </c>
      <c r="G130" s="85">
        <f t="shared" ref="G130:I130" si="73">(F130*10/100)+F130</f>
        <v>0</v>
      </c>
      <c r="H130" s="85">
        <f t="shared" si="73"/>
        <v>0</v>
      </c>
      <c r="I130" s="85">
        <f t="shared" si="73"/>
        <v>0</v>
      </c>
    </row>
    <row r="131" spans="1:9" s="285" customFormat="1" x14ac:dyDescent="0.25">
      <c r="A131" s="118">
        <v>46</v>
      </c>
      <c r="B131" s="151">
        <v>5815</v>
      </c>
      <c r="C131" s="94" t="s">
        <v>99</v>
      </c>
      <c r="D131" s="85"/>
      <c r="E131" s="85"/>
      <c r="F131" s="85">
        <v>0</v>
      </c>
      <c r="G131" s="85">
        <f t="shared" ref="G131:I131" si="74">(F131*10/100)+F131</f>
        <v>0</v>
      </c>
      <c r="H131" s="85">
        <f t="shared" si="74"/>
        <v>0</v>
      </c>
      <c r="I131" s="85">
        <f t="shared" si="74"/>
        <v>0</v>
      </c>
    </row>
    <row r="132" spans="1:9" s="285" customFormat="1" x14ac:dyDescent="0.25">
      <c r="A132" s="118">
        <v>46</v>
      </c>
      <c r="B132" s="151">
        <v>5820</v>
      </c>
      <c r="C132" s="94" t="s">
        <v>114</v>
      </c>
      <c r="D132" s="86"/>
      <c r="E132" s="85"/>
      <c r="F132" s="85">
        <v>0</v>
      </c>
      <c r="G132" s="85">
        <f t="shared" ref="G132:I132" si="75">(F132*10/100)+F132</f>
        <v>0</v>
      </c>
      <c r="H132" s="85">
        <f t="shared" si="75"/>
        <v>0</v>
      </c>
      <c r="I132" s="85">
        <f t="shared" si="75"/>
        <v>0</v>
      </c>
    </row>
    <row r="133" spans="1:9" s="285" customFormat="1" x14ac:dyDescent="0.25">
      <c r="A133" s="118">
        <v>46</v>
      </c>
      <c r="B133" s="151">
        <v>5825</v>
      </c>
      <c r="C133" s="94" t="s">
        <v>317</v>
      </c>
      <c r="D133" s="86"/>
      <c r="E133" s="85">
        <v>149810</v>
      </c>
      <c r="F133" s="85">
        <v>249810</v>
      </c>
      <c r="G133" s="85">
        <f t="shared" ref="G133:I133" si="76">(F133*10/100)+F133</f>
        <v>274791</v>
      </c>
      <c r="H133" s="85">
        <f t="shared" si="76"/>
        <v>302270.09999999998</v>
      </c>
      <c r="I133" s="85">
        <f t="shared" si="76"/>
        <v>332497.11</v>
      </c>
    </row>
    <row r="134" spans="1:9" s="285" customFormat="1" x14ac:dyDescent="0.25">
      <c r="A134" s="118">
        <v>46</v>
      </c>
      <c r="B134" s="151">
        <v>5830</v>
      </c>
      <c r="C134" s="94" t="s">
        <v>318</v>
      </c>
      <c r="D134" s="86">
        <v>450</v>
      </c>
      <c r="E134" s="85">
        <v>5111</v>
      </c>
      <c r="F134" s="85">
        <v>5111</v>
      </c>
      <c r="G134" s="85">
        <f t="shared" ref="G134:I134" si="77">(F134*10/100)+F134</f>
        <v>5622.1</v>
      </c>
      <c r="H134" s="85">
        <f t="shared" si="77"/>
        <v>6184.31</v>
      </c>
      <c r="I134" s="85">
        <f t="shared" si="77"/>
        <v>6802.741</v>
      </c>
    </row>
    <row r="135" spans="1:9" s="285" customFormat="1" x14ac:dyDescent="0.25">
      <c r="A135" s="118">
        <v>46</v>
      </c>
      <c r="B135" s="151">
        <v>5835</v>
      </c>
      <c r="C135" s="94" t="s">
        <v>319</v>
      </c>
      <c r="D135" s="86">
        <v>238250</v>
      </c>
      <c r="E135" s="85">
        <v>170667.34999999998</v>
      </c>
      <c r="F135" s="85">
        <v>170667.34999999998</v>
      </c>
      <c r="G135" s="85">
        <f t="shared" ref="G135:I135" si="78">(F135*10/100)+F135</f>
        <v>187734.08499999996</v>
      </c>
      <c r="H135" s="85">
        <f t="shared" si="78"/>
        <v>206507.49349999995</v>
      </c>
      <c r="I135" s="85">
        <f t="shared" si="78"/>
        <v>227158.24284999995</v>
      </c>
    </row>
    <row r="136" spans="1:9" s="285" customFormat="1" x14ac:dyDescent="0.25">
      <c r="A136" s="118">
        <v>46</v>
      </c>
      <c r="B136" s="151">
        <v>5840</v>
      </c>
      <c r="C136" s="94" t="s">
        <v>332</v>
      </c>
      <c r="D136" s="115"/>
      <c r="E136" s="85"/>
      <c r="F136" s="85">
        <v>0</v>
      </c>
      <c r="G136" s="85">
        <f t="shared" ref="G136:I136" si="79">(F136*10/100)+F136</f>
        <v>0</v>
      </c>
      <c r="H136" s="85">
        <f t="shared" si="79"/>
        <v>0</v>
      </c>
      <c r="I136" s="85">
        <f t="shared" si="79"/>
        <v>0</v>
      </c>
    </row>
    <row r="137" spans="1:9" s="285" customFormat="1" x14ac:dyDescent="0.25">
      <c r="A137" s="118">
        <v>46</v>
      </c>
      <c r="B137" s="151">
        <v>5845</v>
      </c>
      <c r="C137" s="94" t="s">
        <v>320</v>
      </c>
      <c r="D137" s="86"/>
      <c r="E137" s="85"/>
      <c r="F137" s="85">
        <v>0</v>
      </c>
      <c r="G137" s="85">
        <f t="shared" ref="G137:I137" si="80">(F137*10/100)+F137</f>
        <v>0</v>
      </c>
      <c r="H137" s="85">
        <f t="shared" si="80"/>
        <v>0</v>
      </c>
      <c r="I137" s="85">
        <f t="shared" si="80"/>
        <v>0</v>
      </c>
    </row>
    <row r="138" spans="1:9" s="285" customFormat="1" x14ac:dyDescent="0.25">
      <c r="A138" s="118">
        <v>46</v>
      </c>
      <c r="B138" s="151">
        <v>5855</v>
      </c>
      <c r="C138" s="94" t="s">
        <v>321</v>
      </c>
      <c r="D138" s="85"/>
      <c r="E138" s="85"/>
      <c r="F138" s="85">
        <v>0</v>
      </c>
      <c r="G138" s="85">
        <f t="shared" ref="G138:I138" si="81">(F138*10/100)+F138</f>
        <v>0</v>
      </c>
      <c r="H138" s="85">
        <f t="shared" si="81"/>
        <v>0</v>
      </c>
      <c r="I138" s="85">
        <f t="shared" si="81"/>
        <v>0</v>
      </c>
    </row>
    <row r="139" spans="1:9" s="285" customFormat="1" x14ac:dyDescent="0.25">
      <c r="A139" s="118">
        <v>46</v>
      </c>
      <c r="B139" s="151">
        <v>5860</v>
      </c>
      <c r="C139" s="94" t="s">
        <v>322</v>
      </c>
      <c r="D139" s="85"/>
      <c r="E139" s="85"/>
      <c r="F139" s="85">
        <v>0</v>
      </c>
      <c r="G139" s="85">
        <f t="shared" ref="G139:I139" si="82">(F139*10/100)+F139</f>
        <v>0</v>
      </c>
      <c r="H139" s="85">
        <f t="shared" si="82"/>
        <v>0</v>
      </c>
      <c r="I139" s="85">
        <f t="shared" si="82"/>
        <v>0</v>
      </c>
    </row>
    <row r="140" spans="1:9" s="285" customFormat="1" x14ac:dyDescent="0.25">
      <c r="A140" s="118">
        <v>46</v>
      </c>
      <c r="B140" s="151">
        <v>5865</v>
      </c>
      <c r="C140" s="94" t="s">
        <v>323</v>
      </c>
      <c r="D140" s="85"/>
      <c r="E140" s="85"/>
      <c r="F140" s="85">
        <v>0</v>
      </c>
      <c r="G140" s="85">
        <f t="shared" ref="G140:I140" si="83">(F140*10/100)+F140</f>
        <v>0</v>
      </c>
      <c r="H140" s="85">
        <f t="shared" si="83"/>
        <v>0</v>
      </c>
      <c r="I140" s="85">
        <f t="shared" si="83"/>
        <v>0</v>
      </c>
    </row>
    <row r="141" spans="1:9" s="285" customFormat="1" x14ac:dyDescent="0.25">
      <c r="A141" s="118">
        <v>46</v>
      </c>
      <c r="B141" s="151">
        <v>5870</v>
      </c>
      <c r="C141" s="94" t="s">
        <v>324</v>
      </c>
      <c r="D141" s="85"/>
      <c r="E141" s="85"/>
      <c r="F141" s="85">
        <v>0</v>
      </c>
      <c r="G141" s="85">
        <f t="shared" ref="G141:I141" si="84">(F141*10/100)+F141</f>
        <v>0</v>
      </c>
      <c r="H141" s="85">
        <f t="shared" si="84"/>
        <v>0</v>
      </c>
      <c r="I141" s="85">
        <f t="shared" si="84"/>
        <v>0</v>
      </c>
    </row>
    <row r="142" spans="1:9" s="285" customFormat="1" x14ac:dyDescent="0.25">
      <c r="A142" s="118">
        <v>46</v>
      </c>
      <c r="B142" s="151">
        <v>5875</v>
      </c>
      <c r="C142" s="94" t="s">
        <v>325</v>
      </c>
      <c r="D142" s="85"/>
      <c r="E142" s="85"/>
      <c r="F142" s="85">
        <v>0</v>
      </c>
      <c r="G142" s="85">
        <f t="shared" ref="G142:I142" si="85">(F142*10/100)+F142</f>
        <v>0</v>
      </c>
      <c r="H142" s="85">
        <f t="shared" si="85"/>
        <v>0</v>
      </c>
      <c r="I142" s="85">
        <f t="shared" si="85"/>
        <v>0</v>
      </c>
    </row>
    <row r="143" spans="1:9" s="285" customFormat="1" x14ac:dyDescent="0.25">
      <c r="A143" s="118">
        <v>46</v>
      </c>
      <c r="B143" s="151">
        <v>5880</v>
      </c>
      <c r="C143" s="94" t="s">
        <v>326</v>
      </c>
      <c r="D143" s="85"/>
      <c r="E143" s="85"/>
      <c r="F143" s="85">
        <v>0</v>
      </c>
      <c r="G143" s="85">
        <f t="shared" ref="G143:I143" si="86">(F143*10/100)+F143</f>
        <v>0</v>
      </c>
      <c r="H143" s="85">
        <f t="shared" si="86"/>
        <v>0</v>
      </c>
      <c r="I143" s="85">
        <f t="shared" si="86"/>
        <v>0</v>
      </c>
    </row>
    <row r="144" spans="1:9" s="285" customFormat="1" x14ac:dyDescent="0.25">
      <c r="A144" s="118">
        <v>46</v>
      </c>
      <c r="B144" s="151">
        <v>5885</v>
      </c>
      <c r="C144" s="94" t="s">
        <v>331</v>
      </c>
      <c r="D144" s="85">
        <v>30379</v>
      </c>
      <c r="E144" s="85">
        <v>0</v>
      </c>
      <c r="F144" s="85">
        <v>0</v>
      </c>
      <c r="G144" s="85">
        <f t="shared" ref="G144:I144" si="87">(F144*10/100)+F144</f>
        <v>0</v>
      </c>
      <c r="H144" s="85">
        <f t="shared" si="87"/>
        <v>0</v>
      </c>
      <c r="I144" s="85">
        <f t="shared" si="87"/>
        <v>0</v>
      </c>
    </row>
    <row r="145" spans="1:9" s="285" customFormat="1" x14ac:dyDescent="0.25">
      <c r="A145" s="118">
        <v>46</v>
      </c>
      <c r="B145" s="151">
        <v>5890</v>
      </c>
      <c r="C145" s="94" t="s">
        <v>327</v>
      </c>
      <c r="D145" s="85"/>
      <c r="E145" s="85"/>
      <c r="F145" s="85">
        <v>0</v>
      </c>
      <c r="G145" s="85">
        <f t="shared" ref="G145:I145" si="88">(F145*10/100)+F145</f>
        <v>0</v>
      </c>
      <c r="H145" s="85">
        <f t="shared" si="88"/>
        <v>0</v>
      </c>
      <c r="I145" s="85">
        <f t="shared" si="88"/>
        <v>0</v>
      </c>
    </row>
    <row r="146" spans="1:9" s="285" customFormat="1" x14ac:dyDescent="0.25">
      <c r="A146" s="118">
        <v>46</v>
      </c>
      <c r="B146" s="151">
        <v>5895</v>
      </c>
      <c r="C146" s="94" t="s">
        <v>328</v>
      </c>
      <c r="D146" s="85"/>
      <c r="E146" s="85"/>
      <c r="F146" s="85">
        <v>0</v>
      </c>
      <c r="G146" s="85">
        <f t="shared" ref="G146:I146" si="89">(F146*10/100)+F146</f>
        <v>0</v>
      </c>
      <c r="H146" s="85">
        <f t="shared" si="89"/>
        <v>0</v>
      </c>
      <c r="I146" s="85">
        <f t="shared" si="89"/>
        <v>0</v>
      </c>
    </row>
    <row r="147" spans="1:9" s="285" customFormat="1" x14ac:dyDescent="0.25">
      <c r="A147" s="118">
        <v>46</v>
      </c>
      <c r="B147" s="151">
        <v>5910</v>
      </c>
      <c r="C147" s="94" t="s">
        <v>330</v>
      </c>
      <c r="D147" s="85"/>
      <c r="E147" s="85"/>
      <c r="F147" s="85">
        <v>0</v>
      </c>
      <c r="G147" s="85">
        <f t="shared" ref="G147:I147" si="90">(F147*10/100)+F147</f>
        <v>0</v>
      </c>
      <c r="H147" s="85">
        <f t="shared" si="90"/>
        <v>0</v>
      </c>
      <c r="I147" s="85">
        <f t="shared" si="90"/>
        <v>0</v>
      </c>
    </row>
    <row r="148" spans="1:9" s="285" customFormat="1" x14ac:dyDescent="0.25">
      <c r="A148" s="344"/>
      <c r="B148" s="151"/>
      <c r="C148" s="94"/>
      <c r="D148" s="89">
        <f t="shared" ref="D148:E148" si="91">SUM(D72:D147)</f>
        <v>1319626</v>
      </c>
      <c r="E148" s="89">
        <f t="shared" si="91"/>
        <v>2159564.27</v>
      </c>
      <c r="F148" s="89">
        <v>2486860.8650000002</v>
      </c>
      <c r="G148" s="89">
        <v>2486860.8650000002</v>
      </c>
      <c r="H148" s="89">
        <v>2486860.8650000002</v>
      </c>
      <c r="I148" s="89">
        <v>2486860.8650000002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46</v>
      </c>
      <c r="B150" s="151">
        <v>6005</v>
      </c>
      <c r="C150" s="94" t="s">
        <v>188</v>
      </c>
      <c r="D150" s="85"/>
      <c r="E150" s="108"/>
      <c r="F150" s="85">
        <v>0</v>
      </c>
      <c r="G150" s="85"/>
      <c r="H150" s="85"/>
      <c r="I150" s="108"/>
    </row>
    <row r="151" spans="1:9" s="285" customFormat="1" x14ac:dyDescent="0.25">
      <c r="A151" s="344"/>
      <c r="B151" s="151"/>
      <c r="C151" s="94"/>
      <c r="D151" s="89">
        <f t="shared" ref="D151:E151" si="92">SUM(D150)</f>
        <v>0</v>
      </c>
      <c r="E151" s="89">
        <f t="shared" si="92"/>
        <v>0</v>
      </c>
      <c r="F151" s="89">
        <v>0</v>
      </c>
      <c r="G151" s="89"/>
      <c r="H151" s="89"/>
      <c r="I151" s="89"/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46</v>
      </c>
      <c r="B153" s="151">
        <v>6105</v>
      </c>
      <c r="C153" s="94" t="s">
        <v>336</v>
      </c>
      <c r="D153" s="85"/>
      <c r="E153" s="108"/>
      <c r="F153" s="85">
        <v>0</v>
      </c>
      <c r="G153" s="85"/>
      <c r="H153" s="85">
        <v>1366000</v>
      </c>
      <c r="I153" s="108"/>
    </row>
    <row r="154" spans="1:9" s="285" customFormat="1" x14ac:dyDescent="0.25">
      <c r="A154" s="118">
        <v>46</v>
      </c>
      <c r="B154" s="151">
        <v>6110</v>
      </c>
      <c r="C154" s="94" t="s">
        <v>337</v>
      </c>
      <c r="D154" s="85"/>
      <c r="E154" s="108">
        <v>1200000</v>
      </c>
      <c r="F154" s="85">
        <v>1200000</v>
      </c>
      <c r="G154" s="85"/>
      <c r="H154" s="85">
        <v>4000000</v>
      </c>
      <c r="I154" s="85">
        <v>4000000</v>
      </c>
    </row>
    <row r="155" spans="1:9" s="285" customFormat="1" x14ac:dyDescent="0.25">
      <c r="A155" s="118">
        <v>46</v>
      </c>
      <c r="B155" s="151">
        <v>6115</v>
      </c>
      <c r="C155" s="94" t="s">
        <v>60</v>
      </c>
      <c r="D155" s="85"/>
      <c r="E155" s="108"/>
      <c r="F155" s="85">
        <v>0</v>
      </c>
      <c r="G155" s="85"/>
      <c r="H155" s="85">
        <v>3000000</v>
      </c>
      <c r="I155" s="85">
        <v>3000000</v>
      </c>
    </row>
    <row r="156" spans="1:9" s="285" customFormat="1" x14ac:dyDescent="0.25">
      <c r="A156" s="344"/>
      <c r="B156" s="151"/>
      <c r="C156" s="94"/>
      <c r="D156" s="89">
        <f t="shared" ref="D156:E156" si="93">SUM(D153:D155)</f>
        <v>0</v>
      </c>
      <c r="E156" s="89">
        <f t="shared" si="93"/>
        <v>1200000</v>
      </c>
      <c r="F156" s="89">
        <v>1200000</v>
      </c>
      <c r="G156" s="89">
        <f>SUM(G153:G155)</f>
        <v>0</v>
      </c>
      <c r="H156" s="89">
        <f t="shared" ref="H156:I156" si="94">SUM(H153:H155)</f>
        <v>8366000</v>
      </c>
      <c r="I156" s="89">
        <f t="shared" si="94"/>
        <v>7000000</v>
      </c>
    </row>
    <row r="157" spans="1:9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hidden="1" x14ac:dyDescent="0.25">
      <c r="A158" s="118">
        <v>46</v>
      </c>
      <c r="B158" s="151">
        <v>6205</v>
      </c>
      <c r="C158" s="94" t="s">
        <v>338</v>
      </c>
      <c r="D158" s="85"/>
      <c r="E158" s="108"/>
      <c r="F158" s="85">
        <v>0</v>
      </c>
      <c r="G158" s="85"/>
      <c r="H158" s="85">
        <f>0/8*12</f>
        <v>0</v>
      </c>
      <c r="I158" s="85">
        <f>F158*(1+INPUT!C$10)</f>
        <v>0</v>
      </c>
    </row>
    <row r="159" spans="1:9" s="285" customFormat="1" hidden="1" x14ac:dyDescent="0.25">
      <c r="A159" s="118">
        <v>46</v>
      </c>
      <c r="B159" s="151">
        <v>6210</v>
      </c>
      <c r="C159" s="94" t="s">
        <v>339</v>
      </c>
      <c r="D159" s="85"/>
      <c r="E159" s="85"/>
      <c r="F159" s="85">
        <v>0</v>
      </c>
      <c r="G159" s="85"/>
      <c r="H159" s="85">
        <f>0/8*12</f>
        <v>0</v>
      </c>
      <c r="I159" s="85">
        <f>F159*(1+INPUT!C$10)</f>
        <v>0</v>
      </c>
    </row>
    <row r="160" spans="1:9" s="285" customFormat="1" hidden="1" x14ac:dyDescent="0.25">
      <c r="A160" s="344"/>
      <c r="B160" s="346"/>
      <c r="C160" s="347"/>
      <c r="D160" s="116">
        <f t="shared" ref="D160:I160" si="95">SUM(D158:D159)</f>
        <v>0</v>
      </c>
      <c r="E160" s="116">
        <f t="shared" si="95"/>
        <v>0</v>
      </c>
      <c r="F160" s="116">
        <v>0</v>
      </c>
      <c r="G160" s="116"/>
      <c r="H160" s="116">
        <f t="shared" ref="H160" si="96">SUM(H158:H159)</f>
        <v>0</v>
      </c>
      <c r="I160" s="116">
        <f t="shared" si="95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I161" si="97">D160+D156+D151+D148+D70+D66+D63+D59+D38+D35+D32+D29+D25+D18</f>
        <v>6431907.8900000006</v>
      </c>
      <c r="E161" s="116">
        <f t="shared" si="97"/>
        <v>18623212.754999999</v>
      </c>
      <c r="F161" s="116">
        <v>14193206.35</v>
      </c>
      <c r="G161" s="116">
        <v>14193206.35</v>
      </c>
      <c r="H161" s="116">
        <f t="shared" ref="H161" si="98">H160+H156+H151+H148+H70+H66+H63+H59+H38+H35+H32+H29+H25+H18</f>
        <v>22343984.927928001</v>
      </c>
      <c r="I161" s="116">
        <f t="shared" si="97"/>
        <v>21751546.892207101</v>
      </c>
    </row>
    <row r="162" spans="1:9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hidden="1" x14ac:dyDescent="0.25">
      <c r="A163" s="118">
        <v>46</v>
      </c>
      <c r="B163" s="151">
        <v>6305</v>
      </c>
      <c r="C163" s="94" t="s">
        <v>190</v>
      </c>
      <c r="D163" s="85"/>
      <c r="E163" s="85"/>
      <c r="F163" s="85"/>
      <c r="G163" s="85"/>
      <c r="H163" s="85">
        <f>0/8*12</f>
        <v>0</v>
      </c>
      <c r="I163" s="85"/>
    </row>
    <row r="164" spans="1:9" s="285" customFormat="1" hidden="1" x14ac:dyDescent="0.25">
      <c r="A164" s="344"/>
      <c r="B164" s="151"/>
      <c r="C164" s="94"/>
      <c r="D164" s="116">
        <f t="shared" ref="D164:I164" si="99">D163</f>
        <v>0</v>
      </c>
      <c r="E164" s="116">
        <f t="shared" si="99"/>
        <v>0</v>
      </c>
      <c r="F164" s="116">
        <v>0</v>
      </c>
      <c r="G164" s="116"/>
      <c r="H164" s="116">
        <f t="shared" ref="H164" si="100">H163</f>
        <v>0</v>
      </c>
      <c r="I164" s="116">
        <f t="shared" si="99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101">SUM(D161+D164)</f>
        <v>6431907.8900000006</v>
      </c>
      <c r="E165" s="160">
        <f t="shared" si="101"/>
        <v>18623212.754999999</v>
      </c>
      <c r="F165" s="160">
        <v>14193206.35</v>
      </c>
      <c r="G165" s="160">
        <v>14193206.35</v>
      </c>
      <c r="H165" s="160">
        <f t="shared" ref="H165" si="102">SUM(H161+H164)</f>
        <v>22343984.927928001</v>
      </c>
      <c r="I165" s="160">
        <f t="shared" si="101"/>
        <v>21751546.892207101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424"/>
      <c r="H168" s="338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hidden="1" x14ac:dyDescent="0.25">
      <c r="A172" s="118">
        <v>46</v>
      </c>
      <c r="B172" s="151">
        <v>1237</v>
      </c>
      <c r="C172" s="94" t="s">
        <v>99</v>
      </c>
      <c r="D172" s="122"/>
      <c r="E172" s="108"/>
      <c r="F172" s="98">
        <v>0</v>
      </c>
      <c r="G172" s="98"/>
      <c r="H172" s="98"/>
      <c r="I172" s="108">
        <f>F172*(1+INPUT!C15)</f>
        <v>0</v>
      </c>
    </row>
    <row r="173" spans="1:9" s="285" customFormat="1" hidden="1" x14ac:dyDescent="0.25">
      <c r="A173" s="118">
        <v>46</v>
      </c>
      <c r="B173" s="151">
        <v>5725</v>
      </c>
      <c r="C173" s="94" t="s">
        <v>402</v>
      </c>
      <c r="D173" s="85">
        <v>0</v>
      </c>
      <c r="E173" s="85">
        <v>0</v>
      </c>
      <c r="F173" s="85">
        <v>0</v>
      </c>
      <c r="G173" s="85"/>
      <c r="H173" s="85"/>
      <c r="I173" s="85">
        <f>F173*(1+INPUT!C$10)</f>
        <v>0</v>
      </c>
    </row>
    <row r="174" spans="1:9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hidden="1" x14ac:dyDescent="0.25">
      <c r="A176" s="118">
        <v>46</v>
      </c>
      <c r="B176" s="151">
        <v>1147</v>
      </c>
      <c r="C176" s="94" t="s">
        <v>102</v>
      </c>
      <c r="D176" s="122"/>
      <c r="E176" s="98"/>
      <c r="F176" s="98">
        <v>0</v>
      </c>
      <c r="G176" s="98"/>
      <c r="H176" s="98"/>
      <c r="I176" s="98">
        <f>F176*(1+INPUT!C18)</f>
        <v>0</v>
      </c>
    </row>
    <row r="177" spans="1:9" s="285" customFormat="1" hidden="1" x14ac:dyDescent="0.25">
      <c r="A177" s="118">
        <v>46</v>
      </c>
      <c r="B177" s="151">
        <v>1202</v>
      </c>
      <c r="C177" s="94" t="s">
        <v>343</v>
      </c>
      <c r="D177" s="122"/>
      <c r="E177" s="98"/>
      <c r="F177" s="98">
        <v>0</v>
      </c>
      <c r="G177" s="98"/>
      <c r="H177" s="98"/>
      <c r="I177" s="98">
        <f>F177*(1+INPUT!C19)</f>
        <v>0</v>
      </c>
    </row>
    <row r="178" spans="1:9" s="285" customFormat="1" hidden="1" x14ac:dyDescent="0.25">
      <c r="A178" s="118">
        <v>46</v>
      </c>
      <c r="B178" s="151">
        <v>1207</v>
      </c>
      <c r="C178" s="94" t="s">
        <v>104</v>
      </c>
      <c r="D178" s="122"/>
      <c r="E178" s="98"/>
      <c r="F178" s="98">
        <v>0</v>
      </c>
      <c r="G178" s="98"/>
      <c r="H178" s="98"/>
      <c r="I178" s="98">
        <f>F178*(1+INPUT!C20)</f>
        <v>0</v>
      </c>
    </row>
    <row r="179" spans="1:9" s="285" customFormat="1" hidden="1" x14ac:dyDescent="0.25">
      <c r="A179" s="118">
        <v>46</v>
      </c>
      <c r="B179" s="151">
        <v>1153</v>
      </c>
      <c r="C179" s="94" t="s">
        <v>115</v>
      </c>
      <c r="D179" s="122"/>
      <c r="E179" s="98"/>
      <c r="F179" s="98">
        <v>0</v>
      </c>
      <c r="G179" s="98"/>
      <c r="H179" s="98"/>
      <c r="I179" s="98">
        <f>F179*(1+INPUT!C21)</f>
        <v>0</v>
      </c>
    </row>
    <row r="180" spans="1:9" s="285" customFormat="1" hidden="1" x14ac:dyDescent="0.25">
      <c r="A180" s="118">
        <v>46</v>
      </c>
      <c r="B180" s="151">
        <v>1143</v>
      </c>
      <c r="C180" s="94" t="s">
        <v>109</v>
      </c>
      <c r="D180" s="122"/>
      <c r="E180" s="98"/>
      <c r="F180" s="98">
        <v>0</v>
      </c>
      <c r="G180" s="98"/>
      <c r="H180" s="98"/>
      <c r="I180" s="98">
        <f>F180*(1+INPUT!C22)</f>
        <v>0</v>
      </c>
    </row>
    <row r="181" spans="1:9" s="285" customFormat="1" x14ac:dyDescent="0.25">
      <c r="A181" s="118">
        <v>46</v>
      </c>
      <c r="B181" s="151">
        <v>5500</v>
      </c>
      <c r="C181" s="94" t="s">
        <v>266</v>
      </c>
      <c r="D181" s="85"/>
      <c r="E181" s="85">
        <v>-283076</v>
      </c>
      <c r="F181" s="85">
        <v>-283076</v>
      </c>
      <c r="G181" s="85">
        <f>(F181*10/100)+F181</f>
        <v>-311383.59999999998</v>
      </c>
      <c r="H181" s="85">
        <f t="shared" ref="H181:I181" si="103">(G181*10/100)+G181</f>
        <v>-342521.95999999996</v>
      </c>
      <c r="I181" s="85">
        <f t="shared" si="103"/>
        <v>-376774.15599999996</v>
      </c>
    </row>
    <row r="182" spans="1:9" s="285" customFormat="1" hidden="1" x14ac:dyDescent="0.25">
      <c r="A182" s="118">
        <v>46</v>
      </c>
      <c r="B182" s="151">
        <v>5705</v>
      </c>
      <c r="C182" s="94" t="s">
        <v>296</v>
      </c>
      <c r="D182" s="85"/>
      <c r="E182" s="85"/>
      <c r="F182" s="85">
        <v>0</v>
      </c>
      <c r="G182" s="85">
        <f t="shared" ref="G182:I182" si="104">(F182*10/100)+F182</f>
        <v>0</v>
      </c>
      <c r="H182" s="85">
        <f t="shared" si="104"/>
        <v>0</v>
      </c>
      <c r="I182" s="85">
        <f t="shared" si="104"/>
        <v>0</v>
      </c>
    </row>
    <row r="183" spans="1:9" s="285" customFormat="1" hidden="1" x14ac:dyDescent="0.25">
      <c r="A183" s="118">
        <v>46</v>
      </c>
      <c r="B183" s="151">
        <v>1140</v>
      </c>
      <c r="C183" s="94" t="s">
        <v>113</v>
      </c>
      <c r="D183" s="122"/>
      <c r="E183" s="98"/>
      <c r="F183" s="85">
        <v>0</v>
      </c>
      <c r="G183" s="85">
        <f t="shared" ref="G183:I183" si="105">(F183*10/100)+F183</f>
        <v>0</v>
      </c>
      <c r="H183" s="85">
        <f t="shared" si="105"/>
        <v>0</v>
      </c>
      <c r="I183" s="85">
        <f t="shared" si="105"/>
        <v>0</v>
      </c>
    </row>
    <row r="184" spans="1:9" s="285" customFormat="1" hidden="1" x14ac:dyDescent="0.25">
      <c r="A184" s="118">
        <v>46</v>
      </c>
      <c r="B184" s="151">
        <v>1145</v>
      </c>
      <c r="C184" s="94" t="s">
        <v>132</v>
      </c>
      <c r="D184" s="122"/>
      <c r="E184" s="98"/>
      <c r="F184" s="85">
        <v>0</v>
      </c>
      <c r="G184" s="85">
        <f t="shared" ref="G184:I184" si="106">(F184*10/100)+F184</f>
        <v>0</v>
      </c>
      <c r="H184" s="85">
        <f t="shared" si="106"/>
        <v>0</v>
      </c>
      <c r="I184" s="85">
        <f t="shared" si="106"/>
        <v>0</v>
      </c>
    </row>
    <row r="185" spans="1:9" s="285" customFormat="1" hidden="1" x14ac:dyDescent="0.25">
      <c r="A185" s="118">
        <v>46</v>
      </c>
      <c r="B185" s="151">
        <v>1150</v>
      </c>
      <c r="C185" s="94" t="s">
        <v>120</v>
      </c>
      <c r="D185" s="122"/>
      <c r="E185" s="98"/>
      <c r="F185" s="85">
        <v>0</v>
      </c>
      <c r="G185" s="85">
        <f t="shared" ref="G185:I185" si="107">(F185*10/100)+F185</f>
        <v>0</v>
      </c>
      <c r="H185" s="85">
        <f t="shared" si="107"/>
        <v>0</v>
      </c>
      <c r="I185" s="85">
        <f t="shared" si="107"/>
        <v>0</v>
      </c>
    </row>
    <row r="186" spans="1:9" s="285" customFormat="1" hidden="1" x14ac:dyDescent="0.25">
      <c r="A186" s="118">
        <v>46</v>
      </c>
      <c r="B186" s="151">
        <v>1155</v>
      </c>
      <c r="C186" s="94" t="s">
        <v>116</v>
      </c>
      <c r="D186" s="122"/>
      <c r="E186" s="98"/>
      <c r="F186" s="85">
        <v>0</v>
      </c>
      <c r="G186" s="85">
        <f t="shared" ref="G186:I186" si="108">(F186*10/100)+F186</f>
        <v>0</v>
      </c>
      <c r="H186" s="85">
        <f t="shared" si="108"/>
        <v>0</v>
      </c>
      <c r="I186" s="85">
        <f t="shared" si="108"/>
        <v>0</v>
      </c>
    </row>
    <row r="187" spans="1:9" s="285" customFormat="1" hidden="1" x14ac:dyDescent="0.25">
      <c r="A187" s="118">
        <v>46</v>
      </c>
      <c r="B187" s="151">
        <v>1160</v>
      </c>
      <c r="C187" s="94" t="s">
        <v>101</v>
      </c>
      <c r="D187" s="122"/>
      <c r="E187" s="98"/>
      <c r="F187" s="85">
        <v>0</v>
      </c>
      <c r="G187" s="85">
        <f t="shared" ref="G187:I187" si="109">(F187*10/100)+F187</f>
        <v>0</v>
      </c>
      <c r="H187" s="85">
        <f t="shared" si="109"/>
        <v>0</v>
      </c>
      <c r="I187" s="85">
        <f t="shared" si="109"/>
        <v>0</v>
      </c>
    </row>
    <row r="188" spans="1:9" s="285" customFormat="1" hidden="1" x14ac:dyDescent="0.25">
      <c r="A188" s="118">
        <v>46</v>
      </c>
      <c r="B188" s="151">
        <v>1165</v>
      </c>
      <c r="C188" s="94" t="s">
        <v>114</v>
      </c>
      <c r="D188" s="122"/>
      <c r="E188" s="98"/>
      <c r="F188" s="85">
        <v>0</v>
      </c>
      <c r="G188" s="85">
        <f t="shared" ref="G188:I188" si="110">(F188*10/100)+F188</f>
        <v>0</v>
      </c>
      <c r="H188" s="85">
        <f t="shared" si="110"/>
        <v>0</v>
      </c>
      <c r="I188" s="85">
        <f t="shared" si="110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85">
        <v>0</v>
      </c>
      <c r="G189" s="85">
        <f t="shared" ref="G189:I189" si="111">(F189*10/100)+F189</f>
        <v>0</v>
      </c>
      <c r="H189" s="85">
        <f t="shared" si="111"/>
        <v>0</v>
      </c>
      <c r="I189" s="85">
        <f t="shared" si="111"/>
        <v>0</v>
      </c>
    </row>
    <row r="190" spans="1:9" s="285" customFormat="1" hidden="1" x14ac:dyDescent="0.25">
      <c r="A190" s="118">
        <v>46</v>
      </c>
      <c r="B190" s="151">
        <v>1180</v>
      </c>
      <c r="C190" s="94" t="s">
        <v>404</v>
      </c>
      <c r="D190" s="122"/>
      <c r="E190" s="98"/>
      <c r="F190" s="85">
        <v>0</v>
      </c>
      <c r="G190" s="85">
        <f t="shared" ref="G190:I190" si="112">(F190*10/100)+F190</f>
        <v>0</v>
      </c>
      <c r="H190" s="85">
        <f t="shared" si="112"/>
        <v>0</v>
      </c>
      <c r="I190" s="85">
        <f t="shared" si="112"/>
        <v>0</v>
      </c>
    </row>
    <row r="191" spans="1:9" s="285" customFormat="1" hidden="1" x14ac:dyDescent="0.25">
      <c r="A191" s="118">
        <v>46</v>
      </c>
      <c r="B191" s="151">
        <v>1185</v>
      </c>
      <c r="C191" s="94" t="s">
        <v>405</v>
      </c>
      <c r="D191" s="122"/>
      <c r="E191" s="98"/>
      <c r="F191" s="85">
        <v>0</v>
      </c>
      <c r="G191" s="85">
        <f t="shared" ref="G191:I191" si="113">(F191*10/100)+F191</f>
        <v>0</v>
      </c>
      <c r="H191" s="85">
        <f t="shared" si="113"/>
        <v>0</v>
      </c>
      <c r="I191" s="85">
        <f t="shared" si="113"/>
        <v>0</v>
      </c>
    </row>
    <row r="192" spans="1:9" s="285" customFormat="1" hidden="1" x14ac:dyDescent="0.25">
      <c r="A192" s="118">
        <v>46</v>
      </c>
      <c r="B192" s="151">
        <v>1190</v>
      </c>
      <c r="C192" s="94" t="s">
        <v>406</v>
      </c>
      <c r="D192" s="122"/>
      <c r="E192" s="98"/>
      <c r="F192" s="85">
        <v>0</v>
      </c>
      <c r="G192" s="85">
        <f t="shared" ref="G192:I192" si="114">(F192*10/100)+F192</f>
        <v>0</v>
      </c>
      <c r="H192" s="85">
        <f t="shared" si="114"/>
        <v>0</v>
      </c>
      <c r="I192" s="85">
        <f t="shared" si="114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85">
        <v>0</v>
      </c>
      <c r="G193" s="85">
        <f t="shared" ref="G193:I193" si="115">(F193*10/100)+F193</f>
        <v>0</v>
      </c>
      <c r="H193" s="85">
        <f t="shared" si="115"/>
        <v>0</v>
      </c>
      <c r="I193" s="85">
        <f t="shared" si="115"/>
        <v>0</v>
      </c>
    </row>
    <row r="194" spans="1:9" s="285" customFormat="1" x14ac:dyDescent="0.25">
      <c r="A194" s="118">
        <v>46</v>
      </c>
      <c r="B194" s="151">
        <v>1195</v>
      </c>
      <c r="C194" s="94" t="s">
        <v>199</v>
      </c>
      <c r="D194" s="122">
        <v>64819</v>
      </c>
      <c r="E194" s="98">
        <v>21120</v>
      </c>
      <c r="F194" s="85">
        <v>81120</v>
      </c>
      <c r="G194" s="85">
        <f t="shared" ref="G194:I194" si="116">(F194*10/100)+F194</f>
        <v>89232</v>
      </c>
      <c r="H194" s="85">
        <f t="shared" si="116"/>
        <v>98155.199999999997</v>
      </c>
      <c r="I194" s="85">
        <f t="shared" si="116"/>
        <v>107970.72</v>
      </c>
    </row>
    <row r="195" spans="1:9" s="285" customFormat="1" hidden="1" x14ac:dyDescent="0.25">
      <c r="A195" s="118">
        <v>46</v>
      </c>
      <c r="B195" s="151">
        <v>1200</v>
      </c>
      <c r="C195" s="94" t="s">
        <v>117</v>
      </c>
      <c r="D195" s="122"/>
      <c r="E195" s="98"/>
      <c r="F195" s="85">
        <v>0</v>
      </c>
      <c r="G195" s="85">
        <f t="shared" ref="G195:I195" si="117">(F195*10/100)+F195</f>
        <v>0</v>
      </c>
      <c r="H195" s="85">
        <f t="shared" si="117"/>
        <v>0</v>
      </c>
      <c r="I195" s="85">
        <f t="shared" si="117"/>
        <v>0</v>
      </c>
    </row>
    <row r="196" spans="1:9" s="285" customFormat="1" hidden="1" x14ac:dyDescent="0.25">
      <c r="A196" s="118">
        <v>46</v>
      </c>
      <c r="B196" s="151">
        <v>1205</v>
      </c>
      <c r="C196" s="115" t="s">
        <v>105</v>
      </c>
      <c r="D196" s="122"/>
      <c r="E196" s="98"/>
      <c r="F196" s="85">
        <v>0</v>
      </c>
      <c r="G196" s="85">
        <f t="shared" ref="G196:I196" si="118">(F196*10/100)+F196</f>
        <v>0</v>
      </c>
      <c r="H196" s="85">
        <f t="shared" si="118"/>
        <v>0</v>
      </c>
      <c r="I196" s="85">
        <f t="shared" si="118"/>
        <v>0</v>
      </c>
    </row>
    <row r="197" spans="1:9" s="285" customFormat="1" hidden="1" x14ac:dyDescent="0.25">
      <c r="A197" s="118">
        <v>46</v>
      </c>
      <c r="B197" s="151">
        <v>1210</v>
      </c>
      <c r="C197" s="94" t="s">
        <v>118</v>
      </c>
      <c r="D197" s="122"/>
      <c r="E197" s="98"/>
      <c r="F197" s="85">
        <v>0</v>
      </c>
      <c r="G197" s="85">
        <f t="shared" ref="G197:I197" si="119">(F197*10/100)+F197</f>
        <v>0</v>
      </c>
      <c r="H197" s="85">
        <f t="shared" si="119"/>
        <v>0</v>
      </c>
      <c r="I197" s="85">
        <f t="shared" si="119"/>
        <v>0</v>
      </c>
    </row>
    <row r="198" spans="1:9" s="285" customFormat="1" hidden="1" x14ac:dyDescent="0.25">
      <c r="A198" s="118">
        <v>46</v>
      </c>
      <c r="B198" s="151">
        <v>1215</v>
      </c>
      <c r="C198" s="94" t="s">
        <v>133</v>
      </c>
      <c r="D198" s="122"/>
      <c r="E198" s="98"/>
      <c r="F198" s="85">
        <v>0</v>
      </c>
      <c r="G198" s="85">
        <f t="shared" ref="G198:I198" si="120">(F198*10/100)+F198</f>
        <v>0</v>
      </c>
      <c r="H198" s="85">
        <f t="shared" si="120"/>
        <v>0</v>
      </c>
      <c r="I198" s="85">
        <f t="shared" si="120"/>
        <v>0</v>
      </c>
    </row>
    <row r="199" spans="1:9" s="285" customFormat="1" hidden="1" x14ac:dyDescent="0.25">
      <c r="A199" s="118">
        <v>46</v>
      </c>
      <c r="B199" s="151">
        <v>5905</v>
      </c>
      <c r="C199" s="94" t="s">
        <v>329</v>
      </c>
      <c r="D199" s="85"/>
      <c r="E199" s="85"/>
      <c r="F199" s="85">
        <v>0</v>
      </c>
      <c r="G199" s="85">
        <f t="shared" ref="G199:I199" si="121">(F199*10/100)+F199</f>
        <v>0</v>
      </c>
      <c r="H199" s="85">
        <f t="shared" si="121"/>
        <v>0</v>
      </c>
      <c r="I199" s="85">
        <f t="shared" si="121"/>
        <v>0</v>
      </c>
    </row>
    <row r="200" spans="1:9" s="285" customFormat="1" x14ac:dyDescent="0.25">
      <c r="A200" s="118">
        <v>46</v>
      </c>
      <c r="B200" s="151">
        <v>5900</v>
      </c>
      <c r="C200" s="94" t="s">
        <v>333</v>
      </c>
      <c r="D200" s="85"/>
      <c r="E200" s="85">
        <v>-96468</v>
      </c>
      <c r="F200" s="85">
        <v>-96468</v>
      </c>
      <c r="G200" s="85">
        <f t="shared" ref="G200:I200" si="122">(F200*10/100)+F200</f>
        <v>-106114.8</v>
      </c>
      <c r="H200" s="85">
        <f t="shared" si="122"/>
        <v>-116726.28</v>
      </c>
      <c r="I200" s="85">
        <f t="shared" si="122"/>
        <v>-128398.908</v>
      </c>
    </row>
    <row r="201" spans="1:9" s="285" customFormat="1" hidden="1" x14ac:dyDescent="0.25">
      <c r="A201" s="118">
        <v>46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85">
        <f t="shared" ref="G201:I201" si="123">(F201*10/100)+F201</f>
        <v>0</v>
      </c>
      <c r="H201" s="85">
        <f t="shared" si="123"/>
        <v>0</v>
      </c>
      <c r="I201" s="85">
        <f t="shared" si="123"/>
        <v>0</v>
      </c>
    </row>
    <row r="202" spans="1:9" s="285" customFormat="1" hidden="1" x14ac:dyDescent="0.25">
      <c r="A202" s="118">
        <v>46</v>
      </c>
      <c r="B202" s="151">
        <v>1225</v>
      </c>
      <c r="C202" s="94" t="s">
        <v>372</v>
      </c>
      <c r="D202" s="122"/>
      <c r="E202" s="98">
        <v>0</v>
      </c>
      <c r="F202" s="85">
        <v>0</v>
      </c>
      <c r="G202" s="85">
        <f t="shared" ref="G202:I202" si="124">(F202*10/100)+F202</f>
        <v>0</v>
      </c>
      <c r="H202" s="85">
        <f t="shared" si="124"/>
        <v>0</v>
      </c>
      <c r="I202" s="85">
        <f t="shared" si="124"/>
        <v>0</v>
      </c>
    </row>
    <row r="203" spans="1:9" s="285" customFormat="1" hidden="1" x14ac:dyDescent="0.25">
      <c r="A203" s="118">
        <v>46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85">
        <f t="shared" ref="G203:I203" si="125">(F203*10/100)+F203</f>
        <v>0</v>
      </c>
      <c r="H203" s="85">
        <f t="shared" si="125"/>
        <v>0</v>
      </c>
      <c r="I203" s="85">
        <f t="shared" si="125"/>
        <v>0</v>
      </c>
    </row>
    <row r="204" spans="1:9" s="285" customFormat="1" hidden="1" x14ac:dyDescent="0.25">
      <c r="A204" s="118">
        <v>46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85">
        <f t="shared" ref="G204:I204" si="126">(F204*10/100)+F204</f>
        <v>0</v>
      </c>
      <c r="H204" s="85">
        <f t="shared" si="126"/>
        <v>0</v>
      </c>
      <c r="I204" s="85">
        <f t="shared" si="126"/>
        <v>0</v>
      </c>
    </row>
    <row r="205" spans="1:9" s="285" customFormat="1" x14ac:dyDescent="0.25">
      <c r="A205" s="118"/>
      <c r="B205" s="151"/>
      <c r="C205" s="94" t="s">
        <v>512</v>
      </c>
      <c r="D205" s="225"/>
      <c r="E205" s="85"/>
      <c r="F205" s="85">
        <v>0</v>
      </c>
      <c r="G205" s="85"/>
      <c r="H205" s="85"/>
      <c r="I205" s="85"/>
    </row>
    <row r="206" spans="1:9" s="285" customFormat="1" x14ac:dyDescent="0.25">
      <c r="A206" s="344"/>
      <c r="B206" s="151"/>
      <c r="C206" s="94"/>
      <c r="D206" s="100">
        <f t="shared" ref="D206:E206" si="127">SUM(D176:D204)</f>
        <v>64819</v>
      </c>
      <c r="E206" s="100">
        <f t="shared" si="127"/>
        <v>-358424</v>
      </c>
      <c r="F206" s="100">
        <v>-298424</v>
      </c>
      <c r="G206" s="100">
        <v>-298424</v>
      </c>
      <c r="H206" s="100">
        <v>-298424</v>
      </c>
      <c r="I206" s="100">
        <v>-298424</v>
      </c>
    </row>
    <row r="207" spans="1:9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46</v>
      </c>
      <c r="B208" s="151">
        <v>1305</v>
      </c>
      <c r="C208" s="94" t="s">
        <v>342</v>
      </c>
      <c r="D208" s="122"/>
      <c r="E208" s="98"/>
      <c r="F208" s="98">
        <v>0</v>
      </c>
      <c r="G208" s="98"/>
      <c r="H208" s="98"/>
      <c r="I208" s="98"/>
    </row>
    <row r="209" spans="1:9" s="285" customFormat="1" hidden="1" x14ac:dyDescent="0.25">
      <c r="A209" s="118">
        <v>46</v>
      </c>
      <c r="B209" s="151">
        <v>1310</v>
      </c>
      <c r="C209" s="94" t="s">
        <v>344</v>
      </c>
      <c r="D209" s="122"/>
      <c r="E209" s="98"/>
      <c r="F209" s="98">
        <v>0</v>
      </c>
      <c r="G209" s="98"/>
      <c r="H209" s="98"/>
      <c r="I209" s="98"/>
    </row>
    <row r="210" spans="1:9" s="285" customFormat="1" hidden="1" x14ac:dyDescent="0.25">
      <c r="A210" s="118">
        <v>46</v>
      </c>
      <c r="B210" s="151">
        <v>1320</v>
      </c>
      <c r="C210" s="94" t="s">
        <v>345</v>
      </c>
      <c r="D210" s="122"/>
      <c r="E210" s="98"/>
      <c r="F210" s="98">
        <v>0</v>
      </c>
      <c r="G210" s="98"/>
      <c r="H210" s="98"/>
      <c r="I210" s="98"/>
    </row>
    <row r="211" spans="1:9" s="285" customFormat="1" hidden="1" x14ac:dyDescent="0.25">
      <c r="A211" s="118">
        <v>46</v>
      </c>
      <c r="B211" s="151">
        <v>1315</v>
      </c>
      <c r="C211" s="94" t="s">
        <v>346</v>
      </c>
      <c r="D211" s="122"/>
      <c r="E211" s="108"/>
      <c r="F211" s="98">
        <v>0</v>
      </c>
      <c r="G211" s="98"/>
      <c r="H211" s="98"/>
      <c r="I211" s="108"/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>SUM(E208:E211)</f>
        <v>0</v>
      </c>
      <c r="F212" s="99">
        <v>0</v>
      </c>
      <c r="G212" s="99"/>
      <c r="H212" s="99"/>
      <c r="I212" s="99"/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46</v>
      </c>
      <c r="B214" s="151">
        <v>1400</v>
      </c>
      <c r="C214" s="94" t="s">
        <v>68</v>
      </c>
      <c r="D214" s="122"/>
      <c r="E214" s="108"/>
      <c r="F214" s="98"/>
      <c r="G214" s="98"/>
      <c r="H214" s="98"/>
      <c r="I214" s="108"/>
    </row>
    <row r="215" spans="1:9" s="285" customFormat="1" hidden="1" x14ac:dyDescent="0.25">
      <c r="A215" s="118">
        <v>46</v>
      </c>
      <c r="B215" s="151">
        <v>1405</v>
      </c>
      <c r="C215" s="94" t="s">
        <v>69</v>
      </c>
      <c r="D215" s="122"/>
      <c r="E215" s="108"/>
      <c r="F215" s="98"/>
      <c r="G215" s="98"/>
      <c r="H215" s="98"/>
      <c r="I215" s="108"/>
    </row>
    <row r="216" spans="1:9" s="285" customFormat="1" hidden="1" x14ac:dyDescent="0.25">
      <c r="A216" s="344"/>
      <c r="B216" s="151"/>
      <c r="C216" s="94"/>
      <c r="D216" s="99">
        <f t="shared" ref="D216:E216" si="128">SUM(D214:D215)</f>
        <v>0</v>
      </c>
      <c r="E216" s="99">
        <f t="shared" si="128"/>
        <v>0</v>
      </c>
      <c r="F216" s="99">
        <v>0</v>
      </c>
      <c r="G216" s="99"/>
      <c r="H216" s="99"/>
      <c r="I216" s="99"/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46</v>
      </c>
      <c r="B218" s="151">
        <v>1500</v>
      </c>
      <c r="C218" s="94" t="s">
        <v>106</v>
      </c>
      <c r="D218" s="122"/>
      <c r="E218" s="108"/>
      <c r="F218" s="98"/>
      <c r="G218" s="98"/>
      <c r="H218" s="98"/>
      <c r="I218" s="108"/>
    </row>
    <row r="219" spans="1:9" s="285" customFormat="1" hidden="1" x14ac:dyDescent="0.25">
      <c r="A219" s="118">
        <v>46</v>
      </c>
      <c r="B219" s="151">
        <v>1505</v>
      </c>
      <c r="C219" s="94" t="s">
        <v>71</v>
      </c>
      <c r="D219" s="122"/>
      <c r="E219" s="108"/>
      <c r="F219" s="98"/>
      <c r="G219" s="98"/>
      <c r="H219" s="98"/>
      <c r="I219" s="108"/>
    </row>
    <row r="220" spans="1:9" s="285" customFormat="1" hidden="1" x14ac:dyDescent="0.25">
      <c r="A220" s="118">
        <v>46</v>
      </c>
      <c r="B220" s="151">
        <v>1510</v>
      </c>
      <c r="C220" s="94" t="s">
        <v>72</v>
      </c>
      <c r="D220" s="122"/>
      <c r="E220" s="108"/>
      <c r="F220" s="98"/>
      <c r="G220" s="98"/>
      <c r="H220" s="98"/>
      <c r="I220" s="108"/>
    </row>
    <row r="221" spans="1:9" s="285" customFormat="1" hidden="1" x14ac:dyDescent="0.25">
      <c r="A221" s="344"/>
      <c r="B221" s="151"/>
      <c r="C221" s="94"/>
      <c r="D221" s="99">
        <f t="shared" ref="D221:E221" si="129">SUM(D218:D220)</f>
        <v>0</v>
      </c>
      <c r="E221" s="99">
        <f t="shared" si="129"/>
        <v>0</v>
      </c>
      <c r="F221" s="99">
        <v>0</v>
      </c>
      <c r="G221" s="99"/>
      <c r="H221" s="99"/>
      <c r="I221" s="99"/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46</v>
      </c>
      <c r="B223" s="151">
        <v>1550</v>
      </c>
      <c r="C223" s="94" t="s">
        <v>349</v>
      </c>
      <c r="D223" s="122"/>
      <c r="E223" s="98"/>
      <c r="F223" s="98"/>
      <c r="G223" s="98"/>
      <c r="H223" s="98"/>
      <c r="I223" s="98"/>
    </row>
    <row r="224" spans="1:9" s="285" customFormat="1" hidden="1" x14ac:dyDescent="0.25">
      <c r="A224" s="118">
        <v>46</v>
      </c>
      <c r="B224" s="151">
        <v>1555</v>
      </c>
      <c r="C224" s="94" t="s">
        <v>348</v>
      </c>
      <c r="D224" s="122"/>
      <c r="E224" s="98"/>
      <c r="F224" s="98"/>
      <c r="G224" s="98"/>
      <c r="H224" s="98"/>
      <c r="I224" s="108"/>
    </row>
    <row r="225" spans="1:9" s="285" customFormat="1" hidden="1" x14ac:dyDescent="0.25">
      <c r="A225" s="344"/>
      <c r="B225" s="151"/>
      <c r="C225" s="94"/>
      <c r="D225" s="100">
        <f t="shared" ref="D225:E225" si="130">SUM(D223:D224)</f>
        <v>0</v>
      </c>
      <c r="E225" s="100">
        <f t="shared" si="130"/>
        <v>0</v>
      </c>
      <c r="F225" s="100">
        <v>0</v>
      </c>
      <c r="G225" s="100"/>
      <c r="H225" s="100"/>
      <c r="I225" s="100"/>
    </row>
    <row r="226" spans="1:9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hidden="1" x14ac:dyDescent="0.25">
      <c r="A227" s="118">
        <v>46</v>
      </c>
      <c r="B227" s="151">
        <v>1605</v>
      </c>
      <c r="C227" s="94" t="s">
        <v>75</v>
      </c>
      <c r="D227" s="122"/>
      <c r="E227" s="98"/>
      <c r="F227" s="98"/>
      <c r="G227" s="98"/>
      <c r="H227" s="98"/>
      <c r="I227" s="98"/>
    </row>
    <row r="228" spans="1:9" s="285" customFormat="1" hidden="1" x14ac:dyDescent="0.25">
      <c r="A228" s="118">
        <v>46</v>
      </c>
      <c r="B228" s="151">
        <v>1610</v>
      </c>
      <c r="C228" s="94" t="s">
        <v>131</v>
      </c>
      <c r="D228" s="122"/>
      <c r="E228" s="108"/>
      <c r="F228" s="98"/>
      <c r="G228" s="98"/>
      <c r="H228" s="98"/>
      <c r="I228" s="98"/>
    </row>
    <row r="229" spans="1:9" s="285" customFormat="1" hidden="1" x14ac:dyDescent="0.25">
      <c r="A229" s="118">
        <v>46</v>
      </c>
      <c r="B229" s="151">
        <v>1615</v>
      </c>
      <c r="C229" s="94" t="s">
        <v>182</v>
      </c>
      <c r="D229" s="122"/>
      <c r="E229" s="108"/>
      <c r="F229" s="98"/>
      <c r="G229" s="98"/>
      <c r="H229" s="98"/>
      <c r="I229" s="98"/>
    </row>
    <row r="230" spans="1:9" s="285" customFormat="1" hidden="1" x14ac:dyDescent="0.25">
      <c r="A230" s="118">
        <v>46</v>
      </c>
      <c r="B230" s="151">
        <v>1620</v>
      </c>
      <c r="C230" s="94" t="s">
        <v>255</v>
      </c>
      <c r="D230" s="122"/>
      <c r="E230" s="108"/>
      <c r="F230" s="98"/>
      <c r="G230" s="98"/>
      <c r="H230" s="98"/>
      <c r="I230" s="98"/>
    </row>
    <row r="231" spans="1:9" s="285" customFormat="1" hidden="1" x14ac:dyDescent="0.25">
      <c r="A231" s="118">
        <v>46</v>
      </c>
      <c r="B231" s="151">
        <v>1625</v>
      </c>
      <c r="C231" s="94" t="s">
        <v>108</v>
      </c>
      <c r="D231" s="122"/>
      <c r="E231" s="108"/>
      <c r="F231" s="98"/>
      <c r="G231" s="98"/>
      <c r="H231" s="98"/>
      <c r="I231" s="98"/>
    </row>
    <row r="232" spans="1:9" s="285" customFormat="1" hidden="1" x14ac:dyDescent="0.25">
      <c r="A232" s="118">
        <v>46</v>
      </c>
      <c r="B232" s="151">
        <v>1630</v>
      </c>
      <c r="C232" s="94" t="s">
        <v>76</v>
      </c>
      <c r="D232" s="122"/>
      <c r="E232" s="108"/>
      <c r="F232" s="98"/>
      <c r="G232" s="98"/>
      <c r="H232" s="98"/>
      <c r="I232" s="98"/>
    </row>
    <row r="233" spans="1:9" s="285" customFormat="1" hidden="1" x14ac:dyDescent="0.25">
      <c r="A233" s="118">
        <v>46</v>
      </c>
      <c r="B233" s="151">
        <v>1635</v>
      </c>
      <c r="C233" s="94" t="s">
        <v>180</v>
      </c>
      <c r="D233" s="122"/>
      <c r="E233" s="108"/>
      <c r="F233" s="98"/>
      <c r="G233" s="98"/>
      <c r="H233" s="98"/>
      <c r="I233" s="98"/>
    </row>
    <row r="234" spans="1:9" s="285" customFormat="1" hidden="1" x14ac:dyDescent="0.25">
      <c r="A234" s="118">
        <v>46</v>
      </c>
      <c r="B234" s="151">
        <v>1640</v>
      </c>
      <c r="C234" s="94" t="s">
        <v>184</v>
      </c>
      <c r="D234" s="122"/>
      <c r="E234" s="108"/>
      <c r="F234" s="98"/>
      <c r="G234" s="98"/>
      <c r="H234" s="98"/>
      <c r="I234" s="98"/>
    </row>
    <row r="235" spans="1:9" s="285" customFormat="1" hidden="1" x14ac:dyDescent="0.25">
      <c r="A235" s="118">
        <v>46</v>
      </c>
      <c r="B235" s="151">
        <v>1645</v>
      </c>
      <c r="C235" s="94" t="s">
        <v>77</v>
      </c>
      <c r="D235" s="122"/>
      <c r="E235" s="108"/>
      <c r="F235" s="98"/>
      <c r="G235" s="98"/>
      <c r="H235" s="98"/>
      <c r="I235" s="98"/>
    </row>
    <row r="236" spans="1:9" s="285" customFormat="1" x14ac:dyDescent="0.25">
      <c r="A236" s="118">
        <v>46</v>
      </c>
      <c r="B236" s="151">
        <v>1650</v>
      </c>
      <c r="C236" s="94" t="s">
        <v>78</v>
      </c>
      <c r="D236" s="122">
        <f>10741000+12836000</f>
        <v>23577000</v>
      </c>
      <c r="E236" s="108">
        <v>34921000</v>
      </c>
      <c r="F236" s="85">
        <v>34921000</v>
      </c>
      <c r="G236" s="85">
        <v>28731000</v>
      </c>
      <c r="H236" s="108">
        <v>23924000</v>
      </c>
      <c r="I236" s="85">
        <v>24837000</v>
      </c>
    </row>
    <row r="237" spans="1:9" s="285" customFormat="1" hidden="1" x14ac:dyDescent="0.25">
      <c r="A237" s="118">
        <v>46</v>
      </c>
      <c r="B237" s="151"/>
      <c r="C237" s="94" t="s">
        <v>200</v>
      </c>
      <c r="D237" s="122"/>
      <c r="E237" s="108"/>
      <c r="F237" s="85">
        <v>0</v>
      </c>
      <c r="G237" s="86"/>
      <c r="H237" s="98"/>
      <c r="I237" s="85"/>
    </row>
    <row r="238" spans="1:9" s="285" customFormat="1" x14ac:dyDescent="0.25">
      <c r="A238" s="118">
        <v>46</v>
      </c>
      <c r="B238" s="151">
        <v>1660</v>
      </c>
      <c r="C238" s="94" t="s">
        <v>505</v>
      </c>
      <c r="D238" s="122">
        <v>700000</v>
      </c>
      <c r="E238" s="108">
        <v>1000000</v>
      </c>
      <c r="F238" s="85">
        <v>1000000</v>
      </c>
      <c r="G238" s="86">
        <v>1023000</v>
      </c>
      <c r="H238" s="98"/>
      <c r="I238" s="85"/>
    </row>
    <row r="239" spans="1:9" s="285" customFormat="1" hidden="1" x14ac:dyDescent="0.25">
      <c r="A239" s="118">
        <v>46</v>
      </c>
      <c r="B239" s="151">
        <v>1665</v>
      </c>
      <c r="C239" s="94" t="s">
        <v>496</v>
      </c>
      <c r="D239" s="122"/>
      <c r="E239" s="108"/>
      <c r="F239" s="98"/>
      <c r="G239" s="98"/>
      <c r="H239" s="98"/>
      <c r="I239" s="98"/>
    </row>
    <row r="240" spans="1:9" s="285" customFormat="1" x14ac:dyDescent="0.25">
      <c r="A240" s="344"/>
      <c r="B240" s="151"/>
      <c r="C240" s="94"/>
      <c r="D240" s="99">
        <f>SUM(D227:D236)</f>
        <v>23577000</v>
      </c>
      <c r="E240" s="99">
        <f t="shared" ref="E240" si="131">SUM(E227:E239)</f>
        <v>35921000</v>
      </c>
      <c r="F240" s="99">
        <v>35921000</v>
      </c>
      <c r="G240" s="99"/>
      <c r="H240" s="99"/>
      <c r="I240" s="99"/>
    </row>
    <row r="241" spans="1:9" s="285" customFormat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46</v>
      </c>
      <c r="B242" s="151">
        <v>1705</v>
      </c>
      <c r="C242" s="94" t="s">
        <v>123</v>
      </c>
      <c r="D242" s="122"/>
      <c r="E242" s="98"/>
      <c r="F242" s="98"/>
      <c r="G242" s="98"/>
      <c r="H242" s="98"/>
      <c r="I242" s="98"/>
    </row>
    <row r="243" spans="1:9" s="285" customFormat="1" hidden="1" x14ac:dyDescent="0.25">
      <c r="A243" s="118">
        <v>46</v>
      </c>
      <c r="B243" s="151">
        <v>1710</v>
      </c>
      <c r="C243" s="94" t="s">
        <v>242</v>
      </c>
      <c r="D243" s="122"/>
      <c r="E243" s="98"/>
      <c r="F243" s="98"/>
      <c r="G243" s="98"/>
      <c r="H243" s="98"/>
      <c r="I243" s="98"/>
    </row>
    <row r="244" spans="1:9" s="285" customFormat="1" hidden="1" x14ac:dyDescent="0.25">
      <c r="A244" s="118">
        <v>46</v>
      </c>
      <c r="B244" s="151">
        <v>1715</v>
      </c>
      <c r="C244" s="94" t="s">
        <v>183</v>
      </c>
      <c r="D244" s="122"/>
      <c r="E244" s="98"/>
      <c r="F244" s="98"/>
      <c r="G244" s="98"/>
      <c r="H244" s="98"/>
      <c r="I244" s="98"/>
    </row>
    <row r="245" spans="1:9" s="285" customFormat="1" x14ac:dyDescent="0.25">
      <c r="A245" s="118">
        <v>46</v>
      </c>
      <c r="B245" s="151">
        <v>1720</v>
      </c>
      <c r="C245" s="94" t="s">
        <v>103</v>
      </c>
      <c r="D245" s="122"/>
      <c r="E245" s="98"/>
      <c r="F245" s="98"/>
      <c r="G245" s="98"/>
      <c r="H245" s="98"/>
      <c r="I245" s="98"/>
    </row>
    <row r="246" spans="1:9" s="285" customFormat="1" hidden="1" x14ac:dyDescent="0.25">
      <c r="A246" s="118">
        <v>46</v>
      </c>
      <c r="B246" s="151">
        <v>1725</v>
      </c>
      <c r="C246" s="94" t="s">
        <v>107</v>
      </c>
      <c r="D246" s="122"/>
      <c r="E246" s="98"/>
      <c r="F246" s="98"/>
      <c r="G246" s="98"/>
      <c r="H246" s="98"/>
      <c r="I246" s="98"/>
    </row>
    <row r="247" spans="1:9" s="285" customFormat="1" hidden="1" x14ac:dyDescent="0.25">
      <c r="A247" s="118">
        <v>46</v>
      </c>
      <c r="B247" s="151">
        <v>1730</v>
      </c>
      <c r="C247" s="94" t="s">
        <v>256</v>
      </c>
      <c r="D247" s="122"/>
      <c r="E247" s="98"/>
      <c r="F247" s="98"/>
      <c r="G247" s="98"/>
      <c r="H247" s="98"/>
      <c r="I247" s="98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" si="132">SUM(E242:E247)</f>
        <v>0</v>
      </c>
      <c r="F248" s="99">
        <v>0</v>
      </c>
      <c r="G248" s="99"/>
      <c r="H248" s="99"/>
      <c r="I248" s="99"/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46</v>
      </c>
      <c r="B250" s="151">
        <v>1805</v>
      </c>
      <c r="C250" s="94" t="s">
        <v>81</v>
      </c>
      <c r="D250" s="122"/>
      <c r="E250" s="108"/>
      <c r="F250" s="98"/>
      <c r="G250" s="98"/>
      <c r="H250" s="98"/>
      <c r="I250" s="108"/>
    </row>
    <row r="251" spans="1:9" s="285" customFormat="1" hidden="1" x14ac:dyDescent="0.25">
      <c r="A251" s="344"/>
      <c r="B251" s="151"/>
      <c r="C251" s="94"/>
      <c r="D251" s="99">
        <f t="shared" ref="D251:E251" si="133">D250</f>
        <v>0</v>
      </c>
      <c r="E251" s="99">
        <f t="shared" si="133"/>
        <v>0</v>
      </c>
      <c r="F251" s="99">
        <v>0</v>
      </c>
      <c r="G251" s="99"/>
      <c r="H251" s="99"/>
      <c r="I251" s="99"/>
    </row>
    <row r="252" spans="1:9" s="285" customFormat="1" x14ac:dyDescent="0.25">
      <c r="A252" s="344"/>
      <c r="B252" s="346"/>
      <c r="C252" s="93" t="s">
        <v>192</v>
      </c>
      <c r="D252" s="117">
        <f t="shared" ref="D252:E252" si="134">SUM(D171:D251)/2</f>
        <v>23991819</v>
      </c>
      <c r="E252" s="117">
        <f t="shared" si="134"/>
        <v>35562576</v>
      </c>
      <c r="F252" s="117">
        <v>35622576</v>
      </c>
      <c r="G252" s="449">
        <v>35622576</v>
      </c>
      <c r="H252" s="449">
        <v>35622576</v>
      </c>
      <c r="I252" s="449">
        <v>35622576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449"/>
      <c r="H253" s="449"/>
      <c r="I253" s="449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52"/>
      <c r="H254" s="452"/>
      <c r="I254" s="452"/>
    </row>
    <row r="255" spans="1:9" s="285" customFormat="1" hidden="1" x14ac:dyDescent="0.25">
      <c r="A255" s="118">
        <v>46</v>
      </c>
      <c r="B255" s="151">
        <v>1905</v>
      </c>
      <c r="C255" s="118" t="s">
        <v>194</v>
      </c>
      <c r="D255" s="127"/>
      <c r="E255" s="147"/>
      <c r="F255" s="98"/>
      <c r="G255" s="442"/>
      <c r="H255" s="442"/>
      <c r="I255" s="442"/>
    </row>
    <row r="256" spans="1:9" s="285" customFormat="1" hidden="1" x14ac:dyDescent="0.25">
      <c r="A256" s="344"/>
      <c r="B256" s="151"/>
      <c r="C256" s="94"/>
      <c r="D256" s="117">
        <f t="shared" ref="D256:E256" si="135">SUM(D255)</f>
        <v>0</v>
      </c>
      <c r="E256" s="117">
        <f t="shared" si="135"/>
        <v>0</v>
      </c>
      <c r="F256" s="117">
        <v>0</v>
      </c>
      <c r="G256" s="449">
        <v>0</v>
      </c>
      <c r="H256" s="449">
        <v>0</v>
      </c>
      <c r="I256" s="449"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E257" si="136">D252+D256</f>
        <v>23991819</v>
      </c>
      <c r="E257" s="117">
        <f t="shared" si="136"/>
        <v>35562576</v>
      </c>
      <c r="F257" s="117">
        <v>35622576</v>
      </c>
      <c r="G257" s="449">
        <v>35622576</v>
      </c>
      <c r="H257" s="449">
        <v>35622576</v>
      </c>
      <c r="I257" s="449">
        <v>35622576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53"/>
      <c r="H258" s="453"/>
      <c r="I258" s="453"/>
    </row>
    <row r="259" spans="1:9" s="285" customFormat="1" hidden="1" x14ac:dyDescent="0.25">
      <c r="A259" s="118">
        <v>46</v>
      </c>
      <c r="B259" s="151">
        <v>1950</v>
      </c>
      <c r="C259" s="118" t="s">
        <v>196</v>
      </c>
      <c r="D259" s="127"/>
      <c r="E259" s="147"/>
      <c r="F259" s="98"/>
      <c r="G259" s="442"/>
      <c r="H259" s="442"/>
      <c r="I259" s="442"/>
    </row>
    <row r="260" spans="1:9" s="285" customFormat="1" hidden="1" x14ac:dyDescent="0.25">
      <c r="A260" s="344"/>
      <c r="B260" s="346"/>
      <c r="C260" s="94"/>
      <c r="D260" s="124">
        <f t="shared" ref="D260:E260" si="137">D259</f>
        <v>0</v>
      </c>
      <c r="E260" s="124">
        <f t="shared" si="137"/>
        <v>0</v>
      </c>
      <c r="F260" s="124">
        <v>0</v>
      </c>
      <c r="G260" s="452">
        <v>0</v>
      </c>
      <c r="H260" s="452">
        <v>0</v>
      </c>
      <c r="I260" s="452"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E261" si="138">D257+D260</f>
        <v>23991819</v>
      </c>
      <c r="E261" s="160">
        <f t="shared" si="138"/>
        <v>35562576</v>
      </c>
      <c r="F261" s="160">
        <v>35622576</v>
      </c>
      <c r="G261" s="463">
        <v>35622576</v>
      </c>
      <c r="H261" s="463">
        <v>35622576</v>
      </c>
      <c r="I261" s="463">
        <v>35622576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E262" si="139">D261-D165</f>
        <v>17559911.109999999</v>
      </c>
      <c r="E262" s="161">
        <f t="shared" si="139"/>
        <v>16939363.245000001</v>
      </c>
      <c r="F262" s="161">
        <v>21429369.649999999</v>
      </c>
      <c r="G262" s="464">
        <v>21429369.649999999</v>
      </c>
      <c r="H262" s="464">
        <v>21429369.649999999</v>
      </c>
      <c r="I262" s="464">
        <v>21429369.649999999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5" spans="1:9" s="285" customFormat="1" x14ac:dyDescent="0.25">
      <c r="B265" s="352"/>
    </row>
    <row r="266" spans="1:9" s="285" customFormat="1" x14ac:dyDescent="0.25">
      <c r="B266" s="352"/>
      <c r="E266" s="128"/>
      <c r="F266" s="128"/>
      <c r="G266" s="128"/>
      <c r="H266" s="128"/>
    </row>
    <row r="267" spans="1:9" s="285" customFormat="1" x14ac:dyDescent="0.25">
      <c r="B267" s="352"/>
      <c r="E267" s="128"/>
      <c r="F267" s="128"/>
      <c r="G267" s="128"/>
      <c r="H267" s="128"/>
      <c r="I267" s="355"/>
    </row>
    <row r="268" spans="1:9" s="285" customFormat="1" x14ac:dyDescent="0.25">
      <c r="B268" s="352"/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55118110236220474" right="0.74803149606299213" top="0.98425196850393704" bottom="0.98425196850393704" header="0.51181102362204722" footer="0.51181102362204722"/>
  <pageSetup scale="3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68"/>
  <sheetViews>
    <sheetView view="pageBreakPreview" topLeftCell="A140" zoomScaleSheetLayoutView="100" workbookViewId="0">
      <selection activeCell="G156" sqref="G156:I156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7" width="16.33203125" style="96" customWidth="1"/>
    <col min="8" max="9" width="12.88671875" style="96" customWidth="1"/>
    <col min="10" max="16384" width="9.109375" style="96"/>
  </cols>
  <sheetData>
    <row r="1" spans="1:9" ht="12.75" customHeight="1" x14ac:dyDescent="0.25">
      <c r="A1" s="699" t="s">
        <v>366</v>
      </c>
      <c r="B1" s="700"/>
      <c r="C1" s="700"/>
      <c r="D1" s="700"/>
      <c r="E1" s="700"/>
      <c r="F1" s="700"/>
      <c r="G1" s="700"/>
      <c r="H1" s="700"/>
      <c r="I1" s="700"/>
    </row>
    <row r="2" spans="1:9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x14ac:dyDescent="0.25">
      <c r="A3" s="703" t="s">
        <v>417</v>
      </c>
      <c r="B3" s="704"/>
      <c r="C3" s="705"/>
      <c r="D3" s="149"/>
      <c r="E3" s="102"/>
      <c r="F3" s="102"/>
      <c r="G3" s="424"/>
      <c r="H3" s="276"/>
      <c r="I3" s="276"/>
    </row>
    <row r="4" spans="1:9" x14ac:dyDescent="0.25">
      <c r="A4" s="706" t="s">
        <v>21</v>
      </c>
      <c r="B4" s="707"/>
      <c r="C4" s="150" t="s">
        <v>22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x14ac:dyDescent="0.25">
      <c r="A5" s="708"/>
      <c r="B5" s="709"/>
      <c r="C5" s="106"/>
      <c r="D5" s="333">
        <v>41639</v>
      </c>
      <c r="E5" s="107" t="s">
        <v>384</v>
      </c>
      <c r="F5" s="107" t="s">
        <v>384</v>
      </c>
      <c r="G5" s="107" t="s">
        <v>409</v>
      </c>
      <c r="H5" s="107" t="s">
        <v>416</v>
      </c>
      <c r="I5" s="107" t="s">
        <v>532</v>
      </c>
    </row>
    <row r="6" spans="1:9" x14ac:dyDescent="0.25">
      <c r="A6" s="129"/>
      <c r="B6" s="151"/>
      <c r="C6" s="93" t="s">
        <v>33</v>
      </c>
      <c r="D6" s="85"/>
      <c r="E6" s="85"/>
      <c r="F6" s="85"/>
      <c r="G6" s="85"/>
      <c r="H6" s="85"/>
      <c r="I6" s="85"/>
    </row>
    <row r="7" spans="1:9" x14ac:dyDescent="0.25">
      <c r="A7" s="118">
        <v>48</v>
      </c>
      <c r="B7" s="155">
        <v>5005</v>
      </c>
      <c r="C7" s="94" t="s">
        <v>241</v>
      </c>
      <c r="D7" s="85">
        <f>120*6</f>
        <v>720</v>
      </c>
      <c r="E7" s="85">
        <v>1600</v>
      </c>
      <c r="F7" s="85">
        <v>1600</v>
      </c>
      <c r="G7" s="435">
        <f t="shared" ref="G7:I17" si="0">(F7*0.068)+F7</f>
        <v>1708.8</v>
      </c>
      <c r="H7" s="435">
        <f t="shared" si="0"/>
        <v>1824.9983999999999</v>
      </c>
      <c r="I7" s="435">
        <f t="shared" si="0"/>
        <v>1949.0982911999999</v>
      </c>
    </row>
    <row r="8" spans="1:9" hidden="1" x14ac:dyDescent="0.25">
      <c r="A8" s="118">
        <v>48</v>
      </c>
      <c r="B8" s="151">
        <v>5010</v>
      </c>
      <c r="C8" s="94" t="s">
        <v>34</v>
      </c>
      <c r="D8" s="85"/>
      <c r="E8" s="85"/>
      <c r="F8" s="85"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x14ac:dyDescent="0.25">
      <c r="A9" s="118">
        <v>48</v>
      </c>
      <c r="B9" s="151">
        <v>5015</v>
      </c>
      <c r="C9" s="94" t="s">
        <v>35</v>
      </c>
      <c r="D9" s="85"/>
      <c r="E9" s="85"/>
      <c r="F9" s="85">
        <v>0</v>
      </c>
      <c r="G9" s="435">
        <f t="shared" si="0"/>
        <v>0</v>
      </c>
      <c r="H9" s="435">
        <f t="shared" si="0"/>
        <v>0</v>
      </c>
      <c r="I9" s="435">
        <f t="shared" si="0"/>
        <v>0</v>
      </c>
    </row>
    <row r="10" spans="1:9" x14ac:dyDescent="0.25">
      <c r="A10" s="118">
        <v>48</v>
      </c>
      <c r="B10" s="151">
        <v>5020</v>
      </c>
      <c r="C10" s="94" t="s">
        <v>350</v>
      </c>
      <c r="D10" s="85">
        <f>5000*6</f>
        <v>30000</v>
      </c>
      <c r="E10" s="85"/>
      <c r="F10" s="85"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hidden="1" x14ac:dyDescent="0.25">
      <c r="A11" s="118">
        <v>48</v>
      </c>
      <c r="B11" s="151">
        <v>5025</v>
      </c>
      <c r="C11" s="94" t="s">
        <v>36</v>
      </c>
      <c r="D11" s="85"/>
      <c r="E11" s="85"/>
      <c r="F11" s="85"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x14ac:dyDescent="0.25">
      <c r="A12" s="118">
        <v>48</v>
      </c>
      <c r="B12" s="151">
        <v>5030</v>
      </c>
      <c r="C12" s="94" t="s">
        <v>85</v>
      </c>
      <c r="D12" s="85">
        <v>22230</v>
      </c>
      <c r="E12" s="85">
        <v>62000</v>
      </c>
      <c r="F12" s="85">
        <v>62000</v>
      </c>
      <c r="G12" s="435">
        <f t="shared" si="0"/>
        <v>66216</v>
      </c>
      <c r="H12" s="435">
        <f t="shared" si="0"/>
        <v>70718.687999999995</v>
      </c>
      <c r="I12" s="435">
        <f t="shared" si="0"/>
        <v>75527.558783999993</v>
      </c>
    </row>
    <row r="13" spans="1:9" hidden="1" x14ac:dyDescent="0.25">
      <c r="A13" s="118">
        <v>48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x14ac:dyDescent="0.25">
      <c r="A14" s="118">
        <v>48</v>
      </c>
      <c r="B14" s="151">
        <v>5040</v>
      </c>
      <c r="C14" s="94" t="s">
        <v>37</v>
      </c>
      <c r="D14" s="85">
        <v>76615</v>
      </c>
      <c r="E14" s="85">
        <v>140000</v>
      </c>
      <c r="F14" s="85">
        <v>140000</v>
      </c>
      <c r="G14" s="435">
        <f t="shared" si="0"/>
        <v>149520</v>
      </c>
      <c r="H14" s="435">
        <f t="shared" si="0"/>
        <v>159687.35999999999</v>
      </c>
      <c r="I14" s="435">
        <f t="shared" si="0"/>
        <v>170546.10047999999</v>
      </c>
    </row>
    <row r="15" spans="1:9" hidden="1" x14ac:dyDescent="0.25">
      <c r="A15" s="118">
        <v>48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x14ac:dyDescent="0.25">
      <c r="A16" s="118">
        <v>48</v>
      </c>
      <c r="B16" s="151">
        <v>5050</v>
      </c>
      <c r="C16" s="94" t="s">
        <v>83</v>
      </c>
      <c r="D16" s="85">
        <v>146497</v>
      </c>
      <c r="E16" s="85">
        <v>236000</v>
      </c>
      <c r="F16" s="85">
        <v>236000</v>
      </c>
      <c r="G16" s="435">
        <f t="shared" si="0"/>
        <v>252048</v>
      </c>
      <c r="H16" s="435">
        <f t="shared" si="0"/>
        <v>269187.26400000002</v>
      </c>
      <c r="I16" s="435">
        <f t="shared" si="0"/>
        <v>287491.99795200001</v>
      </c>
    </row>
    <row r="17" spans="1:9" x14ac:dyDescent="0.25">
      <c r="A17" s="118">
        <v>48</v>
      </c>
      <c r="B17" s="151">
        <v>5055</v>
      </c>
      <c r="C17" s="94" t="s">
        <v>39</v>
      </c>
      <c r="D17" s="85">
        <f>193313*6</f>
        <v>1159878</v>
      </c>
      <c r="E17" s="85">
        <v>2850000</v>
      </c>
      <c r="F17" s="85">
        <v>2650000</v>
      </c>
      <c r="G17" s="435">
        <f t="shared" si="0"/>
        <v>2830200</v>
      </c>
      <c r="H17" s="435">
        <f t="shared" si="0"/>
        <v>3022653.6</v>
      </c>
      <c r="I17" s="435">
        <f t="shared" si="0"/>
        <v>3228194.0448000003</v>
      </c>
    </row>
    <row r="18" spans="1:9" x14ac:dyDescent="0.25">
      <c r="A18" s="129"/>
      <c r="B18" s="151"/>
      <c r="C18" s="94"/>
      <c r="D18" s="89">
        <f t="shared" ref="D18:E18" si="1">SUM(D7:D17)</f>
        <v>1435940</v>
      </c>
      <c r="E18" s="89">
        <f t="shared" si="1"/>
        <v>3289600</v>
      </c>
      <c r="F18" s="89">
        <v>3089600</v>
      </c>
      <c r="G18" s="89">
        <v>3089600</v>
      </c>
      <c r="H18" s="89">
        <v>3089600</v>
      </c>
      <c r="I18" s="89">
        <v>3089600</v>
      </c>
    </row>
    <row r="19" spans="1:9" x14ac:dyDescent="0.25">
      <c r="A19" s="129"/>
      <c r="B19" s="151"/>
      <c r="C19" s="93" t="s">
        <v>40</v>
      </c>
      <c r="D19" s="85"/>
      <c r="E19" s="86"/>
      <c r="F19" s="86"/>
      <c r="G19" s="86"/>
      <c r="H19" s="86"/>
      <c r="I19" s="86"/>
    </row>
    <row r="20" spans="1:9" s="285" customFormat="1" x14ac:dyDescent="0.25">
      <c r="A20" s="118">
        <v>48</v>
      </c>
      <c r="B20" s="151">
        <v>5105</v>
      </c>
      <c r="C20" s="94" t="s">
        <v>41</v>
      </c>
      <c r="D20" s="85">
        <f>13717*6</f>
        <v>82302</v>
      </c>
      <c r="E20" s="85">
        <v>38900</v>
      </c>
      <c r="F20" s="85">
        <v>38900</v>
      </c>
      <c r="G20" s="435">
        <f t="shared" ref="G20:I24" si="2">(F20*0.068)+F20</f>
        <v>41545.199999999997</v>
      </c>
      <c r="H20" s="435">
        <f t="shared" si="2"/>
        <v>44370.2736</v>
      </c>
      <c r="I20" s="435">
        <f t="shared" si="2"/>
        <v>47387.4522048</v>
      </c>
    </row>
    <row r="21" spans="1:9" s="285" customFormat="1" x14ac:dyDescent="0.25">
      <c r="A21" s="118">
        <v>48</v>
      </c>
      <c r="B21" s="151">
        <v>5115</v>
      </c>
      <c r="C21" s="94" t="s">
        <v>42</v>
      </c>
      <c r="D21" s="85">
        <f>24058*6</f>
        <v>144348</v>
      </c>
      <c r="E21" s="85">
        <v>295000</v>
      </c>
      <c r="F21" s="85">
        <v>295000</v>
      </c>
      <c r="G21" s="435">
        <f t="shared" si="2"/>
        <v>315060</v>
      </c>
      <c r="H21" s="435">
        <f t="shared" si="2"/>
        <v>336484.08</v>
      </c>
      <c r="I21" s="435">
        <f t="shared" si="2"/>
        <v>359364.99744000001</v>
      </c>
    </row>
    <row r="22" spans="1:9" s="285" customFormat="1" x14ac:dyDescent="0.25">
      <c r="A22" s="118">
        <v>48</v>
      </c>
      <c r="B22" s="151">
        <v>5120</v>
      </c>
      <c r="C22" s="94" t="s">
        <v>43</v>
      </c>
      <c r="D22" s="85">
        <f>13550*6</f>
        <v>81300</v>
      </c>
      <c r="E22" s="85">
        <v>128000</v>
      </c>
      <c r="F22" s="85">
        <v>128000</v>
      </c>
      <c r="G22" s="435">
        <f t="shared" si="2"/>
        <v>136704</v>
      </c>
      <c r="H22" s="435">
        <f t="shared" si="2"/>
        <v>145999.872</v>
      </c>
      <c r="I22" s="435">
        <f t="shared" si="2"/>
        <v>155927.863296</v>
      </c>
    </row>
    <row r="23" spans="1:9" s="285" customFormat="1" hidden="1" x14ac:dyDescent="0.25">
      <c r="A23" s="118">
        <v>48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9" s="285" customFormat="1" x14ac:dyDescent="0.25">
      <c r="A24" s="118">
        <v>48</v>
      </c>
      <c r="B24" s="151">
        <v>5130</v>
      </c>
      <c r="C24" s="94" t="s">
        <v>45</v>
      </c>
      <c r="D24" s="85">
        <f>2778*6</f>
        <v>16668</v>
      </c>
      <c r="E24" s="85">
        <v>39500</v>
      </c>
      <c r="F24" s="85">
        <v>39500</v>
      </c>
      <c r="G24" s="435">
        <f t="shared" si="2"/>
        <v>42186</v>
      </c>
      <c r="H24" s="435">
        <f t="shared" si="2"/>
        <v>45054.648000000001</v>
      </c>
      <c r="I24" s="435">
        <f t="shared" si="2"/>
        <v>48118.364064000001</v>
      </c>
    </row>
    <row r="25" spans="1:9" s="285" customFormat="1" x14ac:dyDescent="0.25">
      <c r="A25" s="344"/>
      <c r="B25" s="151"/>
      <c r="C25" s="94"/>
      <c r="D25" s="89">
        <f t="shared" ref="D25:E25" si="3">SUM(D20:D24)</f>
        <v>324618</v>
      </c>
      <c r="E25" s="89">
        <f t="shared" si="3"/>
        <v>501400</v>
      </c>
      <c r="F25" s="89">
        <v>501400</v>
      </c>
      <c r="G25" s="89">
        <v>501400</v>
      </c>
      <c r="H25" s="89">
        <v>501400</v>
      </c>
      <c r="I25" s="89">
        <v>501400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48</v>
      </c>
      <c r="B28" s="151">
        <v>5150</v>
      </c>
      <c r="C28" s="94" t="s">
        <v>48</v>
      </c>
      <c r="D28" s="85"/>
      <c r="E28" s="85"/>
      <c r="F28" s="85">
        <v>0</v>
      </c>
      <c r="G28" s="85"/>
      <c r="H28" s="85"/>
      <c r="I28" s="85"/>
    </row>
    <row r="29" spans="1:9" s="285" customFormat="1" hidden="1" x14ac:dyDescent="0.25">
      <c r="A29" s="344"/>
      <c r="B29" s="151"/>
      <c r="C29" s="94"/>
      <c r="D29" s="89">
        <f t="shared" ref="D29:E29" si="4">D28</f>
        <v>0</v>
      </c>
      <c r="E29" s="89">
        <f t="shared" si="4"/>
        <v>0</v>
      </c>
      <c r="F29" s="89">
        <v>0</v>
      </c>
      <c r="G29" s="89"/>
      <c r="H29" s="89"/>
      <c r="I29" s="89"/>
    </row>
    <row r="30" spans="1:9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x14ac:dyDescent="0.25">
      <c r="A31" s="118">
        <v>48</v>
      </c>
      <c r="B31" s="151">
        <v>5170</v>
      </c>
      <c r="C31" s="94" t="s">
        <v>341</v>
      </c>
      <c r="D31" s="85"/>
      <c r="E31" s="85">
        <v>8576292.5999999996</v>
      </c>
      <c r="F31" s="85">
        <v>76292.599999999627</v>
      </c>
      <c r="G31" s="435">
        <v>8483535</v>
      </c>
      <c r="H31" s="85">
        <v>3670591</v>
      </c>
      <c r="I31" s="85">
        <v>1218655</v>
      </c>
    </row>
    <row r="32" spans="1:9" s="285" customFormat="1" x14ac:dyDescent="0.25">
      <c r="A32" s="344"/>
      <c r="B32" s="151"/>
      <c r="C32" s="94"/>
      <c r="D32" s="89">
        <f t="shared" ref="D32:E32" si="5">SUM(D31)</f>
        <v>0</v>
      </c>
      <c r="E32" s="89">
        <f t="shared" si="5"/>
        <v>8576292.5999999996</v>
      </c>
      <c r="F32" s="89">
        <v>76292.599999999627</v>
      </c>
      <c r="G32" s="436">
        <f>+G31</f>
        <v>8483535</v>
      </c>
      <c r="H32" s="89">
        <v>76292.599999999627</v>
      </c>
      <c r="I32" s="89">
        <v>76292.599999999627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48</v>
      </c>
      <c r="B34" s="151">
        <v>5180</v>
      </c>
      <c r="C34" s="94" t="s">
        <v>51</v>
      </c>
      <c r="D34" s="85"/>
      <c r="E34" s="108"/>
      <c r="F34" s="85"/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E35" si="6">SUM(D34)</f>
        <v>0</v>
      </c>
      <c r="E35" s="89">
        <f t="shared" si="6"/>
        <v>0</v>
      </c>
      <c r="F35" s="89">
        <v>0</v>
      </c>
      <c r="G35" s="89"/>
      <c r="H35" s="89"/>
      <c r="I35" s="89"/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48</v>
      </c>
      <c r="B37" s="151">
        <v>5190</v>
      </c>
      <c r="C37" s="94" t="s">
        <v>53</v>
      </c>
      <c r="D37" s="85"/>
      <c r="E37" s="85">
        <v>0</v>
      </c>
      <c r="F37" s="108"/>
      <c r="G37" s="108"/>
      <c r="H37" s="108"/>
      <c r="I37" s="85"/>
    </row>
    <row r="38" spans="1:9" s="285" customFormat="1" hidden="1" x14ac:dyDescent="0.25">
      <c r="A38" s="344"/>
      <c r="B38" s="151"/>
      <c r="C38" s="94"/>
      <c r="D38" s="89">
        <f t="shared" ref="D38:E38" si="7">D37</f>
        <v>0</v>
      </c>
      <c r="E38" s="89">
        <f t="shared" si="7"/>
        <v>0</v>
      </c>
      <c r="F38" s="89">
        <v>0</v>
      </c>
      <c r="G38" s="89"/>
      <c r="H38" s="89"/>
      <c r="I38" s="89"/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hidden="1" x14ac:dyDescent="0.25">
      <c r="A40" s="118">
        <v>48</v>
      </c>
      <c r="B40" s="151">
        <v>5200</v>
      </c>
      <c r="C40" s="94" t="s">
        <v>55</v>
      </c>
      <c r="D40" s="85"/>
      <c r="E40" s="108"/>
      <c r="F40" s="85">
        <v>0</v>
      </c>
      <c r="G40" s="85"/>
      <c r="H40" s="85"/>
      <c r="I40" s="85"/>
    </row>
    <row r="41" spans="1:9" s="285" customFormat="1" x14ac:dyDescent="0.25">
      <c r="A41" s="118">
        <v>48</v>
      </c>
      <c r="B41" s="151">
        <v>5205</v>
      </c>
      <c r="C41" s="94" t="s">
        <v>56</v>
      </c>
      <c r="D41" s="85">
        <v>739</v>
      </c>
      <c r="E41" s="85">
        <v>38000</v>
      </c>
      <c r="F41" s="85">
        <v>3000</v>
      </c>
      <c r="G41" s="85">
        <f t="shared" ref="G41:I41" si="8">(F41*10/100)+F41</f>
        <v>3300</v>
      </c>
      <c r="H41" s="85">
        <f t="shared" si="8"/>
        <v>3630</v>
      </c>
      <c r="I41" s="85">
        <f t="shared" si="8"/>
        <v>3993</v>
      </c>
    </row>
    <row r="42" spans="1:9" s="285" customFormat="1" hidden="1" x14ac:dyDescent="0.25">
      <c r="A42" s="118">
        <v>48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85">
        <f t="shared" ref="G42:I42" si="9">(F42*10/100)+F42</f>
        <v>0</v>
      </c>
      <c r="H42" s="85">
        <f t="shared" si="9"/>
        <v>0</v>
      </c>
      <c r="I42" s="85">
        <f t="shared" si="9"/>
        <v>0</v>
      </c>
    </row>
    <row r="43" spans="1:9" s="285" customFormat="1" x14ac:dyDescent="0.25">
      <c r="A43" s="118">
        <v>48</v>
      </c>
      <c r="B43" s="151">
        <v>5215</v>
      </c>
      <c r="C43" s="94" t="s">
        <v>186</v>
      </c>
      <c r="D43" s="85"/>
      <c r="E43" s="85">
        <v>85115.29</v>
      </c>
      <c r="F43" s="85">
        <v>85115.29</v>
      </c>
      <c r="G43" s="85">
        <f t="shared" ref="G43:I43" si="10">(F43*10/100)+F43</f>
        <v>93626.818999999989</v>
      </c>
      <c r="H43" s="85">
        <f t="shared" si="10"/>
        <v>102989.50089999998</v>
      </c>
      <c r="I43" s="85">
        <f t="shared" si="10"/>
        <v>113288.45098999998</v>
      </c>
    </row>
    <row r="44" spans="1:9" s="285" customFormat="1" hidden="1" x14ac:dyDescent="0.25">
      <c r="A44" s="118">
        <v>48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85">
        <f t="shared" ref="G44:I44" si="11">(F44*10/100)+F44</f>
        <v>0</v>
      </c>
      <c r="H44" s="85">
        <f t="shared" si="11"/>
        <v>0</v>
      </c>
      <c r="I44" s="85">
        <f t="shared" si="11"/>
        <v>0</v>
      </c>
    </row>
    <row r="45" spans="1:9" s="285" customFormat="1" hidden="1" x14ac:dyDescent="0.25">
      <c r="A45" s="118">
        <v>48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85">
        <f t="shared" ref="G45:I45" si="12">(F45*10/100)+F45</f>
        <v>0</v>
      </c>
      <c r="H45" s="85">
        <f t="shared" si="12"/>
        <v>0</v>
      </c>
      <c r="I45" s="85">
        <f t="shared" si="12"/>
        <v>0</v>
      </c>
    </row>
    <row r="46" spans="1:9" s="285" customFormat="1" x14ac:dyDescent="0.25">
      <c r="A46" s="118">
        <v>48</v>
      </c>
      <c r="B46" s="151">
        <v>5230</v>
      </c>
      <c r="C46" s="94" t="s">
        <v>86</v>
      </c>
      <c r="D46" s="85">
        <v>786493</v>
      </c>
      <c r="E46" s="85">
        <v>1100000</v>
      </c>
      <c r="F46" s="85">
        <v>1335000</v>
      </c>
      <c r="G46" s="85">
        <f t="shared" ref="G46:I46" si="13">(F46*10/100)+F46</f>
        <v>1468500</v>
      </c>
      <c r="H46" s="85">
        <f t="shared" si="13"/>
        <v>1615350</v>
      </c>
      <c r="I46" s="85">
        <f t="shared" si="13"/>
        <v>1776885</v>
      </c>
    </row>
    <row r="47" spans="1:9" s="285" customFormat="1" x14ac:dyDescent="0.25">
      <c r="A47" s="118">
        <v>48</v>
      </c>
      <c r="B47" s="151">
        <v>5235</v>
      </c>
      <c r="C47" s="94" t="s">
        <v>124</v>
      </c>
      <c r="D47" s="85">
        <v>379022</v>
      </c>
      <c r="E47" s="85">
        <v>1300000</v>
      </c>
      <c r="F47" s="85">
        <v>900000</v>
      </c>
      <c r="G47" s="85">
        <f t="shared" ref="G47:I47" si="14">(F47*10/100)+F47</f>
        <v>990000</v>
      </c>
      <c r="H47" s="85">
        <f t="shared" si="14"/>
        <v>1089000</v>
      </c>
      <c r="I47" s="85">
        <f t="shared" si="14"/>
        <v>1197900</v>
      </c>
    </row>
    <row r="48" spans="1:9" s="285" customFormat="1" hidden="1" x14ac:dyDescent="0.25">
      <c r="A48" s="118">
        <v>48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85">
        <f t="shared" ref="G48:I48" si="15">(F48*10/100)+F48</f>
        <v>0</v>
      </c>
      <c r="H48" s="85">
        <f t="shared" si="15"/>
        <v>0</v>
      </c>
      <c r="I48" s="85">
        <f t="shared" si="15"/>
        <v>0</v>
      </c>
    </row>
    <row r="49" spans="1:9" s="285" customFormat="1" x14ac:dyDescent="0.25">
      <c r="A49" s="118">
        <v>48</v>
      </c>
      <c r="B49" s="151">
        <v>5245</v>
      </c>
      <c r="C49" s="94" t="s">
        <v>547</v>
      </c>
      <c r="D49" s="85">
        <v>25794</v>
      </c>
      <c r="E49" s="85">
        <v>420000</v>
      </c>
      <c r="F49" s="85">
        <v>120000</v>
      </c>
      <c r="G49" s="85">
        <v>200000</v>
      </c>
      <c r="H49" s="85">
        <f t="shared" ref="H49:I49" si="16">(G49*10/100)+G49</f>
        <v>220000</v>
      </c>
      <c r="I49" s="85">
        <f t="shared" si="16"/>
        <v>242000</v>
      </c>
    </row>
    <row r="50" spans="1:9" s="285" customFormat="1" x14ac:dyDescent="0.25">
      <c r="A50" s="118">
        <v>48</v>
      </c>
      <c r="B50" s="151">
        <v>5250</v>
      </c>
      <c r="C50" s="94" t="s">
        <v>88</v>
      </c>
      <c r="D50" s="85">
        <v>713789</v>
      </c>
      <c r="E50" s="85">
        <v>670000</v>
      </c>
      <c r="F50" s="85">
        <v>870000</v>
      </c>
      <c r="G50" s="85">
        <f t="shared" ref="G50:I50" si="17">(F50*10/100)+F50</f>
        <v>957000</v>
      </c>
      <c r="H50" s="85">
        <f t="shared" si="17"/>
        <v>1052700</v>
      </c>
      <c r="I50" s="85">
        <f t="shared" si="17"/>
        <v>1157970</v>
      </c>
    </row>
    <row r="51" spans="1:9" s="285" customFormat="1" hidden="1" x14ac:dyDescent="0.25">
      <c r="A51" s="118">
        <v>48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85">
        <f t="shared" ref="G51:I51" si="18">(F51*10/100)+F51</f>
        <v>0</v>
      </c>
      <c r="H51" s="85">
        <f t="shared" si="18"/>
        <v>0</v>
      </c>
      <c r="I51" s="85">
        <f t="shared" si="18"/>
        <v>0</v>
      </c>
    </row>
    <row r="52" spans="1:9" s="285" customFormat="1" hidden="1" x14ac:dyDescent="0.25">
      <c r="A52" s="118">
        <v>48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85">
        <f t="shared" ref="G52:I52" si="19">(F52*10/100)+F52</f>
        <v>0</v>
      </c>
      <c r="H52" s="85">
        <f t="shared" si="19"/>
        <v>0</v>
      </c>
      <c r="I52" s="85">
        <f t="shared" si="19"/>
        <v>0</v>
      </c>
    </row>
    <row r="53" spans="1:9" s="285" customFormat="1" x14ac:dyDescent="0.25">
      <c r="A53" s="118">
        <v>48</v>
      </c>
      <c r="B53" s="151">
        <v>5265</v>
      </c>
      <c r="C53" s="94" t="s">
        <v>87</v>
      </c>
      <c r="D53" s="85">
        <v>276439</v>
      </c>
      <c r="E53" s="85">
        <v>470000</v>
      </c>
      <c r="F53" s="85">
        <v>370000</v>
      </c>
      <c r="G53" s="85">
        <f t="shared" ref="G53:I53" si="20">(F53*10/100)+F53</f>
        <v>407000</v>
      </c>
      <c r="H53" s="85">
        <f t="shared" si="20"/>
        <v>447700</v>
      </c>
      <c r="I53" s="85">
        <f t="shared" si="20"/>
        <v>492470</v>
      </c>
    </row>
    <row r="54" spans="1:9" s="285" customFormat="1" hidden="1" x14ac:dyDescent="0.25">
      <c r="A54" s="118">
        <v>48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85">
        <f t="shared" ref="G54:I54" si="21">(F54*10/100)+F54</f>
        <v>0</v>
      </c>
      <c r="H54" s="85">
        <f t="shared" si="21"/>
        <v>0</v>
      </c>
      <c r="I54" s="85">
        <f t="shared" si="21"/>
        <v>0</v>
      </c>
    </row>
    <row r="55" spans="1:9" s="285" customFormat="1" hidden="1" x14ac:dyDescent="0.25">
      <c r="A55" s="118">
        <v>48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85">
        <f t="shared" ref="G55:I55" si="22">(F55*10/100)+F55</f>
        <v>0</v>
      </c>
      <c r="H55" s="85">
        <f t="shared" si="22"/>
        <v>0</v>
      </c>
      <c r="I55" s="85">
        <f t="shared" si="22"/>
        <v>0</v>
      </c>
    </row>
    <row r="56" spans="1:9" s="285" customFormat="1" x14ac:dyDescent="0.25">
      <c r="A56" s="118">
        <v>48</v>
      </c>
      <c r="B56" s="151">
        <v>5280</v>
      </c>
      <c r="C56" s="94" t="s">
        <v>94</v>
      </c>
      <c r="D56" s="85">
        <v>328712</v>
      </c>
      <c r="E56" s="85">
        <v>450000</v>
      </c>
      <c r="F56" s="85">
        <v>450000</v>
      </c>
      <c r="G56" s="85">
        <f t="shared" ref="G56:I56" si="23">(F56*10/100)+F56</f>
        <v>495000</v>
      </c>
      <c r="H56" s="85">
        <f t="shared" si="23"/>
        <v>544500</v>
      </c>
      <c r="I56" s="85">
        <f t="shared" si="23"/>
        <v>598950</v>
      </c>
    </row>
    <row r="57" spans="1:9" s="285" customFormat="1" x14ac:dyDescent="0.25">
      <c r="A57" s="118">
        <v>48</v>
      </c>
      <c r="B57" s="151">
        <v>5285</v>
      </c>
      <c r="C57" s="94" t="s">
        <v>60</v>
      </c>
      <c r="D57" s="85">
        <f>23827+3000</f>
        <v>26827</v>
      </c>
      <c r="E57" s="85">
        <v>245000</v>
      </c>
      <c r="F57" s="85">
        <v>145000</v>
      </c>
      <c r="G57" s="85">
        <v>200000</v>
      </c>
      <c r="H57" s="85">
        <f t="shared" ref="H57:I57" si="24">(G57*10/100)+G57</f>
        <v>220000</v>
      </c>
      <c r="I57" s="85">
        <f t="shared" si="24"/>
        <v>242000</v>
      </c>
    </row>
    <row r="58" spans="1:9" s="285" customFormat="1" hidden="1" x14ac:dyDescent="0.25">
      <c r="A58" s="118">
        <v>48</v>
      </c>
      <c r="B58" s="151">
        <v>5290</v>
      </c>
      <c r="C58" s="94" t="s">
        <v>186</v>
      </c>
      <c r="D58" s="85"/>
      <c r="E58" s="108"/>
      <c r="F58" s="85">
        <v>0</v>
      </c>
      <c r="G58" s="85"/>
      <c r="H58" s="85"/>
      <c r="I58" s="85"/>
    </row>
    <row r="59" spans="1:9" s="285" customFormat="1" x14ac:dyDescent="0.25">
      <c r="A59" s="344"/>
      <c r="B59" s="151"/>
      <c r="C59" s="94"/>
      <c r="D59" s="110">
        <f t="shared" ref="D59:E59" si="25">SUM(D40:D58)</f>
        <v>2537815</v>
      </c>
      <c r="E59" s="110">
        <f t="shared" si="25"/>
        <v>4778115.29</v>
      </c>
      <c r="F59" s="110">
        <f>SUM(F40:F58)</f>
        <v>4278115.29</v>
      </c>
      <c r="G59" s="110">
        <f t="shared" ref="G59:I59" si="26">SUM(G40:G58)</f>
        <v>4814426.8190000001</v>
      </c>
      <c r="H59" s="110">
        <f t="shared" si="26"/>
        <v>5295869.5009000003</v>
      </c>
      <c r="I59" s="110">
        <f t="shared" si="26"/>
        <v>5825456.4509899998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48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</row>
    <row r="62" spans="1:9" s="285" customFormat="1" x14ac:dyDescent="0.25">
      <c r="A62" s="118">
        <v>48</v>
      </c>
      <c r="B62" s="151">
        <v>5405</v>
      </c>
      <c r="C62" s="94" t="s">
        <v>335</v>
      </c>
      <c r="D62" s="85">
        <f>[1]Sheet1!$D$617</f>
        <v>373255.86</v>
      </c>
      <c r="E62" s="108">
        <v>207858</v>
      </c>
      <c r="F62" s="85">
        <v>207858</v>
      </c>
      <c r="G62" s="85">
        <v>207858</v>
      </c>
      <c r="H62" s="85">
        <v>207858</v>
      </c>
      <c r="I62" s="85">
        <v>207858</v>
      </c>
    </row>
    <row r="63" spans="1:9" s="285" customFormat="1" x14ac:dyDescent="0.25">
      <c r="A63" s="344"/>
      <c r="B63" s="151"/>
      <c r="C63" s="94"/>
      <c r="D63" s="89">
        <f t="shared" ref="D63:E63" si="27">SUM(D61:D62)</f>
        <v>373255.86</v>
      </c>
      <c r="E63" s="89">
        <f t="shared" si="27"/>
        <v>207858</v>
      </c>
      <c r="F63" s="89">
        <v>207858</v>
      </c>
      <c r="G63" s="89">
        <v>207858</v>
      </c>
      <c r="H63" s="89">
        <v>207858</v>
      </c>
      <c r="I63" s="89">
        <v>207858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48</v>
      </c>
      <c r="B65" s="151">
        <v>5450</v>
      </c>
      <c r="C65" s="94" t="s">
        <v>351</v>
      </c>
      <c r="D65" s="85"/>
      <c r="E65" s="108"/>
      <c r="F65" s="85"/>
      <c r="G65" s="85"/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E66" si="28">D65</f>
        <v>0</v>
      </c>
      <c r="E66" s="89">
        <f t="shared" si="28"/>
        <v>0</v>
      </c>
      <c r="F66" s="89">
        <v>0</v>
      </c>
      <c r="G66" s="89"/>
      <c r="H66" s="89"/>
      <c r="I66" s="89"/>
    </row>
    <row r="67" spans="1:9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x14ac:dyDescent="0.25">
      <c r="A68" s="118">
        <v>48</v>
      </c>
      <c r="B68" s="151">
        <v>5470</v>
      </c>
      <c r="C68" s="94" t="s">
        <v>97</v>
      </c>
      <c r="D68" s="85"/>
      <c r="E68" s="86"/>
      <c r="F68" s="85">
        <v>0</v>
      </c>
      <c r="G68" s="85"/>
      <c r="H68" s="85"/>
      <c r="I68" s="85"/>
    </row>
    <row r="69" spans="1:9" s="285" customFormat="1" x14ac:dyDescent="0.25">
      <c r="A69" s="118">
        <v>48</v>
      </c>
      <c r="B69" s="151">
        <v>5475</v>
      </c>
      <c r="C69" s="94" t="s">
        <v>134</v>
      </c>
      <c r="D69" s="85">
        <v>1699357</v>
      </c>
      <c r="E69" s="85">
        <v>2162750</v>
      </c>
      <c r="F69" s="85">
        <v>3362750</v>
      </c>
      <c r="G69" s="85">
        <f t="shared" ref="G69:I69" si="29">(F69*10/100)+F69</f>
        <v>3699025</v>
      </c>
      <c r="H69" s="85">
        <f t="shared" si="29"/>
        <v>4068927.5</v>
      </c>
      <c r="I69" s="85">
        <f t="shared" si="29"/>
        <v>4475820.25</v>
      </c>
    </row>
    <row r="70" spans="1:9" s="285" customFormat="1" x14ac:dyDescent="0.25">
      <c r="A70" s="344"/>
      <c r="B70" s="151"/>
      <c r="C70" s="94"/>
      <c r="D70" s="110">
        <f t="shared" ref="D70:E70" si="30">SUM(D68:D69)</f>
        <v>1699357</v>
      </c>
      <c r="E70" s="110">
        <f t="shared" si="30"/>
        <v>2162750</v>
      </c>
      <c r="F70" s="110">
        <v>3362750</v>
      </c>
      <c r="G70" s="110">
        <v>3362750</v>
      </c>
      <c r="H70" s="110">
        <v>3362750</v>
      </c>
      <c r="I70" s="110">
        <v>3362750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48</v>
      </c>
      <c r="B72" s="151">
        <v>5505</v>
      </c>
      <c r="C72" s="94" t="s">
        <v>259</v>
      </c>
      <c r="D72" s="85">
        <v>44328</v>
      </c>
      <c r="E72" s="85"/>
      <c r="F72" s="85">
        <v>80000</v>
      </c>
      <c r="G72" s="85">
        <v>100000</v>
      </c>
      <c r="H72" s="85">
        <f t="shared" ref="H72:I72" si="31">(G72*10/100)+G72</f>
        <v>110000</v>
      </c>
      <c r="I72" s="85">
        <f t="shared" si="31"/>
        <v>121000</v>
      </c>
    </row>
    <row r="73" spans="1:9" s="285" customFormat="1" x14ac:dyDescent="0.25">
      <c r="A73" s="118">
        <v>48</v>
      </c>
      <c r="B73" s="151">
        <v>5510</v>
      </c>
      <c r="C73" s="94" t="s">
        <v>63</v>
      </c>
      <c r="D73" s="85">
        <v>81432</v>
      </c>
      <c r="E73" s="85">
        <v>100108</v>
      </c>
      <c r="F73" s="85">
        <v>100108</v>
      </c>
      <c r="G73" s="85">
        <f t="shared" ref="G73:I73" si="32">(F73*10/100)+F73</f>
        <v>110118.8</v>
      </c>
      <c r="H73" s="85">
        <f t="shared" si="32"/>
        <v>121130.68000000001</v>
      </c>
      <c r="I73" s="85">
        <f t="shared" si="32"/>
        <v>133243.74800000002</v>
      </c>
    </row>
    <row r="74" spans="1:9" s="285" customFormat="1" x14ac:dyDescent="0.25">
      <c r="A74" s="118">
        <v>48</v>
      </c>
      <c r="B74" s="151">
        <v>5520</v>
      </c>
      <c r="C74" s="94" t="s">
        <v>260</v>
      </c>
      <c r="D74" s="354">
        <v>1514298.72</v>
      </c>
      <c r="E74" s="85">
        <v>2896742</v>
      </c>
      <c r="F74" s="85">
        <v>2896742</v>
      </c>
      <c r="G74" s="85">
        <f t="shared" ref="G74:I74" si="33">(F74*10/100)+F74</f>
        <v>3186416.2</v>
      </c>
      <c r="H74" s="85">
        <f t="shared" si="33"/>
        <v>3505057.8200000003</v>
      </c>
      <c r="I74" s="85">
        <f t="shared" si="33"/>
        <v>3855563.6020000004</v>
      </c>
    </row>
    <row r="75" spans="1:9" s="285" customFormat="1" x14ac:dyDescent="0.25">
      <c r="A75" s="118">
        <v>48</v>
      </c>
      <c r="B75" s="151">
        <v>5525</v>
      </c>
      <c r="C75" s="94" t="s">
        <v>261</v>
      </c>
      <c r="D75" s="85"/>
      <c r="E75" s="85"/>
      <c r="F75" s="85">
        <v>0</v>
      </c>
      <c r="G75" s="85">
        <f t="shared" ref="G75:I75" si="34">(F75*10/100)+F75</f>
        <v>0</v>
      </c>
      <c r="H75" s="85">
        <f t="shared" si="34"/>
        <v>0</v>
      </c>
      <c r="I75" s="85">
        <f t="shared" si="34"/>
        <v>0</v>
      </c>
    </row>
    <row r="76" spans="1:9" s="285" customFormat="1" x14ac:dyDescent="0.25">
      <c r="A76" s="118">
        <v>48</v>
      </c>
      <c r="B76" s="151">
        <v>5530</v>
      </c>
      <c r="C76" s="94" t="s">
        <v>262</v>
      </c>
      <c r="D76" s="85"/>
      <c r="E76" s="85"/>
      <c r="F76" s="85">
        <v>0</v>
      </c>
      <c r="G76" s="85">
        <f t="shared" ref="G76:I76" si="35">(F76*10/100)+F76</f>
        <v>0</v>
      </c>
      <c r="H76" s="85">
        <f t="shared" si="35"/>
        <v>0</v>
      </c>
      <c r="I76" s="85">
        <f t="shared" si="35"/>
        <v>0</v>
      </c>
    </row>
    <row r="77" spans="1:9" s="285" customFormat="1" x14ac:dyDescent="0.25">
      <c r="A77" s="118">
        <v>48</v>
      </c>
      <c r="B77" s="151">
        <v>5535</v>
      </c>
      <c r="C77" s="94" t="s">
        <v>263</v>
      </c>
      <c r="D77" s="85"/>
      <c r="E77" s="85"/>
      <c r="F77" s="85">
        <v>0</v>
      </c>
      <c r="G77" s="85">
        <f t="shared" ref="G77:I77" si="36">(F77*10/100)+F77</f>
        <v>0</v>
      </c>
      <c r="H77" s="85">
        <f t="shared" si="36"/>
        <v>0</v>
      </c>
      <c r="I77" s="85">
        <f t="shared" si="36"/>
        <v>0</v>
      </c>
    </row>
    <row r="78" spans="1:9" s="285" customFormat="1" x14ac:dyDescent="0.25">
      <c r="A78" s="118">
        <v>48</v>
      </c>
      <c r="B78" s="151">
        <v>5540</v>
      </c>
      <c r="C78" s="94" t="s">
        <v>264</v>
      </c>
      <c r="D78" s="85"/>
      <c r="E78" s="85"/>
      <c r="F78" s="85">
        <v>0</v>
      </c>
      <c r="G78" s="85">
        <f t="shared" ref="G78:I78" si="37">(F78*10/100)+F78</f>
        <v>0</v>
      </c>
      <c r="H78" s="85">
        <f t="shared" si="37"/>
        <v>0</v>
      </c>
      <c r="I78" s="85">
        <f t="shared" si="37"/>
        <v>0</v>
      </c>
    </row>
    <row r="79" spans="1:9" s="285" customFormat="1" ht="13.5" customHeight="1" x14ac:dyDescent="0.25">
      <c r="A79" s="118">
        <v>48</v>
      </c>
      <c r="B79" s="151">
        <v>5545</v>
      </c>
      <c r="C79" s="94" t="s">
        <v>265</v>
      </c>
      <c r="D79" s="85"/>
      <c r="E79" s="85">
        <v>1313.4749999999999</v>
      </c>
      <c r="F79" s="85">
        <v>1313.4749999999999</v>
      </c>
      <c r="G79" s="85">
        <v>0</v>
      </c>
      <c r="H79" s="85">
        <f t="shared" ref="H79:I79" si="38">(G79*10/100)+G79</f>
        <v>0</v>
      </c>
      <c r="I79" s="85">
        <f t="shared" si="38"/>
        <v>0</v>
      </c>
    </row>
    <row r="80" spans="1:9" s="285" customFormat="1" x14ac:dyDescent="0.25">
      <c r="A80" s="118">
        <v>48</v>
      </c>
      <c r="B80" s="151">
        <v>5550</v>
      </c>
      <c r="C80" s="94" t="s">
        <v>267</v>
      </c>
      <c r="D80" s="85"/>
      <c r="E80" s="85"/>
      <c r="F80" s="85">
        <v>0</v>
      </c>
      <c r="G80" s="85">
        <f t="shared" ref="G80:I80" si="39">(F80*10/100)+F80</f>
        <v>0</v>
      </c>
      <c r="H80" s="85">
        <f t="shared" si="39"/>
        <v>0</v>
      </c>
      <c r="I80" s="85">
        <f t="shared" si="39"/>
        <v>0</v>
      </c>
    </row>
    <row r="81" spans="1:9" s="285" customFormat="1" x14ac:dyDescent="0.25">
      <c r="A81" s="118">
        <v>48</v>
      </c>
      <c r="B81" s="151">
        <v>5555</v>
      </c>
      <c r="C81" s="94" t="s">
        <v>268</v>
      </c>
      <c r="D81" s="85">
        <f>[1]Sheet1!$D$624+41920</f>
        <v>45636.43</v>
      </c>
      <c r="E81" s="85">
        <v>79297</v>
      </c>
      <c r="F81" s="85">
        <v>49297</v>
      </c>
      <c r="G81" s="85">
        <f t="shared" ref="G81:I81" si="40">(F81*10/100)+F81</f>
        <v>54226.7</v>
      </c>
      <c r="H81" s="85">
        <f t="shared" si="40"/>
        <v>59649.369999999995</v>
      </c>
      <c r="I81" s="85">
        <f t="shared" si="40"/>
        <v>65614.307000000001</v>
      </c>
    </row>
    <row r="82" spans="1:9" s="285" customFormat="1" x14ac:dyDescent="0.25">
      <c r="A82" s="118">
        <v>48</v>
      </c>
      <c r="B82" s="151">
        <v>5560</v>
      </c>
      <c r="C82" s="94" t="s">
        <v>269</v>
      </c>
      <c r="D82" s="85"/>
      <c r="E82" s="85"/>
      <c r="F82" s="85">
        <v>0</v>
      </c>
      <c r="G82" s="85">
        <f t="shared" ref="G82:I82" si="41">(F82*10/100)+F82</f>
        <v>0</v>
      </c>
      <c r="H82" s="85">
        <f t="shared" si="41"/>
        <v>0</v>
      </c>
      <c r="I82" s="85">
        <f t="shared" si="41"/>
        <v>0</v>
      </c>
    </row>
    <row r="83" spans="1:9" s="285" customFormat="1" x14ac:dyDescent="0.25">
      <c r="A83" s="118">
        <v>48</v>
      </c>
      <c r="B83" s="151">
        <v>5565</v>
      </c>
      <c r="C83" s="94" t="s">
        <v>246</v>
      </c>
      <c r="D83" s="85"/>
      <c r="E83" s="85"/>
      <c r="F83" s="85">
        <v>0</v>
      </c>
      <c r="G83" s="85">
        <f t="shared" ref="G83:I83" si="42">(F83*10/100)+F83</f>
        <v>0</v>
      </c>
      <c r="H83" s="85">
        <f t="shared" si="42"/>
        <v>0</v>
      </c>
      <c r="I83" s="85">
        <f t="shared" si="42"/>
        <v>0</v>
      </c>
    </row>
    <row r="84" spans="1:9" s="285" customFormat="1" x14ac:dyDescent="0.25">
      <c r="A84" s="118">
        <v>48</v>
      </c>
      <c r="B84" s="151">
        <v>5570</v>
      </c>
      <c r="C84" s="94" t="s">
        <v>270</v>
      </c>
      <c r="D84" s="85"/>
      <c r="E84" s="85">
        <v>4532.28</v>
      </c>
      <c r="F84" s="85">
        <v>4532.28</v>
      </c>
      <c r="G84" s="85">
        <v>0</v>
      </c>
      <c r="H84" s="85">
        <f t="shared" ref="H84:I84" si="43">(G84*10/100)+G84</f>
        <v>0</v>
      </c>
      <c r="I84" s="85">
        <f t="shared" si="43"/>
        <v>0</v>
      </c>
    </row>
    <row r="85" spans="1:9" s="285" customFormat="1" x14ac:dyDescent="0.25">
      <c r="A85" s="118">
        <v>48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85"/>
      <c r="H85" s="85"/>
      <c r="I85" s="85"/>
    </row>
    <row r="86" spans="1:9" s="285" customFormat="1" x14ac:dyDescent="0.25">
      <c r="A86" s="118">
        <v>48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85"/>
      <c r="H86" s="85"/>
      <c r="I86" s="85"/>
    </row>
    <row r="87" spans="1:9" s="285" customFormat="1" x14ac:dyDescent="0.25">
      <c r="A87" s="118">
        <v>48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85"/>
      <c r="H87" s="85"/>
      <c r="I87" s="85"/>
    </row>
    <row r="88" spans="1:9" s="285" customFormat="1" x14ac:dyDescent="0.25">
      <c r="A88" s="118">
        <v>48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85"/>
      <c r="H88" s="85"/>
      <c r="I88" s="85"/>
    </row>
    <row r="89" spans="1:9" s="285" customFormat="1" x14ac:dyDescent="0.25">
      <c r="A89" s="118">
        <v>48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85"/>
      <c r="H89" s="85"/>
      <c r="I89" s="85"/>
    </row>
    <row r="90" spans="1:9" s="285" customFormat="1" x14ac:dyDescent="0.25">
      <c r="A90" s="118">
        <v>48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85"/>
      <c r="H90" s="85"/>
      <c r="I90" s="85"/>
    </row>
    <row r="91" spans="1:9" s="285" customFormat="1" x14ac:dyDescent="0.25">
      <c r="A91" s="118">
        <v>48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85"/>
      <c r="H91" s="85"/>
      <c r="I91" s="85"/>
    </row>
    <row r="92" spans="1:9" s="285" customFormat="1" x14ac:dyDescent="0.25">
      <c r="A92" s="118">
        <v>48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85"/>
      <c r="H92" s="85"/>
      <c r="I92" s="85"/>
    </row>
    <row r="93" spans="1:9" s="285" customFormat="1" x14ac:dyDescent="0.25">
      <c r="A93" s="118">
        <v>48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85"/>
      <c r="H93" s="85"/>
      <c r="I93" s="85"/>
    </row>
    <row r="94" spans="1:9" s="285" customFormat="1" x14ac:dyDescent="0.25">
      <c r="A94" s="118">
        <v>48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85"/>
      <c r="H94" s="85"/>
      <c r="I94" s="85"/>
    </row>
    <row r="95" spans="1:9" s="285" customFormat="1" x14ac:dyDescent="0.25">
      <c r="A95" s="118">
        <v>48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85"/>
      <c r="H95" s="85"/>
      <c r="I95" s="85"/>
    </row>
    <row r="96" spans="1:9" s="285" customFormat="1" x14ac:dyDescent="0.25">
      <c r="A96" s="118">
        <v>48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85"/>
      <c r="H96" s="85"/>
      <c r="I96" s="85"/>
    </row>
    <row r="97" spans="1:9" s="285" customFormat="1" x14ac:dyDescent="0.25">
      <c r="A97" s="118">
        <v>48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85"/>
      <c r="H97" s="85"/>
      <c r="I97" s="85"/>
    </row>
    <row r="98" spans="1:9" s="285" customFormat="1" x14ac:dyDescent="0.25">
      <c r="A98" s="118">
        <v>48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85"/>
      <c r="H98" s="85"/>
      <c r="I98" s="85"/>
    </row>
    <row r="99" spans="1:9" s="285" customFormat="1" x14ac:dyDescent="0.25">
      <c r="A99" s="118">
        <v>48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85"/>
      <c r="H99" s="85"/>
      <c r="I99" s="85"/>
    </row>
    <row r="100" spans="1:9" s="285" customFormat="1" x14ac:dyDescent="0.25">
      <c r="A100" s="118">
        <v>48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85"/>
      <c r="H100" s="85"/>
      <c r="I100" s="85"/>
    </row>
    <row r="101" spans="1:9" s="285" customFormat="1" x14ac:dyDescent="0.25">
      <c r="A101" s="118">
        <v>48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85"/>
      <c r="H101" s="85"/>
      <c r="I101" s="85"/>
    </row>
    <row r="102" spans="1:9" s="285" customFormat="1" x14ac:dyDescent="0.25">
      <c r="A102" s="118">
        <v>48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85"/>
      <c r="H102" s="85"/>
      <c r="I102" s="85"/>
    </row>
    <row r="103" spans="1:9" s="285" customFormat="1" x14ac:dyDescent="0.25">
      <c r="A103" s="118">
        <v>48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85"/>
      <c r="H103" s="85"/>
      <c r="I103" s="85"/>
    </row>
    <row r="104" spans="1:9" s="285" customFormat="1" x14ac:dyDescent="0.25">
      <c r="A104" s="118">
        <v>48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85"/>
      <c r="H104" s="85"/>
      <c r="I104" s="85"/>
    </row>
    <row r="105" spans="1:9" s="285" customFormat="1" x14ac:dyDescent="0.25">
      <c r="A105" s="118">
        <v>48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85"/>
      <c r="H105" s="85"/>
      <c r="I105" s="85"/>
    </row>
    <row r="106" spans="1:9" s="285" customFormat="1" x14ac:dyDescent="0.25">
      <c r="A106" s="118">
        <v>48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85"/>
      <c r="H106" s="85"/>
      <c r="I106" s="85"/>
    </row>
    <row r="107" spans="1:9" s="285" customFormat="1" x14ac:dyDescent="0.25">
      <c r="A107" s="118">
        <v>48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85"/>
      <c r="H107" s="85"/>
      <c r="I107" s="85"/>
    </row>
    <row r="108" spans="1:9" s="285" customFormat="1" x14ac:dyDescent="0.25">
      <c r="A108" s="118">
        <v>48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85"/>
      <c r="H108" s="85"/>
      <c r="I108" s="85"/>
    </row>
    <row r="109" spans="1:9" s="285" customFormat="1" x14ac:dyDescent="0.25">
      <c r="A109" s="118">
        <v>48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85"/>
      <c r="H109" s="85"/>
      <c r="I109" s="85"/>
    </row>
    <row r="110" spans="1:9" s="285" customFormat="1" x14ac:dyDescent="0.25">
      <c r="A110" s="118">
        <v>48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85"/>
      <c r="H110" s="85"/>
      <c r="I110" s="85"/>
    </row>
    <row r="111" spans="1:9" s="285" customFormat="1" x14ac:dyDescent="0.25">
      <c r="A111" s="118">
        <v>48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85"/>
      <c r="H111" s="85"/>
      <c r="I111" s="85"/>
    </row>
    <row r="112" spans="1:9" s="285" customFormat="1" x14ac:dyDescent="0.25">
      <c r="A112" s="118">
        <v>48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85"/>
      <c r="H112" s="85"/>
      <c r="I112" s="85"/>
    </row>
    <row r="113" spans="1:9" s="285" customFormat="1" x14ac:dyDescent="0.25">
      <c r="A113" s="118">
        <v>48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85"/>
      <c r="H113" s="85"/>
      <c r="I113" s="85"/>
    </row>
    <row r="114" spans="1:9" s="285" customFormat="1" x14ac:dyDescent="0.25">
      <c r="A114" s="118">
        <v>48</v>
      </c>
      <c r="B114" s="151">
        <v>5730</v>
      </c>
      <c r="C114" s="94" t="s">
        <v>300</v>
      </c>
      <c r="D114" s="85">
        <v>61234</v>
      </c>
      <c r="E114" s="85">
        <v>100225</v>
      </c>
      <c r="F114" s="85">
        <v>100225</v>
      </c>
      <c r="G114" s="85">
        <f t="shared" ref="G114:I133" si="44">(F114*10/100)+F114</f>
        <v>110247.5</v>
      </c>
      <c r="H114" s="85">
        <f t="shared" si="44"/>
        <v>121272.25</v>
      </c>
      <c r="I114" s="85">
        <f t="shared" si="44"/>
        <v>133399.47500000001</v>
      </c>
    </row>
    <row r="115" spans="1:9" s="285" customFormat="1" x14ac:dyDescent="0.25">
      <c r="A115" s="118">
        <v>48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85">
        <f t="shared" si="44"/>
        <v>0</v>
      </c>
      <c r="H115" s="85">
        <f t="shared" si="44"/>
        <v>0</v>
      </c>
      <c r="I115" s="85">
        <f t="shared" si="44"/>
        <v>0</v>
      </c>
    </row>
    <row r="116" spans="1:9" s="285" customFormat="1" x14ac:dyDescent="0.25">
      <c r="A116" s="118">
        <v>48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85">
        <f t="shared" si="44"/>
        <v>0</v>
      </c>
      <c r="H116" s="85">
        <f t="shared" si="44"/>
        <v>0</v>
      </c>
      <c r="I116" s="85">
        <f t="shared" si="44"/>
        <v>0</v>
      </c>
    </row>
    <row r="117" spans="1:9" s="285" customFormat="1" x14ac:dyDescent="0.25">
      <c r="A117" s="118">
        <v>48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85">
        <f t="shared" si="44"/>
        <v>0</v>
      </c>
      <c r="H117" s="85">
        <f t="shared" si="44"/>
        <v>0</v>
      </c>
      <c r="I117" s="85">
        <f t="shared" si="44"/>
        <v>0</v>
      </c>
    </row>
    <row r="118" spans="1:9" s="285" customFormat="1" x14ac:dyDescent="0.25">
      <c r="A118" s="118">
        <v>48</v>
      </c>
      <c r="B118" s="151">
        <v>5750</v>
      </c>
      <c r="C118" s="94" t="s">
        <v>304</v>
      </c>
      <c r="D118" s="85"/>
      <c r="E118" s="85">
        <v>3000</v>
      </c>
      <c r="F118" s="85">
        <v>3000</v>
      </c>
      <c r="G118" s="85">
        <f t="shared" si="44"/>
        <v>3300</v>
      </c>
      <c r="H118" s="85">
        <f t="shared" si="44"/>
        <v>3630</v>
      </c>
      <c r="I118" s="85">
        <f t="shared" si="44"/>
        <v>3993</v>
      </c>
    </row>
    <row r="119" spans="1:9" s="285" customFormat="1" x14ac:dyDescent="0.25">
      <c r="A119" s="118">
        <v>48</v>
      </c>
      <c r="B119" s="151">
        <v>5755</v>
      </c>
      <c r="C119" s="94" t="s">
        <v>305</v>
      </c>
      <c r="D119" s="85">
        <v>19523</v>
      </c>
      <c r="E119" s="85">
        <v>38500</v>
      </c>
      <c r="F119" s="85">
        <v>38500</v>
      </c>
      <c r="G119" s="85">
        <f t="shared" si="44"/>
        <v>42350</v>
      </c>
      <c r="H119" s="85">
        <f t="shared" si="44"/>
        <v>46585</v>
      </c>
      <c r="I119" s="85">
        <f t="shared" si="44"/>
        <v>51243.5</v>
      </c>
    </row>
    <row r="120" spans="1:9" s="285" customFormat="1" ht="12" customHeight="1" x14ac:dyDescent="0.25">
      <c r="A120" s="118">
        <v>48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85">
        <f t="shared" si="44"/>
        <v>0</v>
      </c>
      <c r="H120" s="85">
        <f t="shared" si="44"/>
        <v>0</v>
      </c>
      <c r="I120" s="85">
        <f t="shared" si="44"/>
        <v>0</v>
      </c>
    </row>
    <row r="121" spans="1:9" s="285" customFormat="1" x14ac:dyDescent="0.25">
      <c r="A121" s="118">
        <v>48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85">
        <f t="shared" si="44"/>
        <v>0</v>
      </c>
      <c r="H121" s="85">
        <f t="shared" si="44"/>
        <v>0</v>
      </c>
      <c r="I121" s="85">
        <f t="shared" si="44"/>
        <v>0</v>
      </c>
    </row>
    <row r="122" spans="1:9" s="285" customFormat="1" x14ac:dyDescent="0.25">
      <c r="A122" s="118">
        <v>48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85">
        <f t="shared" si="44"/>
        <v>0</v>
      </c>
      <c r="H122" s="85">
        <f t="shared" si="44"/>
        <v>0</v>
      </c>
      <c r="I122" s="85">
        <f t="shared" si="44"/>
        <v>0</v>
      </c>
    </row>
    <row r="123" spans="1:9" s="285" customFormat="1" x14ac:dyDescent="0.25">
      <c r="A123" s="118">
        <v>48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85">
        <f t="shared" si="44"/>
        <v>0</v>
      </c>
      <c r="H123" s="85">
        <f t="shared" si="44"/>
        <v>0</v>
      </c>
      <c r="I123" s="85">
        <f t="shared" si="44"/>
        <v>0</v>
      </c>
    </row>
    <row r="124" spans="1:9" s="285" customFormat="1" x14ac:dyDescent="0.25">
      <c r="A124" s="118">
        <v>48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85">
        <f t="shared" si="44"/>
        <v>0</v>
      </c>
      <c r="H124" s="85">
        <f t="shared" si="44"/>
        <v>0</v>
      </c>
      <c r="I124" s="85">
        <f t="shared" si="44"/>
        <v>0</v>
      </c>
    </row>
    <row r="125" spans="1:9" s="285" customFormat="1" x14ac:dyDescent="0.25">
      <c r="A125" s="118">
        <v>48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85">
        <f t="shared" si="44"/>
        <v>0</v>
      </c>
      <c r="H125" s="85">
        <f t="shared" si="44"/>
        <v>0</v>
      </c>
      <c r="I125" s="85">
        <f t="shared" si="44"/>
        <v>0</v>
      </c>
    </row>
    <row r="126" spans="1:9" s="285" customFormat="1" x14ac:dyDescent="0.25">
      <c r="A126" s="118">
        <v>48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85">
        <f t="shared" si="44"/>
        <v>0</v>
      </c>
      <c r="H126" s="85">
        <f t="shared" si="44"/>
        <v>0</v>
      </c>
      <c r="I126" s="85">
        <f t="shared" si="44"/>
        <v>0</v>
      </c>
    </row>
    <row r="127" spans="1:9" s="285" customFormat="1" x14ac:dyDescent="0.25">
      <c r="A127" s="118">
        <v>48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85">
        <f t="shared" si="44"/>
        <v>0</v>
      </c>
      <c r="H127" s="85">
        <f t="shared" si="44"/>
        <v>0</v>
      </c>
      <c r="I127" s="85">
        <f t="shared" si="44"/>
        <v>0</v>
      </c>
    </row>
    <row r="128" spans="1:9" s="285" customFormat="1" x14ac:dyDescent="0.25">
      <c r="A128" s="118">
        <v>48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85">
        <f t="shared" si="44"/>
        <v>0</v>
      </c>
      <c r="H128" s="85">
        <f t="shared" si="44"/>
        <v>0</v>
      </c>
      <c r="I128" s="85">
        <f t="shared" si="44"/>
        <v>0</v>
      </c>
    </row>
    <row r="129" spans="1:9" s="285" customFormat="1" x14ac:dyDescent="0.25">
      <c r="A129" s="118">
        <v>48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85">
        <f t="shared" si="44"/>
        <v>0</v>
      </c>
      <c r="H129" s="85">
        <f t="shared" si="44"/>
        <v>0</v>
      </c>
      <c r="I129" s="85">
        <f t="shared" si="44"/>
        <v>0</v>
      </c>
    </row>
    <row r="130" spans="1:9" s="285" customFormat="1" x14ac:dyDescent="0.25">
      <c r="A130" s="118">
        <v>48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85">
        <f t="shared" si="44"/>
        <v>0</v>
      </c>
      <c r="H130" s="85">
        <f t="shared" si="44"/>
        <v>0</v>
      </c>
      <c r="I130" s="85">
        <f t="shared" si="44"/>
        <v>0</v>
      </c>
    </row>
    <row r="131" spans="1:9" s="285" customFormat="1" x14ac:dyDescent="0.25">
      <c r="A131" s="118">
        <v>48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85">
        <f t="shared" si="44"/>
        <v>0</v>
      </c>
      <c r="H131" s="85">
        <f t="shared" si="44"/>
        <v>0</v>
      </c>
      <c r="I131" s="85">
        <f t="shared" si="44"/>
        <v>0</v>
      </c>
    </row>
    <row r="132" spans="1:9" s="285" customFormat="1" x14ac:dyDescent="0.25">
      <c r="A132" s="118">
        <v>48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85">
        <f t="shared" si="44"/>
        <v>0</v>
      </c>
      <c r="H132" s="85">
        <f t="shared" si="44"/>
        <v>0</v>
      </c>
      <c r="I132" s="85">
        <f t="shared" si="44"/>
        <v>0</v>
      </c>
    </row>
    <row r="133" spans="1:9" s="285" customFormat="1" x14ac:dyDescent="0.25">
      <c r="A133" s="118">
        <v>48</v>
      </c>
      <c r="B133" s="151">
        <v>5825</v>
      </c>
      <c r="C133" s="94" t="s">
        <v>317</v>
      </c>
      <c r="D133" s="86">
        <v>85213</v>
      </c>
      <c r="E133" s="85">
        <v>147700</v>
      </c>
      <c r="F133" s="85">
        <v>147700</v>
      </c>
      <c r="G133" s="85">
        <f t="shared" si="44"/>
        <v>162470</v>
      </c>
      <c r="H133" s="85">
        <f t="shared" si="44"/>
        <v>178717</v>
      </c>
      <c r="I133" s="85">
        <f t="shared" si="44"/>
        <v>196588.7</v>
      </c>
    </row>
    <row r="134" spans="1:9" s="285" customFormat="1" x14ac:dyDescent="0.25">
      <c r="A134" s="118">
        <v>48</v>
      </c>
      <c r="B134" s="151">
        <v>5830</v>
      </c>
      <c r="C134" s="94" t="s">
        <v>318</v>
      </c>
      <c r="D134" s="86"/>
      <c r="E134" s="85"/>
      <c r="F134" s="85">
        <v>0</v>
      </c>
      <c r="G134" s="85"/>
      <c r="H134" s="85"/>
      <c r="I134" s="85"/>
    </row>
    <row r="135" spans="1:9" s="285" customFormat="1" x14ac:dyDescent="0.25">
      <c r="A135" s="118">
        <v>48</v>
      </c>
      <c r="B135" s="151">
        <v>5835</v>
      </c>
      <c r="C135" s="94" t="s">
        <v>319</v>
      </c>
      <c r="D135" s="86"/>
      <c r="E135" s="85"/>
      <c r="F135" s="85">
        <v>0</v>
      </c>
      <c r="G135" s="85"/>
      <c r="H135" s="85"/>
      <c r="I135" s="85"/>
    </row>
    <row r="136" spans="1:9" s="285" customFormat="1" x14ac:dyDescent="0.25">
      <c r="A136" s="118">
        <v>48</v>
      </c>
      <c r="B136" s="151">
        <v>5840</v>
      </c>
      <c r="C136" s="94" t="s">
        <v>332</v>
      </c>
      <c r="D136" s="115"/>
      <c r="E136" s="85"/>
      <c r="F136" s="85">
        <v>0</v>
      </c>
      <c r="G136" s="85"/>
      <c r="H136" s="85"/>
      <c r="I136" s="85"/>
    </row>
    <row r="137" spans="1:9" s="285" customFormat="1" x14ac:dyDescent="0.25">
      <c r="A137" s="118">
        <v>48</v>
      </c>
      <c r="B137" s="151">
        <v>5845</v>
      </c>
      <c r="C137" s="94" t="s">
        <v>320</v>
      </c>
      <c r="D137" s="86"/>
      <c r="E137" s="85"/>
      <c r="F137" s="85">
        <v>0</v>
      </c>
      <c r="G137" s="85"/>
      <c r="H137" s="85"/>
      <c r="I137" s="85"/>
    </row>
    <row r="138" spans="1:9" s="285" customFormat="1" x14ac:dyDescent="0.25">
      <c r="A138" s="118">
        <v>48</v>
      </c>
      <c r="B138" s="151">
        <v>5855</v>
      </c>
      <c r="C138" s="94" t="s">
        <v>321</v>
      </c>
      <c r="D138" s="85"/>
      <c r="E138" s="85"/>
      <c r="F138" s="85">
        <v>0</v>
      </c>
      <c r="G138" s="85"/>
      <c r="H138" s="85"/>
      <c r="I138" s="85"/>
    </row>
    <row r="139" spans="1:9" s="285" customFormat="1" x14ac:dyDescent="0.25">
      <c r="A139" s="118">
        <v>48</v>
      </c>
      <c r="B139" s="151">
        <v>5860</v>
      </c>
      <c r="C139" s="94" t="s">
        <v>322</v>
      </c>
      <c r="D139" s="85"/>
      <c r="E139" s="85"/>
      <c r="F139" s="85">
        <v>0</v>
      </c>
      <c r="G139" s="85"/>
      <c r="H139" s="85"/>
      <c r="I139" s="85"/>
    </row>
    <row r="140" spans="1:9" s="285" customFormat="1" x14ac:dyDescent="0.25">
      <c r="A140" s="118">
        <v>48</v>
      </c>
      <c r="B140" s="151">
        <v>5865</v>
      </c>
      <c r="C140" s="94" t="s">
        <v>323</v>
      </c>
      <c r="D140" s="85"/>
      <c r="E140" s="85"/>
      <c r="F140" s="85">
        <v>0</v>
      </c>
      <c r="G140" s="85"/>
      <c r="H140" s="85"/>
      <c r="I140" s="85"/>
    </row>
    <row r="141" spans="1:9" s="285" customFormat="1" x14ac:dyDescent="0.25">
      <c r="A141" s="118">
        <v>48</v>
      </c>
      <c r="B141" s="151">
        <v>5870</v>
      </c>
      <c r="C141" s="94" t="s">
        <v>324</v>
      </c>
      <c r="D141" s="85"/>
      <c r="E141" s="85"/>
      <c r="F141" s="85">
        <v>0</v>
      </c>
      <c r="G141" s="85"/>
      <c r="H141" s="85"/>
      <c r="I141" s="85"/>
    </row>
    <row r="142" spans="1:9" s="285" customFormat="1" x14ac:dyDescent="0.25">
      <c r="A142" s="118">
        <v>48</v>
      </c>
      <c r="B142" s="151">
        <v>5875</v>
      </c>
      <c r="C142" s="94" t="s">
        <v>325</v>
      </c>
      <c r="D142" s="85"/>
      <c r="E142" s="85"/>
      <c r="F142" s="85">
        <v>0</v>
      </c>
      <c r="G142" s="85"/>
      <c r="H142" s="85"/>
      <c r="I142" s="85"/>
    </row>
    <row r="143" spans="1:9" s="285" customFormat="1" x14ac:dyDescent="0.25">
      <c r="A143" s="118">
        <v>48</v>
      </c>
      <c r="B143" s="151">
        <v>5880</v>
      </c>
      <c r="C143" s="94" t="s">
        <v>326</v>
      </c>
      <c r="D143" s="85"/>
      <c r="E143" s="85"/>
      <c r="F143" s="85">
        <v>0</v>
      </c>
      <c r="G143" s="85"/>
      <c r="H143" s="85"/>
      <c r="I143" s="85"/>
    </row>
    <row r="144" spans="1:9" s="285" customFormat="1" x14ac:dyDescent="0.25">
      <c r="A144" s="118">
        <v>48</v>
      </c>
      <c r="B144" s="151">
        <v>5885</v>
      </c>
      <c r="C144" s="94" t="s">
        <v>331</v>
      </c>
      <c r="D144" s="85"/>
      <c r="E144" s="85"/>
      <c r="F144" s="85">
        <v>0</v>
      </c>
      <c r="G144" s="85"/>
      <c r="H144" s="85"/>
      <c r="I144" s="85"/>
    </row>
    <row r="145" spans="1:9" s="285" customFormat="1" x14ac:dyDescent="0.25">
      <c r="A145" s="118">
        <v>48</v>
      </c>
      <c r="B145" s="151">
        <v>5890</v>
      </c>
      <c r="C145" s="94" t="s">
        <v>327</v>
      </c>
      <c r="D145" s="85"/>
      <c r="E145" s="85"/>
      <c r="F145" s="85">
        <v>0</v>
      </c>
      <c r="G145" s="85"/>
      <c r="H145" s="85"/>
      <c r="I145" s="85"/>
    </row>
    <row r="146" spans="1:9" s="285" customFormat="1" x14ac:dyDescent="0.25">
      <c r="A146" s="118">
        <v>48</v>
      </c>
      <c r="B146" s="151">
        <v>5895</v>
      </c>
      <c r="C146" s="94" t="s">
        <v>328</v>
      </c>
      <c r="D146" s="85"/>
      <c r="E146" s="85"/>
      <c r="F146" s="85">
        <v>0</v>
      </c>
      <c r="G146" s="85"/>
      <c r="H146" s="85"/>
      <c r="I146" s="85"/>
    </row>
    <row r="147" spans="1:9" s="285" customFormat="1" x14ac:dyDescent="0.25">
      <c r="A147" s="118">
        <v>48</v>
      </c>
      <c r="B147" s="151">
        <v>5910</v>
      </c>
      <c r="C147" s="94" t="s">
        <v>330</v>
      </c>
      <c r="D147" s="85"/>
      <c r="E147" s="85"/>
      <c r="F147" s="85">
        <v>0</v>
      </c>
      <c r="G147" s="85"/>
      <c r="H147" s="85"/>
      <c r="I147" s="85"/>
    </row>
    <row r="148" spans="1:9" s="285" customFormat="1" x14ac:dyDescent="0.25">
      <c r="A148" s="344"/>
      <c r="B148" s="151"/>
      <c r="C148" s="94"/>
      <c r="D148" s="89">
        <f t="shared" ref="D148:E148" si="45">SUM(D72:D147)</f>
        <v>1851665.15</v>
      </c>
      <c r="E148" s="89">
        <f t="shared" si="45"/>
        <v>3371417.7549999999</v>
      </c>
      <c r="F148" s="89">
        <v>3421417.7549999999</v>
      </c>
      <c r="G148" s="89">
        <v>3421417.7549999999</v>
      </c>
      <c r="H148" s="89">
        <v>3421417.7549999999</v>
      </c>
      <c r="I148" s="89">
        <v>3421417.7549999999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48</v>
      </c>
      <c r="B150" s="151">
        <v>6005</v>
      </c>
      <c r="C150" s="94" t="s">
        <v>188</v>
      </c>
      <c r="D150" s="85"/>
      <c r="E150" s="108"/>
      <c r="F150" s="85">
        <v>0</v>
      </c>
      <c r="G150" s="85"/>
      <c r="H150" s="85"/>
      <c r="I150" s="108"/>
    </row>
    <row r="151" spans="1:9" s="285" customFormat="1" x14ac:dyDescent="0.25">
      <c r="A151" s="344"/>
      <c r="B151" s="151"/>
      <c r="C151" s="94"/>
      <c r="D151" s="89">
        <f t="shared" ref="D151:E151" si="46">SUM(D150)</f>
        <v>0</v>
      </c>
      <c r="E151" s="89">
        <f t="shared" si="46"/>
        <v>0</v>
      </c>
      <c r="F151" s="89">
        <v>0</v>
      </c>
      <c r="G151" s="89"/>
      <c r="H151" s="89"/>
      <c r="I151" s="89"/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48</v>
      </c>
      <c r="B153" s="151">
        <v>6105</v>
      </c>
      <c r="C153" s="94" t="s">
        <v>336</v>
      </c>
      <c r="D153" s="85"/>
      <c r="E153" s="108"/>
      <c r="F153" s="85">
        <v>0</v>
      </c>
      <c r="G153" s="85"/>
      <c r="H153" s="85"/>
      <c r="I153" s="108"/>
    </row>
    <row r="154" spans="1:9" s="285" customFormat="1" x14ac:dyDescent="0.25">
      <c r="A154" s="118">
        <v>48</v>
      </c>
      <c r="B154" s="151">
        <v>6110</v>
      </c>
      <c r="C154" s="94" t="s">
        <v>337</v>
      </c>
      <c r="D154" s="85"/>
      <c r="E154" s="108">
        <v>50000</v>
      </c>
      <c r="F154" s="85">
        <v>50000</v>
      </c>
      <c r="G154" s="85">
        <v>1000000</v>
      </c>
      <c r="H154" s="85">
        <f>(G154*10/100)+G154</f>
        <v>1100000</v>
      </c>
      <c r="I154" s="85">
        <f>(H154*10/100)+H154</f>
        <v>1210000</v>
      </c>
    </row>
    <row r="155" spans="1:9" s="285" customFormat="1" x14ac:dyDescent="0.25">
      <c r="A155" s="118">
        <v>48</v>
      </c>
      <c r="B155" s="151">
        <v>6115</v>
      </c>
      <c r="C155" s="94" t="s">
        <v>60</v>
      </c>
      <c r="D155" s="85"/>
      <c r="E155" s="108"/>
      <c r="F155" s="85">
        <v>0</v>
      </c>
      <c r="G155" s="85">
        <v>400000</v>
      </c>
      <c r="H155" s="85">
        <f>(G155*10/100)+G155</f>
        <v>440000</v>
      </c>
      <c r="I155" s="85">
        <f>(H155*10/100)+H155</f>
        <v>484000</v>
      </c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 t="shared" ref="E156" si="47">SUM(E153:E155)</f>
        <v>50000</v>
      </c>
      <c r="F156" s="89">
        <v>50000</v>
      </c>
      <c r="G156" s="89">
        <f>SUM(G154:G155)</f>
        <v>1400000</v>
      </c>
      <c r="H156" s="89">
        <f t="shared" ref="H156:I156" si="48">SUM(H154:H155)</f>
        <v>1540000</v>
      </c>
      <c r="I156" s="89">
        <f t="shared" si="48"/>
        <v>1694000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x14ac:dyDescent="0.25">
      <c r="A158" s="118">
        <v>48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/>
      <c r="I158" s="85"/>
    </row>
    <row r="159" spans="1:9" s="285" customFormat="1" x14ac:dyDescent="0.25">
      <c r="A159" s="118">
        <v>48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/>
      <c r="I159" s="85"/>
    </row>
    <row r="160" spans="1:9" s="285" customFormat="1" x14ac:dyDescent="0.25">
      <c r="A160" s="344"/>
      <c r="B160" s="346"/>
      <c r="C160" s="347"/>
      <c r="D160" s="116">
        <f t="shared" ref="D160:F160" si="49">SUM(D158:D159)</f>
        <v>0</v>
      </c>
      <c r="E160" s="116">
        <f t="shared" si="49"/>
        <v>0</v>
      </c>
      <c r="F160" s="116">
        <f t="shared" si="49"/>
        <v>0</v>
      </c>
      <c r="G160" s="116"/>
      <c r="H160" s="116"/>
      <c r="I160" s="116"/>
    </row>
    <row r="161" spans="1:11" s="285" customFormat="1" x14ac:dyDescent="0.25">
      <c r="A161" s="344"/>
      <c r="B161" s="346"/>
      <c r="C161" s="93" t="s">
        <v>189</v>
      </c>
      <c r="D161" s="116">
        <f t="shared" ref="D161:I161" si="50">D160+D156+D151+D148+D70+D66+D63+D59+D38+D35+D32+D29+D25+D18</f>
        <v>8222651.0099999998</v>
      </c>
      <c r="E161" s="116">
        <f t="shared" si="50"/>
        <v>22937433.645</v>
      </c>
      <c r="F161" s="116">
        <f t="shared" si="50"/>
        <v>14987433.645</v>
      </c>
      <c r="G161" s="116">
        <f t="shared" si="50"/>
        <v>25280987.574000001</v>
      </c>
      <c r="H161" s="116">
        <f t="shared" si="50"/>
        <v>17495187.855899997</v>
      </c>
      <c r="I161" s="116">
        <f t="shared" si="50"/>
        <v>18178774.805989996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11" s="285" customFormat="1" hidden="1" x14ac:dyDescent="0.25">
      <c r="A163" s="118">
        <v>48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85"/>
      <c r="H163" s="85"/>
      <c r="I163" s="85"/>
    </row>
    <row r="164" spans="1:11" s="285" customFormat="1" hidden="1" x14ac:dyDescent="0.25">
      <c r="A164" s="344"/>
      <c r="B164" s="151"/>
      <c r="C164" s="94"/>
      <c r="D164" s="116">
        <f t="shared" ref="D164:F164" si="51">D163</f>
        <v>0</v>
      </c>
      <c r="E164" s="116">
        <f t="shared" si="51"/>
        <v>0</v>
      </c>
      <c r="F164" s="116">
        <f t="shared" si="51"/>
        <v>0</v>
      </c>
      <c r="G164" s="116"/>
      <c r="H164" s="116"/>
      <c r="I164" s="116"/>
    </row>
    <row r="165" spans="1:11" s="285" customFormat="1" x14ac:dyDescent="0.25">
      <c r="A165" s="348"/>
      <c r="B165" s="152"/>
      <c r="C165" s="119" t="s">
        <v>191</v>
      </c>
      <c r="D165" s="160">
        <f t="shared" ref="D165:I165" si="52">SUM(D161+D164)</f>
        <v>8222651.0099999998</v>
      </c>
      <c r="E165" s="160">
        <f t="shared" si="52"/>
        <v>22937433.645</v>
      </c>
      <c r="F165" s="160">
        <f t="shared" si="52"/>
        <v>14987433.645</v>
      </c>
      <c r="G165" s="160">
        <f t="shared" si="52"/>
        <v>25280987.574000001</v>
      </c>
      <c r="H165" s="160">
        <f t="shared" si="52"/>
        <v>17495187.855899997</v>
      </c>
      <c r="I165" s="160">
        <f t="shared" si="52"/>
        <v>18178774.805989996</v>
      </c>
      <c r="K165" s="244"/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11" s="285" customFormat="1" x14ac:dyDescent="0.25">
      <c r="A168" s="349"/>
      <c r="B168" s="710" t="s">
        <v>418</v>
      </c>
      <c r="C168" s="710"/>
      <c r="D168" s="711"/>
      <c r="E168" s="338"/>
      <c r="F168" s="338"/>
      <c r="G168" s="424"/>
      <c r="H168" s="338"/>
      <c r="I168" s="338"/>
    </row>
    <row r="169" spans="1:11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11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11" s="285" customFormat="1" hidden="1" x14ac:dyDescent="0.25">
      <c r="A172" s="118">
        <v>48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108"/>
    </row>
    <row r="173" spans="1:11" s="285" customFormat="1" hidden="1" x14ac:dyDescent="0.25">
      <c r="A173" s="118">
        <v>48</v>
      </c>
      <c r="B173" s="151">
        <v>5725</v>
      </c>
      <c r="C173" s="94" t="s">
        <v>402</v>
      </c>
      <c r="D173" s="85">
        <v>0</v>
      </c>
      <c r="E173" s="85">
        <v>0</v>
      </c>
      <c r="F173" s="85">
        <f>(0/8*12)*-1</f>
        <v>0</v>
      </c>
      <c r="G173" s="85"/>
      <c r="H173" s="85"/>
      <c r="I173" s="85"/>
    </row>
    <row r="174" spans="1:11" s="285" customFormat="1" hidden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11" s="285" customFormat="1" hidden="1" x14ac:dyDescent="0.25">
      <c r="A176" s="118">
        <v>48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98"/>
      <c r="H176" s="98"/>
      <c r="I176" s="98"/>
    </row>
    <row r="177" spans="1:9" s="285" customFormat="1" hidden="1" x14ac:dyDescent="0.25">
      <c r="A177" s="118">
        <v>48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98"/>
      <c r="H177" s="98"/>
      <c r="I177" s="98"/>
    </row>
    <row r="178" spans="1:9" s="285" customFormat="1" hidden="1" x14ac:dyDescent="0.25">
      <c r="A178" s="118">
        <v>48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98"/>
      <c r="H178" s="98"/>
      <c r="I178" s="98"/>
    </row>
    <row r="179" spans="1:9" s="285" customFormat="1" hidden="1" x14ac:dyDescent="0.25">
      <c r="A179" s="118">
        <v>48</v>
      </c>
      <c r="B179" s="151">
        <v>1153</v>
      </c>
      <c r="C179" s="94" t="s">
        <v>115</v>
      </c>
      <c r="D179" s="122"/>
      <c r="E179" s="98"/>
      <c r="F179" s="98">
        <f t="shared" ref="F179:F180" si="53">E179/8*12</f>
        <v>0</v>
      </c>
      <c r="G179" s="98"/>
      <c r="H179" s="98"/>
      <c r="I179" s="98"/>
    </row>
    <row r="180" spans="1:9" s="285" customFormat="1" hidden="1" x14ac:dyDescent="0.25">
      <c r="A180" s="118">
        <v>48</v>
      </c>
      <c r="B180" s="151">
        <v>1143</v>
      </c>
      <c r="C180" s="94" t="s">
        <v>109</v>
      </c>
      <c r="D180" s="122"/>
      <c r="E180" s="98"/>
      <c r="F180" s="98">
        <f t="shared" si="53"/>
        <v>0</v>
      </c>
      <c r="G180" s="98"/>
      <c r="H180" s="98"/>
      <c r="I180" s="98"/>
    </row>
    <row r="181" spans="1:9" s="285" customFormat="1" x14ac:dyDescent="0.25">
      <c r="A181" s="118">
        <v>48</v>
      </c>
      <c r="B181" s="151">
        <v>5500</v>
      </c>
      <c r="C181" s="94" t="s">
        <v>266</v>
      </c>
      <c r="D181" s="85"/>
      <c r="E181" s="85">
        <v>-113230</v>
      </c>
      <c r="F181" s="85">
        <f t="shared" ref="F181:F205" si="54">E181-D181</f>
        <v>-113230</v>
      </c>
      <c r="G181" s="85">
        <f>(F181*10/100)+F181</f>
        <v>-124553</v>
      </c>
      <c r="H181" s="85">
        <f t="shared" ref="H181:I181" si="55">(G181*10/100)+G181</f>
        <v>-137008.29999999999</v>
      </c>
      <c r="I181" s="85">
        <f t="shared" si="55"/>
        <v>-150709.12999999998</v>
      </c>
    </row>
    <row r="182" spans="1:9" s="285" customFormat="1" hidden="1" x14ac:dyDescent="0.25">
      <c r="A182" s="118">
        <v>48</v>
      </c>
      <c r="B182" s="151">
        <v>5705</v>
      </c>
      <c r="C182" s="94" t="s">
        <v>296</v>
      </c>
      <c r="D182" s="85"/>
      <c r="E182" s="85"/>
      <c r="F182" s="85">
        <f t="shared" si="54"/>
        <v>0</v>
      </c>
      <c r="G182" s="85">
        <f t="shared" ref="G182:I205" si="56">(F182*10/100)+F182</f>
        <v>0</v>
      </c>
      <c r="H182" s="85">
        <f t="shared" si="56"/>
        <v>0</v>
      </c>
      <c r="I182" s="85">
        <f t="shared" si="56"/>
        <v>0</v>
      </c>
    </row>
    <row r="183" spans="1:9" s="285" customFormat="1" hidden="1" x14ac:dyDescent="0.25">
      <c r="A183" s="118">
        <v>48</v>
      </c>
      <c r="B183" s="151">
        <v>1140</v>
      </c>
      <c r="C183" s="94" t="s">
        <v>113</v>
      </c>
      <c r="D183" s="122"/>
      <c r="E183" s="98"/>
      <c r="F183" s="85">
        <f t="shared" si="54"/>
        <v>0</v>
      </c>
      <c r="G183" s="85">
        <f t="shared" si="56"/>
        <v>0</v>
      </c>
      <c r="H183" s="85">
        <f t="shared" si="56"/>
        <v>0</v>
      </c>
      <c r="I183" s="85">
        <f t="shared" si="56"/>
        <v>0</v>
      </c>
    </row>
    <row r="184" spans="1:9" s="285" customFormat="1" hidden="1" x14ac:dyDescent="0.25">
      <c r="A184" s="118">
        <v>48</v>
      </c>
      <c r="B184" s="151">
        <v>1145</v>
      </c>
      <c r="C184" s="94" t="s">
        <v>132</v>
      </c>
      <c r="D184" s="122"/>
      <c r="E184" s="98"/>
      <c r="F184" s="85">
        <f t="shared" si="54"/>
        <v>0</v>
      </c>
      <c r="G184" s="85">
        <f t="shared" si="56"/>
        <v>0</v>
      </c>
      <c r="H184" s="85">
        <f t="shared" si="56"/>
        <v>0</v>
      </c>
      <c r="I184" s="85">
        <f t="shared" si="56"/>
        <v>0</v>
      </c>
    </row>
    <row r="185" spans="1:9" s="285" customFormat="1" hidden="1" x14ac:dyDescent="0.25">
      <c r="A185" s="118">
        <v>48</v>
      </c>
      <c r="B185" s="151">
        <v>1150</v>
      </c>
      <c r="C185" s="94" t="s">
        <v>120</v>
      </c>
      <c r="D185" s="122"/>
      <c r="E185" s="98"/>
      <c r="F185" s="85">
        <f t="shared" si="54"/>
        <v>0</v>
      </c>
      <c r="G185" s="85">
        <f t="shared" si="56"/>
        <v>0</v>
      </c>
      <c r="H185" s="85">
        <f t="shared" si="56"/>
        <v>0</v>
      </c>
      <c r="I185" s="85">
        <f t="shared" si="56"/>
        <v>0</v>
      </c>
    </row>
    <row r="186" spans="1:9" s="285" customFormat="1" hidden="1" x14ac:dyDescent="0.25">
      <c r="A186" s="118">
        <v>48</v>
      </c>
      <c r="B186" s="151">
        <v>1155</v>
      </c>
      <c r="C186" s="94" t="s">
        <v>116</v>
      </c>
      <c r="D186" s="122"/>
      <c r="E186" s="98"/>
      <c r="F186" s="85">
        <f t="shared" si="54"/>
        <v>0</v>
      </c>
      <c r="G186" s="85">
        <f t="shared" si="56"/>
        <v>0</v>
      </c>
      <c r="H186" s="85">
        <f t="shared" si="56"/>
        <v>0</v>
      </c>
      <c r="I186" s="85">
        <f t="shared" si="56"/>
        <v>0</v>
      </c>
    </row>
    <row r="187" spans="1:9" s="285" customFormat="1" hidden="1" x14ac:dyDescent="0.25">
      <c r="A187" s="118">
        <v>48</v>
      </c>
      <c r="B187" s="151">
        <v>1160</v>
      </c>
      <c r="C187" s="94" t="s">
        <v>101</v>
      </c>
      <c r="D187" s="122"/>
      <c r="E187" s="98"/>
      <c r="F187" s="85">
        <f t="shared" si="54"/>
        <v>0</v>
      </c>
      <c r="G187" s="85">
        <f t="shared" si="56"/>
        <v>0</v>
      </c>
      <c r="H187" s="85">
        <f t="shared" si="56"/>
        <v>0</v>
      </c>
      <c r="I187" s="85">
        <f t="shared" si="56"/>
        <v>0</v>
      </c>
    </row>
    <row r="188" spans="1:9" s="285" customFormat="1" hidden="1" x14ac:dyDescent="0.25">
      <c r="A188" s="118">
        <v>48</v>
      </c>
      <c r="B188" s="151">
        <v>1165</v>
      </c>
      <c r="C188" s="94" t="s">
        <v>114</v>
      </c>
      <c r="D188" s="122"/>
      <c r="E188" s="98"/>
      <c r="F188" s="85">
        <f t="shared" si="54"/>
        <v>0</v>
      </c>
      <c r="G188" s="85">
        <f t="shared" si="56"/>
        <v>0</v>
      </c>
      <c r="H188" s="85">
        <f t="shared" si="56"/>
        <v>0</v>
      </c>
      <c r="I188" s="85">
        <f t="shared" si="56"/>
        <v>0</v>
      </c>
    </row>
    <row r="189" spans="1:9" s="285" customFormat="1" hidden="1" x14ac:dyDescent="0.25">
      <c r="A189" s="118"/>
      <c r="B189" s="151"/>
      <c r="C189" s="94" t="s">
        <v>403</v>
      </c>
      <c r="D189" s="122"/>
      <c r="E189" s="98"/>
      <c r="F189" s="85">
        <f t="shared" si="54"/>
        <v>0</v>
      </c>
      <c r="G189" s="85">
        <f t="shared" si="56"/>
        <v>0</v>
      </c>
      <c r="H189" s="85">
        <f t="shared" si="56"/>
        <v>0</v>
      </c>
      <c r="I189" s="85">
        <f t="shared" si="56"/>
        <v>0</v>
      </c>
    </row>
    <row r="190" spans="1:9" s="285" customFormat="1" hidden="1" x14ac:dyDescent="0.25">
      <c r="A190" s="118">
        <v>48</v>
      </c>
      <c r="B190" s="151">
        <v>1180</v>
      </c>
      <c r="C190" s="94" t="s">
        <v>404</v>
      </c>
      <c r="D190" s="122"/>
      <c r="E190" s="98"/>
      <c r="F190" s="85">
        <f t="shared" si="54"/>
        <v>0</v>
      </c>
      <c r="G190" s="85">
        <f t="shared" si="56"/>
        <v>0</v>
      </c>
      <c r="H190" s="85">
        <f t="shared" si="56"/>
        <v>0</v>
      </c>
      <c r="I190" s="85">
        <f t="shared" si="56"/>
        <v>0</v>
      </c>
    </row>
    <row r="191" spans="1:9" s="285" customFormat="1" hidden="1" x14ac:dyDescent="0.25">
      <c r="A191" s="118">
        <v>48</v>
      </c>
      <c r="B191" s="151">
        <v>1185</v>
      </c>
      <c r="C191" s="94" t="s">
        <v>405</v>
      </c>
      <c r="D191" s="122"/>
      <c r="E191" s="98"/>
      <c r="F191" s="85">
        <f t="shared" si="54"/>
        <v>0</v>
      </c>
      <c r="G191" s="85">
        <f t="shared" si="56"/>
        <v>0</v>
      </c>
      <c r="H191" s="85">
        <f t="shared" si="56"/>
        <v>0</v>
      </c>
      <c r="I191" s="85">
        <f t="shared" si="56"/>
        <v>0</v>
      </c>
    </row>
    <row r="192" spans="1:9" s="285" customFormat="1" hidden="1" x14ac:dyDescent="0.25">
      <c r="A192" s="118">
        <v>48</v>
      </c>
      <c r="B192" s="151">
        <v>1190</v>
      </c>
      <c r="C192" s="94" t="s">
        <v>406</v>
      </c>
      <c r="D192" s="122"/>
      <c r="E192" s="98"/>
      <c r="F192" s="85">
        <f t="shared" si="54"/>
        <v>0</v>
      </c>
      <c r="G192" s="85">
        <f t="shared" si="56"/>
        <v>0</v>
      </c>
      <c r="H192" s="85">
        <f t="shared" si="56"/>
        <v>0</v>
      </c>
      <c r="I192" s="85">
        <f t="shared" si="56"/>
        <v>0</v>
      </c>
    </row>
    <row r="193" spans="1:9" s="285" customFormat="1" hidden="1" x14ac:dyDescent="0.25">
      <c r="A193" s="118"/>
      <c r="B193" s="151"/>
      <c r="C193" s="94" t="s">
        <v>407</v>
      </c>
      <c r="D193" s="122"/>
      <c r="E193" s="98"/>
      <c r="F193" s="85">
        <f t="shared" si="54"/>
        <v>0</v>
      </c>
      <c r="G193" s="85">
        <f t="shared" si="56"/>
        <v>0</v>
      </c>
      <c r="H193" s="85">
        <f t="shared" si="56"/>
        <v>0</v>
      </c>
      <c r="I193" s="85">
        <f t="shared" si="56"/>
        <v>0</v>
      </c>
    </row>
    <row r="194" spans="1:9" s="285" customFormat="1" hidden="1" x14ac:dyDescent="0.25">
      <c r="A194" s="118">
        <v>48</v>
      </c>
      <c r="B194" s="151">
        <v>1195</v>
      </c>
      <c r="C194" s="94" t="s">
        <v>199</v>
      </c>
      <c r="D194" s="122"/>
      <c r="E194" s="98"/>
      <c r="F194" s="85">
        <f t="shared" si="54"/>
        <v>0</v>
      </c>
      <c r="G194" s="85">
        <f t="shared" si="56"/>
        <v>0</v>
      </c>
      <c r="H194" s="85">
        <f t="shared" si="56"/>
        <v>0</v>
      </c>
      <c r="I194" s="85">
        <f t="shared" si="56"/>
        <v>0</v>
      </c>
    </row>
    <row r="195" spans="1:9" s="285" customFormat="1" hidden="1" x14ac:dyDescent="0.25">
      <c r="A195" s="118">
        <v>48</v>
      </c>
      <c r="B195" s="151">
        <v>1200</v>
      </c>
      <c r="C195" s="94" t="s">
        <v>117</v>
      </c>
      <c r="D195" s="122"/>
      <c r="E195" s="98"/>
      <c r="F195" s="85">
        <f t="shared" si="54"/>
        <v>0</v>
      </c>
      <c r="G195" s="85">
        <f t="shared" si="56"/>
        <v>0</v>
      </c>
      <c r="H195" s="85">
        <f t="shared" si="56"/>
        <v>0</v>
      </c>
      <c r="I195" s="85">
        <f t="shared" si="56"/>
        <v>0</v>
      </c>
    </row>
    <row r="196" spans="1:9" s="285" customFormat="1" hidden="1" x14ac:dyDescent="0.25">
      <c r="A196" s="118">
        <v>48</v>
      </c>
      <c r="B196" s="151">
        <v>1205</v>
      </c>
      <c r="C196" s="115" t="s">
        <v>105</v>
      </c>
      <c r="D196" s="122"/>
      <c r="E196" s="98"/>
      <c r="F196" s="85">
        <f t="shared" si="54"/>
        <v>0</v>
      </c>
      <c r="G196" s="85">
        <f t="shared" si="56"/>
        <v>0</v>
      </c>
      <c r="H196" s="85">
        <f t="shared" si="56"/>
        <v>0</v>
      </c>
      <c r="I196" s="85">
        <f t="shared" si="56"/>
        <v>0</v>
      </c>
    </row>
    <row r="197" spans="1:9" s="285" customFormat="1" x14ac:dyDescent="0.25">
      <c r="A197" s="118">
        <v>48</v>
      </c>
      <c r="B197" s="151">
        <v>1210</v>
      </c>
      <c r="C197" s="94" t="s">
        <v>118</v>
      </c>
      <c r="D197" s="122">
        <f>3437554+4951868</f>
        <v>8389422</v>
      </c>
      <c r="E197" s="98">
        <v>16877393.352000002</v>
      </c>
      <c r="F197" s="85">
        <f t="shared" si="54"/>
        <v>8487971.3520000018</v>
      </c>
      <c r="G197" s="85">
        <f t="shared" si="56"/>
        <v>9336768.4872000013</v>
      </c>
      <c r="H197" s="85">
        <f t="shared" si="56"/>
        <v>10270445.335920002</v>
      </c>
      <c r="I197" s="85">
        <f t="shared" si="56"/>
        <v>11297489.869512003</v>
      </c>
    </row>
    <row r="198" spans="1:9" s="285" customFormat="1" hidden="1" x14ac:dyDescent="0.25">
      <c r="A198" s="118">
        <v>48</v>
      </c>
      <c r="B198" s="151">
        <v>1215</v>
      </c>
      <c r="C198" s="94" t="s">
        <v>133</v>
      </c>
      <c r="D198" s="122"/>
      <c r="E198" s="98">
        <v>0</v>
      </c>
      <c r="F198" s="85">
        <f t="shared" si="54"/>
        <v>0</v>
      </c>
      <c r="G198" s="85">
        <f t="shared" si="56"/>
        <v>0</v>
      </c>
      <c r="H198" s="85">
        <f t="shared" si="56"/>
        <v>0</v>
      </c>
      <c r="I198" s="85">
        <f t="shared" si="56"/>
        <v>0</v>
      </c>
    </row>
    <row r="199" spans="1:9" s="285" customFormat="1" x14ac:dyDescent="0.25">
      <c r="A199" s="118">
        <v>48</v>
      </c>
      <c r="B199" s="151">
        <v>5905</v>
      </c>
      <c r="C199" s="94" t="s">
        <v>408</v>
      </c>
      <c r="D199" s="85">
        <v>-2012140</v>
      </c>
      <c r="E199" s="85">
        <v>-3434400</v>
      </c>
      <c r="F199" s="85">
        <f t="shared" si="54"/>
        <v>-1422260</v>
      </c>
      <c r="G199" s="85">
        <f t="shared" si="56"/>
        <v>-1564486</v>
      </c>
      <c r="H199" s="85">
        <f t="shared" si="56"/>
        <v>-1720934.6</v>
      </c>
      <c r="I199" s="85">
        <f t="shared" si="56"/>
        <v>-1893028.06</v>
      </c>
    </row>
    <row r="200" spans="1:9" s="285" customFormat="1" x14ac:dyDescent="0.25">
      <c r="A200" s="118">
        <v>48</v>
      </c>
      <c r="B200" s="151">
        <v>5900</v>
      </c>
      <c r="C200" s="94" t="s">
        <v>333</v>
      </c>
      <c r="D200" s="85"/>
      <c r="E200" s="85">
        <v>-17024</v>
      </c>
      <c r="F200" s="85">
        <f t="shared" si="54"/>
        <v>-17024</v>
      </c>
      <c r="G200" s="85">
        <f t="shared" si="56"/>
        <v>-18726.400000000001</v>
      </c>
      <c r="H200" s="85">
        <f t="shared" si="56"/>
        <v>-20599.04</v>
      </c>
      <c r="I200" s="85">
        <f t="shared" si="56"/>
        <v>-22658.944000000003</v>
      </c>
    </row>
    <row r="201" spans="1:9" s="285" customFormat="1" hidden="1" x14ac:dyDescent="0.25">
      <c r="A201" s="118">
        <v>48</v>
      </c>
      <c r="B201" s="151">
        <v>1220</v>
      </c>
      <c r="C201" s="94" t="s">
        <v>340</v>
      </c>
      <c r="D201" s="122"/>
      <c r="E201" s="98">
        <v>0</v>
      </c>
      <c r="F201" s="85">
        <f t="shared" si="54"/>
        <v>0</v>
      </c>
      <c r="G201" s="85">
        <f t="shared" si="56"/>
        <v>0</v>
      </c>
      <c r="H201" s="85">
        <f t="shared" si="56"/>
        <v>0</v>
      </c>
      <c r="I201" s="85">
        <f t="shared" si="56"/>
        <v>0</v>
      </c>
    </row>
    <row r="202" spans="1:9" s="285" customFormat="1" hidden="1" x14ac:dyDescent="0.25">
      <c r="A202" s="118">
        <v>48</v>
      </c>
      <c r="B202" s="151">
        <v>1225</v>
      </c>
      <c r="C202" s="94" t="s">
        <v>372</v>
      </c>
      <c r="D202" s="122"/>
      <c r="E202" s="98">
        <v>0</v>
      </c>
      <c r="F202" s="85">
        <f t="shared" si="54"/>
        <v>0</v>
      </c>
      <c r="G202" s="85">
        <f t="shared" si="56"/>
        <v>0</v>
      </c>
      <c r="H202" s="85">
        <f t="shared" si="56"/>
        <v>0</v>
      </c>
      <c r="I202" s="85">
        <f t="shared" si="56"/>
        <v>0</v>
      </c>
    </row>
    <row r="203" spans="1:9" s="285" customFormat="1" hidden="1" x14ac:dyDescent="0.25">
      <c r="A203" s="118">
        <v>48</v>
      </c>
      <c r="B203" s="151">
        <v>1230</v>
      </c>
      <c r="C203" s="94" t="s">
        <v>119</v>
      </c>
      <c r="D203" s="122"/>
      <c r="E203" s="98">
        <v>0</v>
      </c>
      <c r="F203" s="85">
        <f t="shared" si="54"/>
        <v>0</v>
      </c>
      <c r="G203" s="85">
        <f t="shared" si="56"/>
        <v>0</v>
      </c>
      <c r="H203" s="85">
        <f t="shared" si="56"/>
        <v>0</v>
      </c>
      <c r="I203" s="85">
        <f t="shared" si="56"/>
        <v>0</v>
      </c>
    </row>
    <row r="204" spans="1:9" s="285" customFormat="1" hidden="1" x14ac:dyDescent="0.25">
      <c r="A204" s="118">
        <v>48</v>
      </c>
      <c r="B204" s="151">
        <v>1235</v>
      </c>
      <c r="C204" s="94" t="s">
        <v>347</v>
      </c>
      <c r="D204" s="122"/>
      <c r="E204" s="98">
        <v>0</v>
      </c>
      <c r="F204" s="85">
        <f t="shared" si="54"/>
        <v>0</v>
      </c>
      <c r="G204" s="85">
        <f t="shared" si="56"/>
        <v>0</v>
      </c>
      <c r="H204" s="85">
        <f t="shared" si="56"/>
        <v>0</v>
      </c>
      <c r="I204" s="85">
        <f t="shared" si="56"/>
        <v>0</v>
      </c>
    </row>
    <row r="205" spans="1:9" s="285" customFormat="1" x14ac:dyDescent="0.25">
      <c r="A205" s="118">
        <v>48</v>
      </c>
      <c r="B205" s="151">
        <v>1210</v>
      </c>
      <c r="C205" s="94" t="s">
        <v>512</v>
      </c>
      <c r="D205" s="225">
        <v>4075627</v>
      </c>
      <c r="E205" s="85">
        <v>11600000</v>
      </c>
      <c r="F205" s="85">
        <f t="shared" si="54"/>
        <v>7524373</v>
      </c>
      <c r="G205" s="85">
        <f t="shared" si="56"/>
        <v>8276810.2999999998</v>
      </c>
      <c r="H205" s="85">
        <f t="shared" si="56"/>
        <v>9104491.3300000001</v>
      </c>
      <c r="I205" s="85">
        <f t="shared" si="56"/>
        <v>10014940.463</v>
      </c>
    </row>
    <row r="206" spans="1:9" s="285" customFormat="1" x14ac:dyDescent="0.25">
      <c r="A206" s="344"/>
      <c r="B206" s="151"/>
      <c r="C206" s="94"/>
      <c r="D206" s="99">
        <f t="shared" ref="D206:I206" si="57">SUM(D176:D205)</f>
        <v>10452909</v>
      </c>
      <c r="E206" s="99">
        <f t="shared" si="57"/>
        <v>24912739.352000002</v>
      </c>
      <c r="F206" s="99">
        <f t="shared" si="57"/>
        <v>14459830.352000002</v>
      </c>
      <c r="G206" s="99">
        <f t="shared" si="57"/>
        <v>15905813.387200002</v>
      </c>
      <c r="H206" s="99">
        <f t="shared" si="57"/>
        <v>17496394.725920003</v>
      </c>
      <c r="I206" s="99">
        <f t="shared" si="57"/>
        <v>19246034.198512003</v>
      </c>
    </row>
    <row r="207" spans="1:9" s="285" customFormat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9" s="285" customFormat="1" hidden="1" x14ac:dyDescent="0.25">
      <c r="A208" s="118">
        <v>48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98"/>
      <c r="H208" s="98"/>
      <c r="I208" s="98"/>
    </row>
    <row r="209" spans="1:9" s="285" customFormat="1" hidden="1" x14ac:dyDescent="0.25">
      <c r="A209" s="118">
        <v>48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98"/>
      <c r="H209" s="98"/>
      <c r="I209" s="98"/>
    </row>
    <row r="210" spans="1:9" s="285" customFormat="1" hidden="1" x14ac:dyDescent="0.25">
      <c r="A210" s="118">
        <v>48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98"/>
      <c r="H210" s="98"/>
      <c r="I210" s="98"/>
    </row>
    <row r="211" spans="1:9" s="285" customFormat="1" hidden="1" x14ac:dyDescent="0.25">
      <c r="A211" s="118">
        <v>48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98"/>
      <c r="H211" s="98"/>
      <c r="I211" s="108"/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>SUM(E208:E211)</f>
        <v>0</v>
      </c>
      <c r="F212" s="99">
        <f>SUM(F208:F211)</f>
        <v>0</v>
      </c>
      <c r="G212" s="99"/>
      <c r="H212" s="99"/>
      <c r="I212" s="99"/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48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98"/>
      <c r="H214" s="98"/>
      <c r="I214" s="108"/>
    </row>
    <row r="215" spans="1:9" s="285" customFormat="1" hidden="1" x14ac:dyDescent="0.25">
      <c r="A215" s="118">
        <v>48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98"/>
      <c r="H215" s="98"/>
      <c r="I215" s="108"/>
    </row>
    <row r="216" spans="1:9" s="285" customFormat="1" hidden="1" x14ac:dyDescent="0.25">
      <c r="A216" s="344"/>
      <c r="B216" s="151"/>
      <c r="C216" s="94"/>
      <c r="D216" s="99">
        <f t="shared" ref="D216:F216" si="58">SUM(D214:D215)</f>
        <v>0</v>
      </c>
      <c r="E216" s="99">
        <f t="shared" si="58"/>
        <v>0</v>
      </c>
      <c r="F216" s="99">
        <f t="shared" si="58"/>
        <v>0</v>
      </c>
      <c r="G216" s="99"/>
      <c r="H216" s="99"/>
      <c r="I216" s="99"/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48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98"/>
      <c r="H218" s="98"/>
      <c r="I218" s="108"/>
    </row>
    <row r="219" spans="1:9" s="285" customFormat="1" hidden="1" x14ac:dyDescent="0.25">
      <c r="A219" s="118">
        <v>48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98"/>
      <c r="H219" s="98"/>
      <c r="I219" s="108"/>
    </row>
    <row r="220" spans="1:9" s="285" customFormat="1" hidden="1" x14ac:dyDescent="0.25">
      <c r="A220" s="118">
        <v>48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98"/>
      <c r="H220" s="98"/>
      <c r="I220" s="108"/>
    </row>
    <row r="221" spans="1:9" s="285" customFormat="1" hidden="1" x14ac:dyDescent="0.25">
      <c r="A221" s="344"/>
      <c r="B221" s="151"/>
      <c r="C221" s="94"/>
      <c r="D221" s="99">
        <f t="shared" ref="D221:F221" si="59">SUM(D218:D220)</f>
        <v>0</v>
      </c>
      <c r="E221" s="99">
        <f t="shared" si="59"/>
        <v>0</v>
      </c>
      <c r="F221" s="99">
        <f t="shared" si="59"/>
        <v>0</v>
      </c>
      <c r="G221" s="99"/>
      <c r="H221" s="99"/>
      <c r="I221" s="99"/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48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98"/>
      <c r="H223" s="98"/>
      <c r="I223" s="98"/>
    </row>
    <row r="224" spans="1:9" s="285" customFormat="1" hidden="1" x14ac:dyDescent="0.25">
      <c r="A224" s="118">
        <v>48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98"/>
      <c r="H224" s="98"/>
      <c r="I224" s="108"/>
    </row>
    <row r="225" spans="1:9" s="285" customFormat="1" hidden="1" x14ac:dyDescent="0.25">
      <c r="A225" s="344"/>
      <c r="B225" s="151"/>
      <c r="C225" s="94"/>
      <c r="D225" s="100">
        <f t="shared" ref="D225:F225" si="60">SUM(D223:D224)</f>
        <v>0</v>
      </c>
      <c r="E225" s="100">
        <f t="shared" si="60"/>
        <v>0</v>
      </c>
      <c r="F225" s="100">
        <f t="shared" si="60"/>
        <v>0</v>
      </c>
      <c r="G225" s="100"/>
      <c r="H225" s="100"/>
      <c r="I225" s="100"/>
    </row>
    <row r="226" spans="1:9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x14ac:dyDescent="0.25">
      <c r="A227" s="118">
        <v>48</v>
      </c>
      <c r="B227" s="151">
        <v>1605</v>
      </c>
      <c r="C227" s="94" t="s">
        <v>75</v>
      </c>
      <c r="D227" s="122">
        <v>15241500</v>
      </c>
      <c r="E227" s="98">
        <v>20000000</v>
      </c>
      <c r="F227" s="85">
        <f t="shared" ref="F227:F239" si="61">E227-D227</f>
        <v>4758500</v>
      </c>
      <c r="G227" s="86">
        <v>21212000</v>
      </c>
      <c r="H227" s="98">
        <v>22070000</v>
      </c>
      <c r="I227" s="85">
        <v>18937000</v>
      </c>
    </row>
    <row r="228" spans="1:9" s="285" customFormat="1" hidden="1" x14ac:dyDescent="0.25">
      <c r="A228" s="118">
        <v>48</v>
      </c>
      <c r="B228" s="151">
        <v>1610</v>
      </c>
      <c r="C228" s="94" t="s">
        <v>131</v>
      </c>
      <c r="D228" s="122"/>
      <c r="E228" s="108"/>
      <c r="F228" s="85">
        <f t="shared" si="61"/>
        <v>0</v>
      </c>
      <c r="G228" s="86"/>
      <c r="H228" s="98"/>
      <c r="I228" s="85"/>
    </row>
    <row r="229" spans="1:9" s="285" customFormat="1" hidden="1" x14ac:dyDescent="0.25">
      <c r="A229" s="118">
        <v>48</v>
      </c>
      <c r="B229" s="151">
        <v>1615</v>
      </c>
      <c r="C229" s="94" t="s">
        <v>182</v>
      </c>
      <c r="D229" s="122"/>
      <c r="E229" s="108"/>
      <c r="F229" s="85">
        <f t="shared" si="61"/>
        <v>0</v>
      </c>
      <c r="G229" s="86"/>
      <c r="H229" s="98"/>
      <c r="I229" s="85"/>
    </row>
    <row r="230" spans="1:9" s="285" customFormat="1" hidden="1" x14ac:dyDescent="0.25">
      <c r="A230" s="118">
        <v>48</v>
      </c>
      <c r="B230" s="151">
        <v>1620</v>
      </c>
      <c r="C230" s="94" t="s">
        <v>255</v>
      </c>
      <c r="D230" s="122"/>
      <c r="E230" s="108"/>
      <c r="F230" s="85">
        <f t="shared" si="61"/>
        <v>0</v>
      </c>
      <c r="G230" s="86"/>
      <c r="H230" s="98"/>
      <c r="I230" s="85"/>
    </row>
    <row r="231" spans="1:9" s="285" customFormat="1" hidden="1" x14ac:dyDescent="0.25">
      <c r="A231" s="118">
        <v>48</v>
      </c>
      <c r="B231" s="151">
        <v>1625</v>
      </c>
      <c r="C231" s="94" t="s">
        <v>108</v>
      </c>
      <c r="D231" s="122"/>
      <c r="E231" s="108"/>
      <c r="F231" s="85">
        <f t="shared" si="61"/>
        <v>0</v>
      </c>
      <c r="G231" s="86"/>
      <c r="H231" s="98"/>
      <c r="I231" s="85"/>
    </row>
    <row r="232" spans="1:9" s="285" customFormat="1" hidden="1" x14ac:dyDescent="0.25">
      <c r="A232" s="118">
        <v>48</v>
      </c>
      <c r="B232" s="151">
        <v>1630</v>
      </c>
      <c r="C232" s="94" t="s">
        <v>76</v>
      </c>
      <c r="D232" s="122"/>
      <c r="E232" s="108"/>
      <c r="F232" s="85">
        <f t="shared" si="61"/>
        <v>0</v>
      </c>
      <c r="G232" s="86"/>
      <c r="H232" s="98"/>
      <c r="I232" s="85"/>
    </row>
    <row r="233" spans="1:9" s="285" customFormat="1" hidden="1" x14ac:dyDescent="0.25">
      <c r="A233" s="118">
        <v>48</v>
      </c>
      <c r="B233" s="151">
        <v>1635</v>
      </c>
      <c r="C233" s="94" t="s">
        <v>180</v>
      </c>
      <c r="D233" s="122"/>
      <c r="E233" s="108"/>
      <c r="F233" s="85">
        <f t="shared" si="61"/>
        <v>0</v>
      </c>
      <c r="G233" s="86"/>
      <c r="H233" s="98"/>
      <c r="I233" s="85"/>
    </row>
    <row r="234" spans="1:9" s="285" customFormat="1" hidden="1" x14ac:dyDescent="0.25">
      <c r="A234" s="118">
        <v>48</v>
      </c>
      <c r="B234" s="151">
        <v>1640</v>
      </c>
      <c r="C234" s="94" t="s">
        <v>184</v>
      </c>
      <c r="D234" s="122"/>
      <c r="E234" s="108"/>
      <c r="F234" s="85">
        <f t="shared" si="61"/>
        <v>0</v>
      </c>
      <c r="G234" s="86"/>
      <c r="H234" s="98"/>
      <c r="I234" s="85"/>
    </row>
    <row r="235" spans="1:9" s="285" customFormat="1" hidden="1" x14ac:dyDescent="0.25">
      <c r="A235" s="118">
        <v>48</v>
      </c>
      <c r="B235" s="151">
        <v>1645</v>
      </c>
      <c r="C235" s="94" t="s">
        <v>77</v>
      </c>
      <c r="D235" s="122"/>
      <c r="E235" s="108"/>
      <c r="F235" s="85">
        <f t="shared" si="61"/>
        <v>0</v>
      </c>
      <c r="G235" s="86"/>
      <c r="H235" s="98"/>
      <c r="I235" s="85"/>
    </row>
    <row r="236" spans="1:9" s="285" customFormat="1" hidden="1" x14ac:dyDescent="0.25">
      <c r="A236" s="118">
        <v>48</v>
      </c>
      <c r="B236" s="151">
        <v>1650</v>
      </c>
      <c r="C236" s="94" t="s">
        <v>78</v>
      </c>
      <c r="D236" s="122"/>
      <c r="E236" s="108"/>
      <c r="F236" s="85">
        <f t="shared" si="61"/>
        <v>0</v>
      </c>
      <c r="G236" s="86"/>
      <c r="H236" s="98"/>
      <c r="I236" s="85"/>
    </row>
    <row r="237" spans="1:9" s="285" customFormat="1" hidden="1" x14ac:dyDescent="0.25">
      <c r="A237" s="118">
        <v>48</v>
      </c>
      <c r="B237" s="151"/>
      <c r="C237" s="94" t="s">
        <v>200</v>
      </c>
      <c r="D237" s="122"/>
      <c r="E237" s="108"/>
      <c r="F237" s="85">
        <f t="shared" si="61"/>
        <v>0</v>
      </c>
      <c r="G237" s="86"/>
      <c r="H237" s="98"/>
      <c r="I237" s="85"/>
    </row>
    <row r="238" spans="1:9" s="285" customFormat="1" hidden="1" x14ac:dyDescent="0.25">
      <c r="A238" s="118">
        <v>48</v>
      </c>
      <c r="B238" s="151">
        <v>1660</v>
      </c>
      <c r="C238" s="94" t="s">
        <v>185</v>
      </c>
      <c r="D238" s="122"/>
      <c r="E238" s="108"/>
      <c r="F238" s="85">
        <f t="shared" si="61"/>
        <v>0</v>
      </c>
      <c r="G238" s="86"/>
      <c r="H238" s="98"/>
      <c r="I238" s="85"/>
    </row>
    <row r="239" spans="1:9" s="285" customFormat="1" x14ac:dyDescent="0.25">
      <c r="A239" s="118">
        <v>48</v>
      </c>
      <c r="B239" s="151">
        <v>1665</v>
      </c>
      <c r="C239" s="94" t="s">
        <v>496</v>
      </c>
      <c r="D239" s="122">
        <f>[2]SC6!$G$43</f>
        <v>3929257</v>
      </c>
      <c r="E239" s="108">
        <v>17000000</v>
      </c>
      <c r="F239" s="85">
        <f t="shared" si="61"/>
        <v>13070743</v>
      </c>
      <c r="G239" s="86">
        <v>46000000</v>
      </c>
      <c r="H239" s="98">
        <v>60000000</v>
      </c>
      <c r="I239" s="85">
        <v>72000000</v>
      </c>
    </row>
    <row r="240" spans="1:9" s="285" customFormat="1" x14ac:dyDescent="0.25">
      <c r="A240" s="344"/>
      <c r="B240" s="151"/>
      <c r="C240" s="94"/>
      <c r="D240" s="99">
        <f t="shared" ref="D240:F240" si="62">SUM(D227:D239)</f>
        <v>19170757</v>
      </c>
      <c r="E240" s="99">
        <f t="shared" si="62"/>
        <v>37000000</v>
      </c>
      <c r="F240" s="99">
        <f t="shared" si="62"/>
        <v>17829243</v>
      </c>
      <c r="G240" s="99">
        <f t="shared" ref="G240:H240" si="63">SUM(G227:G239)</f>
        <v>67212000</v>
      </c>
      <c r="H240" s="99">
        <f t="shared" si="63"/>
        <v>82070000</v>
      </c>
      <c r="I240" s="99">
        <f t="shared" ref="I240" si="64">SUM(I227:I239)</f>
        <v>90937000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48</v>
      </c>
      <c r="B242" s="151">
        <v>1705</v>
      </c>
      <c r="C242" s="94" t="s">
        <v>123</v>
      </c>
      <c r="D242" s="122"/>
      <c r="E242" s="98"/>
      <c r="F242" s="98">
        <f t="shared" ref="F242:G247" si="65">E242/8*12</f>
        <v>0</v>
      </c>
      <c r="G242" s="98">
        <f t="shared" si="65"/>
        <v>0</v>
      </c>
      <c r="H242" s="98">
        <f t="shared" ref="H242:H247" si="66">G242/8*12</f>
        <v>0</v>
      </c>
      <c r="I242" s="98">
        <f t="shared" ref="I242:I247" si="67">H242/8*12</f>
        <v>0</v>
      </c>
    </row>
    <row r="243" spans="1:9" s="285" customFormat="1" hidden="1" x14ac:dyDescent="0.25">
      <c r="A243" s="118">
        <v>48</v>
      </c>
      <c r="B243" s="151">
        <v>1710</v>
      </c>
      <c r="C243" s="94" t="s">
        <v>242</v>
      </c>
      <c r="D243" s="122"/>
      <c r="E243" s="98"/>
      <c r="F243" s="98">
        <f t="shared" si="65"/>
        <v>0</v>
      </c>
      <c r="G243" s="98">
        <f t="shared" si="65"/>
        <v>0</v>
      </c>
      <c r="H243" s="98">
        <f t="shared" si="66"/>
        <v>0</v>
      </c>
      <c r="I243" s="98">
        <f t="shared" si="67"/>
        <v>0</v>
      </c>
    </row>
    <row r="244" spans="1:9" s="285" customFormat="1" hidden="1" x14ac:dyDescent="0.25">
      <c r="A244" s="118">
        <v>48</v>
      </c>
      <c r="B244" s="151">
        <v>1715</v>
      </c>
      <c r="C244" s="94" t="s">
        <v>183</v>
      </c>
      <c r="D244" s="122"/>
      <c r="E244" s="98"/>
      <c r="F244" s="98">
        <f t="shared" si="65"/>
        <v>0</v>
      </c>
      <c r="G244" s="98">
        <f t="shared" si="65"/>
        <v>0</v>
      </c>
      <c r="H244" s="98">
        <f t="shared" si="66"/>
        <v>0</v>
      </c>
      <c r="I244" s="98">
        <f t="shared" si="67"/>
        <v>0</v>
      </c>
    </row>
    <row r="245" spans="1:9" s="285" customFormat="1" hidden="1" x14ac:dyDescent="0.25">
      <c r="A245" s="118">
        <v>48</v>
      </c>
      <c r="B245" s="151">
        <v>1720</v>
      </c>
      <c r="C245" s="94" t="s">
        <v>103</v>
      </c>
      <c r="D245" s="122"/>
      <c r="E245" s="98"/>
      <c r="F245" s="98">
        <f t="shared" si="65"/>
        <v>0</v>
      </c>
      <c r="G245" s="98">
        <f t="shared" si="65"/>
        <v>0</v>
      </c>
      <c r="H245" s="98">
        <f t="shared" si="66"/>
        <v>0</v>
      </c>
      <c r="I245" s="98">
        <f t="shared" si="67"/>
        <v>0</v>
      </c>
    </row>
    <row r="246" spans="1:9" s="285" customFormat="1" hidden="1" x14ac:dyDescent="0.25">
      <c r="A246" s="118">
        <v>48</v>
      </c>
      <c r="B246" s="151">
        <v>1725</v>
      </c>
      <c r="C246" s="94" t="s">
        <v>107</v>
      </c>
      <c r="D246" s="122"/>
      <c r="E246" s="98"/>
      <c r="F246" s="98">
        <f t="shared" si="65"/>
        <v>0</v>
      </c>
      <c r="G246" s="98">
        <f t="shared" si="65"/>
        <v>0</v>
      </c>
      <c r="H246" s="98">
        <f t="shared" si="66"/>
        <v>0</v>
      </c>
      <c r="I246" s="98">
        <f t="shared" si="67"/>
        <v>0</v>
      </c>
    </row>
    <row r="247" spans="1:9" s="285" customFormat="1" hidden="1" x14ac:dyDescent="0.25">
      <c r="A247" s="118">
        <v>48</v>
      </c>
      <c r="B247" s="151">
        <v>1730</v>
      </c>
      <c r="C247" s="94" t="s">
        <v>256</v>
      </c>
      <c r="D247" s="122"/>
      <c r="E247" s="98"/>
      <c r="F247" s="98">
        <f t="shared" si="65"/>
        <v>0</v>
      </c>
      <c r="G247" s="98">
        <f t="shared" si="65"/>
        <v>0</v>
      </c>
      <c r="H247" s="98">
        <f t="shared" si="66"/>
        <v>0</v>
      </c>
      <c r="I247" s="98">
        <f t="shared" si="67"/>
        <v>0</v>
      </c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:F248" si="68">SUM(E242:E247)</f>
        <v>0</v>
      </c>
      <c r="F248" s="99">
        <f t="shared" si="68"/>
        <v>0</v>
      </c>
      <c r="G248" s="99">
        <f t="shared" ref="G248:H248" si="69">SUM(G242:G247)</f>
        <v>0</v>
      </c>
      <c r="H248" s="99">
        <f t="shared" si="69"/>
        <v>0</v>
      </c>
      <c r="I248" s="99">
        <f t="shared" ref="I248" si="70">SUM(I242:I247)</f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48</v>
      </c>
      <c r="B250" s="151">
        <v>1805</v>
      </c>
      <c r="C250" s="94" t="s">
        <v>81</v>
      </c>
      <c r="D250" s="122"/>
      <c r="E250" s="108"/>
      <c r="F250" s="98">
        <f>E250/8*12</f>
        <v>0</v>
      </c>
      <c r="G250" s="98">
        <f>F250/8*12</f>
        <v>0</v>
      </c>
      <c r="H250" s="98">
        <f>G250/8*12</f>
        <v>0</v>
      </c>
      <c r="I250" s="98">
        <f>H250/8*12</f>
        <v>0</v>
      </c>
    </row>
    <row r="251" spans="1:9" s="285" customFormat="1" hidden="1" x14ac:dyDescent="0.25">
      <c r="A251" s="344"/>
      <c r="B251" s="151"/>
      <c r="C251" s="94"/>
      <c r="D251" s="99">
        <f t="shared" ref="D251:F251" si="71">D250</f>
        <v>0</v>
      </c>
      <c r="E251" s="99">
        <f t="shared" si="71"/>
        <v>0</v>
      </c>
      <c r="F251" s="99">
        <f t="shared" si="71"/>
        <v>0</v>
      </c>
      <c r="G251" s="99">
        <f t="shared" ref="G251:H251" si="72">G250</f>
        <v>0</v>
      </c>
      <c r="H251" s="99">
        <f t="shared" si="72"/>
        <v>0</v>
      </c>
      <c r="I251" s="99">
        <f t="shared" ref="I251" si="73">I250</f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F252" si="74">SUM(D171:D251)/2</f>
        <v>29623666</v>
      </c>
      <c r="E252" s="117">
        <f t="shared" si="74"/>
        <v>61912739.351999998</v>
      </c>
      <c r="F252" s="117">
        <f t="shared" si="74"/>
        <v>32289073.352000002</v>
      </c>
      <c r="G252" s="117">
        <f t="shared" ref="G252:H252" si="75">SUM(G171:G251)/2</f>
        <v>83117813.387199998</v>
      </c>
      <c r="H252" s="117">
        <f t="shared" si="75"/>
        <v>99566394.725920007</v>
      </c>
      <c r="I252" s="117">
        <f t="shared" ref="I252" si="76">SUM(I171:I251)/2</f>
        <v>110183034.198512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124"/>
      <c r="H254" s="124"/>
      <c r="I254" s="124"/>
    </row>
    <row r="255" spans="1:9" s="285" customFormat="1" hidden="1" x14ac:dyDescent="0.25">
      <c r="A255" s="118">
        <v>48</v>
      </c>
      <c r="B255" s="151">
        <v>1905</v>
      </c>
      <c r="C255" s="118" t="s">
        <v>194</v>
      </c>
      <c r="D255" s="127"/>
      <c r="E255" s="147"/>
      <c r="F255" s="98">
        <f>E255/8*12</f>
        <v>0</v>
      </c>
      <c r="G255" s="98">
        <f>F255/8*12</f>
        <v>0</v>
      </c>
      <c r="H255" s="98">
        <f>G255/8*12</f>
        <v>0</v>
      </c>
      <c r="I255" s="98">
        <f>H255/8*12</f>
        <v>0</v>
      </c>
    </row>
    <row r="256" spans="1:9" s="285" customFormat="1" hidden="1" x14ac:dyDescent="0.25">
      <c r="A256" s="344"/>
      <c r="B256" s="151"/>
      <c r="C256" s="94"/>
      <c r="D256" s="117">
        <f t="shared" ref="D256:F256" si="77">SUM(D255)</f>
        <v>0</v>
      </c>
      <c r="E256" s="117">
        <f t="shared" si="77"/>
        <v>0</v>
      </c>
      <c r="F256" s="117">
        <f t="shared" si="77"/>
        <v>0</v>
      </c>
      <c r="G256" s="117">
        <f t="shared" ref="G256:H256" si="78">SUM(G255)</f>
        <v>0</v>
      </c>
      <c r="H256" s="117">
        <f t="shared" si="78"/>
        <v>0</v>
      </c>
      <c r="I256" s="117">
        <f t="shared" ref="I256" si="79">SUM(I255)</f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F257" si="80">D252+D256</f>
        <v>29623666</v>
      </c>
      <c r="E257" s="117">
        <f t="shared" si="80"/>
        <v>61912739.351999998</v>
      </c>
      <c r="F257" s="117">
        <f t="shared" si="80"/>
        <v>32289073.352000002</v>
      </c>
      <c r="G257" s="117">
        <f t="shared" ref="G257:H257" si="81">G252+G256</f>
        <v>83117813.387199998</v>
      </c>
      <c r="H257" s="117">
        <f t="shared" si="81"/>
        <v>99566394.725920007</v>
      </c>
      <c r="I257" s="117">
        <f t="shared" ref="I257" si="82">I252+I256</f>
        <v>110183034.198512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125"/>
      <c r="H258" s="125"/>
      <c r="I258" s="125"/>
    </row>
    <row r="259" spans="1:9" s="285" customFormat="1" hidden="1" x14ac:dyDescent="0.25">
      <c r="A259" s="118">
        <v>48</v>
      </c>
      <c r="B259" s="151">
        <v>1950</v>
      </c>
      <c r="C259" s="118" t="s">
        <v>196</v>
      </c>
      <c r="D259" s="127"/>
      <c r="E259" s="147"/>
      <c r="F259" s="98">
        <f>E259/8*12</f>
        <v>0</v>
      </c>
      <c r="G259" s="98">
        <f>F259/8*12</f>
        <v>0</v>
      </c>
      <c r="H259" s="98">
        <f>G259/8*12</f>
        <v>0</v>
      </c>
      <c r="I259" s="98">
        <f>H259/8*12</f>
        <v>0</v>
      </c>
    </row>
    <row r="260" spans="1:9" s="285" customFormat="1" hidden="1" x14ac:dyDescent="0.25">
      <c r="A260" s="344"/>
      <c r="B260" s="346"/>
      <c r="C260" s="94"/>
      <c r="D260" s="124">
        <f t="shared" ref="D260:F260" si="83">D259</f>
        <v>0</v>
      </c>
      <c r="E260" s="124">
        <f t="shared" si="83"/>
        <v>0</v>
      </c>
      <c r="F260" s="124">
        <f t="shared" si="83"/>
        <v>0</v>
      </c>
      <c r="G260" s="124">
        <f t="shared" ref="G260:H260" si="84">G259</f>
        <v>0</v>
      </c>
      <c r="H260" s="124">
        <f t="shared" si="84"/>
        <v>0</v>
      </c>
      <c r="I260" s="124">
        <f t="shared" ref="I260" si="85">I259</f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F261" si="86">D257+D260</f>
        <v>29623666</v>
      </c>
      <c r="E261" s="160">
        <f t="shared" si="86"/>
        <v>61912739.351999998</v>
      </c>
      <c r="F261" s="160">
        <f t="shared" si="86"/>
        <v>32289073.352000002</v>
      </c>
      <c r="G261" s="160">
        <f t="shared" ref="G261:H261" si="87">G257+G260</f>
        <v>83117813.387199998</v>
      </c>
      <c r="H261" s="160">
        <f t="shared" si="87"/>
        <v>99566394.725920007</v>
      </c>
      <c r="I261" s="160">
        <f t="shared" ref="I261" si="88">I257+I260</f>
        <v>110183034.198512</v>
      </c>
    </row>
    <row r="262" spans="1:9" s="285" customFormat="1" x14ac:dyDescent="0.25">
      <c r="A262" s="349"/>
      <c r="B262" s="154"/>
      <c r="C262" s="126" t="s">
        <v>82</v>
      </c>
      <c r="D262" s="161">
        <f t="shared" ref="D262:F262" si="89">D261-D165</f>
        <v>21401014.990000002</v>
      </c>
      <c r="E262" s="161">
        <f t="shared" si="89"/>
        <v>38975305.707000002</v>
      </c>
      <c r="F262" s="161">
        <f t="shared" si="89"/>
        <v>17301639.707000002</v>
      </c>
      <c r="G262" s="161">
        <f t="shared" ref="G262:H262" si="90">G261-G165</f>
        <v>57836825.813199997</v>
      </c>
      <c r="H262" s="161">
        <f t="shared" si="90"/>
        <v>82071206.870020002</v>
      </c>
      <c r="I262" s="161">
        <f t="shared" ref="I262" si="91">I261-I165</f>
        <v>92004259.392522007</v>
      </c>
    </row>
    <row r="263" spans="1:9" x14ac:dyDescent="0.25">
      <c r="A263" s="101"/>
    </row>
    <row r="264" spans="1:9" x14ac:dyDescent="0.25">
      <c r="A264" s="101"/>
    </row>
    <row r="266" spans="1:9" x14ac:dyDescent="0.25">
      <c r="E266" s="128"/>
      <c r="F266" s="128"/>
      <c r="G266" s="128"/>
      <c r="H266" s="128"/>
    </row>
    <row r="267" spans="1:9" x14ac:dyDescent="0.25">
      <c r="E267" s="128"/>
      <c r="F267" s="128"/>
      <c r="G267" s="128"/>
      <c r="H267" s="128"/>
      <c r="I267" s="109"/>
    </row>
    <row r="268" spans="1:9" x14ac:dyDescent="0.25">
      <c r="E268" s="128"/>
      <c r="F268" s="128"/>
      <c r="G268" s="128"/>
      <c r="H268" s="128"/>
    </row>
  </sheetData>
  <mergeCells count="5">
    <mergeCell ref="A1:I2"/>
    <mergeCell ref="A3:C3"/>
    <mergeCell ref="A4:B5"/>
    <mergeCell ref="B168:D168"/>
    <mergeCell ref="A169:B170"/>
  </mergeCells>
  <phoneticPr fontId="0" type="noConversion"/>
  <pageMargins left="0.74803149606299213" right="0.74803149606299213" top="0.62992125984251968" bottom="0.51181102362204722" header="0.51181102362204722" footer="0.35433070866141736"/>
  <pageSetup scale="3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70"/>
  <sheetViews>
    <sheetView view="pageBreakPreview" topLeftCell="A152" zoomScaleSheetLayoutView="100" workbookViewId="0">
      <selection activeCell="K31" sqref="K3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1.5546875" style="96" customWidth="1"/>
    <col min="5" max="5" width="11.6640625" style="96" customWidth="1"/>
    <col min="6" max="6" width="11.88671875" style="96" customWidth="1"/>
    <col min="7" max="8" width="11.44140625" style="96" customWidth="1"/>
    <col min="9" max="9" width="14" style="96" customWidth="1"/>
    <col min="10" max="10" width="10.44140625" style="96" bestFit="1" customWidth="1"/>
    <col min="11" max="16384" width="9.109375" style="96"/>
  </cols>
  <sheetData>
    <row r="1" spans="1:9" s="285" customFormat="1" ht="12.75" customHeight="1" x14ac:dyDescent="0.25">
      <c r="A1" s="699" t="s">
        <v>367</v>
      </c>
      <c r="B1" s="700"/>
      <c r="C1" s="700"/>
      <c r="D1" s="700"/>
      <c r="E1" s="700"/>
      <c r="F1" s="700"/>
      <c r="G1" s="700"/>
      <c r="H1" s="700"/>
      <c r="I1" s="700"/>
    </row>
    <row r="2" spans="1:9" s="285" customFormat="1" ht="12.75" customHeight="1" x14ac:dyDescent="0.25">
      <c r="A2" s="701"/>
      <c r="B2" s="702"/>
      <c r="C2" s="702"/>
      <c r="D2" s="702"/>
      <c r="E2" s="702"/>
      <c r="F2" s="702"/>
      <c r="G2" s="702"/>
      <c r="H2" s="702"/>
      <c r="I2" s="702"/>
    </row>
    <row r="3" spans="1:9" s="285" customFormat="1" x14ac:dyDescent="0.25">
      <c r="A3" s="703" t="s">
        <v>417</v>
      </c>
      <c r="B3" s="704"/>
      <c r="C3" s="705"/>
      <c r="D3" s="149"/>
      <c r="E3" s="338"/>
      <c r="F3" s="338"/>
      <c r="G3" s="338"/>
      <c r="H3" s="424"/>
      <c r="I3" s="338"/>
    </row>
    <row r="4" spans="1:9" s="285" customFormat="1" x14ac:dyDescent="0.25">
      <c r="A4" s="706" t="s">
        <v>21</v>
      </c>
      <c r="B4" s="707"/>
      <c r="C4" s="150">
        <v>4</v>
      </c>
      <c r="D4" s="103" t="s">
        <v>23</v>
      </c>
      <c r="E4" s="104" t="s">
        <v>24</v>
      </c>
      <c r="F4" s="103" t="s">
        <v>537</v>
      </c>
      <c r="G4" s="104" t="s">
        <v>24</v>
      </c>
      <c r="H4" s="104" t="s">
        <v>24</v>
      </c>
      <c r="I4" s="104" t="s">
        <v>24</v>
      </c>
    </row>
    <row r="5" spans="1:9" s="285" customFormat="1" x14ac:dyDescent="0.25">
      <c r="A5" s="708"/>
      <c r="B5" s="709"/>
      <c r="C5" s="106"/>
      <c r="D5" s="333">
        <v>41639</v>
      </c>
      <c r="E5" s="107" t="s">
        <v>384</v>
      </c>
      <c r="F5" s="107"/>
      <c r="G5" s="107" t="s">
        <v>409</v>
      </c>
      <c r="H5" s="107" t="s">
        <v>416</v>
      </c>
      <c r="I5" s="107" t="s">
        <v>532</v>
      </c>
    </row>
    <row r="6" spans="1:9" s="285" customFormat="1" x14ac:dyDescent="0.25">
      <c r="A6" s="344"/>
      <c r="B6" s="151"/>
      <c r="C6" s="93" t="s">
        <v>33</v>
      </c>
      <c r="D6" s="345"/>
      <c r="F6" s="85">
        <v>0</v>
      </c>
      <c r="G6" s="85"/>
      <c r="H6" s="85"/>
      <c r="I6" s="85"/>
    </row>
    <row r="7" spans="1:9" s="285" customFormat="1" x14ac:dyDescent="0.25">
      <c r="A7" s="118">
        <v>50</v>
      </c>
      <c r="B7" s="155">
        <v>5005</v>
      </c>
      <c r="C7" s="94" t="s">
        <v>241</v>
      </c>
      <c r="D7" s="85">
        <f>1200*6</f>
        <v>7200</v>
      </c>
      <c r="E7" s="85"/>
      <c r="F7" s="85">
        <v>0</v>
      </c>
      <c r="G7" s="435">
        <f t="shared" ref="G7:I17" si="0">(F7*0.068)+F7</f>
        <v>0</v>
      </c>
      <c r="H7" s="435">
        <f t="shared" si="0"/>
        <v>0</v>
      </c>
      <c r="I7" s="435">
        <f t="shared" si="0"/>
        <v>0</v>
      </c>
    </row>
    <row r="8" spans="1:9" s="285" customFormat="1" x14ac:dyDescent="0.25">
      <c r="A8" s="118">
        <v>50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35">
        <f t="shared" si="0"/>
        <v>0</v>
      </c>
      <c r="H8" s="435">
        <f t="shared" si="0"/>
        <v>0</v>
      </c>
      <c r="I8" s="435">
        <f t="shared" si="0"/>
        <v>0</v>
      </c>
    </row>
    <row r="9" spans="1:9" s="285" customFormat="1" x14ac:dyDescent="0.25">
      <c r="A9" s="118">
        <v>50</v>
      </c>
      <c r="B9" s="151">
        <v>5015</v>
      </c>
      <c r="C9" s="94" t="s">
        <v>35</v>
      </c>
      <c r="D9" s="85">
        <v>0</v>
      </c>
      <c r="E9" s="85">
        <v>1100</v>
      </c>
      <c r="F9" s="85">
        <v>1100</v>
      </c>
      <c r="G9" s="435">
        <f t="shared" si="0"/>
        <v>1174.8</v>
      </c>
      <c r="H9" s="435">
        <f t="shared" si="0"/>
        <v>1254.6864</v>
      </c>
      <c r="I9" s="435">
        <f t="shared" si="0"/>
        <v>1340.0050752</v>
      </c>
    </row>
    <row r="10" spans="1:9" s="285" customFormat="1" x14ac:dyDescent="0.25">
      <c r="A10" s="118">
        <v>50</v>
      </c>
      <c r="B10" s="151">
        <v>5020</v>
      </c>
      <c r="C10" s="94" t="s">
        <v>350</v>
      </c>
      <c r="D10" s="85">
        <f>20000*6</f>
        <v>120000</v>
      </c>
      <c r="F10" s="85">
        <v>0</v>
      </c>
      <c r="G10" s="435">
        <f t="shared" si="0"/>
        <v>0</v>
      </c>
      <c r="H10" s="435">
        <f t="shared" si="0"/>
        <v>0</v>
      </c>
      <c r="I10" s="435">
        <f t="shared" si="0"/>
        <v>0</v>
      </c>
    </row>
    <row r="11" spans="1:9" s="285" customFormat="1" hidden="1" x14ac:dyDescent="0.25">
      <c r="A11" s="118">
        <v>50</v>
      </c>
      <c r="B11" s="151">
        <v>5025</v>
      </c>
      <c r="C11" s="94" t="s">
        <v>36</v>
      </c>
      <c r="D11" s="85"/>
      <c r="E11" s="85"/>
      <c r="F11" s="85">
        <v>0</v>
      </c>
      <c r="G11" s="435">
        <f t="shared" si="0"/>
        <v>0</v>
      </c>
      <c r="H11" s="435">
        <f t="shared" si="0"/>
        <v>0</v>
      </c>
      <c r="I11" s="435">
        <f t="shared" si="0"/>
        <v>0</v>
      </c>
    </row>
    <row r="12" spans="1:9" s="285" customFormat="1" x14ac:dyDescent="0.25">
      <c r="A12" s="118">
        <v>50</v>
      </c>
      <c r="B12" s="151">
        <v>5030</v>
      </c>
      <c r="C12" s="94" t="s">
        <v>85</v>
      </c>
      <c r="D12" s="85">
        <f>9197+30547</f>
        <v>39744</v>
      </c>
      <c r="E12" s="85">
        <v>62000</v>
      </c>
      <c r="F12" s="85">
        <v>62000</v>
      </c>
      <c r="G12" s="435">
        <f t="shared" si="0"/>
        <v>66216</v>
      </c>
      <c r="H12" s="435">
        <f t="shared" si="0"/>
        <v>70718.687999999995</v>
      </c>
      <c r="I12" s="435">
        <f t="shared" si="0"/>
        <v>75527.558783999993</v>
      </c>
    </row>
    <row r="13" spans="1:9" s="285" customFormat="1" hidden="1" x14ac:dyDescent="0.25">
      <c r="A13" s="118">
        <v>50</v>
      </c>
      <c r="B13" s="151">
        <v>5035</v>
      </c>
      <c r="C13" s="94" t="s">
        <v>84</v>
      </c>
      <c r="D13" s="85"/>
      <c r="E13" s="85"/>
      <c r="F13" s="85">
        <v>0</v>
      </c>
      <c r="G13" s="435">
        <f t="shared" si="0"/>
        <v>0</v>
      </c>
      <c r="H13" s="435">
        <f t="shared" si="0"/>
        <v>0</v>
      </c>
      <c r="I13" s="435">
        <f t="shared" si="0"/>
        <v>0</v>
      </c>
    </row>
    <row r="14" spans="1:9" s="285" customFormat="1" x14ac:dyDescent="0.25">
      <c r="A14" s="118">
        <v>50</v>
      </c>
      <c r="B14" s="151">
        <v>5040</v>
      </c>
      <c r="C14" s="94" t="s">
        <v>37</v>
      </c>
      <c r="D14" s="85">
        <v>16858</v>
      </c>
      <c r="E14" s="85">
        <v>122000</v>
      </c>
      <c r="F14" s="85">
        <v>122000</v>
      </c>
      <c r="G14" s="435">
        <f t="shared" si="0"/>
        <v>130296</v>
      </c>
      <c r="H14" s="435">
        <f t="shared" si="0"/>
        <v>139156.128</v>
      </c>
      <c r="I14" s="435">
        <f t="shared" si="0"/>
        <v>148618.74470400001</v>
      </c>
    </row>
    <row r="15" spans="1:9" s="285" customFormat="1" hidden="1" x14ac:dyDescent="0.25">
      <c r="A15" s="118">
        <v>50</v>
      </c>
      <c r="B15" s="151">
        <v>5045</v>
      </c>
      <c r="C15" s="94" t="s">
        <v>38</v>
      </c>
      <c r="D15" s="85"/>
      <c r="E15" s="85"/>
      <c r="F15" s="85">
        <v>0</v>
      </c>
      <c r="G15" s="435">
        <f t="shared" si="0"/>
        <v>0</v>
      </c>
      <c r="H15" s="435">
        <f t="shared" si="0"/>
        <v>0</v>
      </c>
      <c r="I15" s="435">
        <f t="shared" si="0"/>
        <v>0</v>
      </c>
    </row>
    <row r="16" spans="1:9" s="285" customFormat="1" x14ac:dyDescent="0.25">
      <c r="A16" s="118">
        <v>50</v>
      </c>
      <c r="B16" s="151">
        <v>5050</v>
      </c>
      <c r="C16" s="94" t="s">
        <v>83</v>
      </c>
      <c r="D16" s="85">
        <f>17438+77796</f>
        <v>95234</v>
      </c>
      <c r="E16" s="85">
        <v>26000</v>
      </c>
      <c r="F16" s="85">
        <v>26000</v>
      </c>
      <c r="G16" s="435">
        <f t="shared" si="0"/>
        <v>27768</v>
      </c>
      <c r="H16" s="435">
        <f t="shared" si="0"/>
        <v>29656.224000000002</v>
      </c>
      <c r="I16" s="435">
        <f t="shared" si="0"/>
        <v>31672.847232000004</v>
      </c>
    </row>
    <row r="17" spans="1:9" s="285" customFormat="1" x14ac:dyDescent="0.25">
      <c r="A17" s="118">
        <v>50</v>
      </c>
      <c r="B17" s="151">
        <v>5055</v>
      </c>
      <c r="C17" s="94" t="s">
        <v>39</v>
      </c>
      <c r="D17" s="85">
        <f>(30186+120923)*6</f>
        <v>906654</v>
      </c>
      <c r="E17" s="85">
        <v>2264000</v>
      </c>
      <c r="F17" s="85">
        <v>2264000</v>
      </c>
      <c r="G17" s="435">
        <f t="shared" si="0"/>
        <v>2417952</v>
      </c>
      <c r="H17" s="435">
        <f t="shared" si="0"/>
        <v>2582372.736</v>
      </c>
      <c r="I17" s="435">
        <f t="shared" si="0"/>
        <v>2757974.0820479998</v>
      </c>
    </row>
    <row r="18" spans="1:9" s="285" customFormat="1" x14ac:dyDescent="0.25">
      <c r="A18" s="344"/>
      <c r="B18" s="151"/>
      <c r="C18" s="94"/>
      <c r="D18" s="89">
        <f t="shared" ref="D18:I18" si="1">SUM(D7:D17)</f>
        <v>1185690</v>
      </c>
      <c r="E18" s="89">
        <f t="shared" si="1"/>
        <v>2475100</v>
      </c>
      <c r="F18" s="89">
        <f t="shared" si="1"/>
        <v>2475100</v>
      </c>
      <c r="G18" s="89">
        <f t="shared" si="1"/>
        <v>2643406.7999999998</v>
      </c>
      <c r="H18" s="89">
        <f t="shared" si="1"/>
        <v>2823158.4624000001</v>
      </c>
      <c r="I18" s="89">
        <f t="shared" si="1"/>
        <v>3015133.2378431996</v>
      </c>
    </row>
    <row r="19" spans="1:9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5"/>
    </row>
    <row r="20" spans="1:9" s="285" customFormat="1" x14ac:dyDescent="0.25">
      <c r="A20" s="118">
        <v>50</v>
      </c>
      <c r="B20" s="151">
        <v>5105</v>
      </c>
      <c r="C20" s="94" t="s">
        <v>41</v>
      </c>
      <c r="D20" s="85">
        <f>(4078+6904)*6</f>
        <v>65892</v>
      </c>
      <c r="E20" s="85">
        <v>50000</v>
      </c>
      <c r="F20" s="85">
        <v>50000</v>
      </c>
      <c r="G20" s="435">
        <f t="shared" ref="G20:I24" si="2">(F20*0.068)+F20</f>
        <v>53400</v>
      </c>
      <c r="H20" s="435">
        <f t="shared" si="2"/>
        <v>57031.199999999997</v>
      </c>
      <c r="I20" s="435">
        <f t="shared" si="2"/>
        <v>60909.321599999996</v>
      </c>
    </row>
    <row r="21" spans="1:9" s="285" customFormat="1" x14ac:dyDescent="0.25">
      <c r="A21" s="118">
        <v>50</v>
      </c>
      <c r="B21" s="151">
        <v>5115</v>
      </c>
      <c r="C21" s="94" t="s">
        <v>42</v>
      </c>
      <c r="D21" s="85">
        <f>(5178+18259)*6</f>
        <v>140622</v>
      </c>
      <c r="E21" s="85">
        <v>138000</v>
      </c>
      <c r="F21" s="85">
        <v>138000</v>
      </c>
      <c r="G21" s="435">
        <f t="shared" si="2"/>
        <v>147384</v>
      </c>
      <c r="H21" s="435">
        <f t="shared" si="2"/>
        <v>157406.11199999999</v>
      </c>
      <c r="I21" s="435">
        <f t="shared" si="2"/>
        <v>168109.72761599999</v>
      </c>
    </row>
    <row r="22" spans="1:9" s="285" customFormat="1" x14ac:dyDescent="0.25">
      <c r="A22" s="118">
        <v>50</v>
      </c>
      <c r="B22" s="151">
        <v>5120</v>
      </c>
      <c r="C22" s="94" t="s">
        <v>43</v>
      </c>
      <c r="D22" s="85">
        <f>5699*6</f>
        <v>34194</v>
      </c>
      <c r="E22" s="85">
        <v>69000</v>
      </c>
      <c r="F22" s="85">
        <v>69000</v>
      </c>
      <c r="G22" s="435">
        <f t="shared" si="2"/>
        <v>73692</v>
      </c>
      <c r="H22" s="435">
        <f t="shared" si="2"/>
        <v>78703.055999999997</v>
      </c>
      <c r="I22" s="435">
        <f t="shared" si="2"/>
        <v>84054.863807999995</v>
      </c>
    </row>
    <row r="23" spans="1:9" s="285" customFormat="1" hidden="1" x14ac:dyDescent="0.25">
      <c r="A23" s="118">
        <v>50</v>
      </c>
      <c r="B23" s="151">
        <v>5125</v>
      </c>
      <c r="C23" s="94" t="s">
        <v>44</v>
      </c>
      <c r="D23" s="85"/>
      <c r="E23" s="85"/>
      <c r="F23" s="85">
        <v>0</v>
      </c>
      <c r="G23" s="435">
        <f t="shared" si="2"/>
        <v>0</v>
      </c>
      <c r="H23" s="435">
        <f t="shared" si="2"/>
        <v>0</v>
      </c>
      <c r="I23" s="435">
        <f t="shared" si="2"/>
        <v>0</v>
      </c>
    </row>
    <row r="24" spans="1:9" s="285" customFormat="1" x14ac:dyDescent="0.25">
      <c r="A24" s="118">
        <v>50</v>
      </c>
      <c r="B24" s="151">
        <v>5130</v>
      </c>
      <c r="C24" s="94" t="s">
        <v>45</v>
      </c>
      <c r="D24" s="85">
        <f>1286*6</f>
        <v>7716</v>
      </c>
      <c r="E24" s="85">
        <v>14400</v>
      </c>
      <c r="F24" s="85">
        <v>14400</v>
      </c>
      <c r="G24" s="435">
        <f t="shared" si="2"/>
        <v>15379.2</v>
      </c>
      <c r="H24" s="435">
        <f t="shared" si="2"/>
        <v>16424.9856</v>
      </c>
      <c r="I24" s="435">
        <f t="shared" si="2"/>
        <v>17541.8846208</v>
      </c>
    </row>
    <row r="25" spans="1:9" s="285" customFormat="1" x14ac:dyDescent="0.25">
      <c r="A25" s="344"/>
      <c r="B25" s="151"/>
      <c r="C25" s="94"/>
      <c r="D25" s="89">
        <f t="shared" ref="D25:I25" si="3">SUM(D20:D24)</f>
        <v>248424</v>
      </c>
      <c r="E25" s="89">
        <f t="shared" si="3"/>
        <v>271400</v>
      </c>
      <c r="F25" s="89">
        <f t="shared" si="3"/>
        <v>271400</v>
      </c>
      <c r="G25" s="89">
        <f t="shared" si="3"/>
        <v>289855.2</v>
      </c>
      <c r="H25" s="89">
        <f t="shared" si="3"/>
        <v>309565.35359999997</v>
      </c>
      <c r="I25" s="89">
        <f t="shared" si="3"/>
        <v>330615.79764479998</v>
      </c>
    </row>
    <row r="26" spans="1:9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</row>
    <row r="27" spans="1:9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</row>
    <row r="28" spans="1:9" s="285" customFormat="1" hidden="1" x14ac:dyDescent="0.25">
      <c r="A28" s="118">
        <v>50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85"/>
      <c r="H28" s="85"/>
      <c r="I28" s="85">
        <f>E28*(1+INPUT!C$8)</f>
        <v>0</v>
      </c>
    </row>
    <row r="29" spans="1:9" s="285" customFormat="1" hidden="1" x14ac:dyDescent="0.25">
      <c r="A29" s="344"/>
      <c r="B29" s="151"/>
      <c r="C29" s="94"/>
      <c r="D29" s="89">
        <f t="shared" ref="D29:I29" si="4">D28</f>
        <v>0</v>
      </c>
      <c r="E29" s="89">
        <f t="shared" si="4"/>
        <v>0</v>
      </c>
      <c r="F29" s="89">
        <f t="shared" si="4"/>
        <v>0</v>
      </c>
      <c r="G29" s="89"/>
      <c r="H29" s="89"/>
      <c r="I29" s="89">
        <f t="shared" si="4"/>
        <v>0</v>
      </c>
    </row>
    <row r="30" spans="1:9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</row>
    <row r="31" spans="1:9" s="285" customFormat="1" x14ac:dyDescent="0.25">
      <c r="A31" s="118">
        <v>50</v>
      </c>
      <c r="B31" s="151">
        <v>5170</v>
      </c>
      <c r="C31" s="94" t="s">
        <v>341</v>
      </c>
      <c r="D31" s="85"/>
      <c r="E31" s="85">
        <v>4379370</v>
      </c>
      <c r="F31" s="85">
        <v>0</v>
      </c>
      <c r="G31" s="108"/>
      <c r="H31" s="108"/>
      <c r="I31" s="85"/>
    </row>
    <row r="32" spans="1:9" s="285" customFormat="1" x14ac:dyDescent="0.25">
      <c r="A32" s="344"/>
      <c r="B32" s="151"/>
      <c r="C32" s="94"/>
      <c r="D32" s="89">
        <f t="shared" ref="D32:I32" si="5">SUM(D31)</f>
        <v>0</v>
      </c>
      <c r="E32" s="89">
        <f t="shared" si="5"/>
        <v>4379370</v>
      </c>
      <c r="F32" s="89">
        <f t="shared" si="5"/>
        <v>0</v>
      </c>
      <c r="G32" s="89">
        <f t="shared" si="5"/>
        <v>0</v>
      </c>
      <c r="H32" s="89"/>
      <c r="I32" s="89">
        <f t="shared" si="5"/>
        <v>0</v>
      </c>
    </row>
    <row r="33" spans="1:9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</row>
    <row r="34" spans="1:9" s="285" customFormat="1" hidden="1" x14ac:dyDescent="0.25">
      <c r="A34" s="118">
        <v>50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85"/>
      <c r="H34" s="85"/>
      <c r="I34" s="108"/>
    </row>
    <row r="35" spans="1:9" s="285" customFormat="1" hidden="1" x14ac:dyDescent="0.25">
      <c r="A35" s="344"/>
      <c r="B35" s="151"/>
      <c r="C35" s="94"/>
      <c r="D35" s="89">
        <f t="shared" ref="D35:I35" si="6">SUM(D34)</f>
        <v>0</v>
      </c>
      <c r="E35" s="89">
        <f t="shared" si="6"/>
        <v>0</v>
      </c>
      <c r="F35" s="89">
        <f t="shared" si="6"/>
        <v>0</v>
      </c>
      <c r="G35" s="89"/>
      <c r="H35" s="89"/>
      <c r="I35" s="89">
        <f t="shared" si="6"/>
        <v>0</v>
      </c>
    </row>
    <row r="36" spans="1:9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</row>
    <row r="37" spans="1:9" s="285" customFormat="1" hidden="1" x14ac:dyDescent="0.25">
      <c r="A37" s="118">
        <v>50</v>
      </c>
      <c r="B37" s="151">
        <v>5190</v>
      </c>
      <c r="C37" s="94" t="s">
        <v>53</v>
      </c>
      <c r="D37" s="85"/>
      <c r="E37" s="85">
        <v>0</v>
      </c>
      <c r="F37" s="108">
        <v>0</v>
      </c>
      <c r="G37" s="108"/>
      <c r="H37" s="108"/>
      <c r="I37" s="85"/>
    </row>
    <row r="38" spans="1:9" s="285" customFormat="1" hidden="1" x14ac:dyDescent="0.25">
      <c r="A38" s="344"/>
      <c r="B38" s="151"/>
      <c r="C38" s="94"/>
      <c r="D38" s="89">
        <f t="shared" ref="D38:I38" si="7">D37</f>
        <v>0</v>
      </c>
      <c r="E38" s="89">
        <f t="shared" si="7"/>
        <v>0</v>
      </c>
      <c r="F38" s="89">
        <f t="shared" si="7"/>
        <v>0</v>
      </c>
      <c r="G38" s="89"/>
      <c r="H38" s="89"/>
      <c r="I38" s="89">
        <f t="shared" si="7"/>
        <v>0</v>
      </c>
    </row>
    <row r="39" spans="1:9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</row>
    <row r="40" spans="1:9" s="285" customFormat="1" hidden="1" x14ac:dyDescent="0.25">
      <c r="A40" s="118">
        <v>50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85"/>
      <c r="H40" s="85"/>
      <c r="I40" s="85"/>
    </row>
    <row r="41" spans="1:9" s="285" customFormat="1" x14ac:dyDescent="0.25">
      <c r="A41" s="118">
        <v>50</v>
      </c>
      <c r="B41" s="151">
        <v>5205</v>
      </c>
      <c r="C41" s="94" t="s">
        <v>56</v>
      </c>
      <c r="D41" s="85">
        <v>46455</v>
      </c>
      <c r="E41" s="85">
        <v>35469.1</v>
      </c>
      <c r="F41" s="85">
        <v>85469.1</v>
      </c>
      <c r="G41" s="85">
        <v>100000</v>
      </c>
      <c r="H41" s="85">
        <f t="shared" ref="H41:I41" si="8">(G41*10/100)+G41</f>
        <v>110000</v>
      </c>
      <c r="I41" s="85">
        <f t="shared" si="8"/>
        <v>121000</v>
      </c>
    </row>
    <row r="42" spans="1:9" s="285" customFormat="1" hidden="1" x14ac:dyDescent="0.25">
      <c r="A42" s="118">
        <v>50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85"/>
      <c r="H42" s="85">
        <f t="shared" ref="H42:I42" si="9">(G42*10/100)+G42</f>
        <v>0</v>
      </c>
      <c r="I42" s="85">
        <f t="shared" si="9"/>
        <v>0</v>
      </c>
    </row>
    <row r="43" spans="1:9" s="285" customFormat="1" x14ac:dyDescent="0.25">
      <c r="A43" s="118">
        <v>50</v>
      </c>
      <c r="B43" s="151">
        <v>5215</v>
      </c>
      <c r="C43" s="94" t="s">
        <v>95</v>
      </c>
      <c r="D43" s="85">
        <v>75231</v>
      </c>
      <c r="E43" s="85">
        <v>137103.57999999999</v>
      </c>
      <c r="F43" s="85">
        <v>137103.57999999999</v>
      </c>
      <c r="G43" s="426">
        <v>150000</v>
      </c>
      <c r="H43" s="85">
        <f t="shared" ref="H43:I43" si="10">(G43*10/100)+G43</f>
        <v>165000</v>
      </c>
      <c r="I43" s="85">
        <f t="shared" si="10"/>
        <v>181500</v>
      </c>
    </row>
    <row r="44" spans="1:9" s="285" customFormat="1" hidden="1" x14ac:dyDescent="0.25">
      <c r="A44" s="118">
        <v>50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85"/>
      <c r="H44" s="85">
        <f t="shared" ref="H44:I44" si="11">(G44*10/100)+G44</f>
        <v>0</v>
      </c>
      <c r="I44" s="85">
        <f t="shared" si="11"/>
        <v>0</v>
      </c>
    </row>
    <row r="45" spans="1:9" s="285" customFormat="1" hidden="1" x14ac:dyDescent="0.25">
      <c r="A45" s="118">
        <v>50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85"/>
      <c r="H45" s="85">
        <f t="shared" ref="H45:I45" si="12">(G45*10/100)+G45</f>
        <v>0</v>
      </c>
      <c r="I45" s="85">
        <f t="shared" si="12"/>
        <v>0</v>
      </c>
    </row>
    <row r="46" spans="1:9" s="285" customFormat="1" hidden="1" x14ac:dyDescent="0.25">
      <c r="A46" s="118">
        <v>50</v>
      </c>
      <c r="B46" s="151">
        <v>5230</v>
      </c>
      <c r="C46" s="94" t="s">
        <v>86</v>
      </c>
      <c r="D46" s="85"/>
      <c r="E46" s="85">
        <v>0</v>
      </c>
      <c r="F46" s="85">
        <v>0</v>
      </c>
      <c r="G46" s="85"/>
      <c r="H46" s="85">
        <f t="shared" ref="H46:I46" si="13">(G46*10/100)+G46</f>
        <v>0</v>
      </c>
      <c r="I46" s="85">
        <f t="shared" si="13"/>
        <v>0</v>
      </c>
    </row>
    <row r="47" spans="1:9" s="285" customFormat="1" hidden="1" x14ac:dyDescent="0.25">
      <c r="A47" s="118">
        <v>50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85"/>
      <c r="H47" s="85">
        <f t="shared" ref="H47:I47" si="14">(G47*10/100)+G47</f>
        <v>0</v>
      </c>
      <c r="I47" s="85">
        <f t="shared" si="14"/>
        <v>0</v>
      </c>
    </row>
    <row r="48" spans="1:9" s="285" customFormat="1" hidden="1" x14ac:dyDescent="0.25">
      <c r="A48" s="118">
        <v>50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85"/>
      <c r="H48" s="85">
        <f t="shared" ref="H48:I48" si="15">(G48*10/100)+G48</f>
        <v>0</v>
      </c>
      <c r="I48" s="85">
        <f t="shared" si="15"/>
        <v>0</v>
      </c>
    </row>
    <row r="49" spans="1:9" s="285" customFormat="1" x14ac:dyDescent="0.25">
      <c r="A49" s="118">
        <v>50</v>
      </c>
      <c r="B49" s="151">
        <v>5245</v>
      </c>
      <c r="C49" s="94" t="s">
        <v>547</v>
      </c>
      <c r="D49" s="85">
        <f>[1]Sheet1!$F$678+300000</f>
        <v>519298.25</v>
      </c>
      <c r="E49" s="85">
        <v>791250</v>
      </c>
      <c r="F49" s="85">
        <v>991250</v>
      </c>
      <c r="G49" s="85">
        <v>1200000</v>
      </c>
      <c r="H49" s="85">
        <f t="shared" ref="H49:I49" si="16">(G49*10/100)+G49</f>
        <v>1320000</v>
      </c>
      <c r="I49" s="85">
        <f t="shared" si="16"/>
        <v>1452000</v>
      </c>
    </row>
    <row r="50" spans="1:9" s="285" customFormat="1" x14ac:dyDescent="0.25">
      <c r="A50" s="118">
        <v>50</v>
      </c>
      <c r="B50" s="151">
        <v>5250</v>
      </c>
      <c r="C50" s="94" t="s">
        <v>88</v>
      </c>
      <c r="D50" s="85">
        <f>[1]Sheet1!$F$679+100000</f>
        <v>166578.91</v>
      </c>
      <c r="E50" s="85">
        <v>211000</v>
      </c>
      <c r="F50" s="85">
        <v>311000</v>
      </c>
      <c r="G50" s="85">
        <v>250000</v>
      </c>
      <c r="H50" s="85">
        <f t="shared" ref="H50:I50" si="17">(G50*10/100)+G50</f>
        <v>275000</v>
      </c>
      <c r="I50" s="85">
        <f t="shared" si="17"/>
        <v>302500</v>
      </c>
    </row>
    <row r="51" spans="1:9" s="285" customFormat="1" hidden="1" x14ac:dyDescent="0.25">
      <c r="A51" s="118">
        <v>50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85"/>
      <c r="H51" s="85">
        <f t="shared" ref="H51:I51" si="18">(G51*10/100)+G51</f>
        <v>0</v>
      </c>
      <c r="I51" s="85">
        <f t="shared" si="18"/>
        <v>0</v>
      </c>
    </row>
    <row r="52" spans="1:9" s="285" customFormat="1" hidden="1" x14ac:dyDescent="0.25">
      <c r="A52" s="118">
        <v>50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85"/>
      <c r="H52" s="85">
        <f t="shared" ref="H52:I52" si="19">(G52*10/100)+G52</f>
        <v>0</v>
      </c>
      <c r="I52" s="85">
        <f t="shared" si="19"/>
        <v>0</v>
      </c>
    </row>
    <row r="53" spans="1:9" s="285" customFormat="1" hidden="1" x14ac:dyDescent="0.25">
      <c r="A53" s="118">
        <v>50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85"/>
      <c r="H53" s="85">
        <f t="shared" ref="H53:I53" si="20">(G53*10/100)+G53</f>
        <v>0</v>
      </c>
      <c r="I53" s="85">
        <f t="shared" si="20"/>
        <v>0</v>
      </c>
    </row>
    <row r="54" spans="1:9" s="285" customFormat="1" hidden="1" x14ac:dyDescent="0.25">
      <c r="A54" s="118">
        <v>50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85"/>
      <c r="H54" s="85">
        <f t="shared" ref="H54:I54" si="21">(G54*10/100)+G54</f>
        <v>0</v>
      </c>
      <c r="I54" s="85">
        <f t="shared" si="21"/>
        <v>0</v>
      </c>
    </row>
    <row r="55" spans="1:9" s="285" customFormat="1" x14ac:dyDescent="0.25">
      <c r="A55" s="118">
        <v>50</v>
      </c>
      <c r="B55" s="151">
        <v>5275</v>
      </c>
      <c r="C55" s="94" t="s">
        <v>93</v>
      </c>
      <c r="D55" s="85">
        <f>17496+300000</f>
        <v>317496</v>
      </c>
      <c r="E55" s="85">
        <v>527500</v>
      </c>
      <c r="F55" s="85">
        <v>627500</v>
      </c>
      <c r="G55" s="85">
        <v>600000</v>
      </c>
      <c r="H55" s="85">
        <f t="shared" ref="H55:I55" si="22">(G55*10/100)+G55</f>
        <v>660000</v>
      </c>
      <c r="I55" s="85">
        <f t="shared" si="22"/>
        <v>726000</v>
      </c>
    </row>
    <row r="56" spans="1:9" s="285" customFormat="1" x14ac:dyDescent="0.25">
      <c r="A56" s="118">
        <v>50</v>
      </c>
      <c r="B56" s="151">
        <v>5280</v>
      </c>
      <c r="C56" s="94" t="s">
        <v>94</v>
      </c>
      <c r="D56" s="85">
        <f>93051+100000</f>
        <v>193051</v>
      </c>
      <c r="E56" s="85">
        <v>316500</v>
      </c>
      <c r="F56" s="85">
        <v>376500</v>
      </c>
      <c r="G56" s="426">
        <v>400000</v>
      </c>
      <c r="H56" s="85">
        <f t="shared" ref="H56:I56" si="23">(G56*10/100)+G56</f>
        <v>440000</v>
      </c>
      <c r="I56" s="85">
        <f t="shared" si="23"/>
        <v>484000</v>
      </c>
    </row>
    <row r="57" spans="1:9" s="285" customFormat="1" x14ac:dyDescent="0.25">
      <c r="A57" s="118">
        <v>50</v>
      </c>
      <c r="B57" s="151">
        <v>5285</v>
      </c>
      <c r="C57" s="94" t="s">
        <v>60</v>
      </c>
      <c r="D57" s="85">
        <f>1472+15000</f>
        <v>16472</v>
      </c>
      <c r="E57" s="85">
        <v>31649.999999999996</v>
      </c>
      <c r="F57" s="85">
        <v>31649.999999999996</v>
      </c>
      <c r="G57" s="85">
        <v>50000</v>
      </c>
      <c r="H57" s="85">
        <f t="shared" ref="H57:I57" si="24">(G57*10/100)+G57</f>
        <v>55000</v>
      </c>
      <c r="I57" s="85">
        <f t="shared" si="24"/>
        <v>60500</v>
      </c>
    </row>
    <row r="58" spans="1:9" s="285" customFormat="1" hidden="1" x14ac:dyDescent="0.25">
      <c r="A58" s="118">
        <v>50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85"/>
      <c r="H58" s="85"/>
      <c r="I58" s="85">
        <f>F58*(1+INPUT!C$10)</f>
        <v>0</v>
      </c>
    </row>
    <row r="59" spans="1:9" s="285" customFormat="1" x14ac:dyDescent="0.25">
      <c r="A59" s="344"/>
      <c r="B59" s="151"/>
      <c r="C59" s="94"/>
      <c r="D59" s="110">
        <f t="shared" ref="D59:I59" si="25">SUM(D40:D58)</f>
        <v>1334582.1600000001</v>
      </c>
      <c r="E59" s="110">
        <f t="shared" si="25"/>
        <v>2050472.68</v>
      </c>
      <c r="F59" s="110">
        <f t="shared" si="25"/>
        <v>2560472.6799999997</v>
      </c>
      <c r="G59" s="110">
        <f t="shared" si="25"/>
        <v>2750000</v>
      </c>
      <c r="H59" s="110">
        <f t="shared" si="25"/>
        <v>3025000</v>
      </c>
      <c r="I59" s="110">
        <f t="shared" si="25"/>
        <v>3327500</v>
      </c>
    </row>
    <row r="60" spans="1:9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</row>
    <row r="61" spans="1:9" s="285" customFormat="1" hidden="1" x14ac:dyDescent="0.25">
      <c r="A61" s="118">
        <v>50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</row>
    <row r="62" spans="1:9" s="285" customFormat="1" x14ac:dyDescent="0.25">
      <c r="A62" s="118">
        <v>50</v>
      </c>
      <c r="B62" s="151">
        <v>5405</v>
      </c>
      <c r="C62" s="94" t="s">
        <v>335</v>
      </c>
      <c r="D62" s="85">
        <v>26517</v>
      </c>
      <c r="E62" s="108">
        <v>50904</v>
      </c>
      <c r="F62" s="85">
        <v>50904</v>
      </c>
      <c r="G62" s="85">
        <f>E62</f>
        <v>50904</v>
      </c>
      <c r="H62" s="85">
        <f t="shared" ref="H62:I62" si="26">F62</f>
        <v>50904</v>
      </c>
      <c r="I62" s="85">
        <f t="shared" si="26"/>
        <v>50904</v>
      </c>
    </row>
    <row r="63" spans="1:9" s="285" customFormat="1" x14ac:dyDescent="0.25">
      <c r="A63" s="344"/>
      <c r="B63" s="151"/>
      <c r="C63" s="94"/>
      <c r="D63" s="89">
        <f t="shared" ref="D63:I63" si="27">SUM(D61:D62)</f>
        <v>26517</v>
      </c>
      <c r="E63" s="89">
        <f t="shared" si="27"/>
        <v>50904</v>
      </c>
      <c r="F63" s="89">
        <f t="shared" si="27"/>
        <v>50904</v>
      </c>
      <c r="G63" s="89">
        <f t="shared" si="27"/>
        <v>50904</v>
      </c>
      <c r="H63" s="89">
        <f t="shared" si="27"/>
        <v>50904</v>
      </c>
      <c r="I63" s="89">
        <f t="shared" si="27"/>
        <v>50904</v>
      </c>
    </row>
    <row r="64" spans="1:9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</row>
    <row r="65" spans="1:9" s="285" customFormat="1" hidden="1" x14ac:dyDescent="0.25">
      <c r="A65" s="118">
        <v>50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85"/>
      <c r="H65" s="85"/>
      <c r="I65" s="108"/>
    </row>
    <row r="66" spans="1:9" s="285" customFormat="1" hidden="1" x14ac:dyDescent="0.25">
      <c r="A66" s="344"/>
      <c r="B66" s="151"/>
      <c r="C66" s="94"/>
      <c r="D66" s="89">
        <f t="shared" ref="D66:I66" si="28">D65</f>
        <v>0</v>
      </c>
      <c r="E66" s="89">
        <f t="shared" si="28"/>
        <v>0</v>
      </c>
      <c r="F66" s="89">
        <f t="shared" si="28"/>
        <v>0</v>
      </c>
      <c r="G66" s="89"/>
      <c r="H66" s="89"/>
      <c r="I66" s="89">
        <f t="shared" si="28"/>
        <v>0</v>
      </c>
    </row>
    <row r="67" spans="1:9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</row>
    <row r="68" spans="1:9" s="285" customFormat="1" x14ac:dyDescent="0.25">
      <c r="A68" s="118">
        <v>50</v>
      </c>
      <c r="B68" s="151">
        <v>5470</v>
      </c>
      <c r="C68" s="94" t="s">
        <v>97</v>
      </c>
      <c r="D68" s="85">
        <f>10142808+[5]Sheet2!$H$10</f>
        <v>16401073.370000001</v>
      </c>
      <c r="E68" s="85">
        <v>25272000</v>
      </c>
      <c r="F68" s="85">
        <v>33272000</v>
      </c>
      <c r="G68" s="85">
        <f>(F68*10/100)+F68</f>
        <v>36599200</v>
      </c>
      <c r="H68" s="85">
        <f t="shared" ref="H68:I68" si="29">(G68*10/100)+G68</f>
        <v>40259120</v>
      </c>
      <c r="I68" s="85">
        <f t="shared" si="29"/>
        <v>44285032</v>
      </c>
    </row>
    <row r="69" spans="1:9" s="285" customFormat="1" hidden="1" x14ac:dyDescent="0.25">
      <c r="A69" s="118">
        <v>50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85"/>
      <c r="H69" s="85"/>
      <c r="I69" s="85">
        <f>F69*(1+INPUT!C12)</f>
        <v>0</v>
      </c>
    </row>
    <row r="70" spans="1:9" s="285" customFormat="1" x14ac:dyDescent="0.25">
      <c r="A70" s="344"/>
      <c r="B70" s="151"/>
      <c r="C70" s="94"/>
      <c r="D70" s="110">
        <f t="shared" ref="D70:I70" si="30">SUM(D68:D69)</f>
        <v>16401073.370000001</v>
      </c>
      <c r="E70" s="110">
        <f t="shared" si="30"/>
        <v>25272000</v>
      </c>
      <c r="F70" s="110">
        <f t="shared" si="30"/>
        <v>33272000</v>
      </c>
      <c r="G70" s="110">
        <f t="shared" si="30"/>
        <v>36599200</v>
      </c>
      <c r="H70" s="110">
        <f t="shared" si="30"/>
        <v>40259120</v>
      </c>
      <c r="I70" s="110">
        <f t="shared" si="30"/>
        <v>44285032</v>
      </c>
    </row>
    <row r="71" spans="1:9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</row>
    <row r="72" spans="1:9" s="285" customFormat="1" x14ac:dyDescent="0.25">
      <c r="A72" s="118">
        <v>50</v>
      </c>
      <c r="B72" s="151">
        <v>5505</v>
      </c>
      <c r="C72" s="94" t="s">
        <v>259</v>
      </c>
      <c r="D72" s="85"/>
      <c r="E72" s="85"/>
      <c r="F72" s="85"/>
      <c r="G72" s="85"/>
      <c r="H72" s="85"/>
      <c r="I72" s="85"/>
    </row>
    <row r="73" spans="1:9" s="285" customFormat="1" x14ac:dyDescent="0.25">
      <c r="A73" s="118">
        <v>50</v>
      </c>
      <c r="B73" s="151">
        <v>5510</v>
      </c>
      <c r="C73" s="94" t="s">
        <v>63</v>
      </c>
      <c r="D73" s="85"/>
      <c r="E73" s="85">
        <v>39762</v>
      </c>
      <c r="F73" s="85">
        <v>0</v>
      </c>
      <c r="G73" s="85"/>
      <c r="H73" s="85"/>
      <c r="I73" s="85"/>
    </row>
    <row r="74" spans="1:9" s="285" customFormat="1" x14ac:dyDescent="0.25">
      <c r="A74" s="118">
        <v>50</v>
      </c>
      <c r="B74" s="151">
        <v>5520</v>
      </c>
      <c r="C74" s="94" t="s">
        <v>260</v>
      </c>
      <c r="D74" s="85"/>
      <c r="E74" s="85"/>
      <c r="F74" s="85">
        <f t="shared" ref="F74:F113" si="31">E74-D74</f>
        <v>0</v>
      </c>
      <c r="G74" s="85"/>
      <c r="H74" s="85"/>
      <c r="I74" s="85"/>
    </row>
    <row r="75" spans="1:9" s="285" customFormat="1" x14ac:dyDescent="0.25">
      <c r="A75" s="118">
        <v>50</v>
      </c>
      <c r="B75" s="151">
        <v>5525</v>
      </c>
      <c r="C75" s="94" t="s">
        <v>261</v>
      </c>
      <c r="D75" s="85"/>
      <c r="E75" s="85"/>
      <c r="F75" s="85">
        <f t="shared" si="31"/>
        <v>0</v>
      </c>
      <c r="G75" s="85"/>
      <c r="H75" s="85"/>
      <c r="I75" s="85"/>
    </row>
    <row r="76" spans="1:9" s="285" customFormat="1" x14ac:dyDescent="0.25">
      <c r="A76" s="118">
        <v>50</v>
      </c>
      <c r="B76" s="151">
        <v>5530</v>
      </c>
      <c r="C76" s="94" t="s">
        <v>262</v>
      </c>
      <c r="D76" s="85"/>
      <c r="E76" s="85"/>
      <c r="F76" s="85">
        <f t="shared" si="31"/>
        <v>0</v>
      </c>
      <c r="G76" s="85"/>
      <c r="H76" s="85"/>
      <c r="I76" s="85"/>
    </row>
    <row r="77" spans="1:9" s="285" customFormat="1" x14ac:dyDescent="0.25">
      <c r="A77" s="118">
        <v>50</v>
      </c>
      <c r="B77" s="151">
        <v>5535</v>
      </c>
      <c r="C77" s="94" t="s">
        <v>263</v>
      </c>
      <c r="D77" s="85"/>
      <c r="E77" s="85"/>
      <c r="F77" s="85">
        <f t="shared" si="31"/>
        <v>0</v>
      </c>
      <c r="G77" s="85"/>
      <c r="H77" s="85"/>
      <c r="I77" s="85"/>
    </row>
    <row r="78" spans="1:9" s="285" customFormat="1" x14ac:dyDescent="0.25">
      <c r="A78" s="118">
        <v>50</v>
      </c>
      <c r="B78" s="151">
        <v>5540</v>
      </c>
      <c r="C78" s="94" t="s">
        <v>264</v>
      </c>
      <c r="D78" s="85"/>
      <c r="E78" s="85"/>
      <c r="F78" s="85">
        <f t="shared" si="31"/>
        <v>0</v>
      </c>
      <c r="G78" s="85"/>
      <c r="H78" s="85"/>
      <c r="I78" s="85"/>
    </row>
    <row r="79" spans="1:9" s="285" customFormat="1" ht="13.5" customHeight="1" x14ac:dyDescent="0.25">
      <c r="A79" s="118">
        <v>50</v>
      </c>
      <c r="B79" s="151">
        <v>5545</v>
      </c>
      <c r="C79" s="94" t="s">
        <v>265</v>
      </c>
      <c r="D79" s="85"/>
      <c r="E79" s="85"/>
      <c r="F79" s="85">
        <f t="shared" si="31"/>
        <v>0</v>
      </c>
      <c r="G79" s="85"/>
      <c r="H79" s="85"/>
      <c r="I79" s="85"/>
    </row>
    <row r="80" spans="1:9" s="285" customFormat="1" x14ac:dyDescent="0.25">
      <c r="A80" s="118">
        <v>50</v>
      </c>
      <c r="B80" s="151">
        <v>5550</v>
      </c>
      <c r="C80" s="94" t="s">
        <v>267</v>
      </c>
      <c r="D80" s="85"/>
      <c r="E80" s="85"/>
      <c r="F80" s="85">
        <f t="shared" si="31"/>
        <v>0</v>
      </c>
      <c r="G80" s="85"/>
      <c r="H80" s="85"/>
      <c r="I80" s="85"/>
    </row>
    <row r="81" spans="1:9" s="285" customFormat="1" x14ac:dyDescent="0.25">
      <c r="A81" s="118">
        <v>50</v>
      </c>
      <c r="B81" s="151">
        <v>5555</v>
      </c>
      <c r="C81" s="94" t="s">
        <v>268</v>
      </c>
      <c r="D81" s="85">
        <v>66903</v>
      </c>
      <c r="E81" s="85">
        <v>19341</v>
      </c>
      <c r="F81" s="85">
        <v>69341</v>
      </c>
      <c r="G81" s="85">
        <f>(F81*10/100)+F81</f>
        <v>76275.100000000006</v>
      </c>
      <c r="H81" s="85">
        <f t="shared" ref="H81:I81" si="32">(G81*10/100)+G81</f>
        <v>83902.61</v>
      </c>
      <c r="I81" s="85">
        <f t="shared" si="32"/>
        <v>92292.870999999999</v>
      </c>
    </row>
    <row r="82" spans="1:9" s="285" customFormat="1" x14ac:dyDescent="0.25">
      <c r="A82" s="118">
        <v>50</v>
      </c>
      <c r="B82" s="151">
        <v>5560</v>
      </c>
      <c r="C82" s="94" t="s">
        <v>269</v>
      </c>
      <c r="D82" s="85"/>
      <c r="E82" s="85"/>
      <c r="F82" s="85">
        <v>0</v>
      </c>
      <c r="G82" s="85"/>
      <c r="H82" s="85"/>
      <c r="I82" s="85"/>
    </row>
    <row r="83" spans="1:9" s="285" customFormat="1" x14ac:dyDescent="0.25">
      <c r="A83" s="118">
        <v>50</v>
      </c>
      <c r="B83" s="151">
        <v>5565</v>
      </c>
      <c r="C83" s="94" t="s">
        <v>246</v>
      </c>
      <c r="D83" s="85"/>
      <c r="E83" s="85"/>
      <c r="F83" s="85">
        <v>0</v>
      </c>
      <c r="G83" s="85"/>
      <c r="H83" s="85"/>
      <c r="I83" s="85"/>
    </row>
    <row r="84" spans="1:9" s="285" customFormat="1" x14ac:dyDescent="0.25">
      <c r="A84" s="118">
        <v>50</v>
      </c>
      <c r="B84" s="151">
        <v>5570</v>
      </c>
      <c r="C84" s="94" t="s">
        <v>270</v>
      </c>
      <c r="D84" s="85"/>
      <c r="E84" s="85">
        <v>4532.28</v>
      </c>
      <c r="F84" s="85">
        <v>532.27999999999975</v>
      </c>
      <c r="G84" s="85">
        <v>0</v>
      </c>
      <c r="H84" s="85">
        <f t="shared" ref="H84:I84" si="33">(G84*10/100)+G84</f>
        <v>0</v>
      </c>
      <c r="I84" s="85">
        <f t="shared" si="33"/>
        <v>0</v>
      </c>
    </row>
    <row r="85" spans="1:9" s="285" customFormat="1" x14ac:dyDescent="0.25">
      <c r="A85" s="118">
        <v>50</v>
      </c>
      <c r="B85" s="151">
        <v>5575</v>
      </c>
      <c r="C85" s="94" t="s">
        <v>271</v>
      </c>
      <c r="D85" s="85"/>
      <c r="E85" s="85">
        <v>0</v>
      </c>
      <c r="F85" s="85">
        <f t="shared" si="31"/>
        <v>0</v>
      </c>
      <c r="G85" s="85"/>
      <c r="H85" s="85"/>
      <c r="I85" s="85"/>
    </row>
    <row r="86" spans="1:9" s="285" customFormat="1" x14ac:dyDescent="0.25">
      <c r="A86" s="118">
        <v>50</v>
      </c>
      <c r="B86" s="151">
        <v>5580</v>
      </c>
      <c r="C86" s="94" t="s">
        <v>272</v>
      </c>
      <c r="D86" s="85"/>
      <c r="E86" s="85">
        <v>0</v>
      </c>
      <c r="F86" s="85">
        <f t="shared" si="31"/>
        <v>0</v>
      </c>
      <c r="G86" s="85"/>
      <c r="H86" s="85"/>
      <c r="I86" s="85"/>
    </row>
    <row r="87" spans="1:9" s="285" customFormat="1" x14ac:dyDescent="0.25">
      <c r="A87" s="118">
        <v>50</v>
      </c>
      <c r="B87" s="151">
        <v>5585</v>
      </c>
      <c r="C87" s="94" t="s">
        <v>273</v>
      </c>
      <c r="D87" s="86"/>
      <c r="E87" s="85">
        <v>0</v>
      </c>
      <c r="F87" s="85">
        <f t="shared" si="31"/>
        <v>0</v>
      </c>
      <c r="G87" s="85"/>
      <c r="H87" s="85"/>
      <c r="I87" s="85"/>
    </row>
    <row r="88" spans="1:9" s="285" customFormat="1" x14ac:dyDescent="0.25">
      <c r="A88" s="118">
        <v>50</v>
      </c>
      <c r="B88" s="151">
        <v>5590</v>
      </c>
      <c r="C88" s="94" t="s">
        <v>274</v>
      </c>
      <c r="D88" s="86"/>
      <c r="E88" s="85">
        <v>0</v>
      </c>
      <c r="F88" s="85">
        <f t="shared" si="31"/>
        <v>0</v>
      </c>
      <c r="G88" s="85"/>
      <c r="H88" s="85"/>
      <c r="I88" s="85"/>
    </row>
    <row r="89" spans="1:9" s="285" customFormat="1" x14ac:dyDescent="0.25">
      <c r="A89" s="118">
        <v>50</v>
      </c>
      <c r="B89" s="151">
        <v>5595</v>
      </c>
      <c r="C89" s="94" t="s">
        <v>275</v>
      </c>
      <c r="D89" s="85"/>
      <c r="E89" s="85">
        <v>0</v>
      </c>
      <c r="F89" s="85">
        <f t="shared" si="31"/>
        <v>0</v>
      </c>
      <c r="G89" s="85"/>
      <c r="H89" s="85"/>
      <c r="I89" s="85"/>
    </row>
    <row r="90" spans="1:9" s="285" customFormat="1" x14ac:dyDescent="0.25">
      <c r="A90" s="118">
        <v>50</v>
      </c>
      <c r="B90" s="151">
        <v>5600</v>
      </c>
      <c r="C90" s="159" t="s">
        <v>276</v>
      </c>
      <c r="D90" s="85"/>
      <c r="E90" s="85">
        <v>0</v>
      </c>
      <c r="F90" s="85">
        <f t="shared" si="31"/>
        <v>0</v>
      </c>
      <c r="G90" s="85"/>
      <c r="H90" s="85"/>
      <c r="I90" s="85"/>
    </row>
    <row r="91" spans="1:9" s="285" customFormat="1" x14ac:dyDescent="0.25">
      <c r="A91" s="118">
        <v>50</v>
      </c>
      <c r="B91" s="151">
        <v>5605</v>
      </c>
      <c r="C91" s="159" t="s">
        <v>277</v>
      </c>
      <c r="D91" s="85"/>
      <c r="E91" s="85">
        <v>0</v>
      </c>
      <c r="F91" s="85">
        <f t="shared" si="31"/>
        <v>0</v>
      </c>
      <c r="G91" s="85"/>
      <c r="H91" s="85"/>
      <c r="I91" s="85"/>
    </row>
    <row r="92" spans="1:9" s="285" customFormat="1" x14ac:dyDescent="0.25">
      <c r="A92" s="118">
        <v>50</v>
      </c>
      <c r="B92" s="151">
        <v>5610</v>
      </c>
      <c r="C92" s="159" t="s">
        <v>278</v>
      </c>
      <c r="D92" s="85"/>
      <c r="E92" s="85">
        <v>0</v>
      </c>
      <c r="F92" s="85">
        <f t="shared" si="31"/>
        <v>0</v>
      </c>
      <c r="G92" s="85"/>
      <c r="H92" s="85"/>
      <c r="I92" s="85"/>
    </row>
    <row r="93" spans="1:9" s="285" customFormat="1" x14ac:dyDescent="0.25">
      <c r="A93" s="118">
        <v>50</v>
      </c>
      <c r="B93" s="151">
        <v>5615</v>
      </c>
      <c r="C93" s="159" t="s">
        <v>279</v>
      </c>
      <c r="D93" s="85"/>
      <c r="E93" s="85">
        <v>0</v>
      </c>
      <c r="F93" s="85">
        <f t="shared" si="31"/>
        <v>0</v>
      </c>
      <c r="G93" s="85"/>
      <c r="H93" s="85"/>
      <c r="I93" s="85"/>
    </row>
    <row r="94" spans="1:9" s="285" customFormat="1" x14ac:dyDescent="0.25">
      <c r="A94" s="118">
        <v>50</v>
      </c>
      <c r="B94" s="151">
        <v>5620</v>
      </c>
      <c r="C94" s="159" t="s">
        <v>280</v>
      </c>
      <c r="D94" s="85"/>
      <c r="E94" s="85">
        <v>0</v>
      </c>
      <c r="F94" s="85">
        <f t="shared" si="31"/>
        <v>0</v>
      </c>
      <c r="G94" s="85"/>
      <c r="H94" s="85"/>
      <c r="I94" s="85"/>
    </row>
    <row r="95" spans="1:9" s="285" customFormat="1" x14ac:dyDescent="0.25">
      <c r="A95" s="118">
        <v>50</v>
      </c>
      <c r="B95" s="151">
        <v>5625</v>
      </c>
      <c r="C95" s="159" t="s">
        <v>281</v>
      </c>
      <c r="D95" s="85"/>
      <c r="E95" s="85">
        <v>0</v>
      </c>
      <c r="F95" s="85">
        <f t="shared" si="31"/>
        <v>0</v>
      </c>
      <c r="G95" s="85"/>
      <c r="H95" s="85"/>
      <c r="I95" s="85"/>
    </row>
    <row r="96" spans="1:9" s="285" customFormat="1" x14ac:dyDescent="0.25">
      <c r="A96" s="118">
        <v>50</v>
      </c>
      <c r="B96" s="151">
        <v>5630</v>
      </c>
      <c r="C96" s="159" t="s">
        <v>282</v>
      </c>
      <c r="D96" s="85"/>
      <c r="E96" s="85">
        <v>0</v>
      </c>
      <c r="F96" s="85">
        <f t="shared" si="31"/>
        <v>0</v>
      </c>
      <c r="G96" s="85"/>
      <c r="H96" s="85"/>
      <c r="I96" s="85"/>
    </row>
    <row r="97" spans="1:9" s="285" customFormat="1" x14ac:dyDescent="0.25">
      <c r="A97" s="118">
        <v>50</v>
      </c>
      <c r="B97" s="151">
        <v>5635</v>
      </c>
      <c r="C97" s="159" t="s">
        <v>283</v>
      </c>
      <c r="D97" s="85"/>
      <c r="E97" s="85">
        <v>0</v>
      </c>
      <c r="F97" s="85">
        <f t="shared" si="31"/>
        <v>0</v>
      </c>
      <c r="G97" s="85"/>
      <c r="H97" s="85"/>
      <c r="I97" s="85"/>
    </row>
    <row r="98" spans="1:9" s="285" customFormat="1" x14ac:dyDescent="0.25">
      <c r="A98" s="118">
        <v>50</v>
      </c>
      <c r="B98" s="151">
        <v>5640</v>
      </c>
      <c r="C98" s="159" t="s">
        <v>284</v>
      </c>
      <c r="D98" s="85"/>
      <c r="E98" s="85">
        <v>0</v>
      </c>
      <c r="F98" s="85">
        <f t="shared" si="31"/>
        <v>0</v>
      </c>
      <c r="G98" s="85"/>
      <c r="H98" s="85"/>
      <c r="I98" s="85"/>
    </row>
    <row r="99" spans="1:9" s="285" customFormat="1" x14ac:dyDescent="0.25">
      <c r="A99" s="118">
        <v>50</v>
      </c>
      <c r="B99" s="151">
        <v>5645</v>
      </c>
      <c r="C99" s="159" t="s">
        <v>285</v>
      </c>
      <c r="D99" s="85"/>
      <c r="E99" s="85">
        <v>0</v>
      </c>
      <c r="F99" s="85">
        <f t="shared" si="31"/>
        <v>0</v>
      </c>
      <c r="G99" s="85"/>
      <c r="H99" s="85"/>
      <c r="I99" s="85"/>
    </row>
    <row r="100" spans="1:9" s="285" customFormat="1" x14ac:dyDescent="0.25">
      <c r="A100" s="118">
        <v>50</v>
      </c>
      <c r="B100" s="151">
        <v>5650</v>
      </c>
      <c r="C100" s="159" t="s">
        <v>286</v>
      </c>
      <c r="D100" s="85"/>
      <c r="E100" s="85">
        <v>0</v>
      </c>
      <c r="F100" s="85">
        <f t="shared" si="31"/>
        <v>0</v>
      </c>
      <c r="G100" s="85"/>
      <c r="H100" s="85"/>
      <c r="I100" s="85"/>
    </row>
    <row r="101" spans="1:9" s="285" customFormat="1" x14ac:dyDescent="0.25">
      <c r="A101" s="118">
        <v>50</v>
      </c>
      <c r="B101" s="151">
        <v>5655</v>
      </c>
      <c r="C101" s="159" t="s">
        <v>287</v>
      </c>
      <c r="D101" s="85"/>
      <c r="E101" s="85">
        <v>0</v>
      </c>
      <c r="F101" s="85">
        <f t="shared" si="31"/>
        <v>0</v>
      </c>
      <c r="G101" s="85"/>
      <c r="H101" s="85"/>
      <c r="I101" s="85"/>
    </row>
    <row r="102" spans="1:9" s="285" customFormat="1" x14ac:dyDescent="0.25">
      <c r="A102" s="118">
        <v>50</v>
      </c>
      <c r="B102" s="151">
        <v>5660</v>
      </c>
      <c r="C102" s="159" t="s">
        <v>288</v>
      </c>
      <c r="D102" s="85"/>
      <c r="E102" s="85">
        <v>0</v>
      </c>
      <c r="F102" s="85">
        <f t="shared" si="31"/>
        <v>0</v>
      </c>
      <c r="G102" s="85"/>
      <c r="H102" s="85"/>
      <c r="I102" s="85"/>
    </row>
    <row r="103" spans="1:9" s="285" customFormat="1" x14ac:dyDescent="0.25">
      <c r="A103" s="118">
        <v>50</v>
      </c>
      <c r="B103" s="151">
        <v>5665</v>
      </c>
      <c r="C103" s="94" t="s">
        <v>289</v>
      </c>
      <c r="D103" s="85"/>
      <c r="E103" s="85">
        <v>0</v>
      </c>
      <c r="F103" s="85">
        <f t="shared" si="31"/>
        <v>0</v>
      </c>
      <c r="G103" s="85"/>
      <c r="H103" s="85"/>
      <c r="I103" s="85"/>
    </row>
    <row r="104" spans="1:9" s="285" customFormat="1" x14ac:dyDescent="0.25">
      <c r="A104" s="118">
        <v>50</v>
      </c>
      <c r="B104" s="151">
        <v>5670</v>
      </c>
      <c r="C104" s="94" t="s">
        <v>290</v>
      </c>
      <c r="D104" s="85"/>
      <c r="E104" s="85">
        <v>0</v>
      </c>
      <c r="F104" s="85">
        <f t="shared" si="31"/>
        <v>0</v>
      </c>
      <c r="G104" s="85"/>
      <c r="H104" s="85"/>
      <c r="I104" s="85"/>
    </row>
    <row r="105" spans="1:9" s="285" customFormat="1" x14ac:dyDescent="0.25">
      <c r="A105" s="118">
        <v>50</v>
      </c>
      <c r="B105" s="151">
        <v>5675</v>
      </c>
      <c r="C105" s="94" t="s">
        <v>291</v>
      </c>
      <c r="D105" s="85"/>
      <c r="E105" s="85">
        <v>0</v>
      </c>
      <c r="F105" s="85">
        <f t="shared" si="31"/>
        <v>0</v>
      </c>
      <c r="G105" s="85"/>
      <c r="H105" s="85"/>
      <c r="I105" s="85"/>
    </row>
    <row r="106" spans="1:9" s="285" customFormat="1" x14ac:dyDescent="0.25">
      <c r="A106" s="118">
        <v>50</v>
      </c>
      <c r="B106" s="151">
        <v>5680</v>
      </c>
      <c r="C106" s="94" t="s">
        <v>292</v>
      </c>
      <c r="D106" s="85"/>
      <c r="E106" s="85">
        <v>0</v>
      </c>
      <c r="F106" s="85">
        <f t="shared" si="31"/>
        <v>0</v>
      </c>
      <c r="G106" s="85"/>
      <c r="H106" s="85"/>
      <c r="I106" s="85"/>
    </row>
    <row r="107" spans="1:9" s="285" customFormat="1" x14ac:dyDescent="0.25">
      <c r="A107" s="118">
        <v>50</v>
      </c>
      <c r="B107" s="151">
        <v>5685</v>
      </c>
      <c r="C107" s="94" t="s">
        <v>293</v>
      </c>
      <c r="D107" s="85"/>
      <c r="E107" s="85">
        <v>0</v>
      </c>
      <c r="F107" s="85">
        <f t="shared" si="31"/>
        <v>0</v>
      </c>
      <c r="G107" s="85"/>
      <c r="H107" s="85"/>
      <c r="I107" s="85"/>
    </row>
    <row r="108" spans="1:9" s="285" customFormat="1" x14ac:dyDescent="0.25">
      <c r="A108" s="118">
        <v>50</v>
      </c>
      <c r="B108" s="151">
        <v>5690</v>
      </c>
      <c r="C108" s="94" t="s">
        <v>247</v>
      </c>
      <c r="D108" s="85"/>
      <c r="E108" s="85">
        <v>0</v>
      </c>
      <c r="F108" s="85">
        <f t="shared" si="31"/>
        <v>0</v>
      </c>
      <c r="G108" s="85"/>
      <c r="H108" s="85"/>
      <c r="I108" s="85"/>
    </row>
    <row r="109" spans="1:9" s="285" customFormat="1" x14ac:dyDescent="0.25">
      <c r="A109" s="118">
        <v>50</v>
      </c>
      <c r="B109" s="151">
        <v>5695</v>
      </c>
      <c r="C109" s="94" t="s">
        <v>294</v>
      </c>
      <c r="D109" s="85"/>
      <c r="E109" s="85">
        <v>0</v>
      </c>
      <c r="F109" s="85">
        <f t="shared" si="31"/>
        <v>0</v>
      </c>
      <c r="G109" s="85"/>
      <c r="H109" s="85"/>
      <c r="I109" s="85"/>
    </row>
    <row r="110" spans="1:9" s="285" customFormat="1" x14ac:dyDescent="0.25">
      <c r="A110" s="118">
        <v>50</v>
      </c>
      <c r="B110" s="151">
        <v>5700</v>
      </c>
      <c r="C110" s="94" t="s">
        <v>295</v>
      </c>
      <c r="D110" s="85"/>
      <c r="E110" s="85">
        <v>0</v>
      </c>
      <c r="F110" s="85">
        <f t="shared" si="31"/>
        <v>0</v>
      </c>
      <c r="G110" s="85"/>
      <c r="H110" s="85"/>
      <c r="I110" s="85"/>
    </row>
    <row r="111" spans="1:9" s="285" customFormat="1" x14ac:dyDescent="0.25">
      <c r="A111" s="118">
        <v>50</v>
      </c>
      <c r="B111" s="151">
        <v>5710</v>
      </c>
      <c r="C111" s="94" t="s">
        <v>297</v>
      </c>
      <c r="D111" s="85"/>
      <c r="E111" s="85">
        <v>0</v>
      </c>
      <c r="F111" s="85">
        <f t="shared" si="31"/>
        <v>0</v>
      </c>
      <c r="G111" s="85"/>
      <c r="H111" s="85"/>
      <c r="I111" s="85"/>
    </row>
    <row r="112" spans="1:9" s="285" customFormat="1" x14ac:dyDescent="0.25">
      <c r="A112" s="118">
        <v>50</v>
      </c>
      <c r="B112" s="151">
        <v>5715</v>
      </c>
      <c r="C112" s="94" t="s">
        <v>298</v>
      </c>
      <c r="D112" s="85"/>
      <c r="E112" s="85">
        <v>0</v>
      </c>
      <c r="F112" s="85">
        <f t="shared" si="31"/>
        <v>0</v>
      </c>
      <c r="G112" s="85"/>
      <c r="H112" s="85"/>
      <c r="I112" s="85"/>
    </row>
    <row r="113" spans="1:9" s="285" customFormat="1" x14ac:dyDescent="0.25">
      <c r="A113" s="118">
        <v>50</v>
      </c>
      <c r="B113" s="151">
        <v>5720</v>
      </c>
      <c r="C113" s="94" t="s">
        <v>299</v>
      </c>
      <c r="D113" s="85"/>
      <c r="E113" s="85">
        <v>0</v>
      </c>
      <c r="F113" s="85">
        <f t="shared" si="31"/>
        <v>0</v>
      </c>
      <c r="G113" s="85"/>
      <c r="H113" s="85"/>
      <c r="I113" s="85"/>
    </row>
    <row r="114" spans="1:9" s="285" customFormat="1" x14ac:dyDescent="0.25">
      <c r="A114" s="118">
        <v>50</v>
      </c>
      <c r="B114" s="151">
        <v>5730</v>
      </c>
      <c r="C114" s="94" t="s">
        <v>300</v>
      </c>
      <c r="D114" s="85"/>
      <c r="E114" s="85">
        <v>33232.5</v>
      </c>
      <c r="F114" s="85">
        <v>33232.5</v>
      </c>
      <c r="G114" s="85">
        <f>(F114*10/100)+F114</f>
        <v>36555.75</v>
      </c>
      <c r="H114" s="85">
        <f t="shared" ref="H114:I114" si="34">(G114*10/100)+G114</f>
        <v>40211.324999999997</v>
      </c>
      <c r="I114" s="85">
        <f t="shared" si="34"/>
        <v>44232.457499999997</v>
      </c>
    </row>
    <row r="115" spans="1:9" s="285" customFormat="1" x14ac:dyDescent="0.25">
      <c r="A115" s="118">
        <v>50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85"/>
      <c r="H115" s="85"/>
      <c r="I115" s="85"/>
    </row>
    <row r="116" spans="1:9" s="285" customFormat="1" x14ac:dyDescent="0.25">
      <c r="A116" s="118">
        <v>50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85"/>
      <c r="H116" s="85"/>
      <c r="I116" s="85"/>
    </row>
    <row r="117" spans="1:9" s="285" customFormat="1" x14ac:dyDescent="0.25">
      <c r="A117" s="118">
        <v>50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85"/>
      <c r="H117" s="85"/>
      <c r="I117" s="85"/>
    </row>
    <row r="118" spans="1:9" s="285" customFormat="1" x14ac:dyDescent="0.25">
      <c r="A118" s="118">
        <v>50</v>
      </c>
      <c r="B118" s="151">
        <v>5750</v>
      </c>
      <c r="C118" s="94" t="s">
        <v>304</v>
      </c>
      <c r="D118" s="85">
        <v>365</v>
      </c>
      <c r="E118" s="85">
        <v>1220</v>
      </c>
      <c r="F118" s="85">
        <v>1220</v>
      </c>
      <c r="G118" s="85">
        <f t="shared" ref="G118:I119" si="35">(F118*10/100)+F118</f>
        <v>1342</v>
      </c>
      <c r="H118" s="85">
        <f t="shared" si="35"/>
        <v>1476.2</v>
      </c>
      <c r="I118" s="85">
        <f t="shared" si="35"/>
        <v>1623.8200000000002</v>
      </c>
    </row>
    <row r="119" spans="1:9" s="285" customFormat="1" x14ac:dyDescent="0.25">
      <c r="A119" s="118">
        <v>50</v>
      </c>
      <c r="B119" s="151">
        <v>5755</v>
      </c>
      <c r="C119" s="94" t="s">
        <v>305</v>
      </c>
      <c r="D119" s="85">
        <v>10747</v>
      </c>
      <c r="E119" s="85">
        <v>13800</v>
      </c>
      <c r="F119" s="85">
        <v>13800</v>
      </c>
      <c r="G119" s="85">
        <f t="shared" si="35"/>
        <v>15180</v>
      </c>
      <c r="H119" s="85">
        <f t="shared" si="35"/>
        <v>16698</v>
      </c>
      <c r="I119" s="85">
        <f t="shared" si="35"/>
        <v>18367.8</v>
      </c>
    </row>
    <row r="120" spans="1:9" s="285" customFormat="1" ht="12" customHeight="1" x14ac:dyDescent="0.25">
      <c r="A120" s="118">
        <v>50</v>
      </c>
      <c r="B120" s="151">
        <v>5760</v>
      </c>
      <c r="C120" s="94" t="s">
        <v>306</v>
      </c>
      <c r="D120" s="85"/>
      <c r="E120" s="85"/>
      <c r="F120" s="85">
        <f t="shared" ref="F120:F132" si="36">0/8*12</f>
        <v>0</v>
      </c>
      <c r="G120" s="85"/>
      <c r="H120" s="85"/>
      <c r="I120" s="85"/>
    </row>
    <row r="121" spans="1:9" s="285" customFormat="1" x14ac:dyDescent="0.25">
      <c r="A121" s="118">
        <v>50</v>
      </c>
      <c r="B121" s="151">
        <v>5765</v>
      </c>
      <c r="C121" s="94" t="s">
        <v>307</v>
      </c>
      <c r="D121" s="85"/>
      <c r="E121" s="85"/>
      <c r="F121" s="85">
        <f t="shared" si="36"/>
        <v>0</v>
      </c>
      <c r="G121" s="85"/>
      <c r="H121" s="85"/>
      <c r="I121" s="85"/>
    </row>
    <row r="122" spans="1:9" s="285" customFormat="1" x14ac:dyDescent="0.25">
      <c r="A122" s="118">
        <v>50</v>
      </c>
      <c r="B122" s="151">
        <v>5770</v>
      </c>
      <c r="C122" s="94" t="s">
        <v>308</v>
      </c>
      <c r="D122" s="85"/>
      <c r="E122" s="85"/>
      <c r="F122" s="85">
        <f t="shared" si="36"/>
        <v>0</v>
      </c>
      <c r="G122" s="85"/>
      <c r="H122" s="85"/>
      <c r="I122" s="85"/>
    </row>
    <row r="123" spans="1:9" s="285" customFormat="1" x14ac:dyDescent="0.25">
      <c r="A123" s="118">
        <v>50</v>
      </c>
      <c r="B123" s="151">
        <v>5775</v>
      </c>
      <c r="C123" s="94" t="s">
        <v>309</v>
      </c>
      <c r="D123" s="85"/>
      <c r="E123" s="85"/>
      <c r="F123" s="85">
        <f t="shared" si="36"/>
        <v>0</v>
      </c>
      <c r="G123" s="85"/>
      <c r="H123" s="85"/>
      <c r="I123" s="85"/>
    </row>
    <row r="124" spans="1:9" s="285" customFormat="1" x14ac:dyDescent="0.25">
      <c r="A124" s="118">
        <v>50</v>
      </c>
      <c r="B124" s="151">
        <v>5780</v>
      </c>
      <c r="C124" s="94" t="s">
        <v>310</v>
      </c>
      <c r="D124" s="85"/>
      <c r="E124" s="85"/>
      <c r="F124" s="85">
        <f t="shared" si="36"/>
        <v>0</v>
      </c>
      <c r="G124" s="85"/>
      <c r="H124" s="85"/>
      <c r="I124" s="85"/>
    </row>
    <row r="125" spans="1:9" s="285" customFormat="1" x14ac:dyDescent="0.25">
      <c r="A125" s="118">
        <v>50</v>
      </c>
      <c r="B125" s="151">
        <v>5785</v>
      </c>
      <c r="C125" s="94" t="s">
        <v>311</v>
      </c>
      <c r="D125" s="85"/>
      <c r="E125" s="85"/>
      <c r="F125" s="85">
        <f t="shared" si="36"/>
        <v>0</v>
      </c>
      <c r="G125" s="85"/>
      <c r="H125" s="85"/>
      <c r="I125" s="85"/>
    </row>
    <row r="126" spans="1:9" s="285" customFormat="1" x14ac:dyDescent="0.25">
      <c r="A126" s="118">
        <v>50</v>
      </c>
      <c r="B126" s="151">
        <v>5790</v>
      </c>
      <c r="C126" s="94" t="s">
        <v>312</v>
      </c>
      <c r="D126" s="85"/>
      <c r="E126" s="85"/>
      <c r="F126" s="85">
        <f t="shared" si="36"/>
        <v>0</v>
      </c>
      <c r="G126" s="85"/>
      <c r="H126" s="85"/>
      <c r="I126" s="85"/>
    </row>
    <row r="127" spans="1:9" s="285" customFormat="1" x14ac:dyDescent="0.25">
      <c r="A127" s="118">
        <v>50</v>
      </c>
      <c r="B127" s="151">
        <v>5795</v>
      </c>
      <c r="C127" s="94" t="s">
        <v>313</v>
      </c>
      <c r="D127" s="85"/>
      <c r="E127" s="85"/>
      <c r="F127" s="85">
        <f t="shared" si="36"/>
        <v>0</v>
      </c>
      <c r="G127" s="85"/>
      <c r="H127" s="85"/>
      <c r="I127" s="85"/>
    </row>
    <row r="128" spans="1:9" s="285" customFormat="1" x14ac:dyDescent="0.25">
      <c r="A128" s="118">
        <v>50</v>
      </c>
      <c r="B128" s="151">
        <v>5800</v>
      </c>
      <c r="C128" s="94" t="s">
        <v>314</v>
      </c>
      <c r="D128" s="85"/>
      <c r="E128" s="85"/>
      <c r="F128" s="85">
        <f t="shared" si="36"/>
        <v>0</v>
      </c>
      <c r="G128" s="85"/>
      <c r="H128" s="85"/>
      <c r="I128" s="85"/>
    </row>
    <row r="129" spans="1:9" s="285" customFormat="1" x14ac:dyDescent="0.25">
      <c r="A129" s="118">
        <v>50</v>
      </c>
      <c r="B129" s="151">
        <v>5805</v>
      </c>
      <c r="C129" s="94" t="s">
        <v>315</v>
      </c>
      <c r="D129" s="85"/>
      <c r="E129" s="85"/>
      <c r="F129" s="85">
        <f t="shared" si="36"/>
        <v>0</v>
      </c>
      <c r="G129" s="85"/>
      <c r="H129" s="85"/>
      <c r="I129" s="85"/>
    </row>
    <row r="130" spans="1:9" s="285" customFormat="1" x14ac:dyDescent="0.25">
      <c r="A130" s="118">
        <v>50</v>
      </c>
      <c r="B130" s="151">
        <v>5810</v>
      </c>
      <c r="C130" s="94" t="s">
        <v>316</v>
      </c>
      <c r="D130" s="85"/>
      <c r="E130" s="85"/>
      <c r="F130" s="85">
        <f t="shared" si="36"/>
        <v>0</v>
      </c>
      <c r="G130" s="85"/>
      <c r="H130" s="85"/>
      <c r="I130" s="85"/>
    </row>
    <row r="131" spans="1:9" s="285" customFormat="1" x14ac:dyDescent="0.25">
      <c r="A131" s="118">
        <v>50</v>
      </c>
      <c r="B131" s="151">
        <v>5815</v>
      </c>
      <c r="C131" s="94" t="s">
        <v>99</v>
      </c>
      <c r="D131" s="85"/>
      <c r="E131" s="85"/>
      <c r="F131" s="85">
        <f t="shared" si="36"/>
        <v>0</v>
      </c>
      <c r="G131" s="85"/>
      <c r="H131" s="85"/>
      <c r="I131" s="85"/>
    </row>
    <row r="132" spans="1:9" s="285" customFormat="1" x14ac:dyDescent="0.25">
      <c r="A132" s="118">
        <v>50</v>
      </c>
      <c r="B132" s="151">
        <v>5820</v>
      </c>
      <c r="C132" s="94" t="s">
        <v>114</v>
      </c>
      <c r="D132" s="86"/>
      <c r="E132" s="85"/>
      <c r="F132" s="85">
        <f t="shared" si="36"/>
        <v>0</v>
      </c>
      <c r="G132" s="85"/>
      <c r="H132" s="85"/>
      <c r="I132" s="85"/>
    </row>
    <row r="133" spans="1:9" s="285" customFormat="1" x14ac:dyDescent="0.25">
      <c r="A133" s="118">
        <v>50</v>
      </c>
      <c r="B133" s="151">
        <v>5825</v>
      </c>
      <c r="C133" s="94" t="s">
        <v>317</v>
      </c>
      <c r="D133" s="86"/>
      <c r="E133" s="85"/>
      <c r="F133" s="85">
        <f t="shared" ref="F133:F147" si="37">0/8*12</f>
        <v>0</v>
      </c>
      <c r="G133" s="85"/>
      <c r="H133" s="85"/>
      <c r="I133" s="85"/>
    </row>
    <row r="134" spans="1:9" s="285" customFormat="1" x14ac:dyDescent="0.25">
      <c r="A134" s="118">
        <v>50</v>
      </c>
      <c r="B134" s="151">
        <v>5830</v>
      </c>
      <c r="C134" s="94" t="s">
        <v>318</v>
      </c>
      <c r="D134" s="86"/>
      <c r="E134" s="85"/>
      <c r="F134" s="85">
        <f t="shared" si="37"/>
        <v>0</v>
      </c>
      <c r="G134" s="85"/>
      <c r="H134" s="85"/>
      <c r="I134" s="85"/>
    </row>
    <row r="135" spans="1:9" s="285" customFormat="1" x14ac:dyDescent="0.25">
      <c r="A135" s="118">
        <v>50</v>
      </c>
      <c r="B135" s="151">
        <v>5835</v>
      </c>
      <c r="C135" s="94" t="s">
        <v>319</v>
      </c>
      <c r="D135" s="86"/>
      <c r="E135" s="85"/>
      <c r="F135" s="85">
        <f t="shared" si="37"/>
        <v>0</v>
      </c>
      <c r="G135" s="85"/>
      <c r="H135" s="85"/>
      <c r="I135" s="85"/>
    </row>
    <row r="136" spans="1:9" s="285" customFormat="1" x14ac:dyDescent="0.25">
      <c r="A136" s="118">
        <v>50</v>
      </c>
      <c r="B136" s="151">
        <v>5840</v>
      </c>
      <c r="C136" s="94" t="s">
        <v>332</v>
      </c>
      <c r="D136" s="115"/>
      <c r="E136" s="85"/>
      <c r="F136" s="85">
        <f t="shared" si="37"/>
        <v>0</v>
      </c>
      <c r="G136" s="85"/>
      <c r="H136" s="85"/>
      <c r="I136" s="85"/>
    </row>
    <row r="137" spans="1:9" s="285" customFormat="1" x14ac:dyDescent="0.25">
      <c r="A137" s="118">
        <v>50</v>
      </c>
      <c r="B137" s="151">
        <v>5845</v>
      </c>
      <c r="C137" s="94" t="s">
        <v>320</v>
      </c>
      <c r="D137" s="86"/>
      <c r="E137" s="85"/>
      <c r="F137" s="85">
        <f t="shared" si="37"/>
        <v>0</v>
      </c>
      <c r="G137" s="85"/>
      <c r="H137" s="85"/>
      <c r="I137" s="85"/>
    </row>
    <row r="138" spans="1:9" s="285" customFormat="1" x14ac:dyDescent="0.25">
      <c r="A138" s="118">
        <v>50</v>
      </c>
      <c r="B138" s="151">
        <v>5855</v>
      </c>
      <c r="C138" s="94" t="s">
        <v>321</v>
      </c>
      <c r="D138" s="85"/>
      <c r="E138" s="85"/>
      <c r="F138" s="85">
        <f t="shared" si="37"/>
        <v>0</v>
      </c>
      <c r="G138" s="85"/>
      <c r="H138" s="85"/>
      <c r="I138" s="85"/>
    </row>
    <row r="139" spans="1:9" s="285" customFormat="1" x14ac:dyDescent="0.25">
      <c r="A139" s="118">
        <v>50</v>
      </c>
      <c r="B139" s="151">
        <v>5860</v>
      </c>
      <c r="C139" s="94" t="s">
        <v>322</v>
      </c>
      <c r="D139" s="85"/>
      <c r="E139" s="85"/>
      <c r="F139" s="85">
        <f t="shared" si="37"/>
        <v>0</v>
      </c>
      <c r="G139" s="85"/>
      <c r="H139" s="85"/>
      <c r="I139" s="85"/>
    </row>
    <row r="140" spans="1:9" s="285" customFormat="1" x14ac:dyDescent="0.25">
      <c r="A140" s="118">
        <v>50</v>
      </c>
      <c r="B140" s="151">
        <v>5865</v>
      </c>
      <c r="C140" s="94" t="s">
        <v>323</v>
      </c>
      <c r="D140" s="85"/>
      <c r="E140" s="85"/>
      <c r="F140" s="85">
        <f t="shared" si="37"/>
        <v>0</v>
      </c>
      <c r="G140" s="85"/>
      <c r="H140" s="85"/>
      <c r="I140" s="85"/>
    </row>
    <row r="141" spans="1:9" s="285" customFormat="1" x14ac:dyDescent="0.25">
      <c r="A141" s="118">
        <v>50</v>
      </c>
      <c r="B141" s="151">
        <v>5870</v>
      </c>
      <c r="C141" s="94" t="s">
        <v>324</v>
      </c>
      <c r="D141" s="85"/>
      <c r="E141" s="85"/>
      <c r="F141" s="85">
        <f t="shared" si="37"/>
        <v>0</v>
      </c>
      <c r="G141" s="85"/>
      <c r="H141" s="85"/>
      <c r="I141" s="85"/>
    </row>
    <row r="142" spans="1:9" s="285" customFormat="1" x14ac:dyDescent="0.25">
      <c r="A142" s="118">
        <v>50</v>
      </c>
      <c r="B142" s="151">
        <v>5875</v>
      </c>
      <c r="C142" s="94" t="s">
        <v>325</v>
      </c>
      <c r="D142" s="85"/>
      <c r="E142" s="85"/>
      <c r="F142" s="85">
        <f t="shared" si="37"/>
        <v>0</v>
      </c>
      <c r="G142" s="85"/>
      <c r="H142" s="85"/>
      <c r="I142" s="85"/>
    </row>
    <row r="143" spans="1:9" s="285" customFormat="1" x14ac:dyDescent="0.25">
      <c r="A143" s="118">
        <v>50</v>
      </c>
      <c r="B143" s="151">
        <v>5880</v>
      </c>
      <c r="C143" s="94" t="s">
        <v>326</v>
      </c>
      <c r="D143" s="85"/>
      <c r="E143" s="85"/>
      <c r="F143" s="85">
        <f t="shared" si="37"/>
        <v>0</v>
      </c>
      <c r="G143" s="85"/>
      <c r="H143" s="85"/>
      <c r="I143" s="85"/>
    </row>
    <row r="144" spans="1:9" s="285" customFormat="1" x14ac:dyDescent="0.25">
      <c r="A144" s="118">
        <v>50</v>
      </c>
      <c r="B144" s="151">
        <v>5885</v>
      </c>
      <c r="C144" s="94" t="s">
        <v>331</v>
      </c>
      <c r="D144" s="85"/>
      <c r="E144" s="85"/>
      <c r="F144" s="85">
        <f t="shared" si="37"/>
        <v>0</v>
      </c>
      <c r="G144" s="85"/>
      <c r="H144" s="85"/>
      <c r="I144" s="85"/>
    </row>
    <row r="145" spans="1:9" s="285" customFormat="1" x14ac:dyDescent="0.25">
      <c r="A145" s="118">
        <v>50</v>
      </c>
      <c r="B145" s="151">
        <v>5890</v>
      </c>
      <c r="C145" s="94" t="s">
        <v>327</v>
      </c>
      <c r="D145" s="85"/>
      <c r="E145" s="85"/>
      <c r="F145" s="85">
        <f t="shared" si="37"/>
        <v>0</v>
      </c>
      <c r="G145" s="85"/>
      <c r="H145" s="85"/>
      <c r="I145" s="85"/>
    </row>
    <row r="146" spans="1:9" s="285" customFormat="1" x14ac:dyDescent="0.25">
      <c r="A146" s="118">
        <v>50</v>
      </c>
      <c r="B146" s="151">
        <v>5895</v>
      </c>
      <c r="C146" s="94" t="s">
        <v>328</v>
      </c>
      <c r="D146" s="85"/>
      <c r="E146" s="85"/>
      <c r="F146" s="85">
        <f t="shared" si="37"/>
        <v>0</v>
      </c>
      <c r="G146" s="85"/>
      <c r="H146" s="85"/>
      <c r="I146" s="85"/>
    </row>
    <row r="147" spans="1:9" s="285" customFormat="1" x14ac:dyDescent="0.25">
      <c r="A147" s="118">
        <v>50</v>
      </c>
      <c r="B147" s="151">
        <v>5910</v>
      </c>
      <c r="C147" s="94" t="s">
        <v>330</v>
      </c>
      <c r="D147" s="85"/>
      <c r="E147" s="85"/>
      <c r="F147" s="85">
        <f t="shared" si="37"/>
        <v>0</v>
      </c>
      <c r="G147" s="85"/>
      <c r="H147" s="85"/>
      <c r="I147" s="85"/>
    </row>
    <row r="148" spans="1:9" s="285" customFormat="1" x14ac:dyDescent="0.25">
      <c r="A148" s="344"/>
      <c r="B148" s="151"/>
      <c r="C148" s="94"/>
      <c r="D148" s="89">
        <f t="shared" ref="D148:I148" si="38">SUM(D72:D147)</f>
        <v>78015</v>
      </c>
      <c r="E148" s="89">
        <f t="shared" si="38"/>
        <v>111887.78</v>
      </c>
      <c r="F148" s="89">
        <f t="shared" si="38"/>
        <v>118125.78</v>
      </c>
      <c r="G148" s="89">
        <f t="shared" si="38"/>
        <v>129352.85</v>
      </c>
      <c r="H148" s="89"/>
      <c r="I148" s="89">
        <f t="shared" si="38"/>
        <v>156516.9485</v>
      </c>
    </row>
    <row r="149" spans="1:9" s="285" customFormat="1" x14ac:dyDescent="0.25">
      <c r="A149" s="344"/>
      <c r="B149" s="151"/>
      <c r="C149" s="93" t="s">
        <v>187</v>
      </c>
      <c r="D149" s="85"/>
      <c r="E149" s="108"/>
      <c r="F149" s="108"/>
      <c r="G149" s="108"/>
      <c r="H149" s="108"/>
      <c r="I149" s="108"/>
    </row>
    <row r="150" spans="1:9" s="285" customFormat="1" x14ac:dyDescent="0.25">
      <c r="A150" s="118">
        <v>50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85"/>
      <c r="H150" s="85"/>
      <c r="I150" s="108">
        <f>F150*(1+INPUT!C$10)</f>
        <v>0</v>
      </c>
    </row>
    <row r="151" spans="1:9" s="285" customFormat="1" x14ac:dyDescent="0.25">
      <c r="A151" s="344"/>
      <c r="B151" s="151"/>
      <c r="C151" s="94"/>
      <c r="D151" s="89">
        <f t="shared" ref="D151:I151" si="39">SUM(D150)</f>
        <v>0</v>
      </c>
      <c r="E151" s="89">
        <f t="shared" si="39"/>
        <v>0</v>
      </c>
      <c r="F151" s="89">
        <f t="shared" si="39"/>
        <v>0</v>
      </c>
      <c r="G151" s="89"/>
      <c r="H151" s="89"/>
      <c r="I151" s="89">
        <f t="shared" si="39"/>
        <v>0</v>
      </c>
    </row>
    <row r="152" spans="1:9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</row>
    <row r="153" spans="1:9" s="285" customFormat="1" x14ac:dyDescent="0.25">
      <c r="A153" s="118">
        <v>50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6"/>
      <c r="H153" s="85"/>
      <c r="I153" s="108"/>
    </row>
    <row r="154" spans="1:9" s="285" customFormat="1" x14ac:dyDescent="0.25">
      <c r="A154" s="118">
        <v>50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85"/>
      <c r="H154" s="85"/>
      <c r="I154" s="108"/>
    </row>
    <row r="155" spans="1:9" s="285" customFormat="1" x14ac:dyDescent="0.25">
      <c r="A155" s="118">
        <v>50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6"/>
      <c r="H155" s="85"/>
      <c r="I155" s="108"/>
    </row>
    <row r="156" spans="1:9" s="285" customFormat="1" x14ac:dyDescent="0.25">
      <c r="A156" s="344"/>
      <c r="B156" s="151"/>
      <c r="C156" s="94"/>
      <c r="D156" s="89">
        <f>D153</f>
        <v>0</v>
      </c>
      <c r="E156" s="89">
        <f>SUM(E153:E155)</f>
        <v>0</v>
      </c>
      <c r="F156" s="89">
        <f>SUM(F153:F155)</f>
        <v>0</v>
      </c>
      <c r="G156" s="89"/>
      <c r="H156" s="89"/>
      <c r="I156" s="89">
        <f>SUM(I153:I155)</f>
        <v>0</v>
      </c>
    </row>
    <row r="157" spans="1:9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</row>
    <row r="158" spans="1:9" s="285" customFormat="1" x14ac:dyDescent="0.25">
      <c r="A158" s="118">
        <v>50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85"/>
      <c r="H158" s="85"/>
      <c r="I158" s="85">
        <f>F158*(1+INPUT!C$10)</f>
        <v>0</v>
      </c>
    </row>
    <row r="159" spans="1:9" s="285" customFormat="1" x14ac:dyDescent="0.25">
      <c r="A159" s="118">
        <v>50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85"/>
      <c r="H159" s="85"/>
      <c r="I159" s="85">
        <f>F159*(1+INPUT!C$10)</f>
        <v>0</v>
      </c>
    </row>
    <row r="160" spans="1:9" s="285" customFormat="1" x14ac:dyDescent="0.25">
      <c r="A160" s="344"/>
      <c r="B160" s="346"/>
      <c r="C160" s="347"/>
      <c r="D160" s="116">
        <f t="shared" ref="D160:I160" si="40">SUM(D158:D159)</f>
        <v>0</v>
      </c>
      <c r="E160" s="116">
        <f t="shared" si="40"/>
        <v>0</v>
      </c>
      <c r="F160" s="116">
        <f t="shared" si="40"/>
        <v>0</v>
      </c>
      <c r="G160" s="116"/>
      <c r="H160" s="116"/>
      <c r="I160" s="116">
        <f t="shared" si="40"/>
        <v>0</v>
      </c>
    </row>
    <row r="161" spans="1:9" s="285" customFormat="1" x14ac:dyDescent="0.25">
      <c r="A161" s="344"/>
      <c r="B161" s="346"/>
      <c r="C161" s="93" t="s">
        <v>189</v>
      </c>
      <c r="D161" s="116">
        <f t="shared" ref="D161:I161" si="41">D160+D156+D151+D148+D70+D66+D63+D59+D38+D35+D32+D29+D25+D18</f>
        <v>19274301.530000001</v>
      </c>
      <c r="E161" s="116">
        <f t="shared" si="41"/>
        <v>34611134.460000001</v>
      </c>
      <c r="F161" s="116">
        <f t="shared" si="41"/>
        <v>38748002.460000001</v>
      </c>
      <c r="G161" s="116">
        <f t="shared" ref="G161" si="42">G160+G156+G151+G148+G70+G66+G63+G59+G38+G35+G32+G29+G25+G18</f>
        <v>42462718.850000001</v>
      </c>
      <c r="H161" s="116"/>
      <c r="I161" s="116">
        <f t="shared" si="41"/>
        <v>51165701.983988002</v>
      </c>
    </row>
    <row r="162" spans="1:9" s="285" customFormat="1" x14ac:dyDescent="0.25">
      <c r="A162" s="344"/>
      <c r="B162" s="151"/>
      <c r="C162" s="93" t="s">
        <v>258</v>
      </c>
      <c r="D162" s="117"/>
      <c r="E162" s="117"/>
      <c r="F162" s="117"/>
      <c r="G162" s="117"/>
      <c r="H162" s="117"/>
      <c r="I162" s="117"/>
    </row>
    <row r="163" spans="1:9" s="285" customFormat="1" x14ac:dyDescent="0.25">
      <c r="A163" s="118">
        <v>50</v>
      </c>
      <c r="B163" s="151">
        <v>6305</v>
      </c>
      <c r="C163" s="94" t="s">
        <v>190</v>
      </c>
      <c r="D163" s="85"/>
      <c r="E163" s="85"/>
      <c r="F163" s="85">
        <f>0/8*12</f>
        <v>0</v>
      </c>
      <c r="G163" s="85">
        <f>0/8*12</f>
        <v>0</v>
      </c>
      <c r="H163" s="85"/>
      <c r="I163" s="85"/>
    </row>
    <row r="164" spans="1:9" s="285" customFormat="1" x14ac:dyDescent="0.25">
      <c r="A164" s="344"/>
      <c r="B164" s="151"/>
      <c r="C164" s="94"/>
      <c r="D164" s="116">
        <f t="shared" ref="D164:I164" si="43">D163</f>
        <v>0</v>
      </c>
      <c r="E164" s="116">
        <f t="shared" si="43"/>
        <v>0</v>
      </c>
      <c r="F164" s="116">
        <f t="shared" si="43"/>
        <v>0</v>
      </c>
      <c r="G164" s="116">
        <f t="shared" ref="G164" si="44">G163</f>
        <v>0</v>
      </c>
      <c r="H164" s="116"/>
      <c r="I164" s="116">
        <f t="shared" si="43"/>
        <v>0</v>
      </c>
    </row>
    <row r="165" spans="1:9" s="285" customFormat="1" x14ac:dyDescent="0.25">
      <c r="A165" s="348"/>
      <c r="B165" s="152"/>
      <c r="C165" s="119" t="s">
        <v>191</v>
      </c>
      <c r="D165" s="160">
        <f t="shared" ref="D165:I165" si="45">SUM(D161+D164)</f>
        <v>19274301.530000001</v>
      </c>
      <c r="E165" s="160">
        <f t="shared" si="45"/>
        <v>34611134.460000001</v>
      </c>
      <c r="F165" s="160">
        <f t="shared" si="45"/>
        <v>38748002.460000001</v>
      </c>
      <c r="G165" s="160">
        <f t="shared" ref="G165" si="46">SUM(G161+G164)</f>
        <v>42462718.850000001</v>
      </c>
      <c r="H165" s="160"/>
      <c r="I165" s="160">
        <f t="shared" si="45"/>
        <v>51165701.983988002</v>
      </c>
    </row>
    <row r="166" spans="1:9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</row>
    <row r="167" spans="1:9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</row>
    <row r="168" spans="1:9" s="285" customFormat="1" x14ac:dyDescent="0.25">
      <c r="A168" s="349"/>
      <c r="B168" s="710" t="s">
        <v>418</v>
      </c>
      <c r="C168" s="710"/>
      <c r="D168" s="711"/>
      <c r="E168" s="338"/>
      <c r="F168" s="338"/>
      <c r="G168" s="338"/>
      <c r="H168" s="424"/>
      <c r="I168" s="338"/>
    </row>
    <row r="169" spans="1:9" s="285" customFormat="1" x14ac:dyDescent="0.25">
      <c r="A169" s="706" t="s">
        <v>21</v>
      </c>
      <c r="B169" s="707"/>
      <c r="C169" s="150" t="s">
        <v>22</v>
      </c>
      <c r="D169" s="103" t="s">
        <v>23</v>
      </c>
      <c r="E169" s="104" t="s">
        <v>24</v>
      </c>
      <c r="F169" s="103" t="s">
        <v>537</v>
      </c>
      <c r="G169" s="104" t="s">
        <v>24</v>
      </c>
      <c r="H169" s="104" t="s">
        <v>24</v>
      </c>
      <c r="I169" s="104" t="s">
        <v>24</v>
      </c>
    </row>
    <row r="170" spans="1:9" s="285" customFormat="1" x14ac:dyDescent="0.25">
      <c r="A170" s="708"/>
      <c r="B170" s="709"/>
      <c r="C170" s="106"/>
      <c r="D170" s="333">
        <v>41639</v>
      </c>
      <c r="E170" s="107" t="s">
        <v>384</v>
      </c>
      <c r="F170" s="107" t="s">
        <v>384</v>
      </c>
      <c r="G170" s="107" t="s">
        <v>409</v>
      </c>
      <c r="H170" s="107" t="s">
        <v>416</v>
      </c>
      <c r="I170" s="107" t="s">
        <v>532</v>
      </c>
    </row>
    <row r="171" spans="1:9" s="285" customFormat="1" x14ac:dyDescent="0.25">
      <c r="A171" s="350"/>
      <c r="B171" s="153"/>
      <c r="C171" s="93" t="s">
        <v>98</v>
      </c>
      <c r="D171" s="122"/>
      <c r="E171" s="98"/>
      <c r="F171" s="98"/>
      <c r="G171" s="98"/>
      <c r="H171" s="98"/>
      <c r="I171" s="98"/>
    </row>
    <row r="172" spans="1:9" s="285" customFormat="1" x14ac:dyDescent="0.25">
      <c r="A172" s="118">
        <v>50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98"/>
      <c r="H172" s="98"/>
      <c r="I172" s="98">
        <f>F172/8*12</f>
        <v>0</v>
      </c>
    </row>
    <row r="173" spans="1:9" s="285" customFormat="1" x14ac:dyDescent="0.25">
      <c r="A173" s="118">
        <v>50</v>
      </c>
      <c r="B173" s="151">
        <v>5725</v>
      </c>
      <c r="C173" s="94" t="s">
        <v>402</v>
      </c>
      <c r="D173" s="85">
        <v>0</v>
      </c>
      <c r="E173" s="85">
        <v>0</v>
      </c>
      <c r="F173" s="85">
        <f>(0/8*12)*-1</f>
        <v>0</v>
      </c>
      <c r="G173" s="85"/>
      <c r="H173" s="85"/>
      <c r="I173" s="85">
        <f>F173*(1+INPUT!C$10)</f>
        <v>0</v>
      </c>
    </row>
    <row r="174" spans="1:9" s="285" customFormat="1" x14ac:dyDescent="0.25">
      <c r="A174" s="344"/>
      <c r="B174" s="151"/>
      <c r="C174" s="94"/>
      <c r="D174" s="99">
        <f>SUM(D172:D172)</f>
        <v>0</v>
      </c>
      <c r="E174" s="99">
        <f>SUM(E172)</f>
        <v>0</v>
      </c>
      <c r="F174" s="99">
        <f>SUM(F172)</f>
        <v>0</v>
      </c>
      <c r="G174" s="99"/>
      <c r="H174" s="99"/>
      <c r="I174" s="99">
        <f>SUM(I172)</f>
        <v>0</v>
      </c>
    </row>
    <row r="175" spans="1:9" s="285" customFormat="1" x14ac:dyDescent="0.25">
      <c r="A175" s="344"/>
      <c r="B175" s="151"/>
      <c r="C175" s="93" t="s">
        <v>100</v>
      </c>
      <c r="D175" s="122"/>
      <c r="E175" s="98"/>
      <c r="F175" s="98"/>
      <c r="G175" s="98"/>
      <c r="H175" s="98"/>
      <c r="I175" s="98"/>
    </row>
    <row r="176" spans="1:9" s="285" customFormat="1" x14ac:dyDescent="0.25">
      <c r="A176" s="118">
        <v>50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98"/>
      <c r="H176" s="98"/>
      <c r="I176" s="98">
        <f>F176*(1+INPUT!C18)</f>
        <v>0</v>
      </c>
    </row>
    <row r="177" spans="1:9" s="285" customFormat="1" x14ac:dyDescent="0.25">
      <c r="A177" s="118">
        <v>50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98"/>
      <c r="H177" s="98"/>
      <c r="I177" s="98">
        <f>F177*(1+INPUT!C19)</f>
        <v>0</v>
      </c>
    </row>
    <row r="178" spans="1:9" s="285" customFormat="1" x14ac:dyDescent="0.25">
      <c r="A178" s="118">
        <v>50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98"/>
      <c r="H178" s="98"/>
      <c r="I178" s="98">
        <f>F178*(1+INPUT!C20)</f>
        <v>0</v>
      </c>
    </row>
    <row r="179" spans="1:9" s="285" customFormat="1" x14ac:dyDescent="0.25">
      <c r="A179" s="118">
        <v>50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98"/>
      <c r="H179" s="98"/>
      <c r="I179" s="98">
        <f>F179*(1+INPUT!C21)</f>
        <v>0</v>
      </c>
    </row>
    <row r="180" spans="1:9" s="285" customFormat="1" x14ac:dyDescent="0.25">
      <c r="A180" s="118">
        <v>50</v>
      </c>
      <c r="B180" s="151">
        <v>1143</v>
      </c>
      <c r="C180" s="94" t="s">
        <v>109</v>
      </c>
      <c r="D180" s="122">
        <f>10057281+1352396</f>
        <v>11409677</v>
      </c>
      <c r="E180" s="98">
        <v>30157684.407612007</v>
      </c>
      <c r="F180" s="85">
        <v>23157684.407612007</v>
      </c>
      <c r="G180" s="85">
        <f t="shared" ref="G180:I183" si="47">(F180*10/100)+F180</f>
        <v>25473452.848373208</v>
      </c>
      <c r="H180" s="85">
        <f t="shared" si="47"/>
        <v>28020798.133210529</v>
      </c>
      <c r="I180" s="85">
        <f t="shared" si="47"/>
        <v>30822877.946531583</v>
      </c>
    </row>
    <row r="181" spans="1:9" s="285" customFormat="1" x14ac:dyDescent="0.25">
      <c r="A181" s="118">
        <v>50</v>
      </c>
      <c r="B181" s="151">
        <v>5500</v>
      </c>
      <c r="C181" s="94" t="s">
        <v>266</v>
      </c>
      <c r="D181" s="85"/>
      <c r="E181" s="85">
        <v>-33969</v>
      </c>
      <c r="F181" s="85">
        <v>-33969</v>
      </c>
      <c r="G181" s="85">
        <f t="shared" si="47"/>
        <v>-37365.9</v>
      </c>
      <c r="H181" s="85">
        <f t="shared" si="47"/>
        <v>-41102.490000000005</v>
      </c>
      <c r="I181" s="85">
        <f t="shared" si="47"/>
        <v>-45212.739000000001</v>
      </c>
    </row>
    <row r="182" spans="1:9" s="285" customFormat="1" x14ac:dyDescent="0.25">
      <c r="A182" s="118">
        <v>50</v>
      </c>
      <c r="B182" s="151">
        <v>5705</v>
      </c>
      <c r="C182" s="94" t="s">
        <v>396</v>
      </c>
      <c r="D182" s="85">
        <v>-63277</v>
      </c>
      <c r="E182" s="85">
        <v>-3499200</v>
      </c>
      <c r="F182" s="85">
        <v>-499200</v>
      </c>
      <c r="G182" s="85">
        <f t="shared" si="47"/>
        <v>-549120</v>
      </c>
      <c r="H182" s="85">
        <f t="shared" si="47"/>
        <v>-604032</v>
      </c>
      <c r="I182" s="85">
        <f t="shared" si="47"/>
        <v>-664435.19999999995</v>
      </c>
    </row>
    <row r="183" spans="1:9" s="285" customFormat="1" x14ac:dyDescent="0.25">
      <c r="A183" s="118">
        <v>50</v>
      </c>
      <c r="B183" s="151">
        <v>1140</v>
      </c>
      <c r="C183" s="94" t="s">
        <v>113</v>
      </c>
      <c r="D183" s="122">
        <v>2762</v>
      </c>
      <c r="E183" s="98">
        <v>205768.08000000002</v>
      </c>
      <c r="F183" s="85">
        <v>205768.08000000002</v>
      </c>
      <c r="G183" s="85">
        <f t="shared" si="47"/>
        <v>226344.88800000004</v>
      </c>
      <c r="H183" s="85">
        <f t="shared" si="47"/>
        <v>248979.37680000003</v>
      </c>
      <c r="I183" s="85">
        <f t="shared" si="47"/>
        <v>273877.31448000006</v>
      </c>
    </row>
    <row r="184" spans="1:9" s="285" customFormat="1" x14ac:dyDescent="0.25">
      <c r="A184" s="118">
        <v>50</v>
      </c>
      <c r="B184" s="151">
        <v>1145</v>
      </c>
      <c r="C184" s="94" t="s">
        <v>132</v>
      </c>
      <c r="D184" s="122"/>
      <c r="E184" s="98"/>
      <c r="F184" s="85">
        <f t="shared" ref="F184:F205" si="48">E184-D184</f>
        <v>0</v>
      </c>
      <c r="G184" s="98"/>
      <c r="H184" s="98"/>
      <c r="I184" s="85"/>
    </row>
    <row r="185" spans="1:9" s="285" customFormat="1" x14ac:dyDescent="0.25">
      <c r="A185" s="118">
        <v>50</v>
      </c>
      <c r="B185" s="151">
        <v>1150</v>
      </c>
      <c r="C185" s="94" t="s">
        <v>120</v>
      </c>
      <c r="D185" s="122"/>
      <c r="E185" s="98"/>
      <c r="F185" s="85">
        <f t="shared" si="48"/>
        <v>0</v>
      </c>
      <c r="G185" s="98"/>
      <c r="H185" s="98"/>
      <c r="I185" s="85"/>
    </row>
    <row r="186" spans="1:9" s="285" customFormat="1" x14ac:dyDescent="0.25">
      <c r="A186" s="118">
        <v>50</v>
      </c>
      <c r="B186" s="151">
        <v>1155</v>
      </c>
      <c r="C186" s="94" t="s">
        <v>116</v>
      </c>
      <c r="D186" s="122"/>
      <c r="E186" s="98"/>
      <c r="F186" s="85">
        <f t="shared" si="48"/>
        <v>0</v>
      </c>
      <c r="G186" s="98"/>
      <c r="H186" s="98"/>
      <c r="I186" s="85"/>
    </row>
    <row r="187" spans="1:9" s="285" customFormat="1" x14ac:dyDescent="0.25">
      <c r="A187" s="118">
        <v>50</v>
      </c>
      <c r="B187" s="151">
        <v>1160</v>
      </c>
      <c r="C187" s="94" t="s">
        <v>101</v>
      </c>
      <c r="D187" s="122"/>
      <c r="E187" s="98"/>
      <c r="F187" s="85">
        <f t="shared" si="48"/>
        <v>0</v>
      </c>
      <c r="G187" s="98"/>
      <c r="H187" s="98"/>
      <c r="I187" s="85"/>
    </row>
    <row r="188" spans="1:9" s="285" customFormat="1" x14ac:dyDescent="0.25">
      <c r="A188" s="118">
        <v>50</v>
      </c>
      <c r="B188" s="151">
        <v>1165</v>
      </c>
      <c r="C188" s="94" t="s">
        <v>114</v>
      </c>
      <c r="D188" s="122"/>
      <c r="E188" s="98"/>
      <c r="F188" s="85">
        <f t="shared" si="48"/>
        <v>0</v>
      </c>
      <c r="G188" s="98"/>
      <c r="H188" s="98"/>
      <c r="I188" s="85"/>
    </row>
    <row r="189" spans="1:9" s="285" customFormat="1" x14ac:dyDescent="0.25">
      <c r="A189" s="118"/>
      <c r="B189" s="151"/>
      <c r="C189" s="94" t="s">
        <v>403</v>
      </c>
      <c r="D189" s="122"/>
      <c r="E189" s="98"/>
      <c r="F189" s="85">
        <f t="shared" si="48"/>
        <v>0</v>
      </c>
      <c r="G189" s="98"/>
      <c r="H189" s="98"/>
      <c r="I189" s="85"/>
    </row>
    <row r="190" spans="1:9" s="285" customFormat="1" x14ac:dyDescent="0.25">
      <c r="A190" s="118">
        <v>50</v>
      </c>
      <c r="B190" s="151">
        <v>1180</v>
      </c>
      <c r="C190" s="94" t="s">
        <v>404</v>
      </c>
      <c r="D190" s="122"/>
      <c r="E190" s="98"/>
      <c r="F190" s="85">
        <f t="shared" si="48"/>
        <v>0</v>
      </c>
      <c r="G190" s="98"/>
      <c r="H190" s="98"/>
      <c r="I190" s="85"/>
    </row>
    <row r="191" spans="1:9" s="285" customFormat="1" x14ac:dyDescent="0.25">
      <c r="A191" s="118">
        <v>50</v>
      </c>
      <c r="B191" s="151">
        <v>1185</v>
      </c>
      <c r="C191" s="94" t="s">
        <v>405</v>
      </c>
      <c r="D191" s="122"/>
      <c r="E191" s="98"/>
      <c r="F191" s="85">
        <f t="shared" si="48"/>
        <v>0</v>
      </c>
      <c r="G191" s="98"/>
      <c r="H191" s="98"/>
      <c r="I191" s="85"/>
    </row>
    <row r="192" spans="1:9" s="285" customFormat="1" x14ac:dyDescent="0.25">
      <c r="A192" s="118">
        <v>50</v>
      </c>
      <c r="B192" s="151">
        <v>1190</v>
      </c>
      <c r="C192" s="94" t="s">
        <v>406</v>
      </c>
      <c r="D192" s="122"/>
      <c r="E192" s="98"/>
      <c r="F192" s="85">
        <f t="shared" si="48"/>
        <v>0</v>
      </c>
      <c r="G192" s="98"/>
      <c r="H192" s="98"/>
      <c r="I192" s="85"/>
    </row>
    <row r="193" spans="1:11" s="285" customFormat="1" x14ac:dyDescent="0.25">
      <c r="A193" s="118"/>
      <c r="B193" s="151"/>
      <c r="C193" s="94" t="s">
        <v>407</v>
      </c>
      <c r="D193" s="122"/>
      <c r="E193" s="98"/>
      <c r="F193" s="85">
        <f t="shared" si="48"/>
        <v>0</v>
      </c>
      <c r="G193" s="98"/>
      <c r="H193" s="98"/>
      <c r="I193" s="85"/>
    </row>
    <row r="194" spans="1:11" s="285" customFormat="1" x14ac:dyDescent="0.25">
      <c r="A194" s="118">
        <v>50</v>
      </c>
      <c r="B194" s="151">
        <v>1195</v>
      </c>
      <c r="C194" s="94" t="s">
        <v>199</v>
      </c>
      <c r="D194" s="122"/>
      <c r="E194" s="98"/>
      <c r="F194" s="85">
        <f t="shared" si="48"/>
        <v>0</v>
      </c>
      <c r="G194" s="98"/>
      <c r="H194" s="98"/>
      <c r="I194" s="85"/>
    </row>
    <row r="195" spans="1:11" s="285" customFormat="1" x14ac:dyDescent="0.25">
      <c r="A195" s="118">
        <v>50</v>
      </c>
      <c r="B195" s="151">
        <v>1200</v>
      </c>
      <c r="C195" s="94" t="s">
        <v>117</v>
      </c>
      <c r="D195" s="122"/>
      <c r="E195" s="98"/>
      <c r="F195" s="85">
        <f t="shared" si="48"/>
        <v>0</v>
      </c>
      <c r="G195" s="98"/>
      <c r="H195" s="98"/>
      <c r="I195" s="85"/>
    </row>
    <row r="196" spans="1:11" s="285" customFormat="1" x14ac:dyDescent="0.25">
      <c r="A196" s="118">
        <v>50</v>
      </c>
      <c r="B196" s="151">
        <v>1205</v>
      </c>
      <c r="C196" s="115" t="s">
        <v>105</v>
      </c>
      <c r="D196" s="122"/>
      <c r="E196" s="98"/>
      <c r="F196" s="85">
        <f t="shared" si="48"/>
        <v>0</v>
      </c>
      <c r="G196" s="98"/>
      <c r="H196" s="98"/>
      <c r="I196" s="85"/>
    </row>
    <row r="197" spans="1:11" s="285" customFormat="1" x14ac:dyDescent="0.25">
      <c r="A197" s="118">
        <v>50</v>
      </c>
      <c r="B197" s="151">
        <v>1210</v>
      </c>
      <c r="C197" s="94" t="s">
        <v>118</v>
      </c>
      <c r="D197" s="122"/>
      <c r="E197" s="98"/>
      <c r="F197" s="85">
        <f t="shared" si="48"/>
        <v>0</v>
      </c>
      <c r="G197" s="98"/>
      <c r="H197" s="98"/>
      <c r="I197" s="85"/>
    </row>
    <row r="198" spans="1:11" s="285" customFormat="1" x14ac:dyDescent="0.25">
      <c r="A198" s="118">
        <v>50</v>
      </c>
      <c r="B198" s="151">
        <v>1215</v>
      </c>
      <c r="C198" s="94" t="s">
        <v>133</v>
      </c>
      <c r="D198" s="122"/>
      <c r="E198" s="98"/>
      <c r="F198" s="85">
        <f t="shared" si="48"/>
        <v>0</v>
      </c>
      <c r="G198" s="98"/>
      <c r="H198" s="98"/>
      <c r="I198" s="85"/>
    </row>
    <row r="199" spans="1:11" s="285" customFormat="1" x14ac:dyDescent="0.25">
      <c r="A199" s="118">
        <v>50</v>
      </c>
      <c r="B199" s="151">
        <v>5905</v>
      </c>
      <c r="C199" s="94" t="s">
        <v>329</v>
      </c>
      <c r="D199" s="85"/>
      <c r="E199" s="85"/>
      <c r="F199" s="85">
        <f t="shared" si="48"/>
        <v>0</v>
      </c>
      <c r="G199" s="85"/>
      <c r="H199" s="85"/>
      <c r="I199" s="85"/>
    </row>
    <row r="200" spans="1:11" s="285" customFormat="1" x14ac:dyDescent="0.25">
      <c r="A200" s="118">
        <v>50</v>
      </c>
      <c r="B200" s="151">
        <v>5900</v>
      </c>
      <c r="C200" s="94" t="s">
        <v>333</v>
      </c>
      <c r="D200" s="85"/>
      <c r="E200" s="85">
        <v>-17024</v>
      </c>
      <c r="F200" s="85">
        <v>-17024</v>
      </c>
      <c r="G200" s="85">
        <f t="shared" ref="G200:I200" si="49">(F200*10/100)+F200</f>
        <v>-18726.400000000001</v>
      </c>
      <c r="H200" s="85">
        <f t="shared" si="49"/>
        <v>-20599.04</v>
      </c>
      <c r="I200" s="85">
        <f t="shared" si="49"/>
        <v>-22658.944000000003</v>
      </c>
    </row>
    <row r="201" spans="1:11" s="285" customFormat="1" hidden="1" x14ac:dyDescent="0.25">
      <c r="A201" s="118">
        <v>50</v>
      </c>
      <c r="B201" s="151">
        <v>1220</v>
      </c>
      <c r="C201" s="94" t="s">
        <v>340</v>
      </c>
      <c r="D201" s="122"/>
      <c r="E201" s="98">
        <v>0</v>
      </c>
      <c r="F201" s="85">
        <f t="shared" si="48"/>
        <v>0</v>
      </c>
      <c r="G201" s="98"/>
      <c r="H201" s="98"/>
      <c r="I201" s="85">
        <f t="shared" ref="I201:I205" si="50">E201+G201</f>
        <v>0</v>
      </c>
    </row>
    <row r="202" spans="1:11" s="285" customFormat="1" hidden="1" x14ac:dyDescent="0.25">
      <c r="A202" s="118">
        <v>50</v>
      </c>
      <c r="B202" s="151">
        <v>1225</v>
      </c>
      <c r="C202" s="94" t="s">
        <v>372</v>
      </c>
      <c r="D202" s="122"/>
      <c r="E202" s="98">
        <v>0</v>
      </c>
      <c r="F202" s="85">
        <f t="shared" si="48"/>
        <v>0</v>
      </c>
      <c r="G202" s="98"/>
      <c r="H202" s="98"/>
      <c r="I202" s="85">
        <f t="shared" si="50"/>
        <v>0</v>
      </c>
    </row>
    <row r="203" spans="1:11" s="285" customFormat="1" hidden="1" x14ac:dyDescent="0.25">
      <c r="A203" s="118">
        <v>50</v>
      </c>
      <c r="B203" s="151">
        <v>1230</v>
      </c>
      <c r="C203" s="94" t="s">
        <v>119</v>
      </c>
      <c r="D203" s="122"/>
      <c r="E203" s="98">
        <v>0</v>
      </c>
      <c r="F203" s="85">
        <f t="shared" si="48"/>
        <v>0</v>
      </c>
      <c r="G203" s="98"/>
      <c r="H203" s="98"/>
      <c r="I203" s="85">
        <f t="shared" si="50"/>
        <v>0</v>
      </c>
    </row>
    <row r="204" spans="1:11" s="285" customFormat="1" hidden="1" x14ac:dyDescent="0.25">
      <c r="A204" s="118">
        <v>50</v>
      </c>
      <c r="B204" s="151">
        <v>1235</v>
      </c>
      <c r="C204" s="94" t="s">
        <v>347</v>
      </c>
      <c r="D204" s="122"/>
      <c r="E204" s="98">
        <v>0</v>
      </c>
      <c r="F204" s="85">
        <f t="shared" si="48"/>
        <v>0</v>
      </c>
      <c r="G204" s="98"/>
      <c r="H204" s="98"/>
      <c r="I204" s="85">
        <f t="shared" si="50"/>
        <v>0</v>
      </c>
    </row>
    <row r="205" spans="1:11" s="285" customFormat="1" x14ac:dyDescent="0.25">
      <c r="A205" s="118"/>
      <c r="B205" s="151"/>
      <c r="C205" s="94" t="s">
        <v>512</v>
      </c>
      <c r="D205" s="225"/>
      <c r="E205" s="85"/>
      <c r="F205" s="85">
        <f t="shared" si="48"/>
        <v>0</v>
      </c>
      <c r="G205" s="85"/>
      <c r="H205" s="85"/>
      <c r="I205" s="85">
        <f t="shared" si="50"/>
        <v>0</v>
      </c>
    </row>
    <row r="206" spans="1:11" s="285" customFormat="1" x14ac:dyDescent="0.25">
      <c r="A206" s="344"/>
      <c r="B206" s="151"/>
      <c r="C206" s="94"/>
      <c r="D206" s="100">
        <f t="shared" ref="D206:I206" si="51">SUM(D176:D204)</f>
        <v>11349162</v>
      </c>
      <c r="E206" s="100">
        <f t="shared" si="51"/>
        <v>26813259.487612005</v>
      </c>
      <c r="F206" s="100">
        <f t="shared" si="51"/>
        <v>22813259.487612005</v>
      </c>
      <c r="G206" s="100">
        <f t="shared" si="51"/>
        <v>25094585.436373211</v>
      </c>
      <c r="H206" s="100">
        <f t="shared" si="51"/>
        <v>27604043.980010532</v>
      </c>
      <c r="I206" s="100">
        <f t="shared" si="51"/>
        <v>30364448.378011584</v>
      </c>
      <c r="J206" s="98"/>
      <c r="K206" s="284"/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98"/>
      <c r="H207" s="98"/>
      <c r="I207" s="98"/>
    </row>
    <row r="208" spans="1:11" s="285" customFormat="1" hidden="1" x14ac:dyDescent="0.25">
      <c r="A208" s="118">
        <v>50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98"/>
      <c r="H208" s="98"/>
      <c r="I208" s="98">
        <f>F208*(1+INPUT!C43)</f>
        <v>0</v>
      </c>
    </row>
    <row r="209" spans="1:9" s="285" customFormat="1" hidden="1" x14ac:dyDescent="0.25">
      <c r="A209" s="118">
        <v>50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98"/>
      <c r="H209" s="98"/>
      <c r="I209" s="98">
        <f>F209*(1+INPUT!C44)</f>
        <v>0</v>
      </c>
    </row>
    <row r="210" spans="1:9" s="285" customFormat="1" hidden="1" x14ac:dyDescent="0.25">
      <c r="A210" s="118">
        <v>50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98"/>
      <c r="H210" s="98"/>
      <c r="I210" s="98">
        <f>F210*(1+INPUT!C45)</f>
        <v>0</v>
      </c>
    </row>
    <row r="211" spans="1:9" s="285" customFormat="1" hidden="1" x14ac:dyDescent="0.25">
      <c r="A211" s="118">
        <v>50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98"/>
      <c r="H211" s="98"/>
      <c r="I211" s="108">
        <f>F211*(1+INPUT!C46)</f>
        <v>0</v>
      </c>
    </row>
    <row r="212" spans="1:9" s="285" customFormat="1" hidden="1" x14ac:dyDescent="0.25">
      <c r="A212" s="344"/>
      <c r="B212" s="151"/>
      <c r="C212" s="94"/>
      <c r="D212" s="99">
        <f>D211</f>
        <v>0</v>
      </c>
      <c r="E212" s="99">
        <f>SUM(E208:E211)</f>
        <v>0</v>
      </c>
      <c r="F212" s="99">
        <f>SUM(F208:F211)</f>
        <v>0</v>
      </c>
      <c r="G212" s="99"/>
      <c r="H212" s="99"/>
      <c r="I212" s="99">
        <f>SUM(I208:I211)</f>
        <v>0</v>
      </c>
    </row>
    <row r="213" spans="1:9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98"/>
      <c r="H213" s="98"/>
      <c r="I213" s="98"/>
    </row>
    <row r="214" spans="1:9" s="285" customFormat="1" hidden="1" x14ac:dyDescent="0.25">
      <c r="A214" s="118">
        <v>50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98"/>
      <c r="H214" s="98"/>
      <c r="I214" s="108"/>
    </row>
    <row r="215" spans="1:9" s="285" customFormat="1" hidden="1" x14ac:dyDescent="0.25">
      <c r="A215" s="118">
        <v>50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98"/>
      <c r="H215" s="98"/>
      <c r="I215" s="108"/>
    </row>
    <row r="216" spans="1:9" s="285" customFormat="1" hidden="1" x14ac:dyDescent="0.25">
      <c r="A216" s="344"/>
      <c r="B216" s="151"/>
      <c r="C216" s="94"/>
      <c r="D216" s="99">
        <f t="shared" ref="D216:I216" si="52">SUM(D214:D215)</f>
        <v>0</v>
      </c>
      <c r="E216" s="99">
        <f t="shared" si="52"/>
        <v>0</v>
      </c>
      <c r="F216" s="99">
        <f t="shared" si="52"/>
        <v>0</v>
      </c>
      <c r="G216" s="99"/>
      <c r="H216" s="99"/>
      <c r="I216" s="99">
        <f t="shared" si="52"/>
        <v>0</v>
      </c>
    </row>
    <row r="217" spans="1:9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98"/>
      <c r="H217" s="98"/>
      <c r="I217" s="98"/>
    </row>
    <row r="218" spans="1:9" s="285" customFormat="1" hidden="1" x14ac:dyDescent="0.25">
      <c r="A218" s="118">
        <v>50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98"/>
      <c r="H218" s="98"/>
      <c r="I218" s="108"/>
    </row>
    <row r="219" spans="1:9" s="285" customFormat="1" hidden="1" x14ac:dyDescent="0.25">
      <c r="A219" s="118">
        <v>50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98"/>
      <c r="H219" s="98"/>
      <c r="I219" s="108"/>
    </row>
    <row r="220" spans="1:9" s="285" customFormat="1" hidden="1" x14ac:dyDescent="0.25">
      <c r="A220" s="118">
        <v>50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98"/>
      <c r="H220" s="98"/>
      <c r="I220" s="108"/>
    </row>
    <row r="221" spans="1:9" s="285" customFormat="1" hidden="1" x14ac:dyDescent="0.25">
      <c r="A221" s="344"/>
      <c r="B221" s="151"/>
      <c r="C221" s="94"/>
      <c r="D221" s="99">
        <f t="shared" ref="D221:I221" si="53">SUM(D218:D220)</f>
        <v>0</v>
      </c>
      <c r="E221" s="99">
        <f t="shared" si="53"/>
        <v>0</v>
      </c>
      <c r="F221" s="99">
        <f t="shared" si="53"/>
        <v>0</v>
      </c>
      <c r="G221" s="99"/>
      <c r="H221" s="99"/>
      <c r="I221" s="99">
        <f t="shared" si="53"/>
        <v>0</v>
      </c>
    </row>
    <row r="222" spans="1:9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98"/>
      <c r="H222" s="98"/>
      <c r="I222" s="98"/>
    </row>
    <row r="223" spans="1:9" s="285" customFormat="1" hidden="1" x14ac:dyDescent="0.25">
      <c r="A223" s="118">
        <v>50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98"/>
      <c r="H223" s="98"/>
      <c r="I223" s="98"/>
    </row>
    <row r="224" spans="1:9" s="285" customFormat="1" hidden="1" x14ac:dyDescent="0.25">
      <c r="A224" s="118">
        <v>50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98"/>
      <c r="H224" s="98"/>
      <c r="I224" s="108"/>
    </row>
    <row r="225" spans="1:9" s="285" customFormat="1" hidden="1" x14ac:dyDescent="0.25">
      <c r="A225" s="344"/>
      <c r="B225" s="151"/>
      <c r="C225" s="94"/>
      <c r="D225" s="100">
        <f t="shared" ref="D225:I225" si="54">SUM(D223:D224)</f>
        <v>0</v>
      </c>
      <c r="E225" s="100">
        <f t="shared" si="54"/>
        <v>0</v>
      </c>
      <c r="F225" s="100">
        <f t="shared" si="54"/>
        <v>0</v>
      </c>
      <c r="G225" s="100"/>
      <c r="H225" s="100"/>
      <c r="I225" s="100">
        <f t="shared" si="54"/>
        <v>0</v>
      </c>
    </row>
    <row r="226" spans="1:9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98"/>
      <c r="H226" s="98"/>
      <c r="I226" s="98"/>
    </row>
    <row r="227" spans="1:9" s="285" customFormat="1" x14ac:dyDescent="0.25">
      <c r="A227" s="118">
        <v>50</v>
      </c>
      <c r="B227" s="151">
        <v>1605</v>
      </c>
      <c r="C227" s="94" t="s">
        <v>75</v>
      </c>
      <c r="D227" s="122">
        <v>13412520</v>
      </c>
      <c r="E227" s="98">
        <v>17000000</v>
      </c>
      <c r="F227" s="85"/>
      <c r="G227" s="98">
        <v>18667000</v>
      </c>
      <c r="H227" s="98">
        <v>19422000</v>
      </c>
      <c r="I227" s="85">
        <v>18937000</v>
      </c>
    </row>
    <row r="228" spans="1:9" s="285" customFormat="1" hidden="1" x14ac:dyDescent="0.25">
      <c r="A228" s="118">
        <v>50</v>
      </c>
      <c r="B228" s="151">
        <v>1610</v>
      </c>
      <c r="C228" s="94" t="s">
        <v>131</v>
      </c>
      <c r="D228" s="122"/>
      <c r="E228" s="108"/>
      <c r="F228" s="98"/>
      <c r="G228" s="98"/>
      <c r="H228" s="98"/>
      <c r="I228" s="98"/>
    </row>
    <row r="229" spans="1:9" s="285" customFormat="1" hidden="1" x14ac:dyDescent="0.25">
      <c r="A229" s="118">
        <v>50</v>
      </c>
      <c r="B229" s="151">
        <v>1615</v>
      </c>
      <c r="C229" s="94" t="s">
        <v>182</v>
      </c>
      <c r="D229" s="122"/>
      <c r="E229" s="108"/>
      <c r="F229" s="98"/>
      <c r="G229" s="98"/>
      <c r="H229" s="98"/>
      <c r="I229" s="98"/>
    </row>
    <row r="230" spans="1:9" s="285" customFormat="1" hidden="1" x14ac:dyDescent="0.25">
      <c r="A230" s="118">
        <v>50</v>
      </c>
      <c r="B230" s="151">
        <v>1620</v>
      </c>
      <c r="C230" s="94" t="s">
        <v>255</v>
      </c>
      <c r="D230" s="122"/>
      <c r="E230" s="108"/>
      <c r="F230" s="98"/>
      <c r="G230" s="98"/>
      <c r="H230" s="98"/>
      <c r="I230" s="98"/>
    </row>
    <row r="231" spans="1:9" s="285" customFormat="1" hidden="1" x14ac:dyDescent="0.25">
      <c r="A231" s="118">
        <v>50</v>
      </c>
      <c r="B231" s="151">
        <v>1625</v>
      </c>
      <c r="C231" s="94" t="s">
        <v>108</v>
      </c>
      <c r="D231" s="122"/>
      <c r="E231" s="108"/>
      <c r="F231" s="98"/>
      <c r="G231" s="98"/>
      <c r="H231" s="98"/>
      <c r="I231" s="98"/>
    </row>
    <row r="232" spans="1:9" s="285" customFormat="1" hidden="1" x14ac:dyDescent="0.25">
      <c r="A232" s="118">
        <v>50</v>
      </c>
      <c r="B232" s="151">
        <v>1630</v>
      </c>
      <c r="C232" s="94" t="s">
        <v>76</v>
      </c>
      <c r="D232" s="122"/>
      <c r="E232" s="108"/>
      <c r="F232" s="98"/>
      <c r="G232" s="98"/>
      <c r="H232" s="98"/>
      <c r="I232" s="98"/>
    </row>
    <row r="233" spans="1:9" s="285" customFormat="1" hidden="1" x14ac:dyDescent="0.25">
      <c r="A233" s="118">
        <v>50</v>
      </c>
      <c r="B233" s="151">
        <v>1635</v>
      </c>
      <c r="C233" s="94" t="s">
        <v>180</v>
      </c>
      <c r="D233" s="122"/>
      <c r="E233" s="108"/>
      <c r="F233" s="98"/>
      <c r="G233" s="98"/>
      <c r="H233" s="98"/>
      <c r="I233" s="98"/>
    </row>
    <row r="234" spans="1:9" s="285" customFormat="1" hidden="1" x14ac:dyDescent="0.25">
      <c r="A234" s="118">
        <v>50</v>
      </c>
      <c r="B234" s="151">
        <v>1640</v>
      </c>
      <c r="C234" s="94" t="s">
        <v>184</v>
      </c>
      <c r="D234" s="122"/>
      <c r="E234" s="108"/>
      <c r="F234" s="98"/>
      <c r="G234" s="98"/>
      <c r="H234" s="98"/>
      <c r="I234" s="98"/>
    </row>
    <row r="235" spans="1:9" s="285" customFormat="1" hidden="1" x14ac:dyDescent="0.25">
      <c r="A235" s="118">
        <v>50</v>
      </c>
      <c r="B235" s="151">
        <v>1645</v>
      </c>
      <c r="C235" s="94" t="s">
        <v>77</v>
      </c>
      <c r="D235" s="122"/>
      <c r="E235" s="108"/>
      <c r="F235" s="98"/>
      <c r="G235" s="98"/>
      <c r="H235" s="98"/>
      <c r="I235" s="98"/>
    </row>
    <row r="236" spans="1:9" s="285" customFormat="1" hidden="1" x14ac:dyDescent="0.25">
      <c r="A236" s="118">
        <v>50</v>
      </c>
      <c r="B236" s="151">
        <v>1650</v>
      </c>
      <c r="C236" s="94" t="s">
        <v>78</v>
      </c>
      <c r="D236" s="122"/>
      <c r="E236" s="108"/>
      <c r="F236" s="98"/>
      <c r="G236" s="98"/>
      <c r="H236" s="98"/>
      <c r="I236" s="98"/>
    </row>
    <row r="237" spans="1:9" s="285" customFormat="1" hidden="1" x14ac:dyDescent="0.25">
      <c r="A237" s="118">
        <v>50</v>
      </c>
      <c r="B237" s="151"/>
      <c r="C237" s="94" t="s">
        <v>200</v>
      </c>
      <c r="D237" s="122"/>
      <c r="E237" s="108"/>
      <c r="F237" s="98"/>
      <c r="G237" s="98"/>
      <c r="H237" s="98"/>
      <c r="I237" s="98"/>
    </row>
    <row r="238" spans="1:9" s="285" customFormat="1" hidden="1" x14ac:dyDescent="0.25">
      <c r="A238" s="118">
        <v>50</v>
      </c>
      <c r="B238" s="151">
        <v>1660</v>
      </c>
      <c r="C238" s="94" t="s">
        <v>185</v>
      </c>
      <c r="D238" s="122"/>
      <c r="E238" s="108"/>
      <c r="F238" s="98"/>
      <c r="G238" s="98"/>
      <c r="H238" s="98"/>
      <c r="I238" s="98"/>
    </row>
    <row r="239" spans="1:9" s="285" customFormat="1" hidden="1" x14ac:dyDescent="0.25">
      <c r="A239" s="118">
        <v>50</v>
      </c>
      <c r="B239" s="151">
        <v>1665</v>
      </c>
      <c r="C239" s="94" t="s">
        <v>181</v>
      </c>
      <c r="D239" s="122"/>
      <c r="E239" s="108"/>
      <c r="F239" s="98"/>
      <c r="G239" s="98"/>
      <c r="H239" s="98"/>
      <c r="I239" s="98"/>
    </row>
    <row r="240" spans="1:9" s="285" customFormat="1" x14ac:dyDescent="0.25">
      <c r="A240" s="344"/>
      <c r="B240" s="151"/>
      <c r="C240" s="94"/>
      <c r="D240" s="99">
        <f>SUM(D227:D236)</f>
        <v>13412520</v>
      </c>
      <c r="E240" s="99">
        <f t="shared" ref="E240" si="55">SUM(E227:E239)</f>
        <v>17000000</v>
      </c>
      <c r="F240" s="99">
        <f t="shared" ref="F240:I240" si="56">SUM(F227:F239)</f>
        <v>0</v>
      </c>
      <c r="G240" s="99">
        <f t="shared" si="56"/>
        <v>18667000</v>
      </c>
      <c r="H240" s="99">
        <f t="shared" si="56"/>
        <v>19422000</v>
      </c>
      <c r="I240" s="99">
        <f t="shared" si="56"/>
        <v>18937000</v>
      </c>
    </row>
    <row r="241" spans="1:9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98"/>
      <c r="H241" s="98"/>
      <c r="I241" s="98"/>
    </row>
    <row r="242" spans="1:9" s="285" customFormat="1" hidden="1" x14ac:dyDescent="0.25">
      <c r="A242" s="118">
        <v>50</v>
      </c>
      <c r="B242" s="151">
        <v>1705</v>
      </c>
      <c r="C242" s="94" t="s">
        <v>123</v>
      </c>
      <c r="D242" s="122"/>
      <c r="E242" s="98"/>
      <c r="F242" s="98"/>
      <c r="G242" s="98"/>
      <c r="H242" s="98"/>
      <c r="I242" s="98"/>
    </row>
    <row r="243" spans="1:9" s="285" customFormat="1" hidden="1" x14ac:dyDescent="0.25">
      <c r="A243" s="118">
        <v>50</v>
      </c>
      <c r="B243" s="151">
        <v>1710</v>
      </c>
      <c r="C243" s="94" t="s">
        <v>242</v>
      </c>
      <c r="D243" s="122"/>
      <c r="E243" s="98"/>
      <c r="F243" s="98"/>
      <c r="G243" s="98"/>
      <c r="H243" s="98"/>
      <c r="I243" s="98"/>
    </row>
    <row r="244" spans="1:9" s="285" customFormat="1" hidden="1" x14ac:dyDescent="0.25">
      <c r="A244" s="118">
        <v>50</v>
      </c>
      <c r="B244" s="151">
        <v>1715</v>
      </c>
      <c r="C244" s="94" t="s">
        <v>183</v>
      </c>
      <c r="D244" s="122"/>
      <c r="E244" s="98"/>
      <c r="F244" s="98"/>
      <c r="G244" s="98"/>
      <c r="H244" s="98"/>
      <c r="I244" s="98"/>
    </row>
    <row r="245" spans="1:9" s="285" customFormat="1" hidden="1" x14ac:dyDescent="0.25">
      <c r="A245" s="118">
        <v>50</v>
      </c>
      <c r="B245" s="151">
        <v>1720</v>
      </c>
      <c r="C245" s="94" t="s">
        <v>103</v>
      </c>
      <c r="D245" s="122"/>
      <c r="E245" s="98"/>
      <c r="F245" s="98"/>
      <c r="G245" s="98"/>
      <c r="H245" s="98"/>
      <c r="I245" s="98"/>
    </row>
    <row r="246" spans="1:9" s="285" customFormat="1" hidden="1" x14ac:dyDescent="0.25">
      <c r="A246" s="118">
        <v>50</v>
      </c>
      <c r="B246" s="151">
        <v>1725</v>
      </c>
      <c r="C246" s="94" t="s">
        <v>107</v>
      </c>
      <c r="D246" s="122"/>
      <c r="E246" s="98"/>
      <c r="F246" s="98"/>
      <c r="G246" s="98"/>
      <c r="H246" s="98"/>
      <c r="I246" s="98"/>
    </row>
    <row r="247" spans="1:9" s="285" customFormat="1" hidden="1" x14ac:dyDescent="0.25">
      <c r="A247" s="118">
        <v>50</v>
      </c>
      <c r="B247" s="151">
        <v>1730</v>
      </c>
      <c r="C247" s="94" t="s">
        <v>256</v>
      </c>
      <c r="D247" s="122"/>
      <c r="E247" s="98"/>
      <c r="F247" s="98"/>
      <c r="G247" s="98"/>
      <c r="H247" s="98"/>
      <c r="I247" s="98"/>
    </row>
    <row r="248" spans="1:9" s="285" customFormat="1" hidden="1" x14ac:dyDescent="0.25">
      <c r="A248" s="344"/>
      <c r="B248" s="151"/>
      <c r="C248" s="94"/>
      <c r="D248" s="99">
        <f>D247</f>
        <v>0</v>
      </c>
      <c r="E248" s="99">
        <f t="shared" ref="E248" si="57">SUM(E242:E247)</f>
        <v>0</v>
      </c>
      <c r="F248" s="99">
        <f t="shared" ref="F248:I248" si="58">SUM(F242:F247)</f>
        <v>0</v>
      </c>
      <c r="G248" s="99">
        <f t="shared" si="58"/>
        <v>0</v>
      </c>
      <c r="H248" s="99">
        <f t="shared" si="58"/>
        <v>0</v>
      </c>
      <c r="I248" s="99">
        <f t="shared" si="58"/>
        <v>0</v>
      </c>
    </row>
    <row r="249" spans="1:9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98"/>
      <c r="H249" s="98"/>
      <c r="I249" s="98"/>
    </row>
    <row r="250" spans="1:9" s="285" customFormat="1" hidden="1" x14ac:dyDescent="0.25">
      <c r="A250" s="118">
        <v>50</v>
      </c>
      <c r="B250" s="151">
        <v>1805</v>
      </c>
      <c r="C250" s="94" t="s">
        <v>81</v>
      </c>
      <c r="D250" s="122"/>
      <c r="E250" s="108"/>
      <c r="F250" s="108"/>
      <c r="G250" s="108"/>
      <c r="H250" s="108"/>
      <c r="I250" s="108"/>
    </row>
    <row r="251" spans="1:9" s="285" customFormat="1" hidden="1" x14ac:dyDescent="0.25">
      <c r="A251" s="344"/>
      <c r="B251" s="151"/>
      <c r="C251" s="94"/>
      <c r="D251" s="99">
        <f t="shared" ref="D251:E251" si="59">D250</f>
        <v>0</v>
      </c>
      <c r="E251" s="99">
        <f t="shared" si="59"/>
        <v>0</v>
      </c>
      <c r="F251" s="99">
        <f t="shared" ref="F251:I251" si="60">F250</f>
        <v>0</v>
      </c>
      <c r="G251" s="99">
        <f t="shared" si="60"/>
        <v>0</v>
      </c>
      <c r="H251" s="99">
        <f t="shared" si="60"/>
        <v>0</v>
      </c>
      <c r="I251" s="99">
        <f t="shared" si="60"/>
        <v>0</v>
      </c>
    </row>
    <row r="252" spans="1:9" s="285" customFormat="1" x14ac:dyDescent="0.25">
      <c r="A252" s="344"/>
      <c r="B252" s="346"/>
      <c r="C252" s="93" t="s">
        <v>192</v>
      </c>
      <c r="D252" s="117">
        <f t="shared" ref="D252:E252" si="61">SUM(D171:D251)/2</f>
        <v>24761682</v>
      </c>
      <c r="E252" s="117">
        <f t="shared" si="61"/>
        <v>43813259.487612009</v>
      </c>
      <c r="F252" s="117">
        <f t="shared" ref="F252:I252" si="62">SUM(F171:F251)/2</f>
        <v>22813259.487612005</v>
      </c>
      <c r="G252" s="117">
        <f t="shared" si="62"/>
        <v>43761585.436373211</v>
      </c>
      <c r="H252" s="117">
        <f t="shared" si="62"/>
        <v>47026043.980010532</v>
      </c>
      <c r="I252" s="117">
        <f t="shared" si="62"/>
        <v>49301448.378011584</v>
      </c>
    </row>
    <row r="253" spans="1:9" s="285" customFormat="1" hidden="1" x14ac:dyDescent="0.25">
      <c r="A253" s="344"/>
      <c r="B253" s="151"/>
      <c r="C253" s="94"/>
      <c r="D253" s="117"/>
      <c r="E253" s="117"/>
      <c r="F253" s="117"/>
      <c r="G253" s="117"/>
      <c r="H253" s="117"/>
      <c r="I253" s="117"/>
    </row>
    <row r="254" spans="1:9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</row>
    <row r="255" spans="1:9" s="285" customFormat="1" hidden="1" x14ac:dyDescent="0.25">
      <c r="A255" s="118">
        <v>50</v>
      </c>
      <c r="B255" s="151">
        <v>1905</v>
      </c>
      <c r="C255" s="118" t="s">
        <v>194</v>
      </c>
      <c r="D255" s="127"/>
      <c r="E255" s="147"/>
      <c r="F255" s="147"/>
      <c r="G255" s="147"/>
      <c r="H255" s="147"/>
      <c r="I255" s="147"/>
    </row>
    <row r="256" spans="1:9" s="285" customFormat="1" hidden="1" x14ac:dyDescent="0.25">
      <c r="A256" s="344"/>
      <c r="B256" s="151"/>
      <c r="C256" s="94"/>
      <c r="D256" s="117">
        <f t="shared" ref="D256:E256" si="63">SUM(D255)</f>
        <v>0</v>
      </c>
      <c r="E256" s="117">
        <f t="shared" si="63"/>
        <v>0</v>
      </c>
      <c r="F256" s="117">
        <f t="shared" ref="F256:I256" si="64">SUM(F255)</f>
        <v>0</v>
      </c>
      <c r="G256" s="117">
        <f t="shared" si="64"/>
        <v>0</v>
      </c>
      <c r="H256" s="117">
        <f t="shared" si="64"/>
        <v>0</v>
      </c>
      <c r="I256" s="117">
        <f t="shared" si="64"/>
        <v>0</v>
      </c>
    </row>
    <row r="257" spans="1:9" s="285" customFormat="1" x14ac:dyDescent="0.25">
      <c r="A257" s="344"/>
      <c r="B257" s="151"/>
      <c r="C257" s="93" t="s">
        <v>189</v>
      </c>
      <c r="D257" s="117">
        <f t="shared" ref="D257:E257" si="65">D252+D256</f>
        <v>24761682</v>
      </c>
      <c r="E257" s="117">
        <f t="shared" si="65"/>
        <v>43813259.487612009</v>
      </c>
      <c r="F257" s="117">
        <f t="shared" ref="F257:I257" si="66">F252+F256</f>
        <v>22813259.487612005</v>
      </c>
      <c r="G257" s="117">
        <f t="shared" si="66"/>
        <v>43761585.436373211</v>
      </c>
      <c r="H257" s="117">
        <f t="shared" si="66"/>
        <v>47026043.980010532</v>
      </c>
      <c r="I257" s="117">
        <f t="shared" si="66"/>
        <v>49301448.378011584</v>
      </c>
    </row>
    <row r="258" spans="1:9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</row>
    <row r="259" spans="1:9" s="285" customFormat="1" hidden="1" x14ac:dyDescent="0.25">
      <c r="A259" s="118">
        <v>50</v>
      </c>
      <c r="B259" s="151">
        <v>1950</v>
      </c>
      <c r="C259" s="118" t="s">
        <v>196</v>
      </c>
      <c r="D259" s="127"/>
      <c r="E259" s="147"/>
      <c r="F259" s="147"/>
      <c r="G259" s="147"/>
      <c r="H259" s="147"/>
      <c r="I259" s="147"/>
    </row>
    <row r="260" spans="1:9" s="285" customFormat="1" hidden="1" x14ac:dyDescent="0.25">
      <c r="A260" s="344"/>
      <c r="B260" s="346"/>
      <c r="C260" s="94"/>
      <c r="D260" s="124">
        <f t="shared" ref="D260:E260" si="67">D259</f>
        <v>0</v>
      </c>
      <c r="E260" s="124">
        <f t="shared" si="67"/>
        <v>0</v>
      </c>
      <c r="F260" s="124">
        <f t="shared" ref="F260:I260" si="68">F259</f>
        <v>0</v>
      </c>
      <c r="G260" s="124">
        <f t="shared" si="68"/>
        <v>0</v>
      </c>
      <c r="H260" s="124">
        <f t="shared" si="68"/>
        <v>0</v>
      </c>
      <c r="I260" s="124">
        <f t="shared" si="68"/>
        <v>0</v>
      </c>
    </row>
    <row r="261" spans="1:9" s="285" customFormat="1" x14ac:dyDescent="0.25">
      <c r="A261" s="348"/>
      <c r="B261" s="351"/>
      <c r="C261" s="93" t="s">
        <v>197</v>
      </c>
      <c r="D261" s="160">
        <f t="shared" ref="D261:E261" si="69">D257+D260</f>
        <v>24761682</v>
      </c>
      <c r="E261" s="160">
        <f t="shared" si="69"/>
        <v>43813259.487612009</v>
      </c>
      <c r="F261" s="160">
        <f t="shared" ref="F261:I261" si="70">F257+F260</f>
        <v>22813259.487612005</v>
      </c>
      <c r="G261" s="160">
        <f t="shared" si="70"/>
        <v>43761585.436373211</v>
      </c>
      <c r="H261" s="160">
        <f t="shared" si="70"/>
        <v>47026043.980010532</v>
      </c>
      <c r="I261" s="160">
        <f t="shared" si="70"/>
        <v>49301448.378011584</v>
      </c>
    </row>
    <row r="262" spans="1:9" s="285" customFormat="1" x14ac:dyDescent="0.25">
      <c r="A262" s="349"/>
      <c r="B262" s="154"/>
      <c r="C262" s="126" t="s">
        <v>82</v>
      </c>
      <c r="D262" s="161">
        <f>+D261-D165</f>
        <v>5487380.4699999988</v>
      </c>
      <c r="E262" s="161">
        <f t="shared" ref="E262" si="71">E261-E165</f>
        <v>9202125.0276120082</v>
      </c>
      <c r="F262" s="161">
        <f t="shared" ref="F262:I262" si="72">F261-F165</f>
        <v>-15934742.972387996</v>
      </c>
      <c r="G262" s="161">
        <f t="shared" si="72"/>
        <v>1298866.58637321</v>
      </c>
      <c r="H262" s="161">
        <f t="shared" si="72"/>
        <v>47026043.980010532</v>
      </c>
      <c r="I262" s="161">
        <f t="shared" si="72"/>
        <v>-1864253.6059764177</v>
      </c>
    </row>
    <row r="263" spans="1:9" s="285" customFormat="1" x14ac:dyDescent="0.25">
      <c r="A263" s="284"/>
      <c r="B263" s="352"/>
    </row>
    <row r="264" spans="1:9" s="285" customFormat="1" x14ac:dyDescent="0.25">
      <c r="A264" s="284"/>
      <c r="B264" s="352"/>
    </row>
    <row r="265" spans="1:9" s="285" customFormat="1" ht="18.75" customHeight="1" x14ac:dyDescent="0.25">
      <c r="B265" s="352"/>
      <c r="F265" s="353"/>
      <c r="G265" s="353"/>
      <c r="H265" s="353"/>
      <c r="I265" s="343"/>
    </row>
    <row r="266" spans="1:9" s="285" customFormat="1" x14ac:dyDescent="0.25">
      <c r="B266" s="352"/>
      <c r="E266" s="128"/>
      <c r="F266" s="353"/>
      <c r="G266" s="353"/>
      <c r="H266" s="353"/>
      <c r="I266" s="343"/>
    </row>
    <row r="267" spans="1:9" s="285" customFormat="1" x14ac:dyDescent="0.25">
      <c r="B267" s="352"/>
      <c r="E267" s="128"/>
      <c r="F267" s="353"/>
      <c r="G267" s="353"/>
      <c r="H267" s="353"/>
      <c r="I267" s="343"/>
    </row>
    <row r="268" spans="1:9" s="285" customFormat="1" x14ac:dyDescent="0.25">
      <c r="B268" s="352"/>
      <c r="E268" s="128"/>
      <c r="F268" s="353"/>
      <c r="G268" s="353"/>
      <c r="H268" s="353"/>
      <c r="I268" s="343"/>
    </row>
    <row r="269" spans="1:9" x14ac:dyDescent="0.25">
      <c r="F269" s="101"/>
      <c r="G269" s="101"/>
      <c r="H269" s="101"/>
      <c r="I269" s="101"/>
    </row>
    <row r="270" spans="1:9" x14ac:dyDescent="0.25">
      <c r="F270" s="317"/>
      <c r="G270" s="317"/>
      <c r="H270" s="317"/>
      <c r="I270" s="101"/>
    </row>
  </sheetData>
  <protectedRanges>
    <protectedRange sqref="F265:H268" name="Range3_1"/>
  </protectedRanges>
  <mergeCells count="5">
    <mergeCell ref="A1:I2"/>
    <mergeCell ref="A3:C3"/>
    <mergeCell ref="A4:B5"/>
    <mergeCell ref="B168:D168"/>
    <mergeCell ref="A169:B170"/>
  </mergeCells>
  <phoneticPr fontId="0" type="noConversion"/>
  <conditionalFormatting sqref="F265:H268">
    <cfRule type="cellIs" dxfId="2" priority="1" stopIfTrue="1" operator="equal">
      <formula>"Type here"</formula>
    </cfRule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3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91" workbookViewId="0">
      <selection sqref="A1:F105"/>
    </sheetView>
  </sheetViews>
  <sheetFormatPr defaultRowHeight="13.2" x14ac:dyDescent="0.25"/>
  <cols>
    <col min="1" max="1" width="108" customWidth="1"/>
    <col min="2" max="2" width="15.44140625" style="283" customWidth="1"/>
    <col min="3" max="3" width="16" style="283" customWidth="1"/>
    <col min="4" max="4" width="13.33203125" style="283" customWidth="1"/>
    <col min="5" max="5" width="15.109375" style="282" customWidth="1"/>
    <col min="6" max="6" width="33.109375" customWidth="1"/>
  </cols>
  <sheetData>
    <row r="1" spans="1:7" x14ac:dyDescent="0.25">
      <c r="A1" s="287" t="s">
        <v>498</v>
      </c>
      <c r="B1" s="288" t="s">
        <v>424</v>
      </c>
      <c r="C1" s="288" t="s">
        <v>424</v>
      </c>
      <c r="D1" s="288" t="s">
        <v>424</v>
      </c>
      <c r="E1" s="289" t="s">
        <v>423</v>
      </c>
      <c r="F1" s="288" t="s">
        <v>497</v>
      </c>
    </row>
    <row r="2" spans="1:7" x14ac:dyDescent="0.25">
      <c r="A2" s="290"/>
      <c r="B2" s="291"/>
      <c r="C2" s="291"/>
      <c r="D2" s="291"/>
      <c r="E2" s="292"/>
      <c r="F2" s="290"/>
    </row>
    <row r="3" spans="1:7" x14ac:dyDescent="0.25">
      <c r="A3" s="293" t="s">
        <v>250</v>
      </c>
      <c r="B3" s="291"/>
      <c r="C3" s="291"/>
      <c r="D3" s="291"/>
      <c r="E3" s="292"/>
      <c r="F3" s="290"/>
    </row>
    <row r="4" spans="1:7" ht="12" customHeight="1" x14ac:dyDescent="0.45">
      <c r="A4" s="294" t="s">
        <v>419</v>
      </c>
      <c r="B4" s="295">
        <v>41455</v>
      </c>
      <c r="C4" s="295"/>
      <c r="D4" s="295"/>
      <c r="E4" s="292"/>
      <c r="F4" s="290"/>
      <c r="G4" s="281"/>
    </row>
    <row r="5" spans="1:7" ht="13.8" x14ac:dyDescent="0.3">
      <c r="A5" s="294" t="s">
        <v>425</v>
      </c>
      <c r="B5" s="291"/>
      <c r="C5" s="295">
        <v>41820</v>
      </c>
      <c r="D5" s="295"/>
      <c r="E5" s="292"/>
      <c r="F5" s="290"/>
    </row>
    <row r="6" spans="1:7" ht="13.8" x14ac:dyDescent="0.3">
      <c r="A6" s="294" t="s">
        <v>420</v>
      </c>
      <c r="B6" s="296"/>
      <c r="C6" s="296"/>
      <c r="D6" s="296"/>
      <c r="E6" s="292"/>
      <c r="F6" s="290"/>
    </row>
    <row r="7" spans="1:7" ht="13.8" x14ac:dyDescent="0.25">
      <c r="A7" s="297" t="s">
        <v>422</v>
      </c>
      <c r="B7" s="296"/>
      <c r="C7" s="296"/>
      <c r="D7" s="296"/>
      <c r="E7" s="292"/>
      <c r="F7" s="290"/>
    </row>
    <row r="8" spans="1:7" ht="13.8" x14ac:dyDescent="0.3">
      <c r="A8" s="294" t="s">
        <v>421</v>
      </c>
      <c r="B8" s="296"/>
      <c r="C8" s="296"/>
      <c r="D8" s="296"/>
      <c r="E8" s="292"/>
      <c r="F8" s="290"/>
    </row>
    <row r="9" spans="1:7" ht="13.8" x14ac:dyDescent="0.25">
      <c r="A9" s="297" t="s">
        <v>426</v>
      </c>
      <c r="B9" s="296"/>
      <c r="C9" s="296"/>
      <c r="D9" s="296"/>
      <c r="E9" s="292"/>
      <c r="F9" s="290"/>
    </row>
    <row r="10" spans="1:7" ht="13.8" x14ac:dyDescent="0.25">
      <c r="A10" s="297" t="s">
        <v>427</v>
      </c>
      <c r="B10" s="296"/>
      <c r="C10" s="296"/>
      <c r="D10" s="296"/>
      <c r="E10" s="292"/>
      <c r="F10" s="290"/>
    </row>
    <row r="11" spans="1:7" ht="13.8" x14ac:dyDescent="0.25">
      <c r="A11" s="297" t="s">
        <v>428</v>
      </c>
      <c r="B11" s="296"/>
      <c r="C11" s="296"/>
      <c r="D11" s="296"/>
      <c r="E11" s="292"/>
      <c r="F11" s="290"/>
    </row>
    <row r="12" spans="1:7" ht="13.8" x14ac:dyDescent="0.25">
      <c r="A12" s="297" t="s">
        <v>429</v>
      </c>
      <c r="B12" s="296"/>
      <c r="C12" s="296"/>
      <c r="D12" s="296"/>
      <c r="E12" s="292"/>
      <c r="F12" s="290"/>
    </row>
    <row r="13" spans="1:7" ht="13.8" x14ac:dyDescent="0.25">
      <c r="A13" s="297" t="s">
        <v>430</v>
      </c>
      <c r="B13" s="296"/>
      <c r="C13" s="296"/>
      <c r="D13" s="296"/>
      <c r="E13" s="292"/>
      <c r="F13" s="290"/>
    </row>
    <row r="14" spans="1:7" ht="13.8" x14ac:dyDescent="0.25">
      <c r="A14" s="297" t="s">
        <v>431</v>
      </c>
      <c r="B14" s="296"/>
      <c r="C14" s="296"/>
      <c r="D14" s="296"/>
      <c r="E14" s="292"/>
      <c r="F14" s="290"/>
    </row>
    <row r="15" spans="1:7" ht="13.8" x14ac:dyDescent="0.25">
      <c r="A15" s="297" t="s">
        <v>432</v>
      </c>
      <c r="B15" s="291"/>
      <c r="C15" s="296" t="s">
        <v>384</v>
      </c>
      <c r="D15" s="296"/>
      <c r="E15" s="292"/>
      <c r="F15" s="290"/>
    </row>
    <row r="16" spans="1:7" ht="13.8" x14ac:dyDescent="0.3">
      <c r="A16" s="294" t="s">
        <v>433</v>
      </c>
      <c r="B16" s="291"/>
      <c r="C16" s="291"/>
      <c r="D16" s="291"/>
      <c r="E16" s="292">
        <v>350000</v>
      </c>
      <c r="F16" s="290"/>
    </row>
    <row r="17" spans="1:6" x14ac:dyDescent="0.25">
      <c r="A17" s="287"/>
      <c r="B17" s="291"/>
      <c r="C17" s="291"/>
      <c r="D17" s="291"/>
      <c r="E17" s="292"/>
      <c r="F17" s="290"/>
    </row>
    <row r="18" spans="1:6" ht="15.6" x14ac:dyDescent="0.25">
      <c r="A18" s="298" t="s">
        <v>434</v>
      </c>
      <c r="B18" s="291"/>
      <c r="C18" s="291"/>
      <c r="D18" s="291"/>
      <c r="E18" s="292"/>
      <c r="F18" s="290"/>
    </row>
    <row r="19" spans="1:6" ht="13.8" x14ac:dyDescent="0.3">
      <c r="A19" s="294" t="s">
        <v>435</v>
      </c>
      <c r="B19" s="299">
        <v>41455</v>
      </c>
      <c r="C19" s="299"/>
      <c r="D19" s="299"/>
      <c r="E19" s="292"/>
      <c r="F19" s="290"/>
    </row>
    <row r="20" spans="1:6" ht="13.8" x14ac:dyDescent="0.25">
      <c r="A20" s="297" t="s">
        <v>436</v>
      </c>
      <c r="B20" s="291"/>
      <c r="C20" s="291"/>
      <c r="D20" s="291"/>
      <c r="E20" s="292"/>
      <c r="F20" s="290"/>
    </row>
    <row r="21" spans="1:6" ht="13.8" x14ac:dyDescent="0.25">
      <c r="A21" s="297" t="s">
        <v>439</v>
      </c>
      <c r="B21" s="291"/>
      <c r="C21" s="299">
        <v>41820</v>
      </c>
      <c r="D21" s="299"/>
      <c r="E21" s="292"/>
      <c r="F21" s="290"/>
    </row>
    <row r="22" spans="1:6" ht="13.8" x14ac:dyDescent="0.25">
      <c r="A22" s="297" t="s">
        <v>437</v>
      </c>
      <c r="B22" s="291"/>
      <c r="C22" s="291"/>
      <c r="D22" s="291"/>
      <c r="E22" s="292"/>
      <c r="F22" s="290"/>
    </row>
    <row r="23" spans="1:6" ht="13.8" x14ac:dyDescent="0.25">
      <c r="A23" s="297" t="s">
        <v>438</v>
      </c>
      <c r="B23" s="291"/>
      <c r="C23" s="291"/>
      <c r="D23" s="291"/>
      <c r="E23" s="292"/>
      <c r="F23" s="290" t="s">
        <v>499</v>
      </c>
    </row>
    <row r="24" spans="1:6" ht="13.8" x14ac:dyDescent="0.25">
      <c r="A24" s="297" t="s">
        <v>442</v>
      </c>
      <c r="B24" s="291"/>
      <c r="C24" s="299">
        <v>41820</v>
      </c>
      <c r="D24" s="299"/>
      <c r="E24" s="300">
        <v>1700000</v>
      </c>
      <c r="F24" s="290"/>
    </row>
    <row r="25" spans="1:6" ht="13.8" x14ac:dyDescent="0.25">
      <c r="A25" s="297" t="s">
        <v>443</v>
      </c>
      <c r="B25" s="291"/>
      <c r="C25" s="296" t="s">
        <v>384</v>
      </c>
      <c r="D25" s="296"/>
      <c r="E25" s="292">
        <v>26300000</v>
      </c>
      <c r="F25" s="290"/>
    </row>
    <row r="26" spans="1:6" ht="13.8" x14ac:dyDescent="0.25">
      <c r="A26" s="297" t="s">
        <v>440</v>
      </c>
      <c r="B26" s="291"/>
      <c r="C26" s="296" t="s">
        <v>384</v>
      </c>
      <c r="D26" s="296"/>
      <c r="E26" s="292">
        <v>9200000</v>
      </c>
      <c r="F26" s="290"/>
    </row>
    <row r="27" spans="1:6" ht="13.8" x14ac:dyDescent="0.25">
      <c r="A27" s="297" t="s">
        <v>441</v>
      </c>
      <c r="B27" s="291"/>
      <c r="C27" s="291"/>
      <c r="D27" s="291"/>
      <c r="E27" s="292"/>
      <c r="F27" s="290"/>
    </row>
    <row r="28" spans="1:6" ht="13.8" x14ac:dyDescent="0.25">
      <c r="A28" s="297" t="s">
        <v>444</v>
      </c>
      <c r="B28" s="291"/>
      <c r="C28" s="291"/>
      <c r="D28" s="291"/>
      <c r="E28" s="292"/>
      <c r="F28" s="290"/>
    </row>
    <row r="29" spans="1:6" x14ac:dyDescent="0.25">
      <c r="A29" s="290"/>
      <c r="B29" s="291"/>
      <c r="C29" s="291"/>
      <c r="D29" s="291"/>
      <c r="E29" s="292"/>
      <c r="F29" s="290"/>
    </row>
    <row r="30" spans="1:6" x14ac:dyDescent="0.25">
      <c r="A30" s="293" t="s">
        <v>445</v>
      </c>
      <c r="B30" s="291"/>
      <c r="C30" s="291"/>
      <c r="D30" s="291"/>
      <c r="E30" s="292"/>
      <c r="F30" s="290"/>
    </row>
    <row r="31" spans="1:6" ht="13.8" x14ac:dyDescent="0.25">
      <c r="A31" s="297" t="s">
        <v>446</v>
      </c>
      <c r="B31" s="291"/>
      <c r="C31" s="291"/>
      <c r="D31" s="291"/>
      <c r="E31" s="292"/>
      <c r="F31" s="290"/>
    </row>
    <row r="32" spans="1:6" ht="13.8" x14ac:dyDescent="0.25">
      <c r="A32" s="297" t="s">
        <v>452</v>
      </c>
      <c r="B32" s="291"/>
      <c r="C32" s="296" t="s">
        <v>384</v>
      </c>
      <c r="D32" s="296"/>
      <c r="E32" s="292"/>
      <c r="F32" s="290"/>
    </row>
    <row r="33" spans="1:6" ht="13.8" x14ac:dyDescent="0.25">
      <c r="A33" s="297" t="s">
        <v>447</v>
      </c>
      <c r="B33" s="291"/>
      <c r="C33" s="291"/>
      <c r="D33" s="291"/>
      <c r="E33" s="292"/>
      <c r="F33" s="290"/>
    </row>
    <row r="34" spans="1:6" ht="13.8" x14ac:dyDescent="0.25">
      <c r="A34" s="297" t="s">
        <v>448</v>
      </c>
      <c r="B34" s="291"/>
      <c r="C34" s="291"/>
      <c r="D34" s="291"/>
      <c r="E34" s="292"/>
      <c r="F34" s="290"/>
    </row>
    <row r="35" spans="1:6" ht="13.8" x14ac:dyDescent="0.25">
      <c r="A35" s="297" t="s">
        <v>449</v>
      </c>
      <c r="B35" s="291"/>
      <c r="C35" s="291"/>
      <c r="D35" s="291"/>
      <c r="E35" s="292"/>
      <c r="F35" s="290"/>
    </row>
    <row r="36" spans="1:6" ht="13.8" x14ac:dyDescent="0.25">
      <c r="A36" s="297" t="s">
        <v>450</v>
      </c>
      <c r="B36" s="291"/>
      <c r="C36" s="291"/>
      <c r="D36" s="291"/>
      <c r="E36" s="292"/>
      <c r="F36" s="290"/>
    </row>
    <row r="37" spans="1:6" ht="13.8" x14ac:dyDescent="0.25">
      <c r="A37" s="297" t="s">
        <v>451</v>
      </c>
      <c r="B37" s="291"/>
      <c r="C37" s="291"/>
      <c r="D37" s="291"/>
      <c r="E37" s="292"/>
      <c r="F37" s="290"/>
    </row>
    <row r="38" spans="1:6" ht="13.8" x14ac:dyDescent="0.25">
      <c r="A38" s="297" t="s">
        <v>453</v>
      </c>
      <c r="B38" s="291"/>
      <c r="C38" s="291"/>
      <c r="D38" s="291"/>
      <c r="E38" s="292">
        <v>641000</v>
      </c>
      <c r="F38" s="290"/>
    </row>
    <row r="39" spans="1:6" ht="13.8" x14ac:dyDescent="0.25">
      <c r="A39" s="297" t="s">
        <v>454</v>
      </c>
      <c r="B39" s="291"/>
      <c r="C39" s="291"/>
      <c r="D39" s="291"/>
      <c r="E39" s="292"/>
      <c r="F39" s="290"/>
    </row>
    <row r="40" spans="1:6" ht="13.8" x14ac:dyDescent="0.25">
      <c r="A40" s="297" t="s">
        <v>455</v>
      </c>
      <c r="B40" s="291"/>
      <c r="C40" s="291"/>
      <c r="D40" s="291"/>
      <c r="E40" s="292"/>
      <c r="F40" s="290"/>
    </row>
    <row r="41" spans="1:6" ht="13.8" x14ac:dyDescent="0.25">
      <c r="A41" s="297" t="s">
        <v>456</v>
      </c>
      <c r="B41" s="291"/>
      <c r="C41" s="291"/>
      <c r="D41" s="291"/>
      <c r="E41" s="292"/>
      <c r="F41" s="290"/>
    </row>
    <row r="42" spans="1:6" ht="13.8" x14ac:dyDescent="0.25">
      <c r="A42" s="297" t="s">
        <v>463</v>
      </c>
      <c r="B42" s="291"/>
      <c r="C42" s="299">
        <v>41820</v>
      </c>
      <c r="D42" s="299"/>
      <c r="E42" s="292"/>
      <c r="F42" s="290"/>
    </row>
    <row r="43" spans="1:6" ht="13.8" x14ac:dyDescent="0.25">
      <c r="A43" s="297" t="s">
        <v>462</v>
      </c>
      <c r="B43" s="291"/>
      <c r="C43" s="299">
        <v>41820</v>
      </c>
      <c r="D43" s="299"/>
      <c r="E43" s="292">
        <v>87000000</v>
      </c>
      <c r="F43" s="290"/>
    </row>
    <row r="44" spans="1:6" ht="13.8" x14ac:dyDescent="0.25">
      <c r="A44" s="297" t="s">
        <v>458</v>
      </c>
      <c r="B44" s="291"/>
      <c r="C44" s="291"/>
      <c r="D44" s="291"/>
      <c r="E44" s="292"/>
      <c r="F44" s="290"/>
    </row>
    <row r="45" spans="1:6" ht="13.8" x14ac:dyDescent="0.25">
      <c r="A45" s="297" t="s">
        <v>459</v>
      </c>
      <c r="B45" s="291"/>
      <c r="C45" s="291"/>
      <c r="D45" s="291"/>
      <c r="E45" s="292"/>
      <c r="F45" s="290"/>
    </row>
    <row r="46" spans="1:6" ht="13.8" x14ac:dyDescent="0.25">
      <c r="A46" s="297" t="s">
        <v>460</v>
      </c>
      <c r="B46" s="291"/>
      <c r="C46" s="291"/>
      <c r="D46" s="291"/>
      <c r="E46" s="292"/>
      <c r="F46" s="290"/>
    </row>
    <row r="47" spans="1:6" ht="13.8" x14ac:dyDescent="0.25">
      <c r="A47" s="297" t="s">
        <v>461</v>
      </c>
      <c r="B47" s="291"/>
      <c r="C47" s="296" t="s">
        <v>384</v>
      </c>
      <c r="D47" s="296"/>
      <c r="E47" s="292"/>
      <c r="F47" s="290"/>
    </row>
    <row r="48" spans="1:6" x14ac:dyDescent="0.25">
      <c r="A48" s="290"/>
      <c r="B48" s="291"/>
      <c r="C48" s="291"/>
      <c r="D48" s="291"/>
      <c r="E48" s="292"/>
      <c r="F48" s="290"/>
    </row>
    <row r="49" spans="1:6" ht="13.8" x14ac:dyDescent="0.25">
      <c r="A49" s="297" t="s">
        <v>464</v>
      </c>
      <c r="B49" s="291"/>
      <c r="C49" s="291"/>
      <c r="D49" s="291"/>
      <c r="E49" s="292"/>
      <c r="F49" s="290" t="s">
        <v>78</v>
      </c>
    </row>
    <row r="50" spans="1:6" ht="13.8" x14ac:dyDescent="0.25">
      <c r="A50" s="297" t="s">
        <v>465</v>
      </c>
      <c r="B50" s="291"/>
      <c r="C50" s="291"/>
      <c r="D50" s="291"/>
      <c r="E50" s="292"/>
      <c r="F50" s="290" t="s">
        <v>78</v>
      </c>
    </row>
    <row r="51" spans="1:6" ht="13.8" x14ac:dyDescent="0.25">
      <c r="A51" s="297" t="s">
        <v>466</v>
      </c>
      <c r="B51" s="291"/>
      <c r="C51" s="291"/>
      <c r="D51" s="291"/>
      <c r="E51" s="292"/>
      <c r="F51" s="290" t="s">
        <v>78</v>
      </c>
    </row>
    <row r="52" spans="1:6" ht="13.8" x14ac:dyDescent="0.25">
      <c r="A52" s="297" t="s">
        <v>467</v>
      </c>
      <c r="B52" s="291"/>
      <c r="C52" s="291"/>
      <c r="D52" s="291"/>
      <c r="E52" s="292"/>
      <c r="F52" s="290" t="s">
        <v>78</v>
      </c>
    </row>
    <row r="53" spans="1:6" x14ac:dyDescent="0.25">
      <c r="A53" s="290"/>
      <c r="B53" s="291"/>
      <c r="C53" s="291"/>
      <c r="D53" s="291"/>
      <c r="E53" s="292"/>
      <c r="F53" s="290"/>
    </row>
    <row r="54" spans="1:6" ht="15.6" x14ac:dyDescent="0.25">
      <c r="A54" s="298" t="s">
        <v>468</v>
      </c>
      <c r="B54" s="291"/>
      <c r="C54" s="291"/>
      <c r="D54" s="291"/>
      <c r="E54" s="292"/>
      <c r="F54" s="290"/>
    </row>
    <row r="55" spans="1:6" ht="13.8" x14ac:dyDescent="0.25">
      <c r="A55" s="297" t="s">
        <v>446</v>
      </c>
      <c r="B55" s="291"/>
      <c r="C55" s="291"/>
      <c r="D55" s="291"/>
      <c r="E55" s="292"/>
      <c r="F55" s="290"/>
    </row>
    <row r="56" spans="1:6" ht="13.8" x14ac:dyDescent="0.25">
      <c r="A56" s="297" t="s">
        <v>469</v>
      </c>
      <c r="B56" s="291"/>
      <c r="C56" s="296" t="s">
        <v>384</v>
      </c>
      <c r="D56" s="296"/>
      <c r="E56" s="292"/>
      <c r="F56" s="290"/>
    </row>
    <row r="57" spans="1:6" ht="13.8" x14ac:dyDescent="0.25">
      <c r="A57" s="297" t="s">
        <v>447</v>
      </c>
      <c r="B57" s="291"/>
      <c r="C57" s="291"/>
      <c r="D57" s="291"/>
      <c r="E57" s="292"/>
      <c r="F57" s="290"/>
    </row>
    <row r="58" spans="1:6" ht="13.8" x14ac:dyDescent="0.25">
      <c r="A58" s="297" t="s">
        <v>448</v>
      </c>
      <c r="B58" s="299">
        <v>41455</v>
      </c>
      <c r="C58" s="299"/>
      <c r="D58" s="299"/>
      <c r="E58" s="292"/>
      <c r="F58" s="290"/>
    </row>
    <row r="59" spans="1:6" ht="13.8" x14ac:dyDescent="0.25">
      <c r="A59" s="297" t="s">
        <v>450</v>
      </c>
      <c r="B59" s="291"/>
      <c r="C59" s="291"/>
      <c r="D59" s="291"/>
      <c r="E59" s="292"/>
      <c r="F59" s="290"/>
    </row>
    <row r="60" spans="1:6" ht="13.8" x14ac:dyDescent="0.25">
      <c r="A60" s="297" t="s">
        <v>470</v>
      </c>
      <c r="B60" s="291"/>
      <c r="C60" s="291"/>
      <c r="D60" s="291"/>
      <c r="E60" s="292"/>
      <c r="F60" s="290"/>
    </row>
    <row r="61" spans="1:6" ht="13.8" x14ac:dyDescent="0.25">
      <c r="A61" s="297" t="s">
        <v>471</v>
      </c>
      <c r="B61" s="291"/>
      <c r="C61" s="291"/>
      <c r="D61" s="291"/>
      <c r="E61" s="292">
        <v>18100000</v>
      </c>
      <c r="F61" s="290"/>
    </row>
    <row r="62" spans="1:6" ht="13.8" x14ac:dyDescent="0.25">
      <c r="A62" s="297" t="s">
        <v>472</v>
      </c>
      <c r="B62" s="291"/>
      <c r="C62" s="291"/>
      <c r="D62" s="291"/>
      <c r="E62" s="292">
        <v>1500000</v>
      </c>
      <c r="F62" s="290"/>
    </row>
    <row r="63" spans="1:6" ht="13.8" x14ac:dyDescent="0.25">
      <c r="A63" s="297" t="s">
        <v>454</v>
      </c>
      <c r="B63" s="291"/>
      <c r="C63" s="291"/>
      <c r="D63" s="291"/>
      <c r="E63" s="292"/>
      <c r="F63" s="290"/>
    </row>
    <row r="64" spans="1:6" ht="13.8" x14ac:dyDescent="0.25">
      <c r="A64" s="297" t="s">
        <v>455</v>
      </c>
      <c r="B64" s="291"/>
      <c r="C64" s="291"/>
      <c r="D64" s="291"/>
      <c r="E64" s="292"/>
      <c r="F64" s="290" t="s">
        <v>499</v>
      </c>
    </row>
    <row r="65" spans="1:6" ht="13.8" x14ac:dyDescent="0.25">
      <c r="A65" s="297" t="s">
        <v>473</v>
      </c>
      <c r="B65" s="291"/>
      <c r="C65" s="291"/>
      <c r="D65" s="291"/>
      <c r="E65" s="292"/>
      <c r="F65" s="290"/>
    </row>
    <row r="66" spans="1:6" ht="13.8" x14ac:dyDescent="0.25">
      <c r="A66" s="297" t="s">
        <v>475</v>
      </c>
      <c r="B66" s="291"/>
      <c r="C66" s="296"/>
      <c r="D66" s="296" t="s">
        <v>409</v>
      </c>
      <c r="E66" s="292"/>
      <c r="F66" s="290"/>
    </row>
    <row r="67" spans="1:6" ht="13.8" x14ac:dyDescent="0.25">
      <c r="A67" s="297" t="s">
        <v>462</v>
      </c>
      <c r="B67" s="291"/>
      <c r="C67" s="299">
        <v>41820</v>
      </c>
      <c r="D67" s="299"/>
      <c r="E67" s="292">
        <v>87000000</v>
      </c>
      <c r="F67" s="290"/>
    </row>
    <row r="68" spans="1:6" ht="13.8" x14ac:dyDescent="0.25">
      <c r="A68" s="297" t="s">
        <v>458</v>
      </c>
      <c r="B68" s="291"/>
      <c r="C68" s="291"/>
      <c r="D68" s="291"/>
      <c r="E68" s="292"/>
      <c r="F68" s="290"/>
    </row>
    <row r="69" spans="1:6" ht="13.8" x14ac:dyDescent="0.25">
      <c r="A69" s="297" t="s">
        <v>459</v>
      </c>
      <c r="B69" s="291"/>
      <c r="C69" s="291"/>
      <c r="D69" s="291"/>
      <c r="E69" s="292"/>
      <c r="F69" s="290"/>
    </row>
    <row r="70" spans="1:6" ht="13.8" x14ac:dyDescent="0.25">
      <c r="A70" s="297" t="s">
        <v>460</v>
      </c>
      <c r="B70" s="291"/>
      <c r="C70" s="291"/>
      <c r="D70" s="291"/>
      <c r="E70" s="292"/>
      <c r="F70" s="290"/>
    </row>
    <row r="71" spans="1:6" ht="13.8" x14ac:dyDescent="0.25">
      <c r="A71" s="297" t="s">
        <v>474</v>
      </c>
      <c r="B71" s="291"/>
      <c r="C71" s="291"/>
      <c r="D71" s="291"/>
      <c r="E71" s="292"/>
      <c r="F71" s="290"/>
    </row>
    <row r="72" spans="1:6" x14ac:dyDescent="0.25">
      <c r="A72" s="290"/>
      <c r="B72" s="291"/>
      <c r="C72" s="291"/>
      <c r="D72" s="291"/>
      <c r="E72" s="292"/>
      <c r="F72" s="290"/>
    </row>
    <row r="73" spans="1:6" ht="15" x14ac:dyDescent="0.25">
      <c r="A73" s="297" t="s">
        <v>476</v>
      </c>
      <c r="B73" s="291"/>
      <c r="C73" s="291"/>
      <c r="D73" s="291"/>
      <c r="E73" s="292"/>
      <c r="F73" s="290" t="s">
        <v>78</v>
      </c>
    </row>
    <row r="74" spans="1:6" ht="13.8" x14ac:dyDescent="0.25">
      <c r="A74" s="297" t="s">
        <v>477</v>
      </c>
      <c r="B74" s="291"/>
      <c r="C74" s="291"/>
      <c r="D74" s="291"/>
      <c r="E74" s="292"/>
      <c r="F74" s="290" t="s">
        <v>78</v>
      </c>
    </row>
    <row r="75" spans="1:6" ht="13.8" x14ac:dyDescent="0.25">
      <c r="A75" s="297" t="s">
        <v>478</v>
      </c>
      <c r="B75" s="291"/>
      <c r="C75" s="291"/>
      <c r="D75" s="291"/>
      <c r="E75" s="292"/>
      <c r="F75" s="290" t="s">
        <v>78</v>
      </c>
    </row>
    <row r="76" spans="1:6" ht="13.8" x14ac:dyDescent="0.25">
      <c r="A76" s="297" t="s">
        <v>479</v>
      </c>
      <c r="B76" s="291"/>
      <c r="C76" s="296" t="s">
        <v>384</v>
      </c>
      <c r="D76" s="296"/>
      <c r="E76" s="292"/>
      <c r="F76" s="290" t="s">
        <v>78</v>
      </c>
    </row>
    <row r="77" spans="1:6" ht="13.8" x14ac:dyDescent="0.25">
      <c r="A77" s="297" t="s">
        <v>480</v>
      </c>
      <c r="B77" s="296"/>
      <c r="C77" s="296" t="s">
        <v>384</v>
      </c>
      <c r="D77" s="296" t="s">
        <v>409</v>
      </c>
      <c r="E77" s="292"/>
      <c r="F77" s="290" t="s">
        <v>78</v>
      </c>
    </row>
    <row r="78" spans="1:6" x14ac:dyDescent="0.25">
      <c r="A78" s="290"/>
      <c r="B78" s="291"/>
      <c r="C78" s="291"/>
      <c r="D78" s="291"/>
      <c r="E78" s="292"/>
      <c r="F78" s="290"/>
    </row>
    <row r="79" spans="1:6" ht="15.6" x14ac:dyDescent="0.25">
      <c r="A79" s="298" t="s">
        <v>481</v>
      </c>
      <c r="B79" s="291"/>
      <c r="C79" s="291"/>
      <c r="D79" s="291"/>
      <c r="E79" s="292"/>
      <c r="F79" s="290"/>
    </row>
    <row r="80" spans="1:6" ht="13.8" x14ac:dyDescent="0.25">
      <c r="A80" s="297" t="s">
        <v>482</v>
      </c>
      <c r="B80" s="299">
        <v>41455</v>
      </c>
      <c r="C80" s="299"/>
      <c r="D80" s="299"/>
      <c r="E80" s="292"/>
      <c r="F80" s="290"/>
    </row>
    <row r="81" spans="1:6" ht="13.8" x14ac:dyDescent="0.25">
      <c r="A81" s="297" t="s">
        <v>446</v>
      </c>
      <c r="B81" s="291"/>
      <c r="C81" s="291"/>
      <c r="D81" s="291"/>
      <c r="E81" s="292"/>
      <c r="F81" s="290"/>
    </row>
    <row r="82" spans="1:6" ht="13.8" x14ac:dyDescent="0.25">
      <c r="A82" s="297" t="s">
        <v>469</v>
      </c>
      <c r="B82" s="291"/>
      <c r="C82" s="296" t="s">
        <v>384</v>
      </c>
      <c r="D82" s="296"/>
      <c r="E82" s="292"/>
      <c r="F82" s="290"/>
    </row>
    <row r="83" spans="1:6" ht="13.8" x14ac:dyDescent="0.25">
      <c r="A83" s="297" t="s">
        <v>447</v>
      </c>
      <c r="B83" s="291"/>
      <c r="C83" s="291"/>
      <c r="D83" s="291"/>
      <c r="E83" s="292"/>
      <c r="F83" s="290"/>
    </row>
    <row r="84" spans="1:6" ht="13.8" x14ac:dyDescent="0.25">
      <c r="A84" s="297" t="s">
        <v>448</v>
      </c>
      <c r="B84" s="291"/>
      <c r="C84" s="291"/>
      <c r="D84" s="291"/>
      <c r="E84" s="292"/>
      <c r="F84" s="290"/>
    </row>
    <row r="85" spans="1:6" ht="13.8" x14ac:dyDescent="0.25">
      <c r="A85" s="297" t="s">
        <v>483</v>
      </c>
      <c r="B85" s="291"/>
      <c r="C85" s="291"/>
      <c r="D85" s="291"/>
      <c r="E85" s="292"/>
      <c r="F85" s="290"/>
    </row>
    <row r="86" spans="1:6" ht="13.8" x14ac:dyDescent="0.25">
      <c r="A86" s="297" t="s">
        <v>484</v>
      </c>
      <c r="B86" s="291"/>
      <c r="C86" s="291"/>
      <c r="D86" s="291"/>
      <c r="E86" s="292">
        <v>7400000</v>
      </c>
      <c r="F86" s="290" t="s">
        <v>78</v>
      </c>
    </row>
    <row r="87" spans="1:6" ht="13.8" x14ac:dyDescent="0.25">
      <c r="A87" s="297" t="s">
        <v>485</v>
      </c>
      <c r="B87" s="291"/>
      <c r="C87" s="291"/>
      <c r="D87" s="291"/>
      <c r="E87" s="292">
        <v>1500000</v>
      </c>
      <c r="F87" s="290"/>
    </row>
    <row r="88" spans="1:6" ht="13.8" x14ac:dyDescent="0.25">
      <c r="A88" s="297" t="s">
        <v>486</v>
      </c>
      <c r="B88" s="291"/>
      <c r="C88" s="291"/>
      <c r="D88" s="291"/>
      <c r="E88" s="292">
        <v>641000</v>
      </c>
      <c r="F88" s="290"/>
    </row>
    <row r="89" spans="1:6" ht="13.8" x14ac:dyDescent="0.25">
      <c r="A89" s="297" t="s">
        <v>454</v>
      </c>
      <c r="B89" s="291"/>
      <c r="C89" s="291"/>
      <c r="D89" s="291"/>
      <c r="E89" s="292"/>
      <c r="F89" s="290" t="s">
        <v>500</v>
      </c>
    </row>
    <row r="90" spans="1:6" ht="13.8" x14ac:dyDescent="0.25">
      <c r="A90" s="297" t="s">
        <v>455</v>
      </c>
      <c r="B90" s="291"/>
      <c r="C90" s="291"/>
      <c r="D90" s="291"/>
      <c r="E90" s="292"/>
      <c r="F90" s="290" t="s">
        <v>499</v>
      </c>
    </row>
    <row r="91" spans="1:6" ht="13.8" x14ac:dyDescent="0.25">
      <c r="A91" s="297" t="s">
        <v>473</v>
      </c>
      <c r="B91" s="291"/>
      <c r="C91" s="291"/>
      <c r="D91" s="291"/>
      <c r="E91" s="292"/>
      <c r="F91" s="290"/>
    </row>
    <row r="92" spans="1:6" ht="13.8" x14ac:dyDescent="0.25">
      <c r="A92" s="297" t="s">
        <v>457</v>
      </c>
      <c r="B92" s="291"/>
      <c r="C92" s="299">
        <v>41820</v>
      </c>
      <c r="D92" s="299"/>
      <c r="E92" s="292"/>
      <c r="F92" s="290"/>
    </row>
    <row r="93" spans="1:6" ht="13.8" x14ac:dyDescent="0.25">
      <c r="A93" s="297" t="s">
        <v>458</v>
      </c>
      <c r="B93" s="291"/>
      <c r="C93" s="291"/>
      <c r="D93" s="291"/>
      <c r="E93" s="292"/>
      <c r="F93" s="290"/>
    </row>
    <row r="94" spans="1:6" ht="13.8" x14ac:dyDescent="0.25">
      <c r="A94" s="297" t="s">
        <v>459</v>
      </c>
      <c r="B94" s="291"/>
      <c r="C94" s="291"/>
      <c r="D94" s="291"/>
      <c r="E94" s="292"/>
      <c r="F94" s="290"/>
    </row>
    <row r="95" spans="1:6" ht="13.8" x14ac:dyDescent="0.25">
      <c r="A95" s="297" t="s">
        <v>460</v>
      </c>
      <c r="B95" s="291"/>
      <c r="C95" s="291"/>
      <c r="D95" s="291"/>
      <c r="E95" s="292"/>
      <c r="F95" s="290"/>
    </row>
    <row r="96" spans="1:6" x14ac:dyDescent="0.25">
      <c r="A96" s="290"/>
      <c r="B96" s="291"/>
      <c r="C96" s="291"/>
      <c r="D96" s="291"/>
      <c r="E96" s="292"/>
      <c r="F96" s="290"/>
    </row>
    <row r="97" spans="1:6" ht="13.8" x14ac:dyDescent="0.25">
      <c r="A97" s="297" t="s">
        <v>487</v>
      </c>
      <c r="B97" s="291"/>
      <c r="C97" s="291"/>
      <c r="D97" s="291"/>
      <c r="E97" s="292">
        <v>28500000</v>
      </c>
      <c r="F97" s="290" t="s">
        <v>78</v>
      </c>
    </row>
    <row r="98" spans="1:6" ht="13.8" x14ac:dyDescent="0.25">
      <c r="A98" s="297" t="s">
        <v>488</v>
      </c>
      <c r="B98" s="291"/>
      <c r="C98" s="291"/>
      <c r="D98" s="291"/>
      <c r="E98" s="292">
        <v>14500000</v>
      </c>
      <c r="F98" s="290" t="s">
        <v>78</v>
      </c>
    </row>
    <row r="99" spans="1:6" ht="13.8" x14ac:dyDescent="0.25">
      <c r="A99" s="297" t="s">
        <v>489</v>
      </c>
      <c r="B99" s="291"/>
      <c r="C99" s="291"/>
      <c r="D99" s="291"/>
      <c r="E99" s="292">
        <v>3100000</v>
      </c>
      <c r="F99" s="290" t="s">
        <v>78</v>
      </c>
    </row>
    <row r="100" spans="1:6" ht="13.8" x14ac:dyDescent="0.25">
      <c r="A100" s="297" t="s">
        <v>490</v>
      </c>
      <c r="B100" s="291"/>
      <c r="C100" s="291"/>
      <c r="D100" s="291"/>
      <c r="E100" s="292">
        <v>5900000</v>
      </c>
      <c r="F100" s="290" t="s">
        <v>78</v>
      </c>
    </row>
    <row r="101" spans="1:6" ht="13.8" x14ac:dyDescent="0.25">
      <c r="A101" s="297" t="s">
        <v>491</v>
      </c>
      <c r="B101" s="291"/>
      <c r="C101" s="291"/>
      <c r="D101" s="291"/>
      <c r="E101" s="292">
        <v>7400000</v>
      </c>
      <c r="F101" s="290" t="s">
        <v>78</v>
      </c>
    </row>
    <row r="102" spans="1:6" ht="13.8" x14ac:dyDescent="0.25">
      <c r="A102" s="297" t="s">
        <v>492</v>
      </c>
      <c r="B102" s="291"/>
      <c r="C102" s="291"/>
      <c r="D102" s="291"/>
      <c r="E102" s="292">
        <v>11500000</v>
      </c>
      <c r="F102" s="290" t="s">
        <v>78</v>
      </c>
    </row>
    <row r="103" spans="1:6" ht="13.8" x14ac:dyDescent="0.25">
      <c r="A103" s="297" t="s">
        <v>493</v>
      </c>
      <c r="B103" s="291"/>
      <c r="C103" s="291"/>
      <c r="D103" s="291"/>
      <c r="E103" s="292">
        <v>7400000</v>
      </c>
      <c r="F103" s="290" t="s">
        <v>78</v>
      </c>
    </row>
    <row r="104" spans="1:6" ht="13.8" x14ac:dyDescent="0.25">
      <c r="A104" s="297" t="s">
        <v>494</v>
      </c>
      <c r="B104" s="291"/>
      <c r="C104" s="296"/>
      <c r="D104" s="296" t="s">
        <v>409</v>
      </c>
      <c r="E104" s="292">
        <v>9000000</v>
      </c>
      <c r="F104" s="290" t="s">
        <v>78</v>
      </c>
    </row>
    <row r="105" spans="1:6" ht="13.8" x14ac:dyDescent="0.25">
      <c r="A105" s="297" t="s">
        <v>495</v>
      </c>
      <c r="B105" s="291"/>
      <c r="C105" s="296"/>
      <c r="D105" s="296" t="s">
        <v>409</v>
      </c>
      <c r="E105" s="292">
        <v>24700000</v>
      </c>
      <c r="F105" s="290" t="s">
        <v>78</v>
      </c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16" workbookViewId="0">
      <selection activeCell="R23" sqref="R23"/>
    </sheetView>
  </sheetViews>
  <sheetFormatPr defaultRowHeight="13.2" x14ac:dyDescent="0.25"/>
  <cols>
    <col min="4" max="4" width="19.6640625" customWidth="1"/>
    <col min="5" max="14" width="0" hidden="1" customWidth="1"/>
    <col min="15" max="15" width="17.33203125" customWidth="1"/>
    <col min="16" max="16" width="18.6640625" customWidth="1"/>
  </cols>
  <sheetData>
    <row r="1" spans="1:16" x14ac:dyDescent="0.25">
      <c r="A1" s="727" t="s">
        <v>379</v>
      </c>
      <c r="B1" s="728"/>
      <c r="C1" s="728"/>
      <c r="D1" s="728"/>
      <c r="E1" s="728"/>
      <c r="F1" s="728"/>
      <c r="G1" s="728"/>
      <c r="H1" s="728"/>
      <c r="I1" s="729"/>
      <c r="J1" s="202" t="s">
        <v>380</v>
      </c>
      <c r="K1" s="202" t="s">
        <v>380</v>
      </c>
      <c r="L1" s="257" t="s">
        <v>380</v>
      </c>
      <c r="M1" s="202" t="s">
        <v>380</v>
      </c>
      <c r="N1" s="257" t="s">
        <v>380</v>
      </c>
      <c r="O1" s="257" t="s">
        <v>529</v>
      </c>
      <c r="P1" s="257" t="s">
        <v>529</v>
      </c>
    </row>
    <row r="2" spans="1:16" x14ac:dyDescent="0.25">
      <c r="A2" s="30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258"/>
      <c r="M2" s="176"/>
      <c r="N2" s="176"/>
      <c r="O2" s="258"/>
      <c r="P2" s="176"/>
    </row>
    <row r="3" spans="1:16" ht="13.8" x14ac:dyDescent="0.3">
      <c r="A3" s="304"/>
      <c r="B3" s="177"/>
      <c r="C3" s="177"/>
      <c r="D3" s="177"/>
      <c r="E3" s="178" t="s">
        <v>28</v>
      </c>
      <c r="F3" s="179"/>
      <c r="G3" s="178" t="s">
        <v>30</v>
      </c>
      <c r="H3" s="179"/>
      <c r="I3" s="178" t="s">
        <v>31</v>
      </c>
      <c r="J3" s="178" t="s">
        <v>32</v>
      </c>
      <c r="K3" s="178" t="s">
        <v>178</v>
      </c>
      <c r="L3" s="259" t="s">
        <v>179</v>
      </c>
      <c r="M3" s="180" t="s">
        <v>240</v>
      </c>
      <c r="N3" s="180" t="s">
        <v>245</v>
      </c>
      <c r="O3" s="259" t="s">
        <v>257</v>
      </c>
      <c r="P3" s="180" t="s">
        <v>384</v>
      </c>
    </row>
    <row r="4" spans="1:16" ht="14.4" thickBot="1" x14ac:dyDescent="0.35">
      <c r="A4" s="305"/>
      <c r="B4" s="181"/>
      <c r="C4" s="181"/>
      <c r="D4" s="181"/>
      <c r="E4" s="182" t="s">
        <v>201</v>
      </c>
      <c r="F4" s="182"/>
      <c r="G4" s="182" t="s">
        <v>201</v>
      </c>
      <c r="H4" s="182"/>
      <c r="I4" s="182" t="s">
        <v>201</v>
      </c>
      <c r="J4" s="182" t="s">
        <v>201</v>
      </c>
      <c r="K4" s="182" t="s">
        <v>201</v>
      </c>
      <c r="L4" s="260" t="s">
        <v>201</v>
      </c>
      <c r="M4" s="183" t="s">
        <v>201</v>
      </c>
      <c r="N4" s="183" t="s">
        <v>201</v>
      </c>
      <c r="O4" s="260" t="s">
        <v>201</v>
      </c>
      <c r="P4" s="183" t="s">
        <v>201</v>
      </c>
    </row>
    <row r="5" spans="1:16" x14ac:dyDescent="0.25">
      <c r="A5" s="201"/>
      <c r="B5" s="303" t="s">
        <v>98</v>
      </c>
      <c r="C5" s="171"/>
      <c r="D5" s="171"/>
      <c r="E5" s="171"/>
      <c r="F5" s="171"/>
      <c r="G5" s="171"/>
      <c r="H5" s="171"/>
      <c r="I5" s="171"/>
      <c r="J5" s="171"/>
      <c r="K5" s="185"/>
      <c r="L5" s="261"/>
      <c r="M5" s="186"/>
      <c r="N5" s="186"/>
      <c r="O5" s="261"/>
      <c r="P5" s="307"/>
    </row>
    <row r="6" spans="1:16" x14ac:dyDescent="0.25">
      <c r="A6" s="30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262"/>
      <c r="M6" s="141"/>
      <c r="N6" s="141"/>
      <c r="O6" s="262"/>
      <c r="P6" s="141"/>
    </row>
    <row r="7" spans="1:16" x14ac:dyDescent="0.25">
      <c r="A7" s="301"/>
      <c r="B7" s="184" t="s">
        <v>530</v>
      </c>
      <c r="C7" s="171"/>
      <c r="D7" s="171"/>
      <c r="E7" s="171"/>
      <c r="F7" s="171"/>
      <c r="G7" s="171"/>
      <c r="H7" s="171"/>
      <c r="I7" s="171"/>
      <c r="J7" s="188"/>
      <c r="K7" s="188"/>
      <c r="L7" s="262"/>
      <c r="M7" s="141"/>
      <c r="N7" s="141"/>
      <c r="O7" s="309">
        <v>1.2E-2</v>
      </c>
      <c r="P7" s="310">
        <v>1.272E-2</v>
      </c>
    </row>
    <row r="8" spans="1:16" x14ac:dyDescent="0.25">
      <c r="A8" s="301"/>
      <c r="B8" s="171"/>
      <c r="C8" s="171"/>
      <c r="D8" s="171"/>
      <c r="E8" s="169"/>
      <c r="F8" s="170"/>
      <c r="G8" s="169"/>
      <c r="H8" s="170"/>
      <c r="I8" s="169"/>
      <c r="J8" s="143"/>
      <c r="K8" s="143"/>
      <c r="L8" s="263"/>
      <c r="M8" s="139"/>
      <c r="N8" s="139"/>
      <c r="O8" s="263"/>
      <c r="P8" s="139"/>
    </row>
    <row r="9" spans="1:16" x14ac:dyDescent="0.25">
      <c r="A9" s="301"/>
      <c r="B9" s="184" t="s">
        <v>251</v>
      </c>
      <c r="C9" s="115"/>
      <c r="D9" s="171"/>
      <c r="E9" s="169"/>
      <c r="F9" s="170"/>
      <c r="G9" s="169"/>
      <c r="H9" s="170"/>
      <c r="I9" s="169"/>
      <c r="J9" s="143"/>
      <c r="K9" s="143"/>
      <c r="L9" s="263">
        <v>2.4E-2</v>
      </c>
      <c r="M9" s="263">
        <v>2.4E-2</v>
      </c>
      <c r="N9" s="263">
        <v>2.4E-2</v>
      </c>
      <c r="O9" s="309">
        <v>2.4E-2</v>
      </c>
      <c r="P9" s="309">
        <v>2.5440000000000001E-2</v>
      </c>
    </row>
    <row r="10" spans="1:16" x14ac:dyDescent="0.25">
      <c r="A10" s="301"/>
      <c r="B10" s="115"/>
      <c r="C10" s="115"/>
      <c r="D10" s="171"/>
      <c r="E10" s="169"/>
      <c r="F10" s="170"/>
      <c r="G10" s="169"/>
      <c r="H10" s="170"/>
      <c r="I10" s="169"/>
      <c r="J10" s="143"/>
      <c r="K10" s="143"/>
      <c r="L10" s="263"/>
      <c r="M10" s="263"/>
      <c r="N10" s="263"/>
      <c r="O10" s="309"/>
      <c r="P10" s="309"/>
    </row>
    <row r="11" spans="1:16" x14ac:dyDescent="0.25">
      <c r="A11" s="301"/>
      <c r="B11" s="184" t="s">
        <v>248</v>
      </c>
      <c r="C11" s="115"/>
      <c r="D11" s="171"/>
      <c r="E11" s="170"/>
      <c r="F11" s="170"/>
      <c r="G11" s="170"/>
      <c r="H11" s="170"/>
      <c r="I11" s="170"/>
      <c r="J11" s="170"/>
      <c r="K11" s="170"/>
      <c r="L11" s="264">
        <v>2.4E-2</v>
      </c>
      <c r="M11" s="264">
        <v>2.4E-2</v>
      </c>
      <c r="N11" s="264">
        <v>2.4E-2</v>
      </c>
      <c r="O11" s="311">
        <v>2.4E-2</v>
      </c>
      <c r="P11" s="311">
        <v>2.5440000000000001E-2</v>
      </c>
    </row>
    <row r="12" spans="1:16" x14ac:dyDescent="0.25">
      <c r="A12" s="301"/>
      <c r="B12" s="184"/>
      <c r="C12" s="115"/>
      <c r="D12" s="171"/>
      <c r="E12" s="170"/>
      <c r="F12" s="170"/>
      <c r="G12" s="170"/>
      <c r="H12" s="170"/>
      <c r="I12" s="170"/>
      <c r="J12" s="170"/>
      <c r="K12" s="170"/>
      <c r="L12" s="264"/>
      <c r="M12" s="140"/>
      <c r="N12" s="140"/>
      <c r="O12" s="311"/>
      <c r="P12" s="312"/>
    </row>
    <row r="13" spans="1:16" x14ac:dyDescent="0.25">
      <c r="A13" s="301"/>
      <c r="B13" s="184" t="s">
        <v>509</v>
      </c>
      <c r="C13" s="115"/>
      <c r="D13" s="171"/>
      <c r="E13" s="170"/>
      <c r="F13" s="170"/>
      <c r="G13" s="170"/>
      <c r="H13" s="170"/>
      <c r="I13" s="170"/>
      <c r="J13" s="170"/>
      <c r="K13" s="170"/>
      <c r="L13" s="264">
        <f>0.012/4</f>
        <v>3.0000000000000001E-3</v>
      </c>
      <c r="M13" s="140">
        <f>0.013/4</f>
        <v>3.2499999999999999E-3</v>
      </c>
      <c r="N13" s="140">
        <f>0.013/4</f>
        <v>3.2499999999999999E-3</v>
      </c>
      <c r="O13" s="311">
        <f>0.012/4</f>
        <v>3.0000000000000001E-3</v>
      </c>
      <c r="P13" s="312">
        <v>3.1800000000000001E-3</v>
      </c>
    </row>
    <row r="14" spans="1:16" x14ac:dyDescent="0.25">
      <c r="A14" s="301"/>
      <c r="B14" s="187"/>
      <c r="C14" s="171"/>
      <c r="D14" s="171"/>
      <c r="E14" s="170"/>
      <c r="F14" s="170"/>
      <c r="G14" s="170"/>
      <c r="H14" s="170"/>
      <c r="I14" s="170"/>
      <c r="J14" s="170"/>
      <c r="K14" s="170"/>
      <c r="L14" s="264"/>
      <c r="M14" s="140"/>
      <c r="N14" s="140"/>
      <c r="O14" s="311"/>
      <c r="P14" s="312"/>
    </row>
    <row r="15" spans="1:16" x14ac:dyDescent="0.25">
      <c r="A15" s="301"/>
      <c r="B15" s="184" t="s">
        <v>249</v>
      </c>
      <c r="C15" s="171"/>
      <c r="D15" s="171"/>
      <c r="E15" s="170"/>
      <c r="F15" s="170"/>
      <c r="G15" s="170"/>
      <c r="H15" s="170"/>
      <c r="I15" s="170"/>
      <c r="J15" s="170"/>
      <c r="K15" s="170"/>
      <c r="L15" s="264">
        <v>2.4E-2</v>
      </c>
      <c r="M15" s="264">
        <v>2.4E-2</v>
      </c>
      <c r="N15" s="264">
        <v>2.4E-2</v>
      </c>
      <c r="O15" s="311">
        <v>0</v>
      </c>
      <c r="P15" s="311">
        <v>0</v>
      </c>
    </row>
    <row r="16" spans="1:16" ht="13.8" thickBot="1" x14ac:dyDescent="0.3">
      <c r="A16" s="306"/>
      <c r="B16" s="191"/>
      <c r="C16" s="191"/>
      <c r="D16" s="191"/>
      <c r="E16" s="192"/>
      <c r="F16" s="192"/>
      <c r="G16" s="192"/>
      <c r="H16" s="192"/>
      <c r="I16" s="192"/>
      <c r="J16" s="192"/>
      <c r="K16" s="192"/>
      <c r="L16" s="270"/>
      <c r="M16" s="200"/>
      <c r="N16" s="200"/>
      <c r="O16" s="318"/>
      <c r="P16" s="319"/>
    </row>
    <row r="19" spans="1:16" ht="13.8" thickBot="1" x14ac:dyDescent="0.3"/>
    <row r="20" spans="1:16" x14ac:dyDescent="0.25">
      <c r="A20" s="727" t="s">
        <v>379</v>
      </c>
      <c r="B20" s="728"/>
      <c r="C20" s="728"/>
      <c r="D20" s="728"/>
      <c r="E20" s="728"/>
      <c r="F20" s="728"/>
      <c r="G20" s="728"/>
      <c r="H20" s="728"/>
      <c r="I20" s="729"/>
      <c r="J20" s="202" t="s">
        <v>380</v>
      </c>
      <c r="K20" s="202" t="s">
        <v>380</v>
      </c>
      <c r="L20" s="257" t="s">
        <v>380</v>
      </c>
      <c r="M20" s="202" t="s">
        <v>380</v>
      </c>
      <c r="N20" s="257" t="s">
        <v>380</v>
      </c>
      <c r="O20" s="257" t="s">
        <v>529</v>
      </c>
      <c r="P20" s="257" t="s">
        <v>529</v>
      </c>
    </row>
    <row r="21" spans="1:16" x14ac:dyDescent="0.25">
      <c r="A21" s="30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258"/>
      <c r="M21" s="176"/>
      <c r="N21" s="176"/>
      <c r="O21" s="258"/>
      <c r="P21" s="176"/>
    </row>
    <row r="22" spans="1:16" ht="13.8" x14ac:dyDescent="0.3">
      <c r="A22" s="304"/>
      <c r="B22" s="177"/>
      <c r="C22" s="177"/>
      <c r="D22" s="177"/>
      <c r="E22" s="178" t="s">
        <v>28</v>
      </c>
      <c r="F22" s="179"/>
      <c r="G22" s="178" t="s">
        <v>30</v>
      </c>
      <c r="H22" s="179"/>
      <c r="I22" s="178" t="s">
        <v>31</v>
      </c>
      <c r="J22" s="178" t="s">
        <v>32</v>
      </c>
      <c r="K22" s="178" t="s">
        <v>178</v>
      </c>
      <c r="L22" s="259" t="s">
        <v>179</v>
      </c>
      <c r="M22" s="180" t="s">
        <v>240</v>
      </c>
      <c r="N22" s="180" t="s">
        <v>245</v>
      </c>
      <c r="O22" s="259" t="s">
        <v>257</v>
      </c>
      <c r="P22" s="180" t="s">
        <v>384</v>
      </c>
    </row>
    <row r="23" spans="1:16" ht="14.4" thickBot="1" x14ac:dyDescent="0.35">
      <c r="A23" s="305"/>
      <c r="B23" s="181"/>
      <c r="C23" s="181"/>
      <c r="D23" s="181"/>
      <c r="E23" s="182" t="s">
        <v>201</v>
      </c>
      <c r="F23" s="182"/>
      <c r="G23" s="182" t="s">
        <v>201</v>
      </c>
      <c r="H23" s="182"/>
      <c r="I23" s="182" t="s">
        <v>201</v>
      </c>
      <c r="J23" s="182" t="s">
        <v>201</v>
      </c>
      <c r="K23" s="182" t="s">
        <v>201</v>
      </c>
      <c r="L23" s="260" t="s">
        <v>201</v>
      </c>
      <c r="M23" s="183" t="s">
        <v>201</v>
      </c>
      <c r="N23" s="183" t="s">
        <v>201</v>
      </c>
      <c r="O23" s="260" t="s">
        <v>201</v>
      </c>
      <c r="P23" s="183" t="s">
        <v>201</v>
      </c>
    </row>
    <row r="24" spans="1:16" x14ac:dyDescent="0.25">
      <c r="A24" s="201"/>
      <c r="B24" s="303" t="s">
        <v>122</v>
      </c>
      <c r="C24" s="171"/>
      <c r="D24" s="171"/>
      <c r="E24" s="170"/>
      <c r="F24" s="170"/>
      <c r="G24" s="170"/>
      <c r="H24" s="170"/>
      <c r="I24" s="170"/>
      <c r="J24" s="199"/>
      <c r="K24" s="199"/>
      <c r="L24" s="264"/>
      <c r="M24" s="186"/>
      <c r="N24" s="186"/>
      <c r="O24" s="261"/>
      <c r="P24" s="307"/>
    </row>
    <row r="25" spans="1:16" x14ac:dyDescent="0.25">
      <c r="A25" s="301"/>
      <c r="B25" s="171"/>
      <c r="C25" s="171"/>
      <c r="D25" s="171"/>
      <c r="E25" s="170"/>
      <c r="F25" s="170"/>
      <c r="G25" s="170"/>
      <c r="H25" s="170"/>
      <c r="I25" s="170"/>
      <c r="J25" s="199"/>
      <c r="K25" s="199"/>
      <c r="L25" s="264"/>
      <c r="M25" s="140"/>
      <c r="N25" s="140"/>
      <c r="O25" s="264"/>
      <c r="P25" s="140"/>
    </row>
    <row r="26" spans="1:16" x14ac:dyDescent="0.25">
      <c r="A26" s="301"/>
      <c r="B26" s="184" t="s">
        <v>232</v>
      </c>
      <c r="C26" s="171"/>
      <c r="D26" s="171"/>
      <c r="E26" s="170"/>
      <c r="F26" s="170"/>
      <c r="G26" s="170"/>
      <c r="H26" s="170"/>
      <c r="I26" s="170"/>
      <c r="J26" s="199"/>
      <c r="K26" s="199"/>
      <c r="L26" s="264"/>
      <c r="M26" s="140"/>
      <c r="N26" s="140"/>
      <c r="O26" s="264"/>
      <c r="P26" s="140"/>
    </row>
    <row r="27" spans="1:16" x14ac:dyDescent="0.25">
      <c r="A27" s="301"/>
      <c r="B27" s="115" t="s">
        <v>220</v>
      </c>
      <c r="C27" s="115"/>
      <c r="D27" s="198" t="s">
        <v>252</v>
      </c>
      <c r="E27" s="169" t="s">
        <v>233</v>
      </c>
      <c r="F27" s="170"/>
      <c r="G27" s="169" t="s">
        <v>234</v>
      </c>
      <c r="H27" s="170"/>
      <c r="I27" s="169" t="s">
        <v>235</v>
      </c>
      <c r="J27" s="143">
        <f>+I27*1.056</f>
        <v>23.052479999999999</v>
      </c>
      <c r="K27" s="143">
        <v>31.24</v>
      </c>
      <c r="L27" s="265">
        <f>+K27*1.34</f>
        <v>41.861600000000003</v>
      </c>
      <c r="M27" s="168">
        <f>+L27*1.19</f>
        <v>49.815303999999998</v>
      </c>
      <c r="N27" s="168">
        <f>+M27*1.2038</f>
        <v>59.967662955199998</v>
      </c>
      <c r="O27" s="265">
        <f>+N27*1.1103</f>
        <v>66.582096179158555</v>
      </c>
      <c r="P27" s="168">
        <v>71.25</v>
      </c>
    </row>
    <row r="28" spans="1:16" x14ac:dyDescent="0.25">
      <c r="A28" s="301"/>
      <c r="B28" s="171" t="s">
        <v>253</v>
      </c>
      <c r="C28" s="171"/>
      <c r="D28" s="171"/>
      <c r="E28" s="169"/>
      <c r="F28" s="170"/>
      <c r="G28" s="169"/>
      <c r="H28" s="170"/>
      <c r="I28" s="196" t="s">
        <v>224</v>
      </c>
      <c r="J28" s="196" t="s">
        <v>224</v>
      </c>
      <c r="K28" s="196" t="s">
        <v>224</v>
      </c>
      <c r="L28" s="268" t="s">
        <v>252</v>
      </c>
      <c r="M28" s="197" t="s">
        <v>252</v>
      </c>
      <c r="N28" s="197" t="s">
        <v>252</v>
      </c>
      <c r="O28" s="268" t="s">
        <v>510</v>
      </c>
      <c r="P28" s="197" t="s">
        <v>510</v>
      </c>
    </row>
    <row r="29" spans="1:16" ht="13.8" thickBot="1" x14ac:dyDescent="0.3">
      <c r="A29" s="306"/>
      <c r="B29" s="191" t="s">
        <v>236</v>
      </c>
      <c r="C29" s="191"/>
      <c r="D29" s="191"/>
      <c r="E29" s="142" t="s">
        <v>237</v>
      </c>
      <c r="F29" s="192"/>
      <c r="G29" s="142" t="s">
        <v>238</v>
      </c>
      <c r="H29" s="192"/>
      <c r="I29" s="142" t="s">
        <v>239</v>
      </c>
      <c r="J29" s="320">
        <f>+I29*1.056</f>
        <v>0.41184000000000004</v>
      </c>
      <c r="K29" s="320">
        <v>0.56000000000000005</v>
      </c>
      <c r="L29" s="321">
        <f>+K29*1.34</f>
        <v>0.75040000000000007</v>
      </c>
      <c r="M29" s="322">
        <f>+L29*1.19</f>
        <v>0.89297599999999999</v>
      </c>
      <c r="N29" s="322">
        <f>+M29*1.2038</f>
        <v>1.0749645087999999</v>
      </c>
      <c r="O29" s="321">
        <f>+N29*1.1103</f>
        <v>1.1935330941206399</v>
      </c>
      <c r="P29" s="322">
        <v>1.28</v>
      </c>
    </row>
    <row r="30" spans="1:16" ht="13.8" thickBot="1" x14ac:dyDescent="0.3"/>
    <row r="31" spans="1:16" x14ac:dyDescent="0.25">
      <c r="A31" s="727" t="s">
        <v>379</v>
      </c>
      <c r="B31" s="728"/>
      <c r="C31" s="728"/>
      <c r="D31" s="728"/>
      <c r="E31" s="728"/>
      <c r="F31" s="728"/>
      <c r="G31" s="728"/>
      <c r="H31" s="728"/>
      <c r="I31" s="729"/>
      <c r="J31" s="202" t="s">
        <v>380</v>
      </c>
      <c r="K31" s="202" t="s">
        <v>380</v>
      </c>
      <c r="L31" s="257" t="s">
        <v>380</v>
      </c>
      <c r="M31" s="202" t="s">
        <v>380</v>
      </c>
      <c r="N31" s="257" t="s">
        <v>380</v>
      </c>
      <c r="O31" s="257" t="s">
        <v>529</v>
      </c>
      <c r="P31" s="257" t="s">
        <v>529</v>
      </c>
    </row>
    <row r="32" spans="1:16" x14ac:dyDescent="0.25">
      <c r="A32" s="30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258"/>
      <c r="M32" s="176"/>
      <c r="N32" s="176"/>
      <c r="O32" s="258"/>
      <c r="P32" s="176"/>
    </row>
    <row r="33" spans="1:16" ht="13.8" x14ac:dyDescent="0.3">
      <c r="A33" s="304"/>
      <c r="B33" s="177"/>
      <c r="C33" s="177"/>
      <c r="D33" s="177"/>
      <c r="E33" s="178" t="s">
        <v>28</v>
      </c>
      <c r="F33" s="179"/>
      <c r="G33" s="178" t="s">
        <v>30</v>
      </c>
      <c r="H33" s="179"/>
      <c r="I33" s="178" t="s">
        <v>31</v>
      </c>
      <c r="J33" s="178" t="s">
        <v>32</v>
      </c>
      <c r="K33" s="178" t="s">
        <v>178</v>
      </c>
      <c r="L33" s="259" t="s">
        <v>179</v>
      </c>
      <c r="M33" s="180" t="s">
        <v>240</v>
      </c>
      <c r="N33" s="180" t="s">
        <v>245</v>
      </c>
      <c r="O33" s="259" t="s">
        <v>257</v>
      </c>
      <c r="P33" s="180" t="s">
        <v>384</v>
      </c>
    </row>
    <row r="34" spans="1:16" ht="14.4" thickBot="1" x14ac:dyDescent="0.35">
      <c r="A34" s="305"/>
      <c r="B34" s="181"/>
      <c r="C34" s="181"/>
      <c r="D34" s="181"/>
      <c r="E34" s="182" t="s">
        <v>201</v>
      </c>
      <c r="F34" s="182"/>
      <c r="G34" s="182" t="s">
        <v>201</v>
      </c>
      <c r="H34" s="182"/>
      <c r="I34" s="182" t="s">
        <v>201</v>
      </c>
      <c r="J34" s="182" t="s">
        <v>201</v>
      </c>
      <c r="K34" s="182" t="s">
        <v>201</v>
      </c>
      <c r="L34" s="260" t="s">
        <v>201</v>
      </c>
      <c r="M34" s="183" t="s">
        <v>201</v>
      </c>
      <c r="N34" s="183" t="s">
        <v>201</v>
      </c>
      <c r="O34" s="260" t="s">
        <v>201</v>
      </c>
      <c r="P34" s="183" t="s">
        <v>201</v>
      </c>
    </row>
    <row r="35" spans="1:16" x14ac:dyDescent="0.25">
      <c r="A35" s="201"/>
      <c r="B35" s="303" t="s">
        <v>211</v>
      </c>
      <c r="C35" s="171"/>
      <c r="D35" s="171"/>
      <c r="E35" s="170"/>
      <c r="F35" s="170"/>
      <c r="G35" s="170"/>
      <c r="H35" s="170"/>
      <c r="I35" s="170"/>
      <c r="J35" s="170"/>
      <c r="K35" s="170"/>
      <c r="L35" s="266"/>
      <c r="M35" s="190"/>
      <c r="N35" s="190"/>
      <c r="O35" s="266"/>
      <c r="P35" s="190"/>
    </row>
    <row r="36" spans="1:16" x14ac:dyDescent="0.25">
      <c r="A36" s="201"/>
      <c r="B36" s="303"/>
      <c r="C36" s="171"/>
      <c r="D36" s="171"/>
      <c r="E36" s="170"/>
      <c r="F36" s="170"/>
      <c r="G36" s="170"/>
      <c r="H36" s="170"/>
      <c r="I36" s="170"/>
      <c r="J36" s="170"/>
      <c r="K36" s="170"/>
      <c r="L36" s="266"/>
      <c r="M36" s="190"/>
      <c r="N36" s="190"/>
      <c r="O36" s="266"/>
      <c r="P36" s="190"/>
    </row>
    <row r="37" spans="1:16" x14ac:dyDescent="0.25">
      <c r="A37" s="301"/>
      <c r="B37" s="171" t="s">
        <v>206</v>
      </c>
      <c r="C37" s="171"/>
      <c r="D37" s="171"/>
      <c r="E37" s="169" t="s">
        <v>212</v>
      </c>
      <c r="F37" s="170"/>
      <c r="G37" s="169" t="s">
        <v>213</v>
      </c>
      <c r="H37" s="170"/>
      <c r="I37" s="169" t="s">
        <v>214</v>
      </c>
      <c r="J37" s="143">
        <f>+I37*1.06</f>
        <v>36.241399999999999</v>
      </c>
      <c r="K37" s="143">
        <f>+J37*1.065</f>
        <v>38.597090999999999</v>
      </c>
      <c r="L37" s="265">
        <f>+K37*1.083</f>
        <v>41.800649553</v>
      </c>
      <c r="M37" s="168">
        <f t="shared" ref="M37:N40" si="0">+L37*1.07</f>
        <v>44.72669502171</v>
      </c>
      <c r="N37" s="168">
        <f t="shared" si="0"/>
        <v>47.857563673229706</v>
      </c>
      <c r="O37" s="265">
        <f>+N37*1.06</f>
        <v>50.729017493623488</v>
      </c>
      <c r="P37" s="168">
        <v>53.7</v>
      </c>
    </row>
    <row r="38" spans="1:16" x14ac:dyDescent="0.25">
      <c r="A38" s="301"/>
      <c r="B38" s="171" t="s">
        <v>215</v>
      </c>
      <c r="C38" s="171"/>
      <c r="D38" s="171"/>
      <c r="E38" s="169" t="s">
        <v>216</v>
      </c>
      <c r="F38" s="170"/>
      <c r="G38" s="169" t="s">
        <v>217</v>
      </c>
      <c r="H38" s="170"/>
      <c r="I38" s="169" t="s">
        <v>218</v>
      </c>
      <c r="J38" s="143">
        <f>+I38*1.06</f>
        <v>44.700200000000002</v>
      </c>
      <c r="K38" s="143">
        <f>+J38*1.065</f>
        <v>47.605713000000002</v>
      </c>
      <c r="L38" s="265">
        <f>+K38*1.083</f>
        <v>51.556987178999997</v>
      </c>
      <c r="M38" s="168">
        <f t="shared" si="0"/>
        <v>55.16597628153</v>
      </c>
      <c r="N38" s="168">
        <f t="shared" si="0"/>
        <v>59.027594621237107</v>
      </c>
      <c r="O38" s="265">
        <f t="shared" ref="O38:O40" si="1">+N38*1.06</f>
        <v>62.569250298511335</v>
      </c>
      <c r="P38" s="168">
        <v>66.3</v>
      </c>
    </row>
    <row r="39" spans="1:16" x14ac:dyDescent="0.25">
      <c r="A39" s="301"/>
      <c r="B39" s="171" t="s">
        <v>244</v>
      </c>
      <c r="C39" s="171"/>
      <c r="D39" s="171"/>
      <c r="E39" s="170"/>
      <c r="F39" s="170"/>
      <c r="G39" s="170"/>
      <c r="H39" s="170"/>
      <c r="I39" s="170"/>
      <c r="J39" s="170"/>
      <c r="K39" s="170">
        <v>150</v>
      </c>
      <c r="L39" s="266">
        <f>150*1.083</f>
        <v>162.44999999999999</v>
      </c>
      <c r="M39" s="190">
        <f t="shared" si="0"/>
        <v>173.82149999999999</v>
      </c>
      <c r="N39" s="190">
        <f t="shared" si="0"/>
        <v>185.98900499999999</v>
      </c>
      <c r="O39" s="265">
        <f t="shared" si="1"/>
        <v>197.14834529999999</v>
      </c>
      <c r="P39" s="168">
        <v>209</v>
      </c>
    </row>
    <row r="40" spans="1:16" ht="13.8" thickBot="1" x14ac:dyDescent="0.3">
      <c r="A40" s="306"/>
      <c r="B40" s="191" t="s">
        <v>254</v>
      </c>
      <c r="C40" s="191"/>
      <c r="D40" s="191"/>
      <c r="E40" s="192"/>
      <c r="F40" s="192"/>
      <c r="G40" s="192"/>
      <c r="H40" s="192"/>
      <c r="I40" s="192"/>
      <c r="J40" s="192"/>
      <c r="K40" s="192"/>
      <c r="L40" s="323">
        <v>160.5</v>
      </c>
      <c r="M40" s="324">
        <f t="shared" si="0"/>
        <v>171.73500000000001</v>
      </c>
      <c r="N40" s="324">
        <f t="shared" si="0"/>
        <v>183.75645000000003</v>
      </c>
      <c r="O40" s="321">
        <f t="shared" si="1"/>
        <v>194.78183700000005</v>
      </c>
      <c r="P40" s="322">
        <v>206.5</v>
      </c>
    </row>
    <row r="42" spans="1:16" ht="13.8" thickBot="1" x14ac:dyDescent="0.3"/>
    <row r="43" spans="1:16" x14ac:dyDescent="0.25">
      <c r="A43" s="727" t="s">
        <v>379</v>
      </c>
      <c r="B43" s="728"/>
      <c r="C43" s="728"/>
      <c r="D43" s="728"/>
      <c r="E43" s="728"/>
      <c r="F43" s="728"/>
      <c r="G43" s="728"/>
      <c r="H43" s="728"/>
      <c r="I43" s="729"/>
      <c r="J43" s="202" t="s">
        <v>380</v>
      </c>
      <c r="K43" s="202" t="s">
        <v>380</v>
      </c>
      <c r="L43" s="257" t="s">
        <v>380</v>
      </c>
      <c r="M43" s="202" t="s">
        <v>380</v>
      </c>
      <c r="N43" s="257" t="s">
        <v>380</v>
      </c>
      <c r="O43" s="257" t="s">
        <v>529</v>
      </c>
      <c r="P43" s="257" t="s">
        <v>529</v>
      </c>
    </row>
    <row r="44" spans="1:16" x14ac:dyDescent="0.25">
      <c r="A44" s="30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258"/>
      <c r="M44" s="176"/>
      <c r="N44" s="176"/>
      <c r="O44" s="258"/>
      <c r="P44" s="176"/>
    </row>
    <row r="45" spans="1:16" ht="13.8" x14ac:dyDescent="0.3">
      <c r="A45" s="304"/>
      <c r="B45" s="177"/>
      <c r="C45" s="177"/>
      <c r="D45" s="177"/>
      <c r="E45" s="178" t="s">
        <v>28</v>
      </c>
      <c r="F45" s="179"/>
      <c r="G45" s="178" t="s">
        <v>30</v>
      </c>
      <c r="H45" s="179"/>
      <c r="I45" s="178" t="s">
        <v>31</v>
      </c>
      <c r="J45" s="178" t="s">
        <v>32</v>
      </c>
      <c r="K45" s="178" t="s">
        <v>178</v>
      </c>
      <c r="L45" s="259" t="s">
        <v>179</v>
      </c>
      <c r="M45" s="180" t="s">
        <v>240</v>
      </c>
      <c r="N45" s="180" t="s">
        <v>245</v>
      </c>
      <c r="O45" s="259" t="s">
        <v>257</v>
      </c>
      <c r="P45" s="180" t="s">
        <v>384</v>
      </c>
    </row>
    <row r="46" spans="1:16" ht="14.4" thickBot="1" x14ac:dyDescent="0.35">
      <c r="A46" s="305"/>
      <c r="B46" s="181"/>
      <c r="C46" s="181"/>
      <c r="D46" s="181"/>
      <c r="E46" s="182" t="s">
        <v>201</v>
      </c>
      <c r="F46" s="182"/>
      <c r="G46" s="182" t="s">
        <v>201</v>
      </c>
      <c r="H46" s="182"/>
      <c r="I46" s="182" t="s">
        <v>201</v>
      </c>
      <c r="J46" s="182" t="s">
        <v>201</v>
      </c>
      <c r="K46" s="182" t="s">
        <v>201</v>
      </c>
      <c r="L46" s="260" t="s">
        <v>201</v>
      </c>
      <c r="M46" s="183" t="s">
        <v>201</v>
      </c>
      <c r="N46" s="183" t="s">
        <v>201</v>
      </c>
      <c r="O46" s="260" t="s">
        <v>201</v>
      </c>
      <c r="P46" s="183" t="s">
        <v>201</v>
      </c>
    </row>
    <row r="47" spans="1:16" x14ac:dyDescent="0.25">
      <c r="A47" s="201"/>
      <c r="B47" s="303" t="s">
        <v>219</v>
      </c>
      <c r="C47" s="171"/>
      <c r="D47" s="171"/>
      <c r="E47" s="170"/>
      <c r="F47" s="170"/>
      <c r="G47" s="170"/>
      <c r="H47" s="170"/>
      <c r="I47" s="170"/>
      <c r="J47" s="170"/>
      <c r="K47" s="193"/>
      <c r="L47" s="267"/>
      <c r="M47" s="194"/>
      <c r="N47" s="194"/>
      <c r="O47" s="267"/>
      <c r="P47" s="194"/>
    </row>
    <row r="48" spans="1:16" x14ac:dyDescent="0.25">
      <c r="A48" s="201"/>
      <c r="B48" s="187"/>
      <c r="C48" s="171"/>
      <c r="D48" s="171"/>
      <c r="E48" s="170"/>
      <c r="F48" s="170"/>
      <c r="G48" s="170"/>
      <c r="H48" s="170"/>
      <c r="I48" s="170"/>
      <c r="J48" s="170"/>
      <c r="K48" s="193"/>
      <c r="L48" s="267"/>
      <c r="M48" s="194"/>
      <c r="N48" s="194"/>
      <c r="O48" s="267"/>
      <c r="P48" s="194"/>
    </row>
    <row r="49" spans="1:16" x14ac:dyDescent="0.25">
      <c r="A49" s="301"/>
      <c r="B49" s="115" t="s">
        <v>220</v>
      </c>
      <c r="C49" s="285"/>
      <c r="D49" s="198" t="s">
        <v>252</v>
      </c>
      <c r="E49" s="169" t="s">
        <v>221</v>
      </c>
      <c r="F49" s="170"/>
      <c r="G49" s="169" t="s">
        <v>222</v>
      </c>
      <c r="H49" s="170"/>
      <c r="I49" s="169" t="s">
        <v>223</v>
      </c>
      <c r="J49" s="169">
        <f>+I49*1.06</f>
        <v>25.970000000000002</v>
      </c>
      <c r="K49" s="143">
        <f>+(J49*1.24)+0.07</f>
        <v>32.272800000000004</v>
      </c>
      <c r="L49" s="265">
        <f>+(K49*1.25)</f>
        <v>40.341000000000008</v>
      </c>
      <c r="M49" s="168">
        <f>+(L49*1.25)</f>
        <v>50.42625000000001</v>
      </c>
      <c r="N49" s="168">
        <f>+(M49*1.07)</f>
        <v>53.956087500000017</v>
      </c>
      <c r="O49" s="265">
        <f>+(N49*1.06)</f>
        <v>57.19345275000002</v>
      </c>
      <c r="P49" s="168">
        <v>60.6</v>
      </c>
    </row>
    <row r="50" spans="1:16" x14ac:dyDescent="0.25">
      <c r="A50" s="301"/>
      <c r="B50" s="204" t="s">
        <v>381</v>
      </c>
      <c r="C50" s="171"/>
      <c r="D50" s="171"/>
      <c r="E50" s="169"/>
      <c r="F50" s="170"/>
      <c r="G50" s="169"/>
      <c r="H50" s="170"/>
      <c r="I50" s="196" t="s">
        <v>224</v>
      </c>
      <c r="J50" s="196" t="s">
        <v>224</v>
      </c>
      <c r="K50" s="196" t="s">
        <v>224</v>
      </c>
      <c r="L50" s="268" t="s">
        <v>252</v>
      </c>
      <c r="M50" s="197" t="s">
        <v>252</v>
      </c>
      <c r="N50" s="197" t="s">
        <v>252</v>
      </c>
      <c r="O50" s="268" t="s">
        <v>510</v>
      </c>
      <c r="P50" s="197" t="s">
        <v>510</v>
      </c>
    </row>
    <row r="51" spans="1:16" x14ac:dyDescent="0.25">
      <c r="A51" s="301"/>
      <c r="B51" s="204" t="s">
        <v>381</v>
      </c>
      <c r="C51" s="171"/>
      <c r="D51" s="171"/>
      <c r="E51" s="196" t="s">
        <v>224</v>
      </c>
      <c r="F51" s="196"/>
      <c r="G51" s="196" t="s">
        <v>224</v>
      </c>
      <c r="H51" s="196"/>
      <c r="I51" s="196" t="s">
        <v>224</v>
      </c>
      <c r="J51" s="196" t="s">
        <v>224</v>
      </c>
      <c r="K51" s="196" t="s">
        <v>224</v>
      </c>
      <c r="L51" s="269">
        <v>3.75</v>
      </c>
      <c r="M51" s="198">
        <f>+L51*1.25</f>
        <v>4.6875</v>
      </c>
      <c r="N51" s="198">
        <f>+M51*1.07</f>
        <v>5.015625</v>
      </c>
      <c r="O51" s="269">
        <f>+N51*1.06</f>
        <v>5.3165624999999999</v>
      </c>
      <c r="P51" s="198">
        <v>5.65</v>
      </c>
    </row>
    <row r="52" spans="1:16" x14ac:dyDescent="0.25">
      <c r="A52" s="301"/>
      <c r="B52" s="115" t="s">
        <v>382</v>
      </c>
      <c r="C52" s="171"/>
      <c r="D52" s="171"/>
      <c r="E52" s="169" t="s">
        <v>225</v>
      </c>
      <c r="F52" s="170"/>
      <c r="G52" s="169" t="s">
        <v>226</v>
      </c>
      <c r="H52" s="170"/>
      <c r="I52" s="169" t="s">
        <v>227</v>
      </c>
      <c r="J52" s="143">
        <f>+I52*1.06</f>
        <v>2.4167999999999998</v>
      </c>
      <c r="K52" s="143">
        <f>+J52*1.24</f>
        <v>2.9968319999999999</v>
      </c>
      <c r="L52" s="265">
        <v>4.9800000000000004</v>
      </c>
      <c r="M52" s="168">
        <f>4.98*1.25</f>
        <v>6.2250000000000005</v>
      </c>
      <c r="N52" s="198">
        <f>+M52*1.07</f>
        <v>6.6607500000000011</v>
      </c>
      <c r="O52" s="269">
        <f t="shared" ref="O52:O53" si="2">+N52*1.06</f>
        <v>7.0603950000000015</v>
      </c>
      <c r="P52" s="198">
        <v>7.5</v>
      </c>
    </row>
    <row r="53" spans="1:16" ht="10.5" customHeight="1" x14ac:dyDescent="0.25">
      <c r="A53" s="301"/>
      <c r="B53" s="195" t="s">
        <v>228</v>
      </c>
      <c r="C53" s="171"/>
      <c r="D53" s="171"/>
      <c r="E53" s="169" t="s">
        <v>229</v>
      </c>
      <c r="F53" s="170"/>
      <c r="G53" s="169" t="s">
        <v>230</v>
      </c>
      <c r="H53" s="170"/>
      <c r="I53" s="169" t="s">
        <v>231</v>
      </c>
      <c r="J53" s="143">
        <f>+I53*1.06</f>
        <v>2.6500000000000004</v>
      </c>
      <c r="K53" s="143">
        <f>+J53*1.24</f>
        <v>3.2860000000000005</v>
      </c>
      <c r="L53" s="265">
        <v>5.46</v>
      </c>
      <c r="M53" s="168">
        <f>5.46*1.25</f>
        <v>6.8250000000000002</v>
      </c>
      <c r="N53" s="198">
        <f>+M53*1.07</f>
        <v>7.3027500000000005</v>
      </c>
      <c r="O53" s="269">
        <f t="shared" si="2"/>
        <v>7.7409150000000011</v>
      </c>
      <c r="P53" s="198">
        <v>8.1999999999999993</v>
      </c>
    </row>
    <row r="54" spans="1:16" ht="13.8" thickBot="1" x14ac:dyDescent="0.3">
      <c r="A54" s="306"/>
      <c r="B54" s="325" t="s">
        <v>522</v>
      </c>
      <c r="C54" s="191"/>
      <c r="D54" s="191"/>
      <c r="E54" s="142"/>
      <c r="F54" s="192"/>
      <c r="G54" s="142"/>
      <c r="H54" s="192"/>
      <c r="I54" s="142"/>
      <c r="J54" s="320"/>
      <c r="K54" s="320"/>
      <c r="L54" s="321"/>
      <c r="M54" s="322"/>
      <c r="N54" s="326"/>
      <c r="O54" s="327"/>
      <c r="P54" s="326">
        <v>56.5</v>
      </c>
    </row>
    <row r="57" spans="1:16" ht="13.8" thickBot="1" x14ac:dyDescent="0.3"/>
    <row r="58" spans="1:16" x14ac:dyDescent="0.25">
      <c r="A58" s="727" t="s">
        <v>379</v>
      </c>
      <c r="B58" s="728"/>
      <c r="C58" s="728"/>
      <c r="D58" s="728"/>
      <c r="E58" s="728"/>
      <c r="F58" s="728"/>
      <c r="G58" s="728"/>
      <c r="H58" s="728"/>
      <c r="I58" s="729"/>
      <c r="J58" s="202" t="s">
        <v>380</v>
      </c>
      <c r="K58" s="202" t="s">
        <v>380</v>
      </c>
      <c r="L58" s="257" t="s">
        <v>380</v>
      </c>
      <c r="M58" s="202" t="s">
        <v>380</v>
      </c>
      <c r="N58" s="257" t="s">
        <v>380</v>
      </c>
      <c r="O58" s="257" t="s">
        <v>529</v>
      </c>
      <c r="P58" s="257" t="s">
        <v>529</v>
      </c>
    </row>
    <row r="59" spans="1:16" x14ac:dyDescent="0.25">
      <c r="A59" s="30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258"/>
      <c r="M59" s="176"/>
      <c r="N59" s="176"/>
      <c r="O59" s="258"/>
      <c r="P59" s="176"/>
    </row>
    <row r="60" spans="1:16" ht="13.8" x14ac:dyDescent="0.3">
      <c r="A60" s="304"/>
      <c r="B60" s="177"/>
      <c r="C60" s="177"/>
      <c r="D60" s="177"/>
      <c r="E60" s="178" t="s">
        <v>28</v>
      </c>
      <c r="F60" s="179"/>
      <c r="G60" s="178" t="s">
        <v>30</v>
      </c>
      <c r="H60" s="179"/>
      <c r="I60" s="178" t="s">
        <v>31</v>
      </c>
      <c r="J60" s="178" t="s">
        <v>32</v>
      </c>
      <c r="K60" s="178" t="s">
        <v>178</v>
      </c>
      <c r="L60" s="259" t="s">
        <v>179</v>
      </c>
      <c r="M60" s="180" t="s">
        <v>240</v>
      </c>
      <c r="N60" s="180" t="s">
        <v>245</v>
      </c>
      <c r="O60" s="259" t="s">
        <v>257</v>
      </c>
      <c r="P60" s="180" t="s">
        <v>384</v>
      </c>
    </row>
    <row r="61" spans="1:16" ht="14.4" thickBot="1" x14ac:dyDescent="0.35">
      <c r="A61" s="305"/>
      <c r="B61" s="181"/>
      <c r="C61" s="181"/>
      <c r="D61" s="181"/>
      <c r="E61" s="182" t="s">
        <v>201</v>
      </c>
      <c r="F61" s="182"/>
      <c r="G61" s="182" t="s">
        <v>201</v>
      </c>
      <c r="H61" s="182"/>
      <c r="I61" s="182" t="s">
        <v>201</v>
      </c>
      <c r="J61" s="182" t="s">
        <v>201</v>
      </c>
      <c r="K61" s="182" t="s">
        <v>201</v>
      </c>
      <c r="L61" s="260" t="s">
        <v>201</v>
      </c>
      <c r="M61" s="183" t="s">
        <v>201</v>
      </c>
      <c r="N61" s="183" t="s">
        <v>201</v>
      </c>
      <c r="O61" s="260" t="s">
        <v>201</v>
      </c>
      <c r="P61" s="183" t="s">
        <v>201</v>
      </c>
    </row>
    <row r="62" spans="1:16" x14ac:dyDescent="0.25">
      <c r="A62" s="201"/>
      <c r="B62" s="303" t="s">
        <v>202</v>
      </c>
      <c r="C62" s="171"/>
      <c r="D62" s="171"/>
      <c r="E62" s="170"/>
      <c r="F62" s="170"/>
      <c r="G62" s="170"/>
      <c r="H62" s="170"/>
      <c r="I62" s="170"/>
      <c r="J62" s="170"/>
      <c r="K62" s="170"/>
      <c r="L62" s="264"/>
      <c r="M62" s="140"/>
      <c r="N62" s="140"/>
      <c r="O62" s="264"/>
      <c r="P62" s="140"/>
    </row>
    <row r="63" spans="1:16" x14ac:dyDescent="0.25">
      <c r="A63" s="301"/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264"/>
      <c r="M63" s="140"/>
      <c r="N63" s="140"/>
      <c r="O63" s="264"/>
      <c r="P63" s="140"/>
    </row>
    <row r="64" spans="1:16" x14ac:dyDescent="0.25">
      <c r="A64" s="301"/>
      <c r="B64" s="115" t="s">
        <v>521</v>
      </c>
      <c r="C64" s="171"/>
      <c r="D64" s="171"/>
      <c r="E64" s="169" t="s">
        <v>203</v>
      </c>
      <c r="F64" s="170"/>
      <c r="G64" s="169" t="s">
        <v>204</v>
      </c>
      <c r="H64" s="170"/>
      <c r="I64" s="169" t="s">
        <v>205</v>
      </c>
      <c r="J64" s="189">
        <f t="shared" ref="J64:J66" si="3">+I64*1.06</f>
        <v>52.660800000000002</v>
      </c>
      <c r="K64" s="189">
        <f t="shared" ref="K64:K66" si="4">+J64*1.065</f>
        <v>56.083751999999997</v>
      </c>
      <c r="L64" s="265">
        <f>+K64*1.083-0.01</f>
        <v>60.728703415999995</v>
      </c>
      <c r="M64" s="168">
        <f t="shared" ref="M64:M66" si="5">+L64*1.25</f>
        <v>75.910879269999995</v>
      </c>
      <c r="N64" s="168">
        <f>+M64*1.07</f>
        <v>81.224640818899999</v>
      </c>
      <c r="O64" s="265">
        <f>+N64*1.06</f>
        <v>86.098119268033997</v>
      </c>
      <c r="P64" s="168">
        <v>91.2</v>
      </c>
    </row>
    <row r="65" spans="1:16" x14ac:dyDescent="0.25">
      <c r="A65" s="301"/>
      <c r="B65" s="171" t="s">
        <v>206</v>
      </c>
      <c r="C65" s="171"/>
      <c r="D65" s="171"/>
      <c r="E65" s="169" t="s">
        <v>203</v>
      </c>
      <c r="F65" s="170"/>
      <c r="G65" s="169" t="s">
        <v>204</v>
      </c>
      <c r="H65" s="170"/>
      <c r="I65" s="169" t="s">
        <v>205</v>
      </c>
      <c r="J65" s="189">
        <f t="shared" si="3"/>
        <v>52.660800000000002</v>
      </c>
      <c r="K65" s="189">
        <f t="shared" si="4"/>
        <v>56.083751999999997</v>
      </c>
      <c r="L65" s="265">
        <f>+K65*1.083-0.01</f>
        <v>60.728703415999995</v>
      </c>
      <c r="M65" s="168">
        <f t="shared" si="5"/>
        <v>75.910879269999995</v>
      </c>
      <c r="N65" s="168">
        <f t="shared" ref="N65:N66" si="6">+M65*1.07</f>
        <v>81.224640818899999</v>
      </c>
      <c r="O65" s="265">
        <f t="shared" ref="O65:O66" si="7">+N65*1.06</f>
        <v>86.098119268033997</v>
      </c>
      <c r="P65" s="168">
        <v>91.2</v>
      </c>
    </row>
    <row r="66" spans="1:16" ht="13.8" thickBot="1" x14ac:dyDescent="0.3">
      <c r="A66" s="306"/>
      <c r="B66" s="191" t="s">
        <v>207</v>
      </c>
      <c r="C66" s="191"/>
      <c r="D66" s="191"/>
      <c r="E66" s="142" t="s">
        <v>208</v>
      </c>
      <c r="F66" s="192"/>
      <c r="G66" s="142" t="s">
        <v>209</v>
      </c>
      <c r="H66" s="192"/>
      <c r="I66" s="142" t="s">
        <v>210</v>
      </c>
      <c r="J66" s="328">
        <f t="shared" si="3"/>
        <v>184.334</v>
      </c>
      <c r="K66" s="328">
        <f t="shared" si="4"/>
        <v>196.31571</v>
      </c>
      <c r="L66" s="321">
        <f t="shared" ref="L66" si="8">+K66*1.083</f>
        <v>212.60991392999998</v>
      </c>
      <c r="M66" s="322">
        <f t="shared" si="5"/>
        <v>265.76239241249999</v>
      </c>
      <c r="N66" s="322">
        <f t="shared" si="6"/>
        <v>284.36575988137503</v>
      </c>
      <c r="O66" s="321">
        <f t="shared" si="7"/>
        <v>301.42770547425755</v>
      </c>
      <c r="P66" s="322">
        <v>319.5</v>
      </c>
    </row>
  </sheetData>
  <mergeCells count="5">
    <mergeCell ref="A1:I1"/>
    <mergeCell ref="A20:I20"/>
    <mergeCell ref="A31:I31"/>
    <mergeCell ref="A43:I43"/>
    <mergeCell ref="A58:I58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workbookViewId="0">
      <selection activeCell="E163" sqref="E163"/>
    </sheetView>
  </sheetViews>
  <sheetFormatPr defaultRowHeight="13.2" x14ac:dyDescent="0.25"/>
  <cols>
    <col min="1" max="1" width="5.33203125" customWidth="1"/>
    <col min="2" max="2" width="27.33203125" customWidth="1"/>
    <col min="3" max="3" width="21.6640625" customWidth="1"/>
    <col min="4" max="4" width="19.6640625" customWidth="1"/>
    <col min="5" max="5" width="67" bestFit="1" customWidth="1"/>
    <col min="6" max="16" width="9.109375" hidden="1" customWidth="1"/>
    <col min="17" max="17" width="17.5546875" customWidth="1"/>
    <col min="18" max="18" width="18.88671875" hidden="1" customWidth="1"/>
    <col min="19" max="19" width="18.44140625" customWidth="1"/>
    <col min="20" max="20" width="17.88671875" customWidth="1"/>
    <col min="21" max="21" width="11" customWidth="1"/>
  </cols>
  <sheetData>
    <row r="1" spans="1:21" x14ac:dyDescent="0.25">
      <c r="A1" s="588"/>
      <c r="B1" s="450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547"/>
      <c r="R1" s="445"/>
      <c r="S1" s="540"/>
      <c r="T1" s="589">
        <v>24</v>
      </c>
      <c r="U1" s="433"/>
    </row>
    <row r="2" spans="1:21" ht="18" x14ac:dyDescent="0.35">
      <c r="A2" s="588"/>
      <c r="B2" s="548" t="s">
        <v>551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9"/>
      <c r="R2" s="541"/>
      <c r="S2" s="542"/>
      <c r="T2" s="445"/>
      <c r="U2" s="433"/>
    </row>
    <row r="3" spans="1:21" ht="18" x14ac:dyDescent="0.35">
      <c r="A3" s="588"/>
      <c r="B3" s="550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9"/>
      <c r="R3" s="541"/>
      <c r="S3" s="542"/>
      <c r="T3" s="445"/>
      <c r="U3" s="433"/>
    </row>
    <row r="4" spans="1:21" x14ac:dyDescent="0.25">
      <c r="A4" s="588"/>
      <c r="B4" s="429" t="s">
        <v>1</v>
      </c>
      <c r="C4" s="532" t="s">
        <v>552</v>
      </c>
      <c r="D4" s="532" t="s">
        <v>553</v>
      </c>
      <c r="E4" s="532" t="s">
        <v>22</v>
      </c>
      <c r="F4" s="533" t="s">
        <v>554</v>
      </c>
      <c r="G4" s="533" t="s">
        <v>555</v>
      </c>
      <c r="H4" s="533" t="s">
        <v>556</v>
      </c>
      <c r="I4" s="534" t="s">
        <v>178</v>
      </c>
      <c r="J4" s="534" t="s">
        <v>179</v>
      </c>
      <c r="K4" s="534" t="s">
        <v>240</v>
      </c>
      <c r="L4" s="534" t="s">
        <v>245</v>
      </c>
      <c r="M4" s="534" t="s">
        <v>257</v>
      </c>
      <c r="N4" s="534" t="s">
        <v>496</v>
      </c>
      <c r="O4" s="532" t="s">
        <v>557</v>
      </c>
      <c r="P4" s="532" t="s">
        <v>78</v>
      </c>
      <c r="Q4" s="551" t="s">
        <v>497</v>
      </c>
      <c r="R4" s="534" t="s">
        <v>384</v>
      </c>
      <c r="S4" s="534" t="s">
        <v>409</v>
      </c>
      <c r="T4" s="534" t="s">
        <v>416</v>
      </c>
      <c r="U4" s="534" t="s">
        <v>532</v>
      </c>
    </row>
    <row r="5" spans="1:21" x14ac:dyDescent="0.25">
      <c r="A5" s="588"/>
      <c r="B5" s="587"/>
      <c r="C5" s="437" t="s">
        <v>148</v>
      </c>
      <c r="D5" s="437" t="s">
        <v>445</v>
      </c>
      <c r="E5" s="437" t="s">
        <v>558</v>
      </c>
      <c r="F5" s="437">
        <v>0</v>
      </c>
      <c r="G5" s="437">
        <v>0</v>
      </c>
      <c r="H5" s="437">
        <f>J5+O5+P5</f>
        <v>0</v>
      </c>
      <c r="I5" s="437"/>
      <c r="J5" s="437"/>
      <c r="K5" s="437">
        <v>100000</v>
      </c>
      <c r="L5" s="437"/>
      <c r="M5" s="437">
        <f>+N5+O5+P5</f>
        <v>0</v>
      </c>
      <c r="N5" s="437"/>
      <c r="O5" s="437"/>
      <c r="P5" s="437"/>
      <c r="Q5" s="551"/>
      <c r="R5" s="437"/>
      <c r="S5" s="437"/>
      <c r="T5" s="437"/>
      <c r="U5" s="577"/>
    </row>
    <row r="6" spans="1:21" x14ac:dyDescent="0.25">
      <c r="A6" s="588"/>
      <c r="B6" s="587"/>
      <c r="C6" s="437" t="s">
        <v>559</v>
      </c>
      <c r="D6" s="437" t="s">
        <v>445</v>
      </c>
      <c r="E6" s="437"/>
      <c r="F6" s="437">
        <v>0</v>
      </c>
      <c r="G6" s="437">
        <v>0</v>
      </c>
      <c r="H6" s="437">
        <f>J6+O6+P6</f>
        <v>0</v>
      </c>
      <c r="I6" s="437"/>
      <c r="J6" s="437"/>
      <c r="K6" s="437"/>
      <c r="L6" s="437"/>
      <c r="M6" s="437">
        <f>+N6+O6+P6</f>
        <v>0</v>
      </c>
      <c r="N6" s="437"/>
      <c r="O6" s="437"/>
      <c r="P6" s="437"/>
      <c r="Q6" s="551"/>
      <c r="R6" s="437"/>
      <c r="S6" s="437"/>
      <c r="T6" s="437"/>
      <c r="U6" s="577"/>
    </row>
    <row r="7" spans="1:21" x14ac:dyDescent="0.25">
      <c r="A7" s="588"/>
      <c r="B7" s="587"/>
      <c r="C7" s="437" t="s">
        <v>560</v>
      </c>
      <c r="D7" s="437" t="s">
        <v>445</v>
      </c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437"/>
      <c r="P7" s="437"/>
      <c r="Q7" s="551"/>
      <c r="R7" s="437"/>
      <c r="S7" s="437"/>
      <c r="T7" s="437"/>
      <c r="U7" s="577"/>
    </row>
    <row r="8" spans="1:21" x14ac:dyDescent="0.25">
      <c r="A8" s="588"/>
      <c r="B8" s="587"/>
      <c r="C8" s="437" t="s">
        <v>121</v>
      </c>
      <c r="D8" s="437" t="s">
        <v>445</v>
      </c>
      <c r="E8" s="330" t="s">
        <v>950</v>
      </c>
      <c r="F8" s="535"/>
      <c r="G8" s="535"/>
      <c r="H8" s="535"/>
      <c r="I8" s="535"/>
      <c r="J8" s="535"/>
      <c r="K8" s="535"/>
      <c r="L8" s="535"/>
      <c r="M8" s="535"/>
      <c r="N8" s="535"/>
      <c r="O8" s="437"/>
      <c r="P8" s="437"/>
      <c r="Q8" s="551" t="s">
        <v>557</v>
      </c>
      <c r="R8" s="437"/>
      <c r="S8" s="437">
        <v>2829000</v>
      </c>
      <c r="T8" s="437"/>
      <c r="U8" s="577"/>
    </row>
    <row r="9" spans="1:21" x14ac:dyDescent="0.25">
      <c r="A9" s="588"/>
      <c r="B9" s="587"/>
      <c r="C9" s="437"/>
      <c r="D9" s="437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437"/>
      <c r="P9" s="437"/>
      <c r="Q9" s="551"/>
      <c r="R9" s="437"/>
      <c r="S9" s="437"/>
      <c r="T9" s="437"/>
      <c r="U9" s="577"/>
    </row>
    <row r="10" spans="1:21" x14ac:dyDescent="0.25">
      <c r="A10" s="588"/>
      <c r="B10" s="587"/>
      <c r="C10" s="437"/>
      <c r="D10" s="437"/>
      <c r="E10" s="437"/>
      <c r="F10" s="437">
        <v>0</v>
      </c>
      <c r="G10" s="437">
        <v>0</v>
      </c>
      <c r="H10" s="437">
        <f>J10+O10+P10</f>
        <v>0</v>
      </c>
      <c r="I10" s="437"/>
      <c r="J10" s="437"/>
      <c r="K10" s="437"/>
      <c r="L10" s="437"/>
      <c r="M10" s="437">
        <f>+N10+O10+P10</f>
        <v>0</v>
      </c>
      <c r="N10" s="437"/>
      <c r="O10" s="437"/>
      <c r="P10" s="437"/>
      <c r="Q10" s="551"/>
      <c r="R10" s="437"/>
      <c r="S10" s="437"/>
      <c r="T10" s="437"/>
      <c r="U10" s="577"/>
    </row>
    <row r="11" spans="1:21" x14ac:dyDescent="0.25">
      <c r="A11" s="588"/>
      <c r="B11" s="58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551"/>
      <c r="R11" s="437"/>
      <c r="S11" s="437"/>
      <c r="T11" s="437"/>
      <c r="U11" s="577"/>
    </row>
    <row r="12" spans="1:21" x14ac:dyDescent="0.25">
      <c r="A12" s="588"/>
      <c r="B12" s="587"/>
      <c r="C12" s="437" t="s">
        <v>561</v>
      </c>
      <c r="D12" s="437" t="s">
        <v>562</v>
      </c>
      <c r="E12" s="437" t="s">
        <v>561</v>
      </c>
      <c r="F12" s="437"/>
      <c r="G12" s="437"/>
      <c r="H12" s="437"/>
      <c r="I12" s="437"/>
      <c r="J12" s="437"/>
      <c r="K12" s="437"/>
      <c r="L12" s="437">
        <v>1516085</v>
      </c>
      <c r="M12" s="437">
        <f t="shared" ref="M12" si="0">+N12+O12+P12</f>
        <v>1843400</v>
      </c>
      <c r="N12" s="437"/>
      <c r="O12" s="437"/>
      <c r="P12" s="437">
        <v>1843400</v>
      </c>
      <c r="Q12" s="551" t="s">
        <v>78</v>
      </c>
      <c r="R12" s="437">
        <v>1746050</v>
      </c>
      <c r="S12" s="437">
        <v>1436550</v>
      </c>
      <c r="T12" s="437">
        <v>1220100</v>
      </c>
      <c r="U12" s="437">
        <v>1220100</v>
      </c>
    </row>
    <row r="13" spans="1:21" x14ac:dyDescent="0.25">
      <c r="A13" s="588"/>
      <c r="B13" s="587"/>
      <c r="C13" s="437" t="s">
        <v>560</v>
      </c>
      <c r="D13" s="437" t="s">
        <v>445</v>
      </c>
      <c r="E13" s="437" t="s">
        <v>563</v>
      </c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551" t="s">
        <v>557</v>
      </c>
      <c r="R13" s="437">
        <v>100000</v>
      </c>
      <c r="S13" s="437"/>
      <c r="T13" s="437"/>
      <c r="U13" s="577"/>
    </row>
    <row r="14" spans="1:21" x14ac:dyDescent="0.25">
      <c r="A14" s="588"/>
      <c r="B14" s="552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53"/>
      <c r="R14" s="529"/>
      <c r="S14" s="529"/>
      <c r="T14" s="529"/>
      <c r="U14" s="433"/>
    </row>
    <row r="15" spans="1:21" ht="13.8" thickBot="1" x14ac:dyDescent="0.3">
      <c r="A15" s="588"/>
      <c r="B15" s="554" t="s">
        <v>564</v>
      </c>
      <c r="C15" s="529"/>
      <c r="D15" s="529"/>
      <c r="E15" s="529"/>
      <c r="F15" s="529">
        <v>0</v>
      </c>
      <c r="G15" s="529">
        <v>0</v>
      </c>
      <c r="H15" s="529">
        <f>SUM(H5:H10)</f>
        <v>0</v>
      </c>
      <c r="I15" s="529"/>
      <c r="J15" s="529"/>
      <c r="K15" s="529">
        <f>SUM(K5:K10)</f>
        <v>100000</v>
      </c>
      <c r="L15" s="529"/>
      <c r="M15" s="531">
        <f>SUM(M7:M10)</f>
        <v>0</v>
      </c>
      <c r="N15" s="531">
        <f t="shared" ref="N15:P15" si="1">SUM(N7:N10)</f>
        <v>0</v>
      </c>
      <c r="O15" s="531">
        <f t="shared" si="1"/>
        <v>0</v>
      </c>
      <c r="P15" s="531">
        <f t="shared" si="1"/>
        <v>0</v>
      </c>
      <c r="Q15" s="555"/>
      <c r="R15" s="531">
        <f>SUM(R12:R14)</f>
        <v>1846050</v>
      </c>
      <c r="S15" s="531">
        <f>SUM(S6:S14)</f>
        <v>4265550</v>
      </c>
      <c r="T15" s="531">
        <f t="shared" ref="T15:U15" si="2">SUM(T6:T14)</f>
        <v>1220100</v>
      </c>
      <c r="U15" s="531">
        <f t="shared" si="2"/>
        <v>1220100</v>
      </c>
    </row>
    <row r="16" spans="1:21" ht="13.8" thickTop="1" x14ac:dyDescent="0.25">
      <c r="A16" s="588"/>
      <c r="B16" s="554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30"/>
      <c r="N16" s="530"/>
      <c r="O16" s="530"/>
      <c r="P16" s="530"/>
      <c r="Q16" s="553"/>
      <c r="R16" s="530"/>
      <c r="S16" s="530"/>
      <c r="T16" s="530"/>
      <c r="U16" s="433"/>
    </row>
    <row r="17" spans="1:21" x14ac:dyDescent="0.25">
      <c r="A17" s="588"/>
      <c r="B17" s="571" t="s">
        <v>2</v>
      </c>
      <c r="C17" s="532" t="s">
        <v>552</v>
      </c>
      <c r="D17" s="532" t="s">
        <v>553</v>
      </c>
      <c r="E17" s="532" t="s">
        <v>22</v>
      </c>
      <c r="F17" s="533" t="s">
        <v>554</v>
      </c>
      <c r="G17" s="533" t="s">
        <v>555</v>
      </c>
      <c r="H17" s="533" t="s">
        <v>556</v>
      </c>
      <c r="I17" s="534" t="s">
        <v>178</v>
      </c>
      <c r="J17" s="534" t="s">
        <v>179</v>
      </c>
      <c r="K17" s="534" t="s">
        <v>240</v>
      </c>
      <c r="L17" s="534" t="s">
        <v>245</v>
      </c>
      <c r="M17" s="534" t="s">
        <v>257</v>
      </c>
      <c r="N17" s="534" t="s">
        <v>496</v>
      </c>
      <c r="O17" s="532" t="s">
        <v>557</v>
      </c>
      <c r="P17" s="532" t="s">
        <v>78</v>
      </c>
      <c r="Q17" s="551"/>
      <c r="R17" s="534" t="s">
        <v>384</v>
      </c>
      <c r="S17" s="534" t="s">
        <v>409</v>
      </c>
      <c r="T17" s="534" t="s">
        <v>416</v>
      </c>
      <c r="U17" s="534" t="s">
        <v>532</v>
      </c>
    </row>
    <row r="18" spans="1:21" hidden="1" x14ac:dyDescent="0.25">
      <c r="A18" s="588"/>
      <c r="B18" s="572"/>
      <c r="C18" s="437" t="s">
        <v>565</v>
      </c>
      <c r="D18" s="437" t="s">
        <v>579</v>
      </c>
      <c r="E18" s="437" t="s">
        <v>558</v>
      </c>
      <c r="F18" s="437">
        <v>1000000</v>
      </c>
      <c r="G18" s="437">
        <v>0</v>
      </c>
      <c r="H18" s="437"/>
      <c r="I18" s="437">
        <v>3500000</v>
      </c>
      <c r="J18" s="437"/>
      <c r="K18" s="437"/>
      <c r="L18" s="437">
        <v>3227391</v>
      </c>
      <c r="M18" s="437">
        <f>+N18+O18+P18</f>
        <v>0</v>
      </c>
      <c r="N18" s="437"/>
      <c r="O18" s="437"/>
      <c r="P18" s="439"/>
      <c r="Q18" s="556" t="s">
        <v>557</v>
      </c>
      <c r="R18" s="437">
        <v>290000</v>
      </c>
      <c r="S18" s="437"/>
      <c r="T18" s="437"/>
      <c r="U18" s="437"/>
    </row>
    <row r="19" spans="1:21" hidden="1" x14ac:dyDescent="0.25">
      <c r="A19" s="588"/>
      <c r="B19" s="572"/>
      <c r="C19" s="437" t="s">
        <v>566</v>
      </c>
      <c r="D19" s="437" t="s">
        <v>445</v>
      </c>
      <c r="E19" s="437" t="s">
        <v>558</v>
      </c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9"/>
      <c r="Q19" s="556" t="s">
        <v>557</v>
      </c>
      <c r="R19" s="437">
        <v>145000</v>
      </c>
      <c r="S19" s="437"/>
      <c r="T19" s="437"/>
      <c r="U19" s="437"/>
    </row>
    <row r="20" spans="1:21" hidden="1" x14ac:dyDescent="0.25">
      <c r="A20" s="588"/>
      <c r="B20" s="572"/>
      <c r="C20" s="437" t="s">
        <v>565</v>
      </c>
      <c r="D20" s="437" t="s">
        <v>562</v>
      </c>
      <c r="E20" s="437" t="s">
        <v>567</v>
      </c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9"/>
      <c r="Q20" s="556" t="s">
        <v>557</v>
      </c>
      <c r="R20" s="437">
        <v>100000</v>
      </c>
      <c r="S20" s="437"/>
      <c r="T20" s="437"/>
      <c r="U20" s="437"/>
    </row>
    <row r="21" spans="1:21" hidden="1" x14ac:dyDescent="0.25">
      <c r="A21" s="588"/>
      <c r="B21" s="572"/>
      <c r="C21" s="437" t="s">
        <v>565</v>
      </c>
      <c r="D21" s="437" t="s">
        <v>562</v>
      </c>
      <c r="E21" s="437" t="s">
        <v>568</v>
      </c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9"/>
      <c r="Q21" s="556" t="s">
        <v>557</v>
      </c>
      <c r="R21" s="437">
        <v>250000</v>
      </c>
      <c r="S21" s="437"/>
      <c r="T21" s="437"/>
      <c r="U21" s="437"/>
    </row>
    <row r="22" spans="1:21" hidden="1" x14ac:dyDescent="0.25">
      <c r="A22" s="588"/>
      <c r="B22" s="572"/>
      <c r="C22" s="437" t="s">
        <v>565</v>
      </c>
      <c r="D22" s="437" t="s">
        <v>562</v>
      </c>
      <c r="E22" s="437" t="s">
        <v>569</v>
      </c>
      <c r="F22" s="437">
        <v>0</v>
      </c>
      <c r="G22" s="437">
        <v>0</v>
      </c>
      <c r="H22" s="437">
        <f>J22+O22+P22</f>
        <v>554931</v>
      </c>
      <c r="I22" s="437"/>
      <c r="J22" s="437"/>
      <c r="K22" s="437"/>
      <c r="L22" s="437">
        <v>320000</v>
      </c>
      <c r="M22" s="437">
        <f>+N22+O22+P22</f>
        <v>554931</v>
      </c>
      <c r="N22" s="437"/>
      <c r="O22" s="437">
        <v>554931</v>
      </c>
      <c r="P22" s="437"/>
      <c r="Q22" s="551" t="s">
        <v>557</v>
      </c>
      <c r="R22" s="437">
        <v>394000</v>
      </c>
      <c r="S22" s="437"/>
      <c r="T22" s="437"/>
      <c r="U22" s="437"/>
    </row>
    <row r="23" spans="1:21" x14ac:dyDescent="0.25">
      <c r="A23" s="588"/>
      <c r="B23" s="552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53"/>
      <c r="R23" s="529"/>
      <c r="S23" s="529"/>
      <c r="T23" s="529"/>
      <c r="U23" s="529"/>
    </row>
    <row r="24" spans="1:21" ht="13.8" thickBot="1" x14ac:dyDescent="0.3">
      <c r="A24" s="588"/>
      <c r="B24" s="554" t="s">
        <v>570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1">
        <f>SUM(M18:M23)</f>
        <v>554931</v>
      </c>
      <c r="N24" s="531">
        <f t="shared" ref="N24:U24" si="3">SUM(N18:N23)</f>
        <v>0</v>
      </c>
      <c r="O24" s="531">
        <f t="shared" si="3"/>
        <v>554931</v>
      </c>
      <c r="P24" s="531">
        <f t="shared" si="3"/>
        <v>0</v>
      </c>
      <c r="Q24" s="555"/>
      <c r="R24" s="531">
        <f>SUM(R18:R23)</f>
        <v>1179000</v>
      </c>
      <c r="S24" s="531">
        <f t="shared" si="3"/>
        <v>0</v>
      </c>
      <c r="T24" s="531">
        <f t="shared" si="3"/>
        <v>0</v>
      </c>
      <c r="U24" s="531">
        <f t="shared" si="3"/>
        <v>0</v>
      </c>
    </row>
    <row r="25" spans="1:21" ht="13.8" thickTop="1" x14ac:dyDescent="0.25">
      <c r="A25" s="588"/>
      <c r="B25" s="552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53"/>
      <c r="R25" s="529"/>
      <c r="S25" s="529"/>
      <c r="T25" s="529"/>
      <c r="U25" s="588"/>
    </row>
    <row r="26" spans="1:21" x14ac:dyDescent="0.25">
      <c r="A26" s="588"/>
      <c r="B26" s="571" t="s">
        <v>571</v>
      </c>
      <c r="C26" s="532" t="s">
        <v>552</v>
      </c>
      <c r="D26" s="532" t="s">
        <v>553</v>
      </c>
      <c r="E26" s="532" t="s">
        <v>22</v>
      </c>
      <c r="F26" s="533" t="s">
        <v>554</v>
      </c>
      <c r="G26" s="533" t="s">
        <v>555</v>
      </c>
      <c r="H26" s="533" t="s">
        <v>556</v>
      </c>
      <c r="I26" s="534" t="s">
        <v>178</v>
      </c>
      <c r="J26" s="534" t="s">
        <v>179</v>
      </c>
      <c r="K26" s="534" t="s">
        <v>240</v>
      </c>
      <c r="L26" s="534" t="s">
        <v>245</v>
      </c>
      <c r="M26" s="534" t="s">
        <v>257</v>
      </c>
      <c r="N26" s="534" t="s">
        <v>496</v>
      </c>
      <c r="O26" s="532" t="s">
        <v>557</v>
      </c>
      <c r="P26" s="532" t="s">
        <v>78</v>
      </c>
      <c r="Q26" s="551"/>
      <c r="R26" s="534" t="s">
        <v>384</v>
      </c>
      <c r="S26" s="534" t="s">
        <v>409</v>
      </c>
      <c r="T26" s="534" t="s">
        <v>416</v>
      </c>
      <c r="U26" s="534" t="s">
        <v>938</v>
      </c>
    </row>
    <row r="27" spans="1:21" x14ac:dyDescent="0.25">
      <c r="A27" s="588"/>
      <c r="B27" s="571"/>
      <c r="C27" s="437" t="s">
        <v>572</v>
      </c>
      <c r="D27" s="437" t="s">
        <v>573</v>
      </c>
      <c r="E27" s="587" t="s">
        <v>574</v>
      </c>
      <c r="F27" s="533"/>
      <c r="G27" s="533"/>
      <c r="H27" s="533"/>
      <c r="I27" s="534"/>
      <c r="J27" s="534"/>
      <c r="K27" s="534"/>
      <c r="L27" s="534"/>
      <c r="M27" s="534"/>
      <c r="N27" s="534"/>
      <c r="O27" s="532"/>
      <c r="P27" s="532"/>
      <c r="Q27" s="551" t="s">
        <v>78</v>
      </c>
      <c r="R27" s="534"/>
      <c r="S27" s="534"/>
      <c r="T27" s="534"/>
      <c r="U27" s="534"/>
    </row>
    <row r="28" spans="1:21" x14ac:dyDescent="0.25">
      <c r="A28" s="588"/>
      <c r="B28" s="572"/>
      <c r="C28" s="437" t="s">
        <v>572</v>
      </c>
      <c r="D28" s="437" t="s">
        <v>573</v>
      </c>
      <c r="E28" s="437" t="s">
        <v>575</v>
      </c>
      <c r="F28" s="437">
        <v>0</v>
      </c>
      <c r="G28" s="437">
        <v>0</v>
      </c>
      <c r="H28" s="437">
        <v>600000</v>
      </c>
      <c r="I28" s="437">
        <v>900000</v>
      </c>
      <c r="J28" s="437">
        <v>600000</v>
      </c>
      <c r="K28" s="437">
        <v>1000000</v>
      </c>
      <c r="L28" s="437">
        <v>1500000</v>
      </c>
      <c r="M28" s="437">
        <f>+N28+O28+P28</f>
        <v>641269</v>
      </c>
      <c r="N28" s="437"/>
      <c r="O28" s="437">
        <v>641269</v>
      </c>
      <c r="P28" s="437"/>
      <c r="Q28" s="551" t="s">
        <v>576</v>
      </c>
      <c r="R28" s="437">
        <v>2000000</v>
      </c>
      <c r="S28" s="437"/>
      <c r="T28" s="437"/>
      <c r="U28" s="437"/>
    </row>
    <row r="29" spans="1:21" hidden="1" x14ac:dyDescent="0.25">
      <c r="A29" s="588"/>
      <c r="B29" s="572"/>
      <c r="C29" s="437" t="s">
        <v>572</v>
      </c>
      <c r="D29" s="437" t="s">
        <v>562</v>
      </c>
      <c r="E29" s="437" t="s">
        <v>577</v>
      </c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551" t="s">
        <v>557</v>
      </c>
      <c r="R29" s="557">
        <v>655413</v>
      </c>
      <c r="S29" s="437"/>
      <c r="T29" s="437"/>
      <c r="U29" s="437"/>
    </row>
    <row r="30" spans="1:21" hidden="1" x14ac:dyDescent="0.25">
      <c r="A30" s="588"/>
      <c r="B30" s="572"/>
      <c r="C30" s="437" t="s">
        <v>572</v>
      </c>
      <c r="D30" s="437" t="s">
        <v>562</v>
      </c>
      <c r="E30" s="437" t="s">
        <v>578</v>
      </c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551" t="s">
        <v>557</v>
      </c>
      <c r="R30" s="437">
        <v>575700</v>
      </c>
      <c r="S30" s="437"/>
      <c r="T30" s="437"/>
      <c r="U30" s="437"/>
    </row>
    <row r="31" spans="1:21" hidden="1" x14ac:dyDescent="0.25">
      <c r="A31" s="588"/>
      <c r="B31" s="572"/>
      <c r="C31" s="437" t="s">
        <v>572</v>
      </c>
      <c r="D31" s="437" t="s">
        <v>579</v>
      </c>
      <c r="E31" s="437" t="s">
        <v>580</v>
      </c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551"/>
      <c r="R31" s="437"/>
      <c r="S31" s="437"/>
      <c r="T31" s="437"/>
      <c r="U31" s="437"/>
    </row>
    <row r="32" spans="1:21" hidden="1" x14ac:dyDescent="0.25">
      <c r="A32" s="588"/>
      <c r="B32" s="572"/>
      <c r="C32" s="437" t="s">
        <v>13</v>
      </c>
      <c r="D32" s="437" t="s">
        <v>562</v>
      </c>
      <c r="E32" s="437" t="s">
        <v>581</v>
      </c>
      <c r="F32" s="437"/>
      <c r="G32" s="437"/>
      <c r="H32" s="437"/>
      <c r="I32" s="437"/>
      <c r="J32" s="437">
        <v>260000</v>
      </c>
      <c r="K32" s="437"/>
      <c r="L32" s="437"/>
      <c r="M32" s="437">
        <f t="shared" ref="M32:M41" si="4">+N32+O32+P32</f>
        <v>314524</v>
      </c>
      <c r="N32" s="437"/>
      <c r="O32" s="437"/>
      <c r="P32" s="437">
        <v>314524</v>
      </c>
      <c r="Q32" s="551" t="s">
        <v>557</v>
      </c>
      <c r="R32" s="437">
        <v>250000</v>
      </c>
      <c r="S32" s="437"/>
      <c r="T32" s="437"/>
      <c r="U32" s="437"/>
    </row>
    <row r="33" spans="1:21" hidden="1" x14ac:dyDescent="0.25">
      <c r="A33" s="588"/>
      <c r="B33" s="572"/>
      <c r="C33" s="437" t="s">
        <v>572</v>
      </c>
      <c r="D33" s="437" t="s">
        <v>582</v>
      </c>
      <c r="E33" s="437" t="s">
        <v>583</v>
      </c>
      <c r="F33" s="437">
        <v>200000</v>
      </c>
      <c r="G33" s="437">
        <v>1290000</v>
      </c>
      <c r="H33" s="437">
        <f>J33+O33+P33</f>
        <v>0</v>
      </c>
      <c r="I33" s="437"/>
      <c r="J33" s="437"/>
      <c r="K33" s="437"/>
      <c r="L33" s="437"/>
      <c r="M33" s="437">
        <f t="shared" si="4"/>
        <v>0</v>
      </c>
      <c r="N33" s="437"/>
      <c r="O33" s="437"/>
      <c r="P33" s="437"/>
      <c r="Q33" s="551"/>
      <c r="R33" s="437"/>
      <c r="S33" s="437"/>
      <c r="T33" s="437"/>
      <c r="U33" s="437"/>
    </row>
    <row r="34" spans="1:21" hidden="1" x14ac:dyDescent="0.25">
      <c r="A34" s="588"/>
      <c r="B34" s="572"/>
      <c r="C34" s="437" t="s">
        <v>13</v>
      </c>
      <c r="D34" s="437" t="s">
        <v>584</v>
      </c>
      <c r="E34" s="437" t="s">
        <v>585</v>
      </c>
      <c r="F34" s="437">
        <v>0</v>
      </c>
      <c r="G34" s="437">
        <v>4400000</v>
      </c>
      <c r="H34" s="437">
        <f>J34+O34+P34</f>
        <v>0</v>
      </c>
      <c r="I34" s="437"/>
      <c r="J34" s="437"/>
      <c r="K34" s="437"/>
      <c r="L34" s="437"/>
      <c r="M34" s="437">
        <f t="shared" si="4"/>
        <v>0</v>
      </c>
      <c r="N34" s="437"/>
      <c r="O34" s="437"/>
      <c r="P34" s="437"/>
      <c r="Q34" s="551"/>
      <c r="R34" s="437"/>
      <c r="S34" s="437"/>
      <c r="T34" s="437"/>
      <c r="U34" s="437"/>
    </row>
    <row r="35" spans="1:21" hidden="1" x14ac:dyDescent="0.25">
      <c r="A35" s="588"/>
      <c r="B35" s="572"/>
      <c r="C35" s="437" t="s">
        <v>13</v>
      </c>
      <c r="D35" s="437" t="s">
        <v>582</v>
      </c>
      <c r="E35" s="437" t="s">
        <v>585</v>
      </c>
      <c r="F35" s="437">
        <v>0</v>
      </c>
      <c r="G35" s="437">
        <v>2800000</v>
      </c>
      <c r="H35" s="437">
        <f>J35+O35+P35</f>
        <v>0</v>
      </c>
      <c r="I35" s="437"/>
      <c r="J35" s="437"/>
      <c r="K35" s="437"/>
      <c r="L35" s="437"/>
      <c r="M35" s="437">
        <f t="shared" si="4"/>
        <v>0</v>
      </c>
      <c r="N35" s="437"/>
      <c r="O35" s="437"/>
      <c r="P35" s="437"/>
      <c r="Q35" s="551"/>
      <c r="R35" s="437"/>
      <c r="S35" s="437"/>
      <c r="T35" s="437"/>
      <c r="U35" s="437"/>
    </row>
    <row r="36" spans="1:21" hidden="1" x14ac:dyDescent="0.25">
      <c r="A36" s="588"/>
      <c r="B36" s="572"/>
      <c r="C36" s="437" t="s">
        <v>5</v>
      </c>
      <c r="D36" s="437" t="s">
        <v>562</v>
      </c>
      <c r="E36" s="437" t="s">
        <v>5</v>
      </c>
      <c r="F36" s="437">
        <v>0</v>
      </c>
      <c r="G36" s="437"/>
      <c r="H36" s="437"/>
      <c r="I36" s="437">
        <v>2000000</v>
      </c>
      <c r="J36" s="437"/>
      <c r="K36" s="437"/>
      <c r="L36" s="437"/>
      <c r="M36" s="437">
        <f t="shared" si="4"/>
        <v>0</v>
      </c>
      <c r="N36" s="437"/>
      <c r="O36" s="437"/>
      <c r="P36" s="437"/>
      <c r="Q36" s="551"/>
      <c r="R36" s="437"/>
      <c r="S36" s="437"/>
      <c r="T36" s="437"/>
      <c r="U36" s="437"/>
    </row>
    <row r="37" spans="1:21" hidden="1" x14ac:dyDescent="0.25">
      <c r="A37" s="588"/>
      <c r="B37" s="572"/>
      <c r="C37" s="437" t="s">
        <v>13</v>
      </c>
      <c r="D37" s="437" t="s">
        <v>586</v>
      </c>
      <c r="E37" s="437" t="s">
        <v>587</v>
      </c>
      <c r="F37" s="437"/>
      <c r="G37" s="437"/>
      <c r="H37" s="437">
        <v>100000</v>
      </c>
      <c r="I37" s="437"/>
      <c r="J37" s="437"/>
      <c r="K37" s="437"/>
      <c r="L37" s="437"/>
      <c r="M37" s="437">
        <f t="shared" si="4"/>
        <v>0</v>
      </c>
      <c r="N37" s="437"/>
      <c r="O37" s="437"/>
      <c r="P37" s="437"/>
      <c r="Q37" s="551"/>
      <c r="R37" s="437"/>
      <c r="S37" s="437"/>
      <c r="T37" s="437"/>
      <c r="U37" s="437"/>
    </row>
    <row r="38" spans="1:21" hidden="1" x14ac:dyDescent="0.25">
      <c r="A38" s="588"/>
      <c r="B38" s="572"/>
      <c r="C38" s="437" t="s">
        <v>13</v>
      </c>
      <c r="D38" s="437" t="s">
        <v>588</v>
      </c>
      <c r="E38" s="437" t="s">
        <v>587</v>
      </c>
      <c r="F38" s="437"/>
      <c r="G38" s="437"/>
      <c r="H38" s="437"/>
      <c r="I38" s="437"/>
      <c r="J38" s="437"/>
      <c r="K38" s="437"/>
      <c r="L38" s="437"/>
      <c r="M38" s="437">
        <f t="shared" si="4"/>
        <v>0</v>
      </c>
      <c r="N38" s="437"/>
      <c r="O38" s="437"/>
      <c r="P38" s="437"/>
      <c r="Q38" s="551"/>
      <c r="R38" s="437"/>
      <c r="S38" s="437"/>
      <c r="T38" s="437"/>
      <c r="U38" s="437"/>
    </row>
    <row r="39" spans="1:21" hidden="1" x14ac:dyDescent="0.25">
      <c r="A39" s="588"/>
      <c r="B39" s="572"/>
      <c r="C39" s="437" t="s">
        <v>13</v>
      </c>
      <c r="D39" s="437" t="s">
        <v>589</v>
      </c>
      <c r="E39" s="437" t="s">
        <v>587</v>
      </c>
      <c r="F39" s="437"/>
      <c r="G39" s="437"/>
      <c r="H39" s="437"/>
      <c r="I39" s="437"/>
      <c r="J39" s="437"/>
      <c r="K39" s="437"/>
      <c r="L39" s="437"/>
      <c r="M39" s="437">
        <f t="shared" si="4"/>
        <v>0</v>
      </c>
      <c r="N39" s="437"/>
      <c r="O39" s="437"/>
      <c r="P39" s="437"/>
      <c r="Q39" s="551"/>
      <c r="R39" s="437"/>
      <c r="S39" s="437"/>
      <c r="T39" s="437"/>
      <c r="U39" s="437"/>
    </row>
    <row r="40" spans="1:21" hidden="1" x14ac:dyDescent="0.25">
      <c r="A40" s="588"/>
      <c r="B40" s="572"/>
      <c r="C40" s="437" t="s">
        <v>13</v>
      </c>
      <c r="D40" s="437" t="s">
        <v>582</v>
      </c>
      <c r="E40" s="437" t="s">
        <v>587</v>
      </c>
      <c r="F40" s="437"/>
      <c r="G40" s="437"/>
      <c r="H40" s="437"/>
      <c r="I40" s="437"/>
      <c r="J40" s="437"/>
      <c r="K40" s="437"/>
      <c r="L40" s="437"/>
      <c r="M40" s="437">
        <f t="shared" si="4"/>
        <v>0</v>
      </c>
      <c r="N40" s="437"/>
      <c r="O40" s="437"/>
      <c r="P40" s="437"/>
      <c r="Q40" s="551"/>
      <c r="R40" s="437"/>
      <c r="S40" s="437"/>
      <c r="T40" s="437"/>
      <c r="U40" s="437"/>
    </row>
    <row r="41" spans="1:21" hidden="1" x14ac:dyDescent="0.25">
      <c r="A41" s="588"/>
      <c r="B41" s="572"/>
      <c r="C41" s="437" t="s">
        <v>13</v>
      </c>
      <c r="D41" s="437" t="s">
        <v>590</v>
      </c>
      <c r="E41" s="437" t="s">
        <v>587</v>
      </c>
      <c r="F41" s="437"/>
      <c r="G41" s="437"/>
      <c r="H41" s="437"/>
      <c r="I41" s="437"/>
      <c r="J41" s="437"/>
      <c r="K41" s="437"/>
      <c r="L41" s="437"/>
      <c r="M41" s="437">
        <f t="shared" si="4"/>
        <v>0</v>
      </c>
      <c r="N41" s="437"/>
      <c r="O41" s="437"/>
      <c r="P41" s="437"/>
      <c r="Q41" s="551"/>
      <c r="R41" s="437"/>
      <c r="S41" s="437"/>
      <c r="T41" s="437"/>
      <c r="U41" s="437"/>
    </row>
    <row r="42" spans="1:21" hidden="1" x14ac:dyDescent="0.25">
      <c r="A42" s="588"/>
      <c r="B42" s="572"/>
      <c r="C42" s="437" t="s">
        <v>13</v>
      </c>
      <c r="D42" s="437" t="s">
        <v>584</v>
      </c>
      <c r="E42" s="437" t="s">
        <v>591</v>
      </c>
      <c r="F42" s="533"/>
      <c r="G42" s="533"/>
      <c r="H42" s="533"/>
      <c r="I42" s="534"/>
      <c r="J42" s="534"/>
      <c r="K42" s="534"/>
      <c r="L42" s="534"/>
      <c r="M42" s="534"/>
      <c r="N42" s="534"/>
      <c r="O42" s="532"/>
      <c r="P42" s="532"/>
      <c r="Q42" s="551" t="s">
        <v>557</v>
      </c>
      <c r="R42" s="558">
        <v>451410</v>
      </c>
      <c r="S42" s="534"/>
      <c r="T42" s="534"/>
      <c r="U42" s="534"/>
    </row>
    <row r="43" spans="1:21" hidden="1" x14ac:dyDescent="0.25">
      <c r="A43" s="588"/>
      <c r="B43" s="572"/>
      <c r="C43" s="437"/>
      <c r="D43" s="437" t="s">
        <v>586</v>
      </c>
      <c r="E43" s="437" t="s">
        <v>591</v>
      </c>
      <c r="F43" s="533"/>
      <c r="G43" s="533"/>
      <c r="H43" s="533"/>
      <c r="I43" s="534"/>
      <c r="J43" s="534"/>
      <c r="K43" s="534"/>
      <c r="L43" s="534"/>
      <c r="M43" s="534"/>
      <c r="N43" s="534"/>
      <c r="O43" s="532"/>
      <c r="P43" s="532"/>
      <c r="Q43" s="551" t="s">
        <v>557</v>
      </c>
      <c r="R43" s="558">
        <v>667212</v>
      </c>
      <c r="S43" s="534"/>
      <c r="T43" s="534"/>
      <c r="U43" s="534"/>
    </row>
    <row r="44" spans="1:21" hidden="1" x14ac:dyDescent="0.25">
      <c r="A44" s="588"/>
      <c r="B44" s="572"/>
      <c r="C44" s="437"/>
      <c r="D44" s="437" t="s">
        <v>590</v>
      </c>
      <c r="E44" s="437" t="s">
        <v>591</v>
      </c>
      <c r="F44" s="533"/>
      <c r="G44" s="533"/>
      <c r="H44" s="533"/>
      <c r="I44" s="534"/>
      <c r="J44" s="534"/>
      <c r="K44" s="534"/>
      <c r="L44" s="534"/>
      <c r="M44" s="534"/>
      <c r="N44" s="534"/>
      <c r="O44" s="532"/>
      <c r="P44" s="532"/>
      <c r="Q44" s="551" t="s">
        <v>557</v>
      </c>
      <c r="R44" s="558">
        <v>216000</v>
      </c>
      <c r="S44" s="534"/>
      <c r="T44" s="534"/>
      <c r="U44" s="534"/>
    </row>
    <row r="45" spans="1:21" hidden="1" x14ac:dyDescent="0.25">
      <c r="A45" s="588"/>
      <c r="B45" s="572"/>
      <c r="C45" s="437" t="s">
        <v>15</v>
      </c>
      <c r="D45" s="437" t="s">
        <v>562</v>
      </c>
      <c r="E45" s="437" t="s">
        <v>592</v>
      </c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551" t="s">
        <v>557</v>
      </c>
      <c r="R45" s="437"/>
      <c r="S45" s="437"/>
      <c r="T45" s="437"/>
      <c r="U45" s="437"/>
    </row>
    <row r="46" spans="1:21" hidden="1" x14ac:dyDescent="0.25">
      <c r="A46" s="588"/>
      <c r="B46" s="572"/>
      <c r="C46" s="437" t="s">
        <v>13</v>
      </c>
      <c r="D46" s="437" t="s">
        <v>590</v>
      </c>
      <c r="E46" s="437" t="s">
        <v>593</v>
      </c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551" t="s">
        <v>594</v>
      </c>
      <c r="R46" s="437"/>
      <c r="S46" s="437"/>
      <c r="T46" s="437"/>
      <c r="U46" s="437"/>
    </row>
    <row r="47" spans="1:21" hidden="1" x14ac:dyDescent="0.25">
      <c r="A47" s="588"/>
      <c r="B47" s="572"/>
      <c r="C47" s="437" t="s">
        <v>595</v>
      </c>
      <c r="D47" s="437" t="s">
        <v>596</v>
      </c>
      <c r="E47" s="437" t="s">
        <v>597</v>
      </c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551" t="s">
        <v>557</v>
      </c>
      <c r="R47" s="437">
        <v>260000</v>
      </c>
      <c r="S47" s="437"/>
      <c r="T47" s="437"/>
      <c r="U47" s="437"/>
    </row>
    <row r="48" spans="1:21" hidden="1" x14ac:dyDescent="0.25">
      <c r="A48" s="588"/>
      <c r="B48" s="572"/>
      <c r="C48" s="437" t="s">
        <v>13</v>
      </c>
      <c r="D48" s="437" t="s">
        <v>586</v>
      </c>
      <c r="E48" s="437" t="s">
        <v>587</v>
      </c>
      <c r="F48" s="437"/>
      <c r="G48" s="437"/>
      <c r="H48" s="437"/>
      <c r="I48" s="437"/>
      <c r="J48" s="437"/>
      <c r="K48" s="437"/>
      <c r="L48" s="437"/>
      <c r="M48" s="437">
        <f>+N48+O48+P48</f>
        <v>0</v>
      </c>
      <c r="N48" s="437"/>
      <c r="O48" s="437"/>
      <c r="P48" s="437"/>
      <c r="Q48" s="551"/>
      <c r="R48" s="437"/>
      <c r="S48" s="437"/>
      <c r="T48" s="437"/>
      <c r="U48" s="437"/>
    </row>
    <row r="49" spans="1:22" x14ac:dyDescent="0.25">
      <c r="A49" s="588"/>
      <c r="B49" s="552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53"/>
      <c r="R49" s="529"/>
      <c r="S49" s="529"/>
      <c r="T49" s="529"/>
      <c r="U49" s="529"/>
    </row>
    <row r="50" spans="1:22" ht="13.8" thickBot="1" x14ac:dyDescent="0.3">
      <c r="A50" s="588"/>
      <c r="B50" s="554" t="s">
        <v>598</v>
      </c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31">
        <f>SUM(M28:M49)</f>
        <v>955793</v>
      </c>
      <c r="N50" s="531">
        <f>SUM(N28:N49)</f>
        <v>0</v>
      </c>
      <c r="O50" s="531">
        <f>SUM(O28:O49)</f>
        <v>641269</v>
      </c>
      <c r="P50" s="531">
        <f>SUM(P28:P49)</f>
        <v>314524</v>
      </c>
      <c r="Q50" s="555"/>
      <c r="R50" s="531">
        <f>SUM(R28:R49)</f>
        <v>5075735</v>
      </c>
      <c r="S50" s="531">
        <f>SUM(S28:S49)</f>
        <v>0</v>
      </c>
      <c r="T50" s="531">
        <f>SUM(T28:T49)</f>
        <v>0</v>
      </c>
      <c r="U50" s="531">
        <f>SUM(U28:U49)</f>
        <v>0</v>
      </c>
    </row>
    <row r="51" spans="1:22" ht="13.8" thickTop="1" x14ac:dyDescent="0.25">
      <c r="A51" s="588"/>
      <c r="B51" s="552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53"/>
      <c r="R51" s="529"/>
      <c r="S51" s="529"/>
      <c r="T51" s="529"/>
      <c r="U51" s="588"/>
    </row>
    <row r="52" spans="1:22" x14ac:dyDescent="0.25">
      <c r="A52" s="588"/>
      <c r="B52" s="571" t="s">
        <v>6</v>
      </c>
      <c r="C52" s="532" t="s">
        <v>552</v>
      </c>
      <c r="D52" s="532" t="s">
        <v>553</v>
      </c>
      <c r="E52" s="532" t="s">
        <v>22</v>
      </c>
      <c r="F52" s="533" t="s">
        <v>554</v>
      </c>
      <c r="G52" s="533" t="s">
        <v>555</v>
      </c>
      <c r="H52" s="533" t="s">
        <v>556</v>
      </c>
      <c r="I52" s="534" t="s">
        <v>178</v>
      </c>
      <c r="J52" s="534" t="s">
        <v>179</v>
      </c>
      <c r="K52" s="534" t="s">
        <v>240</v>
      </c>
      <c r="L52" s="534" t="s">
        <v>245</v>
      </c>
      <c r="M52" s="534" t="s">
        <v>257</v>
      </c>
      <c r="N52" s="534" t="s">
        <v>496</v>
      </c>
      <c r="O52" s="532" t="s">
        <v>557</v>
      </c>
      <c r="P52" s="532" t="s">
        <v>78</v>
      </c>
      <c r="Q52" s="551"/>
      <c r="R52" s="534" t="s">
        <v>384</v>
      </c>
      <c r="S52" s="534" t="s">
        <v>409</v>
      </c>
      <c r="T52" s="534" t="s">
        <v>416</v>
      </c>
      <c r="U52" s="534" t="s">
        <v>938</v>
      </c>
    </row>
    <row r="53" spans="1:22" x14ac:dyDescent="0.25">
      <c r="A53" s="588"/>
      <c r="B53" s="572" t="s">
        <v>599</v>
      </c>
      <c r="C53" s="437" t="s">
        <v>145</v>
      </c>
      <c r="D53" s="437" t="s">
        <v>600</v>
      </c>
      <c r="E53" s="437" t="s">
        <v>601</v>
      </c>
      <c r="F53" s="533"/>
      <c r="G53" s="533"/>
      <c r="H53" s="533"/>
      <c r="I53" s="534"/>
      <c r="J53" s="534"/>
      <c r="K53" s="534"/>
      <c r="L53" s="534"/>
      <c r="M53" s="534"/>
      <c r="N53" s="534"/>
      <c r="O53" s="532"/>
      <c r="P53" s="532"/>
      <c r="Q53" s="551" t="s">
        <v>78</v>
      </c>
      <c r="R53" s="558">
        <v>9844473</v>
      </c>
      <c r="S53" s="597">
        <v>13021050</v>
      </c>
      <c r="T53" s="597">
        <v>926000</v>
      </c>
      <c r="U53" s="597"/>
      <c r="V53" s="601"/>
    </row>
    <row r="54" spans="1:22" x14ac:dyDescent="0.25">
      <c r="A54" s="588"/>
      <c r="B54" s="572" t="s">
        <v>602</v>
      </c>
      <c r="C54" s="437" t="s">
        <v>145</v>
      </c>
      <c r="D54" s="437" t="s">
        <v>603</v>
      </c>
      <c r="E54" s="437" t="s">
        <v>601</v>
      </c>
      <c r="F54" s="437">
        <v>0</v>
      </c>
      <c r="G54" s="437"/>
      <c r="H54" s="437"/>
      <c r="I54" s="437">
        <v>200000</v>
      </c>
      <c r="J54" s="437"/>
      <c r="K54" s="437"/>
      <c r="L54" s="437"/>
      <c r="M54" s="437">
        <f>+N54+O54+P54</f>
        <v>0</v>
      </c>
      <c r="N54" s="437"/>
      <c r="O54" s="437"/>
      <c r="P54" s="437"/>
      <c r="Q54" s="551" t="s">
        <v>78</v>
      </c>
      <c r="R54" s="437">
        <v>1193210</v>
      </c>
      <c r="S54" s="597">
        <v>383000</v>
      </c>
      <c r="T54" s="598"/>
      <c r="U54" s="598"/>
      <c r="V54" s="601"/>
    </row>
    <row r="55" spans="1:22" x14ac:dyDescent="0.25">
      <c r="A55" s="588"/>
      <c r="B55" s="552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53"/>
      <c r="R55" s="529"/>
      <c r="S55" s="529"/>
      <c r="T55" s="529"/>
      <c r="U55" s="529"/>
    </row>
    <row r="56" spans="1:22" ht="13.8" thickBot="1" x14ac:dyDescent="0.3">
      <c r="A56" s="588"/>
      <c r="B56" s="554" t="s">
        <v>604</v>
      </c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31">
        <f>SUM(M55:M55)</f>
        <v>0</v>
      </c>
      <c r="N56" s="531">
        <f>SUM(N55:N55)</f>
        <v>0</v>
      </c>
      <c r="O56" s="531">
        <f>SUM(O55:O55)</f>
        <v>0</v>
      </c>
      <c r="P56" s="531">
        <f>SUM(P55:P55)</f>
        <v>0</v>
      </c>
      <c r="Q56" s="555"/>
      <c r="R56" s="531">
        <f>SUM(R53:R55)</f>
        <v>11037683</v>
      </c>
      <c r="S56" s="531">
        <f t="shared" ref="S56:U56" si="5">SUM(S53:S55)</f>
        <v>13404050</v>
      </c>
      <c r="T56" s="531">
        <f t="shared" si="5"/>
        <v>926000</v>
      </c>
      <c r="U56" s="531">
        <f t="shared" si="5"/>
        <v>0</v>
      </c>
    </row>
    <row r="57" spans="1:22" ht="13.8" thickTop="1" x14ac:dyDescent="0.25">
      <c r="A57" s="588"/>
      <c r="B57" s="552"/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53"/>
      <c r="R57" s="529"/>
      <c r="S57" s="529"/>
      <c r="T57" s="529"/>
      <c r="U57" s="588"/>
    </row>
    <row r="58" spans="1:22" x14ac:dyDescent="0.25">
      <c r="A58" s="588"/>
      <c r="B58" s="571" t="s">
        <v>7</v>
      </c>
      <c r="C58" s="532" t="s">
        <v>552</v>
      </c>
      <c r="D58" s="532" t="s">
        <v>553</v>
      </c>
      <c r="E58" s="532" t="s">
        <v>22</v>
      </c>
      <c r="F58" s="533" t="s">
        <v>554</v>
      </c>
      <c r="G58" s="533" t="s">
        <v>555</v>
      </c>
      <c r="H58" s="533" t="s">
        <v>556</v>
      </c>
      <c r="I58" s="534" t="s">
        <v>178</v>
      </c>
      <c r="J58" s="534" t="s">
        <v>179</v>
      </c>
      <c r="K58" s="534" t="s">
        <v>240</v>
      </c>
      <c r="L58" s="534" t="s">
        <v>245</v>
      </c>
      <c r="M58" s="534" t="s">
        <v>257</v>
      </c>
      <c r="N58" s="534" t="s">
        <v>496</v>
      </c>
      <c r="O58" s="532" t="s">
        <v>557</v>
      </c>
      <c r="P58" s="532" t="s">
        <v>78</v>
      </c>
      <c r="Q58" s="551"/>
      <c r="R58" s="534" t="s">
        <v>384</v>
      </c>
      <c r="S58" s="534" t="s">
        <v>409</v>
      </c>
      <c r="T58" s="534" t="s">
        <v>416</v>
      </c>
      <c r="U58" s="534" t="s">
        <v>938</v>
      </c>
    </row>
    <row r="59" spans="1:22" x14ac:dyDescent="0.25">
      <c r="A59" s="588"/>
      <c r="B59" s="573"/>
      <c r="C59" s="437" t="s">
        <v>19</v>
      </c>
      <c r="D59" s="437" t="s">
        <v>562</v>
      </c>
      <c r="E59" s="437" t="s">
        <v>605</v>
      </c>
      <c r="F59" s="437">
        <v>0</v>
      </c>
      <c r="G59" s="437"/>
      <c r="H59" s="437">
        <v>0</v>
      </c>
      <c r="I59" s="437">
        <v>1000000</v>
      </c>
      <c r="J59" s="437"/>
      <c r="K59" s="437">
        <v>1000000</v>
      </c>
      <c r="L59" s="437"/>
      <c r="M59" s="437">
        <f>+N59+O59+P59</f>
        <v>0</v>
      </c>
      <c r="N59" s="437"/>
      <c r="O59" s="437"/>
      <c r="P59" s="437"/>
      <c r="Q59" s="551"/>
      <c r="R59" s="437"/>
      <c r="S59" s="437"/>
      <c r="T59" s="437"/>
      <c r="U59" s="437"/>
    </row>
    <row r="60" spans="1:22" x14ac:dyDescent="0.25">
      <c r="A60" s="588"/>
      <c r="B60" s="572" t="s">
        <v>606</v>
      </c>
      <c r="C60" s="437" t="s">
        <v>19</v>
      </c>
      <c r="D60" s="437" t="s">
        <v>588</v>
      </c>
      <c r="E60" s="437" t="s">
        <v>607</v>
      </c>
      <c r="F60" s="437"/>
      <c r="G60" s="437"/>
      <c r="H60" s="437"/>
      <c r="I60" s="437"/>
      <c r="J60" s="437"/>
      <c r="K60" s="437"/>
      <c r="L60" s="437">
        <v>3323784</v>
      </c>
      <c r="M60" s="437">
        <f>+N60+O60+P60</f>
        <v>1272009</v>
      </c>
      <c r="N60" s="437"/>
      <c r="O60" s="437"/>
      <c r="P60" s="437">
        <v>1272009</v>
      </c>
      <c r="Q60" s="551" t="s">
        <v>78</v>
      </c>
      <c r="R60" s="437">
        <v>3308940</v>
      </c>
      <c r="S60" s="437"/>
      <c r="T60" s="437">
        <v>3466250</v>
      </c>
      <c r="U60" s="437"/>
      <c r="V60" s="601"/>
    </row>
    <row r="61" spans="1:22" x14ac:dyDescent="0.25">
      <c r="A61" s="588"/>
      <c r="B61" s="572"/>
      <c r="C61" s="437" t="s">
        <v>19</v>
      </c>
      <c r="D61" s="437" t="s">
        <v>562</v>
      </c>
      <c r="E61" s="437" t="s">
        <v>608</v>
      </c>
      <c r="F61" s="437"/>
      <c r="G61" s="437"/>
      <c r="H61" s="437"/>
      <c r="I61" s="437"/>
      <c r="J61" s="437"/>
      <c r="K61" s="437">
        <v>1100000</v>
      </c>
      <c r="L61" s="437"/>
      <c r="M61" s="437">
        <f>+N61+O61+P61</f>
        <v>0</v>
      </c>
      <c r="N61" s="437"/>
      <c r="O61" s="437"/>
      <c r="P61" s="437"/>
      <c r="Q61" s="551"/>
      <c r="R61" s="437"/>
      <c r="S61" s="437"/>
      <c r="T61" s="437"/>
      <c r="U61" s="437"/>
    </row>
    <row r="62" spans="1:22" x14ac:dyDescent="0.25">
      <c r="A62" s="588"/>
      <c r="B62" s="572" t="s">
        <v>945</v>
      </c>
      <c r="C62" s="437" t="s">
        <v>19</v>
      </c>
      <c r="D62" s="437" t="s">
        <v>582</v>
      </c>
      <c r="E62" s="437" t="s">
        <v>946</v>
      </c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551" t="s">
        <v>78</v>
      </c>
      <c r="R62" s="437"/>
      <c r="S62" s="437"/>
      <c r="T62" s="437">
        <v>3323784</v>
      </c>
      <c r="U62" s="437"/>
    </row>
    <row r="63" spans="1:22" x14ac:dyDescent="0.25">
      <c r="A63" s="588"/>
      <c r="B63" s="572" t="s">
        <v>945</v>
      </c>
      <c r="C63" s="437" t="s">
        <v>19</v>
      </c>
      <c r="D63" s="437" t="s">
        <v>603</v>
      </c>
      <c r="E63" s="437" t="s">
        <v>946</v>
      </c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551"/>
      <c r="R63" s="437"/>
      <c r="S63" s="437"/>
      <c r="T63" s="437">
        <v>3323784</v>
      </c>
      <c r="U63" s="437"/>
    </row>
    <row r="64" spans="1:22" x14ac:dyDescent="0.25">
      <c r="A64" s="588"/>
      <c r="B64" s="552"/>
      <c r="C64" s="529"/>
      <c r="D64" s="529"/>
      <c r="E64" s="529"/>
      <c r="F64" s="543"/>
      <c r="G64" s="438"/>
      <c r="H64" s="438"/>
      <c r="I64" s="438"/>
      <c r="J64" s="438"/>
      <c r="K64" s="438"/>
      <c r="L64" s="438"/>
      <c r="M64" s="438"/>
      <c r="N64" s="438"/>
      <c r="O64" s="438"/>
      <c r="P64" s="438"/>
      <c r="Q64" s="559"/>
      <c r="R64" s="438"/>
      <c r="S64" s="438"/>
      <c r="T64" s="438"/>
      <c r="U64" s="438"/>
    </row>
    <row r="65" spans="1:22" ht="13.8" thickBot="1" x14ac:dyDescent="0.3">
      <c r="A65" s="588"/>
      <c r="B65" s="554" t="s">
        <v>609</v>
      </c>
      <c r="C65" s="529"/>
      <c r="D65" s="529"/>
      <c r="E65" s="529"/>
      <c r="F65" s="543"/>
      <c r="G65" s="438"/>
      <c r="H65" s="438"/>
      <c r="I65" s="438"/>
      <c r="J65" s="438"/>
      <c r="K65" s="438"/>
      <c r="L65" s="546"/>
      <c r="M65" s="544">
        <f>SUM(M59:M64)</f>
        <v>1272009</v>
      </c>
      <c r="N65" s="544">
        <f t="shared" ref="N65:U65" si="6">SUM(N59:N64)</f>
        <v>0</v>
      </c>
      <c r="O65" s="544">
        <f t="shared" si="6"/>
        <v>0</v>
      </c>
      <c r="P65" s="544">
        <f t="shared" si="6"/>
        <v>1272009</v>
      </c>
      <c r="Q65" s="560"/>
      <c r="R65" s="544">
        <f t="shared" si="6"/>
        <v>3308940</v>
      </c>
      <c r="S65" s="544">
        <f t="shared" si="6"/>
        <v>0</v>
      </c>
      <c r="T65" s="544">
        <f t="shared" si="6"/>
        <v>10113818</v>
      </c>
      <c r="U65" s="544">
        <f t="shared" si="6"/>
        <v>0</v>
      </c>
    </row>
    <row r="66" spans="1:22" ht="13.8" thickTop="1" x14ac:dyDescent="0.25">
      <c r="A66" s="588"/>
      <c r="B66" s="554"/>
      <c r="C66" s="529"/>
      <c r="D66" s="529"/>
      <c r="E66" s="529"/>
      <c r="F66" s="543"/>
      <c r="G66" s="438"/>
      <c r="H66" s="438"/>
      <c r="I66" s="438"/>
      <c r="J66" s="438"/>
      <c r="K66" s="438"/>
      <c r="L66" s="438"/>
      <c r="M66" s="545"/>
      <c r="N66" s="545"/>
      <c r="O66" s="545"/>
      <c r="P66" s="545"/>
      <c r="Q66" s="559"/>
      <c r="R66" s="545"/>
      <c r="S66" s="545"/>
      <c r="T66" s="545"/>
      <c r="U66" s="588"/>
    </row>
    <row r="67" spans="1:22" x14ac:dyDescent="0.25">
      <c r="A67" s="588"/>
      <c r="B67" s="571" t="s">
        <v>8</v>
      </c>
      <c r="C67" s="532" t="s">
        <v>552</v>
      </c>
      <c r="D67" s="532" t="s">
        <v>553</v>
      </c>
      <c r="E67" s="532" t="s">
        <v>22</v>
      </c>
      <c r="F67" s="533" t="s">
        <v>554</v>
      </c>
      <c r="G67" s="533" t="s">
        <v>555</v>
      </c>
      <c r="H67" s="533" t="s">
        <v>556</v>
      </c>
      <c r="I67" s="534" t="s">
        <v>178</v>
      </c>
      <c r="J67" s="534" t="s">
        <v>179</v>
      </c>
      <c r="K67" s="534" t="s">
        <v>240</v>
      </c>
      <c r="L67" s="534" t="s">
        <v>245</v>
      </c>
      <c r="M67" s="534" t="s">
        <v>257</v>
      </c>
      <c r="N67" s="534" t="s">
        <v>496</v>
      </c>
      <c r="O67" s="532" t="s">
        <v>557</v>
      </c>
      <c r="P67" s="532" t="s">
        <v>78</v>
      </c>
      <c r="Q67" s="551"/>
      <c r="R67" s="534" t="s">
        <v>384</v>
      </c>
      <c r="S67" s="534" t="s">
        <v>409</v>
      </c>
      <c r="T67" s="534" t="s">
        <v>416</v>
      </c>
      <c r="U67" s="534" t="s">
        <v>938</v>
      </c>
    </row>
    <row r="68" spans="1:22" x14ac:dyDescent="0.25">
      <c r="A68" s="588"/>
      <c r="B68" s="572"/>
      <c r="C68" s="437" t="s">
        <v>610</v>
      </c>
      <c r="D68" s="437" t="s">
        <v>18</v>
      </c>
      <c r="E68" s="437" t="s">
        <v>611</v>
      </c>
      <c r="F68" s="437">
        <v>5261000</v>
      </c>
      <c r="G68" s="437">
        <v>26000000</v>
      </c>
      <c r="H68" s="437">
        <v>75415000</v>
      </c>
      <c r="I68" s="437"/>
      <c r="J68" s="437"/>
      <c r="K68" s="437"/>
      <c r="L68" s="437"/>
      <c r="M68" s="437">
        <f>+N68+O68+P68</f>
        <v>0</v>
      </c>
      <c r="N68" s="437"/>
      <c r="O68" s="437"/>
      <c r="P68" s="437"/>
      <c r="Q68" s="551"/>
      <c r="R68" s="437"/>
      <c r="S68" s="437"/>
      <c r="T68" s="437"/>
      <c r="U68" s="437"/>
    </row>
    <row r="69" spans="1:22" x14ac:dyDescent="0.25">
      <c r="A69" s="588"/>
      <c r="B69" s="572"/>
      <c r="C69" s="437" t="s">
        <v>610</v>
      </c>
      <c r="D69" s="437" t="s">
        <v>18</v>
      </c>
      <c r="E69" s="437" t="s">
        <v>612</v>
      </c>
      <c r="F69" s="437"/>
      <c r="G69" s="437"/>
      <c r="H69" s="437">
        <v>548000</v>
      </c>
      <c r="I69" s="437"/>
      <c r="J69" s="437"/>
      <c r="K69" s="437"/>
      <c r="L69" s="437"/>
      <c r="M69" s="437">
        <f t="shared" ref="M69:M81" si="7">+N69+O69+P69</f>
        <v>0</v>
      </c>
      <c r="N69" s="437"/>
      <c r="O69" s="437"/>
      <c r="P69" s="437"/>
      <c r="Q69" s="551"/>
      <c r="R69" s="437"/>
      <c r="S69" s="437"/>
      <c r="T69" s="437"/>
      <c r="U69" s="437"/>
    </row>
    <row r="70" spans="1:22" x14ac:dyDescent="0.25">
      <c r="A70" s="588"/>
      <c r="B70" s="572"/>
      <c r="C70" s="437" t="s">
        <v>610</v>
      </c>
      <c r="D70" s="437" t="s">
        <v>589</v>
      </c>
      <c r="E70" s="437" t="s">
        <v>613</v>
      </c>
      <c r="F70" s="437"/>
      <c r="G70" s="437"/>
      <c r="H70" s="437"/>
      <c r="I70" s="437"/>
      <c r="J70" s="437"/>
      <c r="K70" s="437">
        <v>1399078</v>
      </c>
      <c r="L70" s="437"/>
      <c r="M70" s="437">
        <f t="shared" si="7"/>
        <v>0</v>
      </c>
      <c r="N70" s="437"/>
      <c r="O70" s="437"/>
      <c r="P70" s="437"/>
      <c r="Q70" s="551"/>
      <c r="R70" s="437"/>
      <c r="S70" s="437"/>
      <c r="T70" s="437"/>
      <c r="U70" s="437"/>
      <c r="V70" s="601"/>
    </row>
    <row r="71" spans="1:22" x14ac:dyDescent="0.25">
      <c r="A71" s="588"/>
      <c r="B71" s="572"/>
      <c r="C71" s="437" t="s">
        <v>610</v>
      </c>
      <c r="D71" s="437" t="s">
        <v>603</v>
      </c>
      <c r="E71" s="437" t="s">
        <v>947</v>
      </c>
      <c r="F71" s="437"/>
      <c r="G71" s="437"/>
      <c r="H71" s="437"/>
      <c r="I71" s="437"/>
      <c r="J71" s="437"/>
      <c r="K71" s="437">
        <v>3188007</v>
      </c>
      <c r="L71" s="437"/>
      <c r="M71" s="437">
        <f t="shared" si="7"/>
        <v>0</v>
      </c>
      <c r="N71" s="437"/>
      <c r="O71" s="437"/>
      <c r="P71" s="437"/>
      <c r="Q71" s="551"/>
      <c r="R71" s="437"/>
      <c r="S71" s="437">
        <v>3439112.5</v>
      </c>
      <c r="T71" s="437">
        <v>150000</v>
      </c>
      <c r="U71" s="437"/>
    </row>
    <row r="72" spans="1:22" x14ac:dyDescent="0.25">
      <c r="A72" s="588"/>
      <c r="B72" s="572" t="s">
        <v>614</v>
      </c>
      <c r="C72" s="437" t="s">
        <v>610</v>
      </c>
      <c r="D72" s="437" t="s">
        <v>603</v>
      </c>
      <c r="E72" s="437" t="s">
        <v>615</v>
      </c>
      <c r="F72" s="437"/>
      <c r="G72" s="437"/>
      <c r="H72" s="437"/>
      <c r="I72" s="437"/>
      <c r="J72" s="437"/>
      <c r="K72" s="437">
        <v>600000</v>
      </c>
      <c r="L72" s="437"/>
      <c r="M72" s="437">
        <f t="shared" si="7"/>
        <v>1250000</v>
      </c>
      <c r="N72" s="437"/>
      <c r="O72" s="437">
        <f>750000+500000</f>
        <v>1250000</v>
      </c>
      <c r="P72" s="437"/>
      <c r="Q72" s="551" t="s">
        <v>78</v>
      </c>
      <c r="R72" s="437">
        <v>1388223</v>
      </c>
      <c r="S72" s="437"/>
      <c r="T72" s="437"/>
      <c r="U72" s="437"/>
    </row>
    <row r="73" spans="1:22" x14ac:dyDescent="0.25">
      <c r="A73" s="588"/>
      <c r="B73" s="572" t="s">
        <v>945</v>
      </c>
      <c r="C73" s="437" t="s">
        <v>610</v>
      </c>
      <c r="D73" s="437" t="s">
        <v>250</v>
      </c>
      <c r="E73" s="437" t="s">
        <v>618</v>
      </c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551" t="s">
        <v>78</v>
      </c>
      <c r="R73" s="437"/>
      <c r="S73" s="437">
        <v>1005829.34</v>
      </c>
      <c r="T73" s="437">
        <v>6244170.6600000001</v>
      </c>
      <c r="U73" s="437"/>
    </row>
    <row r="74" spans="1:22" x14ac:dyDescent="0.25">
      <c r="A74" s="588"/>
      <c r="B74" s="572" t="s">
        <v>945</v>
      </c>
      <c r="C74" s="437" t="s">
        <v>610</v>
      </c>
      <c r="D74" s="437" t="s">
        <v>582</v>
      </c>
      <c r="E74" s="437" t="s">
        <v>948</v>
      </c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551" t="s">
        <v>78</v>
      </c>
      <c r="R74" s="437"/>
      <c r="S74" s="437"/>
      <c r="T74" s="437">
        <v>1500000</v>
      </c>
      <c r="U74" s="437"/>
    </row>
    <row r="75" spans="1:22" x14ac:dyDescent="0.25">
      <c r="A75" s="588"/>
      <c r="B75" s="572"/>
      <c r="C75" s="437" t="s">
        <v>611</v>
      </c>
      <c r="D75" s="437" t="s">
        <v>588</v>
      </c>
      <c r="E75" s="437" t="s">
        <v>616</v>
      </c>
      <c r="F75" s="437"/>
      <c r="G75" s="437"/>
      <c r="H75" s="437"/>
      <c r="I75" s="437"/>
      <c r="J75" s="437"/>
      <c r="K75" s="437">
        <v>241337</v>
      </c>
      <c r="L75" s="437"/>
      <c r="M75" s="437">
        <f t="shared" si="7"/>
        <v>0</v>
      </c>
      <c r="N75" s="437"/>
      <c r="O75" s="437"/>
      <c r="P75" s="437"/>
      <c r="Q75" s="551"/>
      <c r="R75" s="437"/>
      <c r="S75" s="437"/>
      <c r="T75" s="437"/>
      <c r="U75" s="437"/>
    </row>
    <row r="76" spans="1:22" x14ac:dyDescent="0.25">
      <c r="A76" s="588"/>
      <c r="B76" s="572"/>
      <c r="C76" s="437" t="s">
        <v>611</v>
      </c>
      <c r="D76" s="437" t="s">
        <v>603</v>
      </c>
      <c r="E76" s="437" t="s">
        <v>617</v>
      </c>
      <c r="F76" s="437"/>
      <c r="G76" s="437"/>
      <c r="H76" s="437"/>
      <c r="I76" s="437"/>
      <c r="J76" s="437"/>
      <c r="K76" s="437">
        <v>2000000</v>
      </c>
      <c r="L76" s="437"/>
      <c r="M76" s="437">
        <f t="shared" si="7"/>
        <v>6214068</v>
      </c>
      <c r="N76" s="437"/>
      <c r="O76" s="437"/>
      <c r="P76" s="437">
        <v>6214068</v>
      </c>
      <c r="Q76" s="551"/>
      <c r="R76" s="437"/>
      <c r="S76" s="437"/>
      <c r="T76" s="437"/>
      <c r="U76" s="437"/>
    </row>
    <row r="77" spans="1:22" x14ac:dyDescent="0.25">
      <c r="A77" s="588"/>
      <c r="B77" s="572"/>
      <c r="C77" s="437" t="s">
        <v>611</v>
      </c>
      <c r="D77" s="437" t="s">
        <v>250</v>
      </c>
      <c r="E77" s="437" t="s">
        <v>618</v>
      </c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437"/>
      <c r="Q77" s="551" t="s">
        <v>78</v>
      </c>
      <c r="R77" s="437"/>
      <c r="S77" s="437"/>
      <c r="T77" s="437"/>
      <c r="U77" s="437"/>
    </row>
    <row r="78" spans="1:22" x14ac:dyDescent="0.25">
      <c r="A78" s="588"/>
      <c r="B78" s="572"/>
      <c r="C78" s="437" t="s">
        <v>611</v>
      </c>
      <c r="D78" s="437" t="s">
        <v>603</v>
      </c>
      <c r="E78" s="437" t="s">
        <v>619</v>
      </c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551"/>
      <c r="R78" s="437"/>
      <c r="S78" s="437"/>
      <c r="T78" s="437"/>
      <c r="U78" s="437"/>
    </row>
    <row r="79" spans="1:22" x14ac:dyDescent="0.25">
      <c r="A79" s="588"/>
      <c r="B79" s="572"/>
      <c r="C79" s="437"/>
      <c r="D79" s="437"/>
      <c r="E79" s="437"/>
      <c r="F79" s="437"/>
      <c r="G79" s="437"/>
      <c r="H79" s="437"/>
      <c r="I79" s="437"/>
      <c r="J79" s="437"/>
      <c r="K79" s="437"/>
      <c r="L79" s="437"/>
      <c r="M79" s="437"/>
      <c r="N79" s="437"/>
      <c r="O79" s="437"/>
      <c r="P79" s="437"/>
      <c r="Q79" s="551"/>
      <c r="R79" s="437"/>
      <c r="S79" s="437"/>
      <c r="T79" s="437"/>
      <c r="U79" s="437"/>
    </row>
    <row r="80" spans="1:22" x14ac:dyDescent="0.25">
      <c r="A80" s="588"/>
      <c r="B80" s="572"/>
      <c r="C80" s="437" t="s">
        <v>611</v>
      </c>
      <c r="D80" s="437" t="s">
        <v>589</v>
      </c>
      <c r="E80" s="437" t="s">
        <v>618</v>
      </c>
      <c r="F80" s="437"/>
      <c r="G80" s="437"/>
      <c r="H80" s="437"/>
      <c r="I80" s="437"/>
      <c r="J80" s="437"/>
      <c r="K80" s="437">
        <v>548926</v>
      </c>
      <c r="L80" s="437"/>
      <c r="M80" s="437">
        <f t="shared" si="7"/>
        <v>4300000</v>
      </c>
      <c r="N80" s="437"/>
      <c r="O80" s="437"/>
      <c r="P80" s="437">
        <v>4300000</v>
      </c>
      <c r="Q80" s="551"/>
      <c r="R80" s="437"/>
      <c r="S80" s="437"/>
      <c r="T80" s="437"/>
      <c r="U80" s="437"/>
    </row>
    <row r="81" spans="1:21" x14ac:dyDescent="0.25">
      <c r="A81" s="588"/>
      <c r="B81" s="572"/>
      <c r="C81" s="437" t="s">
        <v>620</v>
      </c>
      <c r="D81" s="437" t="s">
        <v>621</v>
      </c>
      <c r="E81" s="437" t="s">
        <v>562</v>
      </c>
      <c r="F81" s="437"/>
      <c r="G81" s="437"/>
      <c r="H81" s="437"/>
      <c r="I81" s="437"/>
      <c r="J81" s="437"/>
      <c r="K81" s="437">
        <v>1260309</v>
      </c>
      <c r="L81" s="437"/>
      <c r="M81" s="437">
        <f t="shared" si="7"/>
        <v>0</v>
      </c>
      <c r="N81" s="437"/>
      <c r="O81" s="437"/>
      <c r="P81" s="437"/>
      <c r="Q81" s="551"/>
      <c r="R81" s="437"/>
      <c r="S81" s="437"/>
      <c r="T81" s="437"/>
      <c r="U81" s="437"/>
    </row>
    <row r="82" spans="1:21" x14ac:dyDescent="0.25">
      <c r="A82" s="588"/>
      <c r="B82" s="552"/>
      <c r="C82" s="529"/>
      <c r="D82" s="529"/>
      <c r="E82" s="529"/>
      <c r="F82" s="529">
        <v>5261000</v>
      </c>
      <c r="G82" s="529">
        <f>SUM(G68:G69)</f>
        <v>26000000</v>
      </c>
      <c r="H82" s="529">
        <f>SUM(H68:H69)</f>
        <v>75963000</v>
      </c>
      <c r="I82" s="529">
        <f>SUM(I68:I69)</f>
        <v>0</v>
      </c>
      <c r="J82" s="529">
        <f>SUM(J68:J69)</f>
        <v>0</v>
      </c>
      <c r="K82" s="529">
        <f>SUM(K68:K81)</f>
        <v>9237657</v>
      </c>
      <c r="L82" s="529" t="e">
        <f>SUM(#REF!)</f>
        <v>#REF!</v>
      </c>
      <c r="M82" s="529"/>
      <c r="N82" s="529"/>
      <c r="O82" s="529"/>
      <c r="P82" s="529"/>
      <c r="Q82" s="553"/>
      <c r="R82" s="529"/>
      <c r="S82" s="529"/>
      <c r="T82" s="529"/>
      <c r="U82" s="529"/>
    </row>
    <row r="83" spans="1:21" ht="13.8" thickBot="1" x14ac:dyDescent="0.3">
      <c r="A83" s="588"/>
      <c r="B83" s="554" t="s">
        <v>622</v>
      </c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31">
        <f>SUM(M68:M82)</f>
        <v>11764068</v>
      </c>
      <c r="N83" s="531">
        <f>SUM(N68:N82)</f>
        <v>0</v>
      </c>
      <c r="O83" s="531">
        <f>SUM(O68:O82)</f>
        <v>1250000</v>
      </c>
      <c r="P83" s="531">
        <f>SUM(P68:P82)</f>
        <v>10514068</v>
      </c>
      <c r="Q83" s="555"/>
      <c r="R83" s="531">
        <f>SUM(R68:R82)</f>
        <v>1388223</v>
      </c>
      <c r="S83" s="531">
        <f>SUM(S68:S82)</f>
        <v>4444941.84</v>
      </c>
      <c r="T83" s="531">
        <f>SUM(T68:T82)</f>
        <v>7894170.6600000001</v>
      </c>
      <c r="U83" s="531">
        <f>SUM(U68:U82)</f>
        <v>0</v>
      </c>
    </row>
    <row r="84" spans="1:21" ht="13.8" thickTop="1" x14ac:dyDescent="0.25">
      <c r="A84" s="588"/>
      <c r="B84" s="552"/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P84" s="529"/>
      <c r="Q84" s="553"/>
      <c r="R84" s="529"/>
      <c r="S84" s="529"/>
      <c r="T84" s="529"/>
      <c r="U84" s="588"/>
    </row>
    <row r="85" spans="1:21" x14ac:dyDescent="0.25">
      <c r="A85" s="588"/>
      <c r="B85" s="571" t="s">
        <v>9</v>
      </c>
      <c r="C85" s="532" t="s">
        <v>552</v>
      </c>
      <c r="D85" s="532" t="s">
        <v>553</v>
      </c>
      <c r="E85" s="532" t="s">
        <v>22</v>
      </c>
      <c r="F85" s="533" t="s">
        <v>554</v>
      </c>
      <c r="G85" s="533" t="s">
        <v>555</v>
      </c>
      <c r="H85" s="533" t="s">
        <v>556</v>
      </c>
      <c r="I85" s="534" t="s">
        <v>178</v>
      </c>
      <c r="J85" s="534" t="s">
        <v>179</v>
      </c>
      <c r="K85" s="534" t="s">
        <v>240</v>
      </c>
      <c r="L85" s="534" t="s">
        <v>245</v>
      </c>
      <c r="M85" s="534" t="s">
        <v>257</v>
      </c>
      <c r="N85" s="534" t="s">
        <v>496</v>
      </c>
      <c r="O85" s="532" t="s">
        <v>557</v>
      </c>
      <c r="P85" s="532" t="s">
        <v>78</v>
      </c>
      <c r="Q85" s="551"/>
      <c r="R85" s="534" t="s">
        <v>384</v>
      </c>
      <c r="S85" s="534" t="s">
        <v>409</v>
      </c>
      <c r="T85" s="534" t="s">
        <v>416</v>
      </c>
      <c r="U85" s="534" t="s">
        <v>938</v>
      </c>
    </row>
    <row r="86" spans="1:21" hidden="1" x14ac:dyDescent="0.25">
      <c r="A86" s="588"/>
      <c r="B86" s="573"/>
      <c r="C86" s="437" t="s">
        <v>623</v>
      </c>
      <c r="D86" s="437" t="s">
        <v>14</v>
      </c>
      <c r="E86" s="437" t="s">
        <v>623</v>
      </c>
      <c r="F86" s="437">
        <v>0</v>
      </c>
      <c r="G86" s="437">
        <v>6000000</v>
      </c>
      <c r="H86" s="437"/>
      <c r="I86" s="437">
        <v>1225350</v>
      </c>
      <c r="J86" s="437"/>
      <c r="K86" s="437"/>
      <c r="L86" s="437"/>
      <c r="M86" s="437">
        <f>+N86+O86+P86</f>
        <v>0</v>
      </c>
      <c r="N86" s="437"/>
      <c r="O86" s="437"/>
      <c r="P86" s="437"/>
      <c r="Q86" s="551"/>
      <c r="R86" s="437"/>
      <c r="S86" s="437"/>
      <c r="T86" s="437"/>
      <c r="U86" s="437"/>
    </row>
    <row r="87" spans="1:21" hidden="1" x14ac:dyDescent="0.25">
      <c r="A87" s="588"/>
      <c r="B87" s="572"/>
      <c r="C87" s="437" t="s">
        <v>623</v>
      </c>
      <c r="D87" s="437" t="s">
        <v>588</v>
      </c>
      <c r="E87" s="437" t="s">
        <v>623</v>
      </c>
      <c r="F87" s="437">
        <v>0</v>
      </c>
      <c r="G87" s="437"/>
      <c r="H87" s="437"/>
      <c r="I87" s="437">
        <v>2260000</v>
      </c>
      <c r="J87" s="437"/>
      <c r="K87" s="437"/>
      <c r="L87" s="437"/>
      <c r="M87" s="437">
        <f t="shared" ref="M87:M92" si="8">+N87+O87+P87</f>
        <v>0</v>
      </c>
      <c r="N87" s="437"/>
      <c r="O87" s="437"/>
      <c r="P87" s="437"/>
      <c r="Q87" s="551"/>
      <c r="R87" s="437"/>
      <c r="S87" s="437"/>
      <c r="T87" s="437"/>
      <c r="U87" s="437"/>
    </row>
    <row r="88" spans="1:21" hidden="1" x14ac:dyDescent="0.25">
      <c r="A88" s="588"/>
      <c r="B88" s="572"/>
      <c r="C88" s="437" t="s">
        <v>623</v>
      </c>
      <c r="D88" s="437" t="s">
        <v>589</v>
      </c>
      <c r="E88" s="437" t="s">
        <v>623</v>
      </c>
      <c r="F88" s="437">
        <v>300000</v>
      </c>
      <c r="G88" s="437"/>
      <c r="H88" s="437"/>
      <c r="I88" s="437">
        <v>2260000</v>
      </c>
      <c r="J88" s="437"/>
      <c r="K88" s="437"/>
      <c r="L88" s="437"/>
      <c r="M88" s="437">
        <f t="shared" si="8"/>
        <v>0</v>
      </c>
      <c r="N88" s="437"/>
      <c r="O88" s="437"/>
      <c r="P88" s="437"/>
      <c r="Q88" s="551"/>
      <c r="R88" s="437"/>
      <c r="S88" s="437"/>
      <c r="T88" s="437"/>
      <c r="U88" s="437"/>
    </row>
    <row r="89" spans="1:21" hidden="1" x14ac:dyDescent="0.25">
      <c r="A89" s="588"/>
      <c r="B89" s="572"/>
      <c r="C89" s="437" t="s">
        <v>623</v>
      </c>
      <c r="D89" s="437" t="s">
        <v>582</v>
      </c>
      <c r="E89" s="437" t="s">
        <v>624</v>
      </c>
      <c r="F89" s="437">
        <v>1000000</v>
      </c>
      <c r="G89" s="437"/>
      <c r="H89" s="437"/>
      <c r="I89" s="437">
        <v>2260000</v>
      </c>
      <c r="J89" s="437"/>
      <c r="K89" s="437">
        <v>8390891</v>
      </c>
      <c r="L89" s="437"/>
      <c r="M89" s="437">
        <f t="shared" si="8"/>
        <v>0</v>
      </c>
      <c r="N89" s="437"/>
      <c r="O89" s="437"/>
      <c r="P89" s="437"/>
      <c r="Q89" s="551"/>
      <c r="R89" s="437"/>
      <c r="S89" s="437"/>
      <c r="T89" s="437"/>
      <c r="U89" s="437"/>
    </row>
    <row r="90" spans="1:21" hidden="1" x14ac:dyDescent="0.25">
      <c r="A90" s="588"/>
      <c r="B90" s="572"/>
      <c r="C90" s="437" t="s">
        <v>623</v>
      </c>
      <c r="D90" s="437" t="s">
        <v>590</v>
      </c>
      <c r="E90" s="437" t="s">
        <v>623</v>
      </c>
      <c r="F90" s="437">
        <v>300000</v>
      </c>
      <c r="G90" s="437"/>
      <c r="H90" s="437"/>
      <c r="I90" s="437">
        <v>2260000</v>
      </c>
      <c r="J90" s="437"/>
      <c r="K90" s="437"/>
      <c r="L90" s="437"/>
      <c r="M90" s="437">
        <f t="shared" si="8"/>
        <v>0</v>
      </c>
      <c r="N90" s="437"/>
      <c r="O90" s="437"/>
      <c r="P90" s="437"/>
      <c r="Q90" s="551"/>
      <c r="R90" s="437"/>
      <c r="S90" s="437"/>
      <c r="T90" s="437"/>
      <c r="U90" s="437"/>
    </row>
    <row r="91" spans="1:21" hidden="1" x14ac:dyDescent="0.25">
      <c r="A91" s="588"/>
      <c r="B91" s="572"/>
      <c r="C91" s="437" t="s">
        <v>623</v>
      </c>
      <c r="D91" s="437" t="s">
        <v>586</v>
      </c>
      <c r="E91" s="437" t="s">
        <v>623</v>
      </c>
      <c r="F91" s="437">
        <v>400000</v>
      </c>
      <c r="G91" s="437"/>
      <c r="H91" s="437"/>
      <c r="I91" s="437">
        <v>2260000</v>
      </c>
      <c r="J91" s="437"/>
      <c r="K91" s="437"/>
      <c r="L91" s="437"/>
      <c r="M91" s="437">
        <f t="shared" si="8"/>
        <v>0</v>
      </c>
      <c r="N91" s="437"/>
      <c r="O91" s="437"/>
      <c r="P91" s="437"/>
      <c r="Q91" s="551"/>
      <c r="R91" s="437"/>
      <c r="S91" s="437"/>
      <c r="T91" s="437"/>
      <c r="U91" s="437"/>
    </row>
    <row r="92" spans="1:21" x14ac:dyDescent="0.25">
      <c r="A92" s="588"/>
      <c r="B92" s="572" t="s">
        <v>625</v>
      </c>
      <c r="C92" s="437" t="s">
        <v>623</v>
      </c>
      <c r="D92" s="437" t="s">
        <v>586</v>
      </c>
      <c r="E92" s="437" t="s">
        <v>626</v>
      </c>
      <c r="F92" s="437"/>
      <c r="G92" s="437"/>
      <c r="H92" s="437"/>
      <c r="I92" s="437"/>
      <c r="J92" s="437"/>
      <c r="K92" s="437"/>
      <c r="L92" s="437">
        <v>3453600</v>
      </c>
      <c r="M92" s="437">
        <f t="shared" si="8"/>
        <v>2675000</v>
      </c>
      <c r="N92" s="437"/>
      <c r="O92" s="437"/>
      <c r="P92" s="437">
        <v>2675000</v>
      </c>
      <c r="Q92" s="551" t="s">
        <v>78</v>
      </c>
      <c r="R92" s="437">
        <v>9717158</v>
      </c>
      <c r="S92" s="437"/>
      <c r="T92" s="437"/>
      <c r="U92" s="437"/>
    </row>
    <row r="93" spans="1:21" x14ac:dyDescent="0.25">
      <c r="A93" s="588"/>
      <c r="B93" s="572"/>
      <c r="C93" s="437" t="s">
        <v>623</v>
      </c>
      <c r="D93" s="437" t="s">
        <v>562</v>
      </c>
      <c r="E93" s="437" t="s">
        <v>627</v>
      </c>
      <c r="F93" s="437"/>
      <c r="G93" s="437"/>
      <c r="H93" s="437"/>
      <c r="I93" s="437"/>
      <c r="J93" s="437"/>
      <c r="K93" s="437"/>
      <c r="L93" s="437"/>
      <c r="M93" s="437"/>
      <c r="N93" s="437"/>
      <c r="O93" s="437"/>
      <c r="P93" s="437"/>
      <c r="Q93" s="551" t="s">
        <v>628</v>
      </c>
      <c r="R93" s="437">
        <v>1200000</v>
      </c>
      <c r="S93" s="437"/>
      <c r="T93" s="437"/>
      <c r="U93" s="437"/>
    </row>
    <row r="94" spans="1:21" x14ac:dyDescent="0.25">
      <c r="A94" s="588"/>
      <c r="B94" s="572"/>
      <c r="C94" s="437" t="s">
        <v>623</v>
      </c>
      <c r="D94" s="437" t="s">
        <v>562</v>
      </c>
      <c r="E94" s="437" t="s">
        <v>629</v>
      </c>
      <c r="F94" s="437"/>
      <c r="G94" s="437"/>
      <c r="H94" s="437"/>
      <c r="I94" s="437"/>
      <c r="J94" s="437"/>
      <c r="K94" s="437"/>
      <c r="L94" s="437"/>
      <c r="M94" s="437"/>
      <c r="N94" s="437"/>
      <c r="O94" s="437"/>
      <c r="P94" s="437"/>
      <c r="Q94" s="551" t="s">
        <v>628</v>
      </c>
      <c r="R94" s="437">
        <v>1000000</v>
      </c>
      <c r="S94" s="437">
        <v>2023000</v>
      </c>
      <c r="T94" s="437"/>
      <c r="U94" s="437"/>
    </row>
    <row r="95" spans="1:21" x14ac:dyDescent="0.25">
      <c r="A95" s="588"/>
      <c r="B95" s="572"/>
      <c r="C95" s="437"/>
      <c r="D95" s="437" t="s">
        <v>562</v>
      </c>
      <c r="E95" s="437"/>
      <c r="F95" s="437"/>
      <c r="G95" s="437"/>
      <c r="H95" s="437"/>
      <c r="I95" s="437"/>
      <c r="J95" s="437"/>
      <c r="K95" s="437"/>
      <c r="L95" s="437"/>
      <c r="M95" s="437"/>
      <c r="N95" s="437"/>
      <c r="O95" s="437"/>
      <c r="P95" s="437"/>
      <c r="Q95" s="551"/>
      <c r="R95" s="437"/>
      <c r="S95" s="437"/>
      <c r="T95" s="437"/>
      <c r="U95" s="437"/>
    </row>
    <row r="96" spans="1:21" x14ac:dyDescent="0.25">
      <c r="A96" s="588"/>
      <c r="B96" s="572"/>
      <c r="C96" s="437"/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437"/>
      <c r="Q96" s="551"/>
      <c r="R96" s="437"/>
      <c r="S96" s="437"/>
      <c r="T96" s="437"/>
      <c r="U96" s="437"/>
    </row>
    <row r="97" spans="1:22" x14ac:dyDescent="0.25">
      <c r="A97" s="588"/>
      <c r="B97" s="552"/>
      <c r="C97" s="529"/>
      <c r="D97" s="529"/>
      <c r="E97" s="529"/>
      <c r="F97" s="529"/>
      <c r="G97" s="529"/>
      <c r="H97" s="529"/>
      <c r="I97" s="529"/>
      <c r="J97" s="529"/>
      <c r="K97" s="529"/>
      <c r="L97" s="529"/>
      <c r="M97" s="529"/>
      <c r="N97" s="529"/>
      <c r="O97" s="529"/>
      <c r="P97" s="529"/>
      <c r="Q97" s="553"/>
      <c r="R97" s="529"/>
      <c r="S97" s="529"/>
      <c r="T97" s="590"/>
      <c r="U97" s="590"/>
    </row>
    <row r="98" spans="1:22" ht="13.8" thickBot="1" x14ac:dyDescent="0.3">
      <c r="A98" s="588"/>
      <c r="B98" s="554" t="s">
        <v>630</v>
      </c>
      <c r="C98" s="529"/>
      <c r="D98" s="529"/>
      <c r="E98" s="529"/>
      <c r="F98" s="529"/>
      <c r="G98" s="529"/>
      <c r="H98" s="529"/>
      <c r="I98" s="529"/>
      <c r="J98" s="529"/>
      <c r="K98" s="529"/>
      <c r="L98" s="529"/>
      <c r="M98" s="531">
        <f>SUM(M86:M97)</f>
        <v>2675000</v>
      </c>
      <c r="N98" s="531">
        <f>SUM(N86:N97)</f>
        <v>0</v>
      </c>
      <c r="O98" s="531">
        <f>SUM(O86:O97)</f>
        <v>0</v>
      </c>
      <c r="P98" s="531">
        <f>SUM(P86:P97)</f>
        <v>2675000</v>
      </c>
      <c r="Q98" s="555"/>
      <c r="R98" s="531">
        <f>SUM(R86:R97)</f>
        <v>11917158</v>
      </c>
      <c r="S98" s="531">
        <f>SUM(S86:S97)</f>
        <v>2023000</v>
      </c>
      <c r="T98" s="531">
        <f>SUM(T86:T97)</f>
        <v>0</v>
      </c>
      <c r="U98" s="531">
        <f>SUM(U86:U97)</f>
        <v>0</v>
      </c>
    </row>
    <row r="99" spans="1:22" ht="13.8" thickTop="1" x14ac:dyDescent="0.25">
      <c r="A99" s="588"/>
      <c r="B99" s="552"/>
      <c r="C99" s="529"/>
      <c r="D99" s="529"/>
      <c r="E99" s="529"/>
      <c r="F99" s="529"/>
      <c r="G99" s="529"/>
      <c r="H99" s="529"/>
      <c r="I99" s="529"/>
      <c r="J99" s="529"/>
      <c r="K99" s="529"/>
      <c r="L99" s="529"/>
      <c r="M99" s="529"/>
      <c r="N99" s="529"/>
      <c r="O99" s="529"/>
      <c r="P99" s="529"/>
      <c r="Q99" s="553"/>
      <c r="R99" s="529"/>
      <c r="S99" s="529"/>
      <c r="T99" s="590"/>
      <c r="U99" s="588"/>
    </row>
    <row r="100" spans="1:22" x14ac:dyDescent="0.25">
      <c r="A100" s="588"/>
      <c r="B100" s="571" t="s">
        <v>10</v>
      </c>
      <c r="C100" s="532" t="s">
        <v>552</v>
      </c>
      <c r="D100" s="532" t="s">
        <v>553</v>
      </c>
      <c r="E100" s="532" t="s">
        <v>22</v>
      </c>
      <c r="F100" s="533" t="s">
        <v>554</v>
      </c>
      <c r="G100" s="533" t="s">
        <v>555</v>
      </c>
      <c r="H100" s="533" t="s">
        <v>556</v>
      </c>
      <c r="I100" s="534" t="s">
        <v>178</v>
      </c>
      <c r="J100" s="534" t="s">
        <v>179</v>
      </c>
      <c r="K100" s="534" t="s">
        <v>240</v>
      </c>
      <c r="L100" s="534" t="s">
        <v>245</v>
      </c>
      <c r="M100" s="534" t="s">
        <v>257</v>
      </c>
      <c r="N100" s="534" t="s">
        <v>496</v>
      </c>
      <c r="O100" s="532" t="s">
        <v>557</v>
      </c>
      <c r="P100" s="532" t="s">
        <v>78</v>
      </c>
      <c r="Q100" s="551"/>
      <c r="R100" s="534" t="s">
        <v>384</v>
      </c>
      <c r="S100" s="534" t="s">
        <v>409</v>
      </c>
      <c r="T100" s="534" t="s">
        <v>416</v>
      </c>
      <c r="U100" s="534" t="s">
        <v>938</v>
      </c>
    </row>
    <row r="101" spans="1:22" x14ac:dyDescent="0.25">
      <c r="A101" s="588"/>
      <c r="B101" s="572"/>
      <c r="C101" s="437" t="s">
        <v>631</v>
      </c>
      <c r="D101" s="437" t="s">
        <v>632</v>
      </c>
      <c r="E101" s="437" t="s">
        <v>633</v>
      </c>
      <c r="F101" s="437">
        <v>0</v>
      </c>
      <c r="G101" s="437">
        <v>0</v>
      </c>
      <c r="H101" s="437">
        <f>J101+O7+P7</f>
        <v>0</v>
      </c>
      <c r="I101" s="437"/>
      <c r="J101" s="437"/>
      <c r="K101" s="437"/>
      <c r="L101" s="437"/>
      <c r="M101" s="437">
        <f>+N101+O7+P7</f>
        <v>8000000</v>
      </c>
      <c r="N101" s="437">
        <v>8000000</v>
      </c>
      <c r="O101" s="437"/>
      <c r="P101" s="437"/>
      <c r="Q101" s="551"/>
      <c r="R101" s="437"/>
      <c r="S101" s="437"/>
      <c r="T101" s="437"/>
      <c r="U101" s="437"/>
    </row>
    <row r="102" spans="1:22" x14ac:dyDescent="0.25">
      <c r="A102" s="588"/>
      <c r="B102" s="572" t="s">
        <v>634</v>
      </c>
      <c r="C102" s="437" t="s">
        <v>631</v>
      </c>
      <c r="D102" s="437" t="s">
        <v>588</v>
      </c>
      <c r="E102" s="437" t="s">
        <v>635</v>
      </c>
      <c r="F102" s="437">
        <v>1200000</v>
      </c>
      <c r="G102" s="437"/>
      <c r="H102" s="437">
        <f>J102+O102+P104</f>
        <v>0</v>
      </c>
      <c r="I102" s="437"/>
      <c r="J102" s="437"/>
      <c r="K102" s="437"/>
      <c r="L102" s="437"/>
      <c r="M102" s="437">
        <f>+N102+O102+P102</f>
        <v>2712982</v>
      </c>
      <c r="N102" s="437"/>
      <c r="O102" s="437"/>
      <c r="P102" s="437">
        <v>2712982</v>
      </c>
      <c r="Q102" s="551" t="s">
        <v>78</v>
      </c>
      <c r="R102" s="437">
        <v>600000</v>
      </c>
      <c r="S102" s="437"/>
      <c r="T102" s="437"/>
      <c r="U102" s="437"/>
      <c r="V102" s="601"/>
    </row>
    <row r="103" spans="1:22" x14ac:dyDescent="0.25">
      <c r="A103" s="588"/>
      <c r="B103" s="572"/>
      <c r="C103" s="437" t="s">
        <v>631</v>
      </c>
      <c r="D103" s="437" t="s">
        <v>588</v>
      </c>
      <c r="E103" s="437" t="s">
        <v>635</v>
      </c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551"/>
      <c r="R103" s="437"/>
      <c r="S103" s="437"/>
      <c r="T103" s="437"/>
      <c r="U103" s="437"/>
    </row>
    <row r="104" spans="1:22" x14ac:dyDescent="0.25">
      <c r="A104" s="588"/>
      <c r="B104" s="572"/>
      <c r="C104" s="437" t="s">
        <v>631</v>
      </c>
      <c r="D104" s="437" t="s">
        <v>588</v>
      </c>
      <c r="E104" s="437" t="s">
        <v>636</v>
      </c>
      <c r="F104" s="437">
        <v>300000</v>
      </c>
      <c r="G104" s="437"/>
      <c r="H104" s="437">
        <v>300000</v>
      </c>
      <c r="I104" s="437"/>
      <c r="J104" s="437"/>
      <c r="K104" s="437">
        <v>5043847</v>
      </c>
      <c r="L104" s="437"/>
      <c r="M104" s="437">
        <f>+N104+O104+P104</f>
        <v>600000</v>
      </c>
      <c r="N104" s="437"/>
      <c r="O104" s="437">
        <v>600000</v>
      </c>
      <c r="P104" s="437"/>
      <c r="Q104" s="551" t="s">
        <v>496</v>
      </c>
      <c r="R104" s="437">
        <v>17000000</v>
      </c>
      <c r="S104" s="437">
        <v>46000000</v>
      </c>
      <c r="T104" s="437">
        <v>60000000</v>
      </c>
      <c r="U104" s="437">
        <v>72000000</v>
      </c>
    </row>
    <row r="105" spans="1:22" x14ac:dyDescent="0.25">
      <c r="A105" s="588"/>
      <c r="B105" s="572"/>
      <c r="C105" s="437" t="s">
        <v>631</v>
      </c>
      <c r="D105" s="437" t="s">
        <v>584</v>
      </c>
      <c r="E105" s="437" t="s">
        <v>637</v>
      </c>
      <c r="F105" s="437"/>
      <c r="G105" s="437"/>
      <c r="H105" s="437"/>
      <c r="I105" s="437"/>
      <c r="J105" s="437"/>
      <c r="K105" s="437"/>
      <c r="L105" s="437"/>
      <c r="M105" s="437"/>
      <c r="N105" s="437"/>
      <c r="O105" s="437"/>
      <c r="P105" s="437"/>
      <c r="Q105" s="551" t="s">
        <v>78</v>
      </c>
      <c r="R105" s="437"/>
      <c r="S105" s="437"/>
      <c r="T105" s="437"/>
      <c r="U105" s="437"/>
    </row>
    <row r="106" spans="1:22" x14ac:dyDescent="0.25">
      <c r="A106" s="588"/>
      <c r="B106" s="572" t="s">
        <v>638</v>
      </c>
      <c r="C106" s="437" t="s">
        <v>631</v>
      </c>
      <c r="D106" s="437" t="s">
        <v>584</v>
      </c>
      <c r="E106" s="437" t="s">
        <v>639</v>
      </c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551" t="s">
        <v>78</v>
      </c>
      <c r="R106" s="437">
        <v>907477</v>
      </c>
      <c r="S106" s="437"/>
      <c r="T106" s="437">
        <v>2790431</v>
      </c>
      <c r="U106" s="437"/>
    </row>
    <row r="107" spans="1:22" x14ac:dyDescent="0.25">
      <c r="A107" s="588"/>
      <c r="B107" s="572"/>
      <c r="C107" s="437" t="s">
        <v>631</v>
      </c>
      <c r="D107" s="437" t="s">
        <v>588</v>
      </c>
      <c r="E107" s="437" t="s">
        <v>635</v>
      </c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  <c r="P107" s="437"/>
      <c r="Q107" s="551" t="s">
        <v>78</v>
      </c>
      <c r="R107" s="437"/>
      <c r="S107" s="437"/>
      <c r="T107" s="437"/>
      <c r="U107" s="437"/>
    </row>
    <row r="108" spans="1:22" hidden="1" x14ac:dyDescent="0.25">
      <c r="A108" s="588"/>
      <c r="B108" s="572"/>
      <c r="C108" s="437" t="s">
        <v>631</v>
      </c>
      <c r="D108" s="437" t="s">
        <v>640</v>
      </c>
      <c r="E108" s="437" t="s">
        <v>641</v>
      </c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  <c r="P108" s="437"/>
      <c r="Q108" s="551" t="s">
        <v>78</v>
      </c>
      <c r="R108" s="437"/>
      <c r="S108" s="437"/>
      <c r="T108" s="437"/>
      <c r="U108" s="437"/>
    </row>
    <row r="109" spans="1:22" hidden="1" x14ac:dyDescent="0.25">
      <c r="A109" s="588"/>
      <c r="B109" s="572"/>
      <c r="C109" s="437" t="s">
        <v>631</v>
      </c>
      <c r="D109" s="437" t="s">
        <v>640</v>
      </c>
      <c r="E109" s="437" t="s">
        <v>642</v>
      </c>
      <c r="F109" s="437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551" t="s">
        <v>78</v>
      </c>
      <c r="R109" s="437"/>
      <c r="S109" s="437"/>
      <c r="T109" s="437"/>
      <c r="U109" s="437"/>
    </row>
    <row r="110" spans="1:22" hidden="1" x14ac:dyDescent="0.25">
      <c r="A110" s="588"/>
      <c r="B110" s="572"/>
      <c r="C110" s="437"/>
      <c r="D110" s="437" t="s">
        <v>584</v>
      </c>
      <c r="E110" s="437" t="s">
        <v>643</v>
      </c>
      <c r="F110" s="437"/>
      <c r="G110" s="437"/>
      <c r="H110" s="437"/>
      <c r="I110" s="437"/>
      <c r="J110" s="437"/>
      <c r="K110" s="437"/>
      <c r="L110" s="437"/>
      <c r="M110" s="437"/>
      <c r="N110" s="437"/>
      <c r="O110" s="437"/>
      <c r="P110" s="437"/>
      <c r="Q110" s="551"/>
      <c r="R110" s="437"/>
      <c r="S110" s="437"/>
      <c r="T110" s="437"/>
      <c r="U110" s="437"/>
    </row>
    <row r="111" spans="1:22" hidden="1" x14ac:dyDescent="0.25">
      <c r="A111" s="588"/>
      <c r="B111" s="572"/>
      <c r="C111" s="437" t="s">
        <v>631</v>
      </c>
      <c r="D111" s="437" t="s">
        <v>586</v>
      </c>
      <c r="E111" s="437" t="s">
        <v>637</v>
      </c>
      <c r="F111" s="437"/>
      <c r="G111" s="437"/>
      <c r="H111" s="437"/>
      <c r="I111" s="437"/>
      <c r="J111" s="437"/>
      <c r="K111" s="437"/>
      <c r="L111" s="437"/>
      <c r="M111" s="437"/>
      <c r="N111" s="437"/>
      <c r="O111" s="437"/>
      <c r="P111" s="437"/>
      <c r="Q111" s="551" t="s">
        <v>78</v>
      </c>
      <c r="R111" s="437"/>
      <c r="S111" s="437"/>
      <c r="T111" s="437"/>
      <c r="U111" s="437"/>
      <c r="V111" s="601"/>
    </row>
    <row r="112" spans="1:22" hidden="1" x14ac:dyDescent="0.25">
      <c r="A112" s="588"/>
      <c r="B112" s="572"/>
      <c r="C112" s="437" t="s">
        <v>631</v>
      </c>
      <c r="D112" s="437" t="s">
        <v>640</v>
      </c>
      <c r="E112" s="437" t="s">
        <v>644</v>
      </c>
      <c r="F112" s="437"/>
      <c r="G112" s="437"/>
      <c r="H112" s="437"/>
      <c r="I112" s="437"/>
      <c r="J112" s="437"/>
      <c r="K112" s="437"/>
      <c r="L112" s="437"/>
      <c r="M112" s="437"/>
      <c r="N112" s="437"/>
      <c r="O112" s="437"/>
      <c r="P112" s="437"/>
      <c r="Q112" s="551" t="s">
        <v>78</v>
      </c>
      <c r="R112" s="437"/>
      <c r="S112" s="437"/>
      <c r="T112" s="437"/>
      <c r="U112" s="437"/>
    </row>
    <row r="113" spans="1:22" hidden="1" x14ac:dyDescent="0.25">
      <c r="A113" s="588"/>
      <c r="B113" s="572"/>
      <c r="C113" s="437"/>
      <c r="D113" s="437"/>
      <c r="E113" s="437"/>
      <c r="F113" s="437"/>
      <c r="G113" s="437"/>
      <c r="H113" s="437"/>
      <c r="I113" s="437"/>
      <c r="J113" s="437"/>
      <c r="K113" s="437"/>
      <c r="L113" s="437"/>
      <c r="M113" s="437"/>
      <c r="N113" s="437"/>
      <c r="O113" s="437"/>
      <c r="P113" s="437"/>
      <c r="Q113" s="551"/>
      <c r="R113" s="437"/>
      <c r="S113" s="437"/>
      <c r="T113" s="437"/>
      <c r="U113" s="437"/>
    </row>
    <row r="114" spans="1:22" x14ac:dyDescent="0.25">
      <c r="A114" s="588"/>
      <c r="B114" s="572"/>
      <c r="C114" s="437" t="s">
        <v>631</v>
      </c>
      <c r="D114" s="437" t="s">
        <v>586</v>
      </c>
      <c r="E114" s="437" t="s">
        <v>645</v>
      </c>
      <c r="F114" s="437"/>
      <c r="G114" s="437"/>
      <c r="H114" s="437"/>
      <c r="I114" s="437"/>
      <c r="J114" s="437"/>
      <c r="K114" s="437"/>
      <c r="L114" s="437"/>
      <c r="M114" s="437"/>
      <c r="N114" s="437"/>
      <c r="O114" s="437"/>
      <c r="P114" s="437"/>
      <c r="Q114" s="551" t="s">
        <v>78</v>
      </c>
      <c r="R114" s="437"/>
      <c r="S114" s="437"/>
      <c r="T114" s="437"/>
      <c r="U114" s="437"/>
    </row>
    <row r="115" spans="1:22" s="433" customFormat="1" x14ac:dyDescent="0.25">
      <c r="A115" s="588"/>
      <c r="B115" s="572" t="s">
        <v>646</v>
      </c>
      <c r="C115" s="437" t="s">
        <v>631</v>
      </c>
      <c r="D115" s="437" t="s">
        <v>586</v>
      </c>
      <c r="E115" s="437" t="s">
        <v>637</v>
      </c>
      <c r="F115" s="437"/>
      <c r="G115" s="437"/>
      <c r="H115" s="437"/>
      <c r="I115" s="437"/>
      <c r="J115" s="437"/>
      <c r="K115" s="437"/>
      <c r="L115" s="437"/>
      <c r="M115" s="437"/>
      <c r="N115" s="437"/>
      <c r="O115" s="437"/>
      <c r="P115" s="437"/>
      <c r="Q115" s="551" t="s">
        <v>78</v>
      </c>
      <c r="R115" s="437">
        <v>5915469</v>
      </c>
      <c r="S115" s="437">
        <v>4721150</v>
      </c>
      <c r="T115" s="437">
        <v>654939</v>
      </c>
      <c r="U115" s="437"/>
      <c r="V115" s="601"/>
    </row>
    <row r="116" spans="1:22" s="433" customFormat="1" x14ac:dyDescent="0.25">
      <c r="A116" s="588"/>
      <c r="B116" s="572" t="s">
        <v>647</v>
      </c>
      <c r="C116" s="437" t="s">
        <v>648</v>
      </c>
      <c r="D116" s="437" t="s">
        <v>649</v>
      </c>
      <c r="E116" s="437" t="s">
        <v>650</v>
      </c>
      <c r="F116" s="437"/>
      <c r="G116" s="437"/>
      <c r="H116" s="437"/>
      <c r="I116" s="437"/>
      <c r="J116" s="437"/>
      <c r="K116" s="437"/>
      <c r="L116" s="437"/>
      <c r="M116" s="437"/>
      <c r="N116" s="437"/>
      <c r="O116" s="437"/>
      <c r="P116" s="437"/>
      <c r="Q116" s="551" t="s">
        <v>78</v>
      </c>
      <c r="R116" s="437">
        <v>300000</v>
      </c>
      <c r="S116" s="437"/>
      <c r="T116" s="437"/>
      <c r="U116" s="437"/>
      <c r="V116" s="601"/>
    </row>
    <row r="117" spans="1:22" s="433" customFormat="1" x14ac:dyDescent="0.25">
      <c r="A117" s="588"/>
      <c r="B117" s="574"/>
      <c r="C117" s="536" t="s">
        <v>631</v>
      </c>
      <c r="D117" s="536" t="s">
        <v>586</v>
      </c>
      <c r="E117" s="536" t="s">
        <v>651</v>
      </c>
      <c r="F117" s="536">
        <v>700000</v>
      </c>
      <c r="G117" s="536"/>
      <c r="H117" s="536"/>
      <c r="I117" s="536"/>
      <c r="J117" s="536"/>
      <c r="K117" s="536">
        <v>1738605</v>
      </c>
      <c r="L117" s="536"/>
      <c r="M117" s="536">
        <f>+N117+O117+P117</f>
        <v>0</v>
      </c>
      <c r="N117" s="536"/>
      <c r="O117" s="536"/>
      <c r="P117" s="536"/>
      <c r="Q117" s="561"/>
      <c r="R117" s="536"/>
      <c r="S117" s="536"/>
      <c r="T117" s="536"/>
      <c r="U117" s="536"/>
      <c r="V117" s="601"/>
    </row>
    <row r="118" spans="1:22" x14ac:dyDescent="0.25">
      <c r="A118" s="599"/>
      <c r="B118" s="587"/>
      <c r="C118" s="437" t="s">
        <v>631</v>
      </c>
      <c r="D118" s="437" t="s">
        <v>562</v>
      </c>
      <c r="E118" s="437" t="s">
        <v>652</v>
      </c>
      <c r="F118" s="437"/>
      <c r="G118" s="437"/>
      <c r="H118" s="437"/>
      <c r="I118" s="437"/>
      <c r="J118" s="437"/>
      <c r="K118" s="437"/>
      <c r="L118" s="437"/>
      <c r="M118" s="437"/>
      <c r="N118" s="437"/>
      <c r="O118" s="437"/>
      <c r="P118" s="437"/>
      <c r="Q118" s="551" t="s">
        <v>557</v>
      </c>
      <c r="R118" s="437">
        <v>50000</v>
      </c>
      <c r="S118" s="437"/>
      <c r="T118" s="437"/>
      <c r="U118" s="437"/>
    </row>
    <row r="119" spans="1:22" x14ac:dyDescent="0.25">
      <c r="A119" s="588"/>
      <c r="B119" s="552" t="s">
        <v>939</v>
      </c>
      <c r="C119" s="437" t="s">
        <v>631</v>
      </c>
      <c r="D119" s="437" t="s">
        <v>640</v>
      </c>
      <c r="E119" s="437" t="s">
        <v>940</v>
      </c>
      <c r="F119" s="437"/>
      <c r="G119" s="437"/>
      <c r="H119" s="437"/>
      <c r="I119" s="437"/>
      <c r="J119" s="437"/>
      <c r="K119" s="437"/>
      <c r="L119" s="437"/>
      <c r="M119" s="437"/>
      <c r="N119" s="437"/>
      <c r="O119" s="437"/>
      <c r="P119" s="437"/>
      <c r="Q119" s="551" t="s">
        <v>78</v>
      </c>
      <c r="R119" s="437"/>
      <c r="S119" s="437">
        <v>183000</v>
      </c>
      <c r="T119" s="437"/>
      <c r="U119" s="437"/>
    </row>
    <row r="120" spans="1:22" x14ac:dyDescent="0.25">
      <c r="A120" s="588"/>
      <c r="B120" s="552" t="s">
        <v>942</v>
      </c>
      <c r="C120" s="437" t="s">
        <v>631</v>
      </c>
      <c r="D120" s="437" t="s">
        <v>640</v>
      </c>
      <c r="E120" s="437" t="s">
        <v>941</v>
      </c>
      <c r="F120" s="437"/>
      <c r="G120" s="437"/>
      <c r="H120" s="437"/>
      <c r="I120" s="437"/>
      <c r="J120" s="437"/>
      <c r="K120" s="437"/>
      <c r="L120" s="437"/>
      <c r="M120" s="437"/>
      <c r="N120" s="437"/>
      <c r="O120" s="437"/>
      <c r="P120" s="437"/>
      <c r="Q120" s="551" t="s">
        <v>78</v>
      </c>
      <c r="R120" s="437"/>
      <c r="S120" s="437">
        <v>4454309</v>
      </c>
      <c r="T120" s="437">
        <v>210000</v>
      </c>
      <c r="U120" s="437"/>
    </row>
    <row r="121" spans="1:22" x14ac:dyDescent="0.25">
      <c r="A121" s="588"/>
      <c r="B121" s="552" t="s">
        <v>943</v>
      </c>
      <c r="C121" s="437" t="s">
        <v>631</v>
      </c>
      <c r="D121" s="437" t="s">
        <v>640</v>
      </c>
      <c r="E121" s="437" t="s">
        <v>944</v>
      </c>
      <c r="F121" s="437"/>
      <c r="G121" s="437"/>
      <c r="H121" s="437"/>
      <c r="I121" s="437"/>
      <c r="J121" s="437"/>
      <c r="K121" s="437"/>
      <c r="L121" s="437"/>
      <c r="M121" s="437"/>
      <c r="N121" s="437"/>
      <c r="O121" s="437"/>
      <c r="P121" s="437"/>
      <c r="Q121" s="551" t="s">
        <v>78</v>
      </c>
      <c r="R121" s="437"/>
      <c r="S121" s="437">
        <v>87000</v>
      </c>
      <c r="T121" s="437"/>
      <c r="U121" s="437"/>
    </row>
    <row r="122" spans="1:22" x14ac:dyDescent="0.25">
      <c r="A122" s="588"/>
      <c r="B122" s="552"/>
      <c r="C122" s="529"/>
      <c r="D122" s="529"/>
      <c r="E122" s="529"/>
      <c r="F122" s="529"/>
      <c r="G122" s="529"/>
      <c r="H122" s="529"/>
      <c r="I122" s="529"/>
      <c r="J122" s="529"/>
      <c r="K122" s="529"/>
      <c r="L122" s="529"/>
      <c r="M122" s="529"/>
      <c r="N122" s="529"/>
      <c r="O122" s="529"/>
      <c r="P122" s="529"/>
      <c r="Q122" s="553"/>
      <c r="R122" s="529"/>
      <c r="S122" s="529"/>
      <c r="T122" s="529"/>
      <c r="U122" s="529"/>
    </row>
    <row r="123" spans="1:22" ht="13.8" thickBot="1" x14ac:dyDescent="0.3">
      <c r="A123" s="588"/>
      <c r="B123" s="554" t="s">
        <v>653</v>
      </c>
      <c r="C123" s="529"/>
      <c r="D123" s="529"/>
      <c r="E123" s="529"/>
      <c r="F123" s="529"/>
      <c r="G123" s="529"/>
      <c r="H123" s="529"/>
      <c r="I123" s="529"/>
      <c r="J123" s="529"/>
      <c r="K123" s="529"/>
      <c r="L123" s="529"/>
      <c r="M123" s="531">
        <f>SUM(M101:M122)</f>
        <v>11312982</v>
      </c>
      <c r="N123" s="531">
        <f>SUM(N101:N122)</f>
        <v>8000000</v>
      </c>
      <c r="O123" s="531">
        <f>SUM(O101:O122)</f>
        <v>600000</v>
      </c>
      <c r="P123" s="531">
        <f>SUM(P101:P122)</f>
        <v>2712982</v>
      </c>
      <c r="Q123" s="555"/>
      <c r="R123" s="531">
        <f>SUM(R101:R122)</f>
        <v>24772946</v>
      </c>
      <c r="S123" s="531">
        <f>SUM(S101:S122)</f>
        <v>55445459</v>
      </c>
      <c r="T123" s="531">
        <f>SUM(T101:T122)</f>
        <v>63655370</v>
      </c>
      <c r="U123" s="531">
        <f>SUM(U101:U122)</f>
        <v>72000000</v>
      </c>
    </row>
    <row r="124" spans="1:22" ht="13.8" thickTop="1" x14ac:dyDescent="0.25">
      <c r="A124" s="588"/>
      <c r="B124" s="552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53"/>
      <c r="R124" s="529"/>
      <c r="S124" s="529"/>
      <c r="T124" s="529"/>
      <c r="U124" s="588"/>
    </row>
    <row r="125" spans="1:22" x14ac:dyDescent="0.25">
      <c r="A125" s="588"/>
      <c r="B125" s="571" t="s">
        <v>122</v>
      </c>
      <c r="C125" s="532" t="s">
        <v>552</v>
      </c>
      <c r="D125" s="532" t="s">
        <v>553</v>
      </c>
      <c r="E125" s="532" t="s">
        <v>22</v>
      </c>
      <c r="F125" s="533" t="s">
        <v>554</v>
      </c>
      <c r="G125" s="533" t="s">
        <v>555</v>
      </c>
      <c r="H125" s="533" t="s">
        <v>556</v>
      </c>
      <c r="I125" s="534" t="s">
        <v>178</v>
      </c>
      <c r="J125" s="534" t="s">
        <v>179</v>
      </c>
      <c r="K125" s="534" t="s">
        <v>240</v>
      </c>
      <c r="L125" s="534" t="s">
        <v>245</v>
      </c>
      <c r="M125" s="534" t="s">
        <v>257</v>
      </c>
      <c r="N125" s="534" t="s">
        <v>496</v>
      </c>
      <c r="O125" s="532" t="s">
        <v>557</v>
      </c>
      <c r="P125" s="532" t="s">
        <v>78</v>
      </c>
      <c r="Q125" s="551"/>
      <c r="R125" s="534" t="s">
        <v>384</v>
      </c>
      <c r="S125" s="534" t="s">
        <v>409</v>
      </c>
      <c r="T125" s="534" t="s">
        <v>416</v>
      </c>
      <c r="U125" s="534" t="s">
        <v>938</v>
      </c>
    </row>
    <row r="126" spans="1:22" x14ac:dyDescent="0.25">
      <c r="A126" s="588"/>
      <c r="B126" s="573"/>
      <c r="C126" s="437" t="s">
        <v>654</v>
      </c>
      <c r="D126" s="437" t="s">
        <v>562</v>
      </c>
      <c r="E126" s="437" t="s">
        <v>654</v>
      </c>
      <c r="F126" s="437">
        <v>0</v>
      </c>
      <c r="G126" s="437">
        <v>2732000</v>
      </c>
      <c r="H126" s="437">
        <f t="shared" ref="H126:H133" si="9">J126+O126+P126</f>
        <v>0</v>
      </c>
      <c r="I126" s="437"/>
      <c r="J126" s="437"/>
      <c r="K126" s="437"/>
      <c r="L126" s="437"/>
      <c r="M126" s="437">
        <f>+N126+O126+P126</f>
        <v>0</v>
      </c>
      <c r="N126" s="437"/>
      <c r="O126" s="437"/>
      <c r="P126" s="437"/>
      <c r="Q126" s="551"/>
      <c r="R126" s="437"/>
      <c r="S126" s="437"/>
      <c r="T126" s="437"/>
      <c r="U126" s="437"/>
    </row>
    <row r="127" spans="1:22" hidden="1" x14ac:dyDescent="0.25">
      <c r="A127" s="588"/>
      <c r="B127" s="572"/>
      <c r="C127" s="437" t="s">
        <v>654</v>
      </c>
      <c r="D127" s="437" t="s">
        <v>562</v>
      </c>
      <c r="E127" s="437" t="s">
        <v>588</v>
      </c>
      <c r="F127" s="437">
        <v>150000</v>
      </c>
      <c r="G127" s="437"/>
      <c r="H127" s="437">
        <f t="shared" si="9"/>
        <v>0</v>
      </c>
      <c r="I127" s="437"/>
      <c r="J127" s="437"/>
      <c r="K127" s="437"/>
      <c r="L127" s="437"/>
      <c r="M127" s="437">
        <f t="shared" ref="M127:M134" si="10">+N127+O127+P127</f>
        <v>0</v>
      </c>
      <c r="N127" s="437"/>
      <c r="O127" s="437"/>
      <c r="P127" s="437"/>
      <c r="Q127" s="551"/>
      <c r="R127" s="437"/>
      <c r="S127" s="437"/>
      <c r="T127" s="437"/>
      <c r="U127" s="437"/>
    </row>
    <row r="128" spans="1:22" hidden="1" x14ac:dyDescent="0.25">
      <c r="A128" s="588"/>
      <c r="B128" s="572"/>
      <c r="C128" s="437" t="s">
        <v>654</v>
      </c>
      <c r="D128" s="437" t="s">
        <v>562</v>
      </c>
      <c r="E128" s="437" t="s">
        <v>589</v>
      </c>
      <c r="F128" s="437">
        <v>100000</v>
      </c>
      <c r="G128" s="437"/>
      <c r="H128" s="437">
        <f t="shared" si="9"/>
        <v>0</v>
      </c>
      <c r="I128" s="437"/>
      <c r="J128" s="437"/>
      <c r="K128" s="437"/>
      <c r="L128" s="437"/>
      <c r="M128" s="437">
        <f t="shared" si="10"/>
        <v>0</v>
      </c>
      <c r="N128" s="437"/>
      <c r="O128" s="437"/>
      <c r="P128" s="437"/>
      <c r="Q128" s="551"/>
      <c r="R128" s="437"/>
      <c r="S128" s="437"/>
      <c r="T128" s="437"/>
      <c r="U128" s="437"/>
    </row>
    <row r="129" spans="1:21" hidden="1" x14ac:dyDescent="0.25">
      <c r="A129" s="588"/>
      <c r="B129" s="572"/>
      <c r="C129" s="437" t="s">
        <v>654</v>
      </c>
      <c r="D129" s="437" t="s">
        <v>562</v>
      </c>
      <c r="E129" s="437" t="s">
        <v>582</v>
      </c>
      <c r="F129" s="437">
        <v>250000</v>
      </c>
      <c r="G129" s="437"/>
      <c r="H129" s="437">
        <f t="shared" si="9"/>
        <v>0</v>
      </c>
      <c r="I129" s="437"/>
      <c r="J129" s="437"/>
      <c r="K129" s="437"/>
      <c r="L129" s="437"/>
      <c r="M129" s="437">
        <f t="shared" si="10"/>
        <v>0</v>
      </c>
      <c r="N129" s="437"/>
      <c r="O129" s="437"/>
      <c r="P129" s="437"/>
      <c r="Q129" s="551"/>
      <c r="R129" s="437"/>
      <c r="S129" s="437"/>
      <c r="T129" s="437"/>
      <c r="U129" s="437"/>
    </row>
    <row r="130" spans="1:21" hidden="1" x14ac:dyDescent="0.25">
      <c r="A130" s="588"/>
      <c r="B130" s="572"/>
      <c r="C130" s="437" t="s">
        <v>654</v>
      </c>
      <c r="D130" s="437" t="s">
        <v>562</v>
      </c>
      <c r="E130" s="437" t="s">
        <v>590</v>
      </c>
      <c r="F130" s="437">
        <v>100000</v>
      </c>
      <c r="G130" s="437"/>
      <c r="H130" s="437">
        <f t="shared" si="9"/>
        <v>0</v>
      </c>
      <c r="I130" s="437"/>
      <c r="J130" s="437"/>
      <c r="K130" s="437"/>
      <c r="L130" s="437"/>
      <c r="M130" s="437">
        <f t="shared" si="10"/>
        <v>0</v>
      </c>
      <c r="N130" s="437"/>
      <c r="O130" s="437"/>
      <c r="P130" s="437"/>
      <c r="Q130" s="551"/>
      <c r="R130" s="437"/>
      <c r="S130" s="437"/>
      <c r="T130" s="437"/>
      <c r="U130" s="437"/>
    </row>
    <row r="131" spans="1:21" hidden="1" x14ac:dyDescent="0.25">
      <c r="A131" s="588"/>
      <c r="B131" s="572"/>
      <c r="C131" s="437" t="s">
        <v>654</v>
      </c>
      <c r="D131" s="437" t="s">
        <v>562</v>
      </c>
      <c r="E131" s="437" t="s">
        <v>586</v>
      </c>
      <c r="F131" s="437">
        <v>150000</v>
      </c>
      <c r="G131" s="437"/>
      <c r="H131" s="437">
        <f t="shared" si="9"/>
        <v>0</v>
      </c>
      <c r="I131" s="437"/>
      <c r="J131" s="437"/>
      <c r="K131" s="437"/>
      <c r="L131" s="437"/>
      <c r="M131" s="437">
        <f t="shared" si="10"/>
        <v>0</v>
      </c>
      <c r="N131" s="437"/>
      <c r="O131" s="437"/>
      <c r="P131" s="437"/>
      <c r="Q131" s="551"/>
      <c r="R131" s="437"/>
      <c r="S131" s="437"/>
      <c r="T131" s="437"/>
      <c r="U131" s="437"/>
    </row>
    <row r="132" spans="1:21" hidden="1" x14ac:dyDescent="0.25">
      <c r="A132" s="588"/>
      <c r="B132" s="572"/>
      <c r="C132" s="437" t="s">
        <v>654</v>
      </c>
      <c r="D132" s="437" t="s">
        <v>562</v>
      </c>
      <c r="E132" s="437" t="s">
        <v>654</v>
      </c>
      <c r="F132" s="437">
        <v>1390000</v>
      </c>
      <c r="G132" s="437"/>
      <c r="H132" s="437">
        <f t="shared" si="9"/>
        <v>0</v>
      </c>
      <c r="I132" s="437"/>
      <c r="J132" s="437"/>
      <c r="K132" s="437"/>
      <c r="L132" s="437"/>
      <c r="M132" s="437">
        <f t="shared" si="10"/>
        <v>0</v>
      </c>
      <c r="N132" s="437"/>
      <c r="O132" s="437"/>
      <c r="P132" s="437"/>
      <c r="Q132" s="551"/>
      <c r="R132" s="437"/>
      <c r="S132" s="437"/>
      <c r="T132" s="437"/>
      <c r="U132" s="437"/>
    </row>
    <row r="133" spans="1:21" hidden="1" x14ac:dyDescent="0.25">
      <c r="A133" s="588"/>
      <c r="B133" s="574"/>
      <c r="C133" s="437" t="s">
        <v>654</v>
      </c>
      <c r="D133" s="438"/>
      <c r="E133" s="438"/>
      <c r="F133" s="438"/>
      <c r="G133" s="438">
        <v>0</v>
      </c>
      <c r="H133" s="438">
        <f t="shared" si="9"/>
        <v>0</v>
      </c>
      <c r="I133" s="438"/>
      <c r="J133" s="438"/>
      <c r="K133" s="438"/>
      <c r="L133" s="438"/>
      <c r="M133" s="536">
        <f t="shared" si="10"/>
        <v>0</v>
      </c>
      <c r="N133" s="438"/>
      <c r="O133" s="438"/>
      <c r="P133" s="536"/>
      <c r="Q133" s="561"/>
      <c r="R133" s="536"/>
      <c r="S133" s="536"/>
      <c r="T133" s="536"/>
      <c r="U133" s="536"/>
    </row>
    <row r="134" spans="1:21" hidden="1" x14ac:dyDescent="0.25">
      <c r="A134" s="588"/>
      <c r="B134" s="572"/>
      <c r="C134" s="437" t="s">
        <v>654</v>
      </c>
      <c r="D134" s="437" t="s">
        <v>562</v>
      </c>
      <c r="E134" s="437" t="s">
        <v>655</v>
      </c>
      <c r="F134" s="437">
        <f>SUM(F126:F133)</f>
        <v>2140000</v>
      </c>
      <c r="G134" s="437">
        <f>SUM(G126:G133)</f>
        <v>2732000</v>
      </c>
      <c r="H134" s="437">
        <f>SUM(H126:H133)</f>
        <v>0</v>
      </c>
      <c r="I134" s="437"/>
      <c r="J134" s="437"/>
      <c r="K134" s="437"/>
      <c r="L134" s="437">
        <v>2000000</v>
      </c>
      <c r="M134" s="437">
        <f t="shared" si="10"/>
        <v>0</v>
      </c>
      <c r="N134" s="437"/>
      <c r="O134" s="437"/>
      <c r="P134" s="437"/>
      <c r="Q134" s="551"/>
      <c r="R134" s="437"/>
      <c r="S134" s="437"/>
      <c r="T134" s="437"/>
      <c r="U134" s="437"/>
    </row>
    <row r="135" spans="1:21" x14ac:dyDescent="0.25">
      <c r="A135" s="588"/>
      <c r="B135" s="552"/>
      <c r="C135" s="529"/>
      <c r="D135" s="529"/>
      <c r="E135" s="529"/>
      <c r="F135" s="52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53"/>
      <c r="R135" s="529"/>
      <c r="S135" s="529"/>
      <c r="T135" s="529"/>
      <c r="U135" s="529"/>
    </row>
    <row r="136" spans="1:21" ht="13.8" thickBot="1" x14ac:dyDescent="0.3">
      <c r="A136" s="588"/>
      <c r="B136" s="554" t="s">
        <v>656</v>
      </c>
      <c r="C136" s="445"/>
      <c r="D136" s="445"/>
      <c r="E136" s="445"/>
      <c r="F136" s="537"/>
      <c r="G136" s="538"/>
      <c r="H136" s="538"/>
      <c r="I136" s="538"/>
      <c r="J136" s="538"/>
      <c r="K136" s="538"/>
      <c r="L136" s="462"/>
      <c r="M136" s="531">
        <f ca="1">SUM(M126:M149)</f>
        <v>0</v>
      </c>
      <c r="N136" s="531">
        <f ca="1">SUM(N126:N149)</f>
        <v>0</v>
      </c>
      <c r="O136" s="531">
        <f ca="1">SUM(O126:O149)</f>
        <v>0</v>
      </c>
      <c r="P136" s="531">
        <f ca="1">SUM(P126:P149)</f>
        <v>0</v>
      </c>
      <c r="Q136" s="555"/>
      <c r="R136" s="531">
        <f ca="1">SUM(R126:R149)</f>
        <v>0</v>
      </c>
      <c r="S136" s="531">
        <f ca="1">SUM(S126:S149)</f>
        <v>0</v>
      </c>
      <c r="T136" s="531">
        <f ca="1">SUM(T126:T149)</f>
        <v>0</v>
      </c>
      <c r="U136" s="531">
        <f ca="1">SUM(U126:U149)</f>
        <v>0</v>
      </c>
    </row>
    <row r="137" spans="1:21" ht="13.8" thickTop="1" x14ac:dyDescent="0.25">
      <c r="A137" s="588"/>
      <c r="B137" s="554"/>
      <c r="C137" s="445"/>
      <c r="D137" s="445"/>
      <c r="E137" s="445"/>
      <c r="F137" s="537"/>
      <c r="G137" s="538"/>
      <c r="H137" s="538"/>
      <c r="I137" s="538"/>
      <c r="J137" s="538"/>
      <c r="K137" s="538"/>
      <c r="L137" s="462"/>
      <c r="M137" s="600"/>
      <c r="N137" s="600"/>
      <c r="O137" s="600"/>
      <c r="P137" s="600"/>
      <c r="Q137" s="570"/>
      <c r="R137" s="600"/>
      <c r="S137" s="600"/>
      <c r="T137" s="600"/>
      <c r="U137" s="588"/>
    </row>
    <row r="138" spans="1:21" x14ac:dyDescent="0.25">
      <c r="A138" s="588"/>
      <c r="B138" s="554"/>
      <c r="C138" s="445"/>
      <c r="D138" s="445"/>
      <c r="E138" s="445"/>
      <c r="F138" s="537"/>
      <c r="G138" s="538"/>
      <c r="H138" s="538"/>
      <c r="I138" s="538"/>
      <c r="J138" s="538"/>
      <c r="K138" s="538"/>
      <c r="L138" s="462"/>
      <c r="M138" s="600"/>
      <c r="N138" s="600"/>
      <c r="O138" s="600"/>
      <c r="P138" s="600"/>
      <c r="Q138" s="570"/>
      <c r="R138" s="600"/>
      <c r="S138" s="600"/>
      <c r="T138" s="600"/>
      <c r="U138" s="588"/>
    </row>
    <row r="139" spans="1:21" x14ac:dyDescent="0.25">
      <c r="A139" s="588"/>
      <c r="B139" s="571" t="s">
        <v>657</v>
      </c>
      <c r="C139" s="532" t="s">
        <v>552</v>
      </c>
      <c r="D139" s="532" t="s">
        <v>553</v>
      </c>
      <c r="E139" s="532" t="s">
        <v>22</v>
      </c>
      <c r="F139" s="533" t="s">
        <v>554</v>
      </c>
      <c r="G139" s="533" t="s">
        <v>555</v>
      </c>
      <c r="H139" s="533" t="s">
        <v>556</v>
      </c>
      <c r="I139" s="534" t="s">
        <v>178</v>
      </c>
      <c r="J139" s="534" t="s">
        <v>179</v>
      </c>
      <c r="K139" s="534" t="s">
        <v>240</v>
      </c>
      <c r="L139" s="534" t="s">
        <v>245</v>
      </c>
      <c r="M139" s="534" t="s">
        <v>257</v>
      </c>
      <c r="N139" s="534" t="s">
        <v>496</v>
      </c>
      <c r="O139" s="532" t="s">
        <v>557</v>
      </c>
      <c r="P139" s="532" t="s">
        <v>78</v>
      </c>
      <c r="Q139" s="551"/>
      <c r="R139" s="534" t="s">
        <v>384</v>
      </c>
      <c r="S139" s="534" t="s">
        <v>409</v>
      </c>
      <c r="T139" s="534" t="s">
        <v>416</v>
      </c>
      <c r="U139" s="534" t="s">
        <v>532</v>
      </c>
    </row>
    <row r="140" spans="1:21" x14ac:dyDescent="0.25">
      <c r="A140" s="588"/>
      <c r="B140" s="552"/>
      <c r="C140" s="437" t="s">
        <v>658</v>
      </c>
      <c r="D140" s="437" t="s">
        <v>584</v>
      </c>
      <c r="E140" s="437" t="s">
        <v>659</v>
      </c>
      <c r="F140" s="529"/>
      <c r="G140" s="529"/>
      <c r="H140" s="529"/>
      <c r="I140" s="529"/>
      <c r="J140" s="529"/>
      <c r="K140" s="529"/>
      <c r="L140" s="529"/>
      <c r="M140" s="529"/>
      <c r="N140" s="529"/>
      <c r="O140" s="529"/>
      <c r="P140" s="529"/>
      <c r="Q140" s="551"/>
      <c r="R140" s="437"/>
      <c r="S140" s="437"/>
      <c r="T140" s="437"/>
      <c r="U140" s="437"/>
    </row>
    <row r="141" spans="1:21" hidden="1" x14ac:dyDescent="0.25">
      <c r="A141" s="588"/>
      <c r="B141" s="552"/>
      <c r="C141" s="437" t="s">
        <v>658</v>
      </c>
      <c r="D141" s="437" t="s">
        <v>649</v>
      </c>
      <c r="E141" s="437" t="s">
        <v>659</v>
      </c>
      <c r="F141" s="529"/>
      <c r="G141" s="529"/>
      <c r="H141" s="529"/>
      <c r="I141" s="529"/>
      <c r="J141" s="529"/>
      <c r="K141" s="529"/>
      <c r="L141" s="529"/>
      <c r="M141" s="529"/>
      <c r="N141" s="529"/>
      <c r="O141" s="529"/>
      <c r="P141" s="529"/>
      <c r="Q141" s="551"/>
      <c r="R141" s="437"/>
      <c r="S141" s="437"/>
      <c r="T141" s="437"/>
      <c r="U141" s="437"/>
    </row>
    <row r="142" spans="1:21" hidden="1" x14ac:dyDescent="0.25">
      <c r="A142" s="588"/>
      <c r="B142" s="552"/>
      <c r="C142" s="437" t="s">
        <v>660</v>
      </c>
      <c r="D142" s="437" t="s">
        <v>562</v>
      </c>
      <c r="E142" s="437" t="s">
        <v>661</v>
      </c>
      <c r="F142" s="529"/>
      <c r="G142" s="529"/>
      <c r="H142" s="529"/>
      <c r="I142" s="529"/>
      <c r="J142" s="529"/>
      <c r="K142" s="529"/>
      <c r="L142" s="529"/>
      <c r="M142" s="529"/>
      <c r="N142" s="529"/>
      <c r="O142" s="529"/>
      <c r="P142" s="529"/>
      <c r="Q142" s="551" t="s">
        <v>662</v>
      </c>
      <c r="R142" s="437">
        <v>350000</v>
      </c>
      <c r="S142" s="437"/>
      <c r="T142" s="437"/>
      <c r="U142" s="437"/>
    </row>
    <row r="143" spans="1:21" hidden="1" x14ac:dyDescent="0.25">
      <c r="A143" s="588"/>
      <c r="B143" s="552"/>
      <c r="C143" s="437" t="s">
        <v>13</v>
      </c>
      <c r="D143" s="437" t="s">
        <v>562</v>
      </c>
      <c r="E143" s="437" t="s">
        <v>592</v>
      </c>
      <c r="F143" s="529"/>
      <c r="G143" s="529"/>
      <c r="H143" s="529"/>
      <c r="I143" s="529"/>
      <c r="J143" s="529"/>
      <c r="K143" s="529"/>
      <c r="L143" s="529"/>
      <c r="M143" s="529"/>
      <c r="N143" s="529"/>
      <c r="O143" s="529"/>
      <c r="P143" s="529"/>
      <c r="Q143" s="551" t="s">
        <v>557</v>
      </c>
      <c r="R143" s="437">
        <v>50000</v>
      </c>
      <c r="S143" s="437"/>
      <c r="T143" s="437"/>
      <c r="U143" s="437"/>
    </row>
    <row r="144" spans="1:21" hidden="1" x14ac:dyDescent="0.25">
      <c r="A144" s="588"/>
      <c r="B144" s="552"/>
      <c r="C144" s="437" t="s">
        <v>585</v>
      </c>
      <c r="D144" s="437" t="s">
        <v>445</v>
      </c>
      <c r="E144" s="437" t="s">
        <v>663</v>
      </c>
      <c r="F144" s="529"/>
      <c r="G144" s="529"/>
      <c r="H144" s="529"/>
      <c r="I144" s="529"/>
      <c r="J144" s="529"/>
      <c r="K144" s="529"/>
      <c r="L144" s="529"/>
      <c r="M144" s="529"/>
      <c r="N144" s="529"/>
      <c r="O144" s="529"/>
      <c r="P144" s="529"/>
      <c r="Q144" s="551" t="s">
        <v>557</v>
      </c>
      <c r="R144" s="437">
        <v>60000</v>
      </c>
      <c r="S144" s="437"/>
      <c r="T144" s="437"/>
      <c r="U144" s="437"/>
    </row>
    <row r="145" spans="1:22" hidden="1" x14ac:dyDescent="0.25">
      <c r="A145" s="588"/>
      <c r="B145" s="552"/>
      <c r="C145" s="437" t="s">
        <v>19</v>
      </c>
      <c r="D145" s="437" t="s">
        <v>562</v>
      </c>
      <c r="E145" s="437" t="s">
        <v>664</v>
      </c>
      <c r="F145" s="529"/>
      <c r="G145" s="529"/>
      <c r="H145" s="529"/>
      <c r="I145" s="529"/>
      <c r="J145" s="529"/>
      <c r="K145" s="529"/>
      <c r="L145" s="529"/>
      <c r="M145" s="529"/>
      <c r="N145" s="529"/>
      <c r="O145" s="529"/>
      <c r="P145" s="529"/>
      <c r="Q145" s="551" t="s">
        <v>557</v>
      </c>
      <c r="R145" s="437">
        <v>60000</v>
      </c>
      <c r="S145" s="437"/>
      <c r="T145" s="437"/>
      <c r="U145" s="437"/>
      <c r="V145" s="434"/>
    </row>
    <row r="146" spans="1:22" x14ac:dyDescent="0.25">
      <c r="A146" s="588"/>
      <c r="B146" s="552"/>
      <c r="C146" s="529"/>
      <c r="D146" s="529"/>
      <c r="E146" s="529"/>
      <c r="F146" s="529"/>
      <c r="G146" s="529"/>
      <c r="H146" s="529"/>
      <c r="I146" s="529"/>
      <c r="J146" s="529"/>
      <c r="K146" s="529"/>
      <c r="L146" s="529"/>
      <c r="M146" s="529"/>
      <c r="N146" s="529"/>
      <c r="O146" s="529"/>
      <c r="P146" s="529"/>
      <c r="Q146" s="553"/>
      <c r="R146" s="529"/>
      <c r="S146" s="529"/>
      <c r="T146" s="529"/>
      <c r="U146" s="529"/>
    </row>
    <row r="147" spans="1:22" ht="13.8" thickBot="1" x14ac:dyDescent="0.3">
      <c r="A147" s="588"/>
      <c r="B147" s="552"/>
      <c r="C147" s="529"/>
      <c r="D147" s="529"/>
      <c r="E147" s="529"/>
      <c r="F147" s="529"/>
      <c r="G147" s="529"/>
      <c r="H147" s="529"/>
      <c r="I147" s="529"/>
      <c r="J147" s="529"/>
      <c r="K147" s="529"/>
      <c r="L147" s="529"/>
      <c r="M147" s="529"/>
      <c r="N147" s="529"/>
      <c r="O147" s="529"/>
      <c r="P147" s="529"/>
      <c r="Q147" s="555"/>
      <c r="R147" s="531">
        <f>+R142+R143+R144+R145</f>
        <v>520000</v>
      </c>
      <c r="S147" s="531">
        <f t="shared" ref="S147:U147" si="11">+S142+S143+S144+S145</f>
        <v>0</v>
      </c>
      <c r="T147" s="531">
        <f t="shared" si="11"/>
        <v>0</v>
      </c>
      <c r="U147" s="531">
        <f t="shared" si="11"/>
        <v>0</v>
      </c>
      <c r="V147" s="434"/>
    </row>
    <row r="148" spans="1:22" ht="13.8" thickTop="1" x14ac:dyDescent="0.25">
      <c r="A148" s="588"/>
      <c r="B148" s="552"/>
      <c r="C148" s="529"/>
      <c r="D148" s="529"/>
      <c r="E148" s="529"/>
      <c r="F148" s="529"/>
      <c r="G148" s="529"/>
      <c r="H148" s="529"/>
      <c r="I148" s="529"/>
      <c r="J148" s="529"/>
      <c r="K148" s="529"/>
      <c r="L148" s="529"/>
      <c r="M148" s="529"/>
      <c r="N148" s="529"/>
      <c r="O148" s="529"/>
      <c r="P148" s="529"/>
      <c r="Q148" s="553"/>
      <c r="R148" s="529"/>
      <c r="S148" s="529"/>
      <c r="T148" s="529"/>
      <c r="U148" s="604"/>
    </row>
    <row r="149" spans="1:22" x14ac:dyDescent="0.25">
      <c r="A149" s="588"/>
      <c r="B149" s="552"/>
      <c r="C149" s="529"/>
      <c r="D149" s="529"/>
      <c r="E149" s="529"/>
      <c r="F149" s="529"/>
      <c r="G149" s="529" t="e">
        <f>SUM(G134,#REF!,#REF!,G82,#REF!,#REF!,G15)</f>
        <v>#REF!</v>
      </c>
      <c r="H149" s="529" t="e">
        <f>+H125+#REF!+#REF!+H82+#REF!+#REF!</f>
        <v>#VALUE!</v>
      </c>
      <c r="I149" s="529" t="e">
        <f>+I125+#REF!+#REF!+I82+#REF!+#REF!</f>
        <v>#VALUE!</v>
      </c>
      <c r="J149" s="529" t="e">
        <f>+J125+#REF!+#REF!+J82+#REF!+#REF!</f>
        <v>#VALUE!</v>
      </c>
      <c r="K149" s="529" t="e">
        <f>+K125+#REF!+#REF!+K82+#REF!+K22+K15</f>
        <v>#VALUE!</v>
      </c>
      <c r="L149" s="529" t="e">
        <f>+L15+#REF!+#REF!+L82+#REF!+#REF!+L125+L134</f>
        <v>#REF!</v>
      </c>
      <c r="M149" s="529"/>
      <c r="N149" s="529"/>
      <c r="O149" s="529"/>
      <c r="P149" s="529"/>
      <c r="Q149" s="553"/>
      <c r="R149" s="529"/>
      <c r="S149" s="529"/>
      <c r="T149" s="529"/>
      <c r="U149" s="602"/>
    </row>
    <row r="150" spans="1:22" x14ac:dyDescent="0.25">
      <c r="A150" s="588"/>
      <c r="B150" s="441"/>
      <c r="C150" s="441"/>
      <c r="D150" s="441"/>
      <c r="E150" s="441"/>
      <c r="F150" s="441"/>
      <c r="G150" s="441"/>
      <c r="H150" s="441"/>
      <c r="I150" s="441"/>
      <c r="J150" s="441"/>
      <c r="K150" s="441"/>
      <c r="L150" s="441"/>
      <c r="M150" s="441"/>
      <c r="N150" s="441"/>
      <c r="O150" s="441"/>
      <c r="P150" s="441"/>
      <c r="Q150" s="441"/>
      <c r="R150" s="441"/>
      <c r="S150" s="441"/>
      <c r="T150" s="441"/>
      <c r="U150" s="602"/>
    </row>
    <row r="151" spans="1:22" x14ac:dyDescent="0.25">
      <c r="A151" s="588"/>
      <c r="B151" s="528"/>
      <c r="C151" s="441"/>
      <c r="D151" s="441"/>
      <c r="E151" s="441"/>
      <c r="F151" s="441"/>
      <c r="G151" s="441"/>
      <c r="H151" s="441"/>
      <c r="I151" s="441"/>
      <c r="J151" s="441"/>
      <c r="K151" s="441"/>
      <c r="L151" s="441"/>
      <c r="M151" s="441"/>
      <c r="N151" s="441"/>
      <c r="O151" s="441"/>
      <c r="P151" s="441"/>
      <c r="Q151" s="562"/>
      <c r="R151" s="441"/>
      <c r="S151" s="440"/>
      <c r="T151" s="441"/>
      <c r="U151" s="603"/>
    </row>
    <row r="152" spans="1:22" ht="13.8" thickBot="1" x14ac:dyDescent="0.3">
      <c r="A152" s="588"/>
      <c r="B152" s="563" t="s">
        <v>665</v>
      </c>
      <c r="C152" s="441"/>
      <c r="D152" s="441"/>
      <c r="E152" s="441"/>
      <c r="F152" s="441"/>
      <c r="G152" s="441"/>
      <c r="H152" s="441"/>
      <c r="I152" s="441"/>
      <c r="J152" s="440"/>
      <c r="K152" s="440"/>
      <c r="L152" s="440"/>
      <c r="M152" s="539">
        <f ca="1">+M136+M123+M98+M83+M65+M56+M50+M24+M15</f>
        <v>28534783</v>
      </c>
      <c r="N152" s="539">
        <f ca="1">+N136+N123+N98+N83+N65+N56+N50+N24+N15</f>
        <v>8000000</v>
      </c>
      <c r="O152" s="539">
        <f ca="1">+O136+O123+O98+O83+O65+O56+O50+O24+O15</f>
        <v>3046200</v>
      </c>
      <c r="P152" s="539">
        <f ca="1">+P136+P123+P98+P83+P65+P56+P50+P24+P15</f>
        <v>17488583</v>
      </c>
      <c r="Q152" s="564"/>
      <c r="R152" s="539">
        <f>+R15+R24+R50+R56+R65+R83+R98+R123+R147</f>
        <v>61045735</v>
      </c>
      <c r="S152" s="539">
        <f>+S15+S24+S50+S56+S65+S83+S98+S123+S147</f>
        <v>79583000.840000004</v>
      </c>
      <c r="T152" s="539">
        <f>+T15+T24+T50+T56+T65+T83+T98+T123+T147</f>
        <v>83809458.659999996</v>
      </c>
      <c r="U152" s="539">
        <f t="shared" ref="U152" si="12">+U15+U24+U50+U56+U65+U83+U98+U123+U147</f>
        <v>73220100</v>
      </c>
    </row>
    <row r="153" spans="1:22" ht="13.8" thickTop="1" x14ac:dyDescent="0.25">
      <c r="A153" s="588"/>
      <c r="B153" s="441"/>
      <c r="C153" s="441"/>
      <c r="D153" s="441"/>
      <c r="E153" s="441"/>
      <c r="F153" s="441"/>
      <c r="G153" s="441"/>
      <c r="H153" s="441"/>
      <c r="I153" s="441"/>
      <c r="J153" s="441"/>
      <c r="K153" s="441"/>
      <c r="L153" s="441"/>
      <c r="M153" s="441"/>
      <c r="N153" s="441"/>
      <c r="O153" s="441"/>
      <c r="P153" s="441"/>
      <c r="Q153" s="441"/>
      <c r="R153" s="441"/>
      <c r="S153" s="441"/>
      <c r="T153" s="441"/>
      <c r="U153" s="433"/>
    </row>
    <row r="154" spans="1:22" x14ac:dyDescent="0.25">
      <c r="A154" s="588"/>
      <c r="B154" s="565" t="s">
        <v>666</v>
      </c>
      <c r="C154" s="565" t="s">
        <v>384</v>
      </c>
      <c r="D154" s="441"/>
      <c r="E154" s="441"/>
      <c r="F154" s="441"/>
      <c r="G154" s="441"/>
      <c r="H154" s="441"/>
      <c r="I154" s="441"/>
      <c r="J154" s="441"/>
      <c r="K154" s="441"/>
      <c r="L154" s="441"/>
      <c r="M154" s="441"/>
      <c r="N154" s="441"/>
      <c r="O154" s="441"/>
      <c r="P154" s="441"/>
      <c r="Q154" s="441"/>
      <c r="R154" s="441"/>
      <c r="S154" s="440"/>
      <c r="T154" s="441"/>
      <c r="U154" s="433"/>
    </row>
    <row r="155" spans="1:22" x14ac:dyDescent="0.25">
      <c r="A155" s="588"/>
      <c r="B155" s="565"/>
      <c r="C155" s="565"/>
      <c r="D155" s="441"/>
      <c r="E155" s="441"/>
      <c r="F155" s="441"/>
      <c r="G155" s="441"/>
      <c r="H155" s="441"/>
      <c r="I155" s="441"/>
      <c r="J155" s="441"/>
      <c r="K155" s="441"/>
      <c r="L155" s="441"/>
      <c r="M155" s="441"/>
      <c r="N155" s="441"/>
      <c r="O155" s="441"/>
      <c r="P155" s="441"/>
      <c r="Q155" s="441"/>
      <c r="R155" s="441"/>
      <c r="S155" s="441"/>
      <c r="T155" s="441"/>
      <c r="U155" s="433"/>
    </row>
    <row r="156" spans="1:22" x14ac:dyDescent="0.25">
      <c r="A156" s="588"/>
      <c r="B156" s="575" t="s">
        <v>78</v>
      </c>
      <c r="C156" s="568">
        <f>S121+S120+S119+S115+S73+S71+S54+S53+S12</f>
        <v>28731000.84</v>
      </c>
      <c r="D156" s="568"/>
      <c r="E156" s="528"/>
      <c r="F156" s="441"/>
      <c r="G156" s="441"/>
      <c r="H156" s="441"/>
      <c r="I156" s="441"/>
      <c r="J156" s="441"/>
      <c r="K156" s="441"/>
      <c r="L156" s="441"/>
      <c r="M156" s="441"/>
      <c r="N156" s="441"/>
      <c r="O156" s="441"/>
      <c r="P156" s="441"/>
      <c r="Q156" s="441"/>
      <c r="R156" s="441"/>
      <c r="S156" s="440"/>
      <c r="T156" s="441"/>
      <c r="U156" s="434"/>
    </row>
    <row r="157" spans="1:22" x14ac:dyDescent="0.25">
      <c r="A157" s="588"/>
      <c r="B157" s="575" t="s">
        <v>496</v>
      </c>
      <c r="C157" s="568">
        <v>46000000</v>
      </c>
      <c r="D157" s="568"/>
      <c r="E157" s="441"/>
      <c r="F157" s="441"/>
      <c r="G157" s="441"/>
      <c r="H157" s="441"/>
      <c r="I157" s="441"/>
      <c r="J157" s="441"/>
      <c r="K157" s="441"/>
      <c r="L157" s="441"/>
      <c r="M157" s="441"/>
      <c r="N157" s="441"/>
      <c r="O157" s="441"/>
      <c r="P157" s="441"/>
      <c r="Q157" s="441"/>
      <c r="R157" s="441"/>
      <c r="S157" s="441"/>
      <c r="T157" s="441"/>
      <c r="U157" s="433"/>
    </row>
    <row r="158" spans="1:22" x14ac:dyDescent="0.25">
      <c r="A158" s="588"/>
      <c r="B158" s="575" t="s">
        <v>667</v>
      </c>
      <c r="C158" s="568">
        <v>2829000</v>
      </c>
      <c r="D158" s="568"/>
      <c r="E158" s="440"/>
      <c r="F158" s="441"/>
      <c r="G158" s="441"/>
      <c r="H158" s="441"/>
      <c r="I158" s="441"/>
      <c r="J158" s="441"/>
      <c r="K158" s="441"/>
      <c r="L158" s="441"/>
      <c r="M158" s="441"/>
      <c r="N158" s="441"/>
      <c r="O158" s="441"/>
      <c r="P158" s="441"/>
      <c r="Q158" s="441"/>
      <c r="R158" s="441"/>
      <c r="S158" s="441"/>
      <c r="T158" s="441"/>
      <c r="U158" s="433"/>
    </row>
    <row r="159" spans="1:22" x14ac:dyDescent="0.25">
      <c r="A159" s="588"/>
      <c r="B159" s="575" t="s">
        <v>668</v>
      </c>
      <c r="C159" s="568"/>
      <c r="D159" s="568"/>
      <c r="E159" s="441"/>
      <c r="F159" s="441"/>
      <c r="G159" s="441"/>
      <c r="H159" s="441"/>
      <c r="I159" s="441"/>
      <c r="J159" s="441"/>
      <c r="K159" s="441"/>
      <c r="L159" s="441"/>
      <c r="M159" s="441"/>
      <c r="N159" s="441"/>
      <c r="O159" s="441"/>
      <c r="P159" s="441"/>
      <c r="Q159" s="441"/>
      <c r="R159" s="440"/>
      <c r="S159" s="441"/>
      <c r="T159" s="440"/>
      <c r="U159" s="433"/>
    </row>
    <row r="160" spans="1:22" x14ac:dyDescent="0.25">
      <c r="A160" s="588"/>
      <c r="B160" s="575" t="s">
        <v>669</v>
      </c>
      <c r="C160" s="568">
        <v>0</v>
      </c>
      <c r="D160" s="568"/>
      <c r="E160" s="441"/>
      <c r="F160" s="441"/>
      <c r="G160" s="441"/>
      <c r="H160" s="441"/>
      <c r="I160" s="441"/>
      <c r="J160" s="441"/>
      <c r="K160" s="441"/>
      <c r="L160" s="441"/>
      <c r="M160" s="441"/>
      <c r="N160" s="441"/>
      <c r="O160" s="441"/>
      <c r="P160" s="441"/>
      <c r="Q160" s="441"/>
      <c r="R160" s="440"/>
      <c r="S160" s="441"/>
      <c r="T160" s="441"/>
      <c r="U160" s="433"/>
    </row>
    <row r="161" spans="1:21" x14ac:dyDescent="0.25">
      <c r="A161" s="588"/>
      <c r="B161" s="575" t="s">
        <v>670</v>
      </c>
      <c r="C161" s="568"/>
      <c r="D161" s="568"/>
      <c r="E161" s="441"/>
      <c r="F161" s="441"/>
      <c r="G161" s="441"/>
      <c r="H161" s="441"/>
      <c r="I161" s="441"/>
      <c r="J161" s="441"/>
      <c r="K161" s="441"/>
      <c r="L161" s="441"/>
      <c r="M161" s="441"/>
      <c r="N161" s="441"/>
      <c r="O161" s="441"/>
      <c r="P161" s="441"/>
      <c r="Q161" s="441"/>
      <c r="R161" s="440"/>
      <c r="S161" s="441"/>
      <c r="T161" s="441"/>
      <c r="U161" s="433"/>
    </row>
    <row r="162" spans="1:21" x14ac:dyDescent="0.25">
      <c r="A162" s="588"/>
      <c r="B162" s="575" t="s">
        <v>505</v>
      </c>
      <c r="C162" s="568">
        <v>2023000</v>
      </c>
      <c r="D162" s="568"/>
      <c r="E162" s="441"/>
      <c r="F162" s="441"/>
      <c r="G162" s="441"/>
      <c r="H162" s="441"/>
      <c r="I162" s="441"/>
      <c r="J162" s="441"/>
      <c r="K162" s="441"/>
      <c r="L162" s="441"/>
      <c r="M162" s="441"/>
      <c r="N162" s="441"/>
      <c r="O162" s="441"/>
      <c r="P162" s="441"/>
      <c r="Q162" s="441"/>
      <c r="R162" s="441"/>
      <c r="S162" s="441"/>
      <c r="T162" s="441"/>
      <c r="U162" s="433"/>
    </row>
    <row r="163" spans="1:21" x14ac:dyDescent="0.25">
      <c r="A163" s="588"/>
      <c r="B163" s="576" t="s">
        <v>671</v>
      </c>
      <c r="C163" s="535"/>
      <c r="D163" s="535"/>
      <c r="E163" s="441"/>
      <c r="F163" s="441"/>
      <c r="G163" s="441"/>
      <c r="H163" s="441"/>
      <c r="I163" s="441"/>
      <c r="J163" s="441"/>
      <c r="K163" s="441"/>
      <c r="L163" s="441"/>
      <c r="M163" s="441"/>
      <c r="N163" s="441"/>
      <c r="O163" s="441"/>
      <c r="P163" s="441"/>
      <c r="Q163" s="441"/>
      <c r="R163" s="441"/>
      <c r="S163" s="441"/>
      <c r="T163" s="441"/>
      <c r="U163" s="433"/>
    </row>
    <row r="164" spans="1:21" x14ac:dyDescent="0.25">
      <c r="A164" s="588"/>
      <c r="B164" s="441"/>
      <c r="C164" s="566"/>
      <c r="D164" s="566"/>
      <c r="E164" s="441"/>
      <c r="F164" s="441"/>
      <c r="G164" s="441"/>
      <c r="H164" s="441"/>
      <c r="I164" s="441"/>
      <c r="J164" s="441"/>
      <c r="K164" s="441"/>
      <c r="L164" s="441"/>
      <c r="M164" s="441"/>
      <c r="N164" s="441"/>
      <c r="O164" s="441"/>
      <c r="P164" s="441"/>
      <c r="Q164" s="441"/>
      <c r="R164" s="441"/>
      <c r="S164" s="441"/>
      <c r="T164" s="441"/>
      <c r="U164" s="433"/>
    </row>
    <row r="165" spans="1:21" ht="13.8" thickBot="1" x14ac:dyDescent="0.3">
      <c r="A165" s="588"/>
      <c r="B165" s="567" t="s">
        <v>158</v>
      </c>
      <c r="C165" s="569">
        <f>SUM(C156:C164)</f>
        <v>79583000.840000004</v>
      </c>
      <c r="D165" s="569"/>
      <c r="E165" s="441"/>
      <c r="F165" s="441"/>
      <c r="G165" s="441"/>
      <c r="H165" s="441"/>
      <c r="I165" s="441"/>
      <c r="J165" s="441"/>
      <c r="K165" s="441"/>
      <c r="L165" s="441"/>
      <c r="M165" s="441"/>
      <c r="N165" s="441"/>
      <c r="O165" s="441"/>
      <c r="P165" s="441"/>
      <c r="Q165" s="441"/>
      <c r="R165" s="441"/>
      <c r="S165" s="441"/>
      <c r="T165" s="441"/>
      <c r="U165" s="433"/>
    </row>
    <row r="166" spans="1:21" ht="13.8" thickTop="1" x14ac:dyDescent="0.25"/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topLeftCell="A209" workbookViewId="0">
      <selection activeCell="W17" sqref="W17"/>
    </sheetView>
  </sheetViews>
  <sheetFormatPr defaultRowHeight="13.2" x14ac:dyDescent="0.25"/>
  <cols>
    <col min="2" max="2" width="31.88671875" customWidth="1"/>
    <col min="3" max="3" width="19.109375" customWidth="1"/>
    <col min="4" max="4" width="13.6640625" hidden="1" customWidth="1"/>
    <col min="5" max="14" width="9.109375" hidden="1" customWidth="1"/>
    <col min="15" max="15" width="11.5546875" hidden="1" customWidth="1"/>
    <col min="16" max="16" width="15.88671875" customWidth="1"/>
    <col min="17" max="17" width="12.109375" customWidth="1"/>
  </cols>
  <sheetData>
    <row r="1" spans="1:17" x14ac:dyDescent="0.25">
      <c r="A1" s="727" t="s">
        <v>379</v>
      </c>
      <c r="B1" s="728"/>
      <c r="C1" s="728"/>
      <c r="D1" s="728"/>
      <c r="E1" s="728"/>
      <c r="F1" s="728"/>
      <c r="G1" s="728"/>
      <c r="H1" s="728"/>
      <c r="I1" s="730"/>
      <c r="J1" s="504" t="s">
        <v>380</v>
      </c>
      <c r="K1" s="504" t="s">
        <v>380</v>
      </c>
      <c r="L1" s="507" t="s">
        <v>380</v>
      </c>
      <c r="M1" s="504" t="s">
        <v>380</v>
      </c>
      <c r="N1" s="507" t="s">
        <v>380</v>
      </c>
      <c r="O1" s="656" t="s">
        <v>529</v>
      </c>
      <c r="P1" s="660" t="s">
        <v>529</v>
      </c>
      <c r="Q1" s="507" t="s">
        <v>529</v>
      </c>
    </row>
    <row r="2" spans="1:17" x14ac:dyDescent="0.25">
      <c r="A2" s="582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508"/>
      <c r="M2" s="471"/>
      <c r="N2" s="471"/>
      <c r="O2" s="657"/>
      <c r="P2" s="661"/>
      <c r="Q2" s="607"/>
    </row>
    <row r="3" spans="1:17" ht="13.8" x14ac:dyDescent="0.3">
      <c r="A3" s="582"/>
      <c r="B3" s="472"/>
      <c r="C3" s="472"/>
      <c r="D3" s="472"/>
      <c r="E3" s="473" t="s">
        <v>28</v>
      </c>
      <c r="F3" s="474"/>
      <c r="G3" s="473" t="s">
        <v>30</v>
      </c>
      <c r="H3" s="474"/>
      <c r="I3" s="473" t="s">
        <v>31</v>
      </c>
      <c r="J3" s="473" t="s">
        <v>32</v>
      </c>
      <c r="K3" s="473" t="s">
        <v>178</v>
      </c>
      <c r="L3" s="509" t="s">
        <v>179</v>
      </c>
      <c r="M3" s="475" t="s">
        <v>240</v>
      </c>
      <c r="N3" s="475" t="s">
        <v>245</v>
      </c>
      <c r="O3" s="658" t="s">
        <v>257</v>
      </c>
      <c r="P3" s="662" t="s">
        <v>384</v>
      </c>
      <c r="Q3" s="608" t="s">
        <v>409</v>
      </c>
    </row>
    <row r="4" spans="1:17" ht="14.4" thickBot="1" x14ac:dyDescent="0.35">
      <c r="A4" s="583"/>
      <c r="B4" s="476"/>
      <c r="C4" s="476"/>
      <c r="D4" s="476"/>
      <c r="E4" s="477" t="s">
        <v>201</v>
      </c>
      <c r="F4" s="477"/>
      <c r="G4" s="477" t="s">
        <v>201</v>
      </c>
      <c r="H4" s="477"/>
      <c r="I4" s="477" t="s">
        <v>201</v>
      </c>
      <c r="J4" s="477" t="s">
        <v>201</v>
      </c>
      <c r="K4" s="477" t="s">
        <v>201</v>
      </c>
      <c r="L4" s="510" t="s">
        <v>201</v>
      </c>
      <c r="M4" s="478" t="s">
        <v>201</v>
      </c>
      <c r="N4" s="478" t="s">
        <v>201</v>
      </c>
      <c r="O4" s="659" t="s">
        <v>201</v>
      </c>
      <c r="P4" s="663" t="s">
        <v>201</v>
      </c>
      <c r="Q4" s="478" t="s">
        <v>201</v>
      </c>
    </row>
    <row r="5" spans="1:17" x14ac:dyDescent="0.25">
      <c r="A5" s="503" t="s">
        <v>672</v>
      </c>
      <c r="B5" s="580" t="s">
        <v>98</v>
      </c>
      <c r="C5" s="447"/>
      <c r="D5" s="447"/>
      <c r="E5" s="447"/>
      <c r="F5" s="447"/>
      <c r="G5" s="447"/>
      <c r="H5" s="447"/>
      <c r="I5" s="447"/>
      <c r="J5" s="447"/>
      <c r="K5" s="480"/>
      <c r="L5" s="511"/>
      <c r="M5" s="481"/>
      <c r="N5" s="481"/>
      <c r="O5" s="611"/>
      <c r="P5" s="633"/>
      <c r="Q5" s="591">
        <v>26</v>
      </c>
    </row>
    <row r="6" spans="1:17" x14ac:dyDescent="0.25">
      <c r="A6" s="578"/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512"/>
      <c r="M6" s="456"/>
      <c r="N6" s="456"/>
      <c r="O6" s="612"/>
      <c r="P6" s="634"/>
      <c r="Q6" s="607"/>
    </row>
    <row r="7" spans="1:17" x14ac:dyDescent="0.25">
      <c r="A7" s="578"/>
      <c r="B7" s="479" t="s">
        <v>673</v>
      </c>
      <c r="C7" s="447"/>
      <c r="D7" s="447"/>
      <c r="E7" s="447"/>
      <c r="F7" s="447"/>
      <c r="G7" s="447"/>
      <c r="H7" s="447"/>
      <c r="I7" s="447"/>
      <c r="J7" s="483"/>
      <c r="K7" s="483"/>
      <c r="L7" s="512"/>
      <c r="M7" s="456"/>
      <c r="N7" s="456"/>
      <c r="O7" s="612"/>
      <c r="P7" s="634"/>
      <c r="Q7" s="607"/>
    </row>
    <row r="8" spans="1:17" x14ac:dyDescent="0.25">
      <c r="A8" s="578"/>
      <c r="B8" s="447" t="s">
        <v>674</v>
      </c>
      <c r="C8" s="447"/>
      <c r="D8" s="447"/>
      <c r="E8" s="467" t="s">
        <v>675</v>
      </c>
      <c r="F8" s="468"/>
      <c r="G8" s="467" t="s">
        <v>676</v>
      </c>
      <c r="H8" s="468"/>
      <c r="I8" s="467" t="s">
        <v>677</v>
      </c>
      <c r="J8" s="461">
        <f>+I8*1.06</f>
        <v>0.318</v>
      </c>
      <c r="K8" s="461">
        <f>+J8*1.065</f>
        <v>0.33866999999999997</v>
      </c>
      <c r="L8" s="513">
        <v>1.2E-2</v>
      </c>
      <c r="M8" s="454">
        <v>1.2E-2</v>
      </c>
      <c r="N8" s="454">
        <v>1.2E-2</v>
      </c>
      <c r="O8" s="613">
        <v>1.2E-2</v>
      </c>
      <c r="P8" s="635">
        <v>1.272E-2</v>
      </c>
      <c r="Q8" s="593">
        <f>(P8*0.06)+P8</f>
        <v>1.3483200000000001E-2</v>
      </c>
    </row>
    <row r="9" spans="1:17" x14ac:dyDescent="0.25">
      <c r="A9" s="578"/>
      <c r="B9" s="447"/>
      <c r="C9" s="447"/>
      <c r="D9" s="447"/>
      <c r="E9" s="468"/>
      <c r="F9" s="468"/>
      <c r="G9" s="468"/>
      <c r="H9" s="468"/>
      <c r="I9" s="468"/>
      <c r="J9" s="468"/>
      <c r="K9" s="468"/>
      <c r="L9" s="514"/>
      <c r="M9" s="455"/>
      <c r="N9" s="455"/>
      <c r="O9" s="614"/>
      <c r="P9" s="636"/>
      <c r="Q9" s="595">
        <f t="shared" ref="Q9:Q72" si="0">(P9*0.06)+P9</f>
        <v>0</v>
      </c>
    </row>
    <row r="10" spans="1:17" x14ac:dyDescent="0.25">
      <c r="A10" s="578"/>
      <c r="B10" s="479" t="s">
        <v>678</v>
      </c>
      <c r="C10" s="447"/>
      <c r="D10" s="447"/>
      <c r="E10" s="468"/>
      <c r="F10" s="468"/>
      <c r="G10" s="468"/>
      <c r="H10" s="468"/>
      <c r="I10" s="468"/>
      <c r="J10" s="468"/>
      <c r="K10" s="468"/>
      <c r="L10" s="514"/>
      <c r="M10" s="455"/>
      <c r="N10" s="455"/>
      <c r="O10" s="614"/>
      <c r="P10" s="636"/>
      <c r="Q10" s="595">
        <f t="shared" si="0"/>
        <v>0</v>
      </c>
    </row>
    <row r="11" spans="1:17" x14ac:dyDescent="0.25">
      <c r="A11" s="578"/>
      <c r="B11" s="447" t="s">
        <v>674</v>
      </c>
      <c r="C11" s="447"/>
      <c r="D11" s="447"/>
      <c r="E11" s="468"/>
      <c r="F11" s="468"/>
      <c r="G11" s="468"/>
      <c r="H11" s="468"/>
      <c r="I11" s="468"/>
      <c r="J11" s="468"/>
      <c r="K11" s="468"/>
      <c r="L11" s="513">
        <v>1.2E-2</v>
      </c>
      <c r="M11" s="454">
        <v>1.2E-2</v>
      </c>
      <c r="N11" s="454">
        <v>1.2E-2</v>
      </c>
      <c r="O11" s="613">
        <v>1.2E-2</v>
      </c>
      <c r="P11" s="635">
        <v>1.272E-2</v>
      </c>
      <c r="Q11" s="593">
        <f t="shared" si="0"/>
        <v>1.3483200000000001E-2</v>
      </c>
    </row>
    <row r="12" spans="1:17" x14ac:dyDescent="0.25">
      <c r="A12" s="578"/>
      <c r="B12" s="447"/>
      <c r="C12" s="447"/>
      <c r="D12" s="447"/>
      <c r="E12" s="468"/>
      <c r="F12" s="468"/>
      <c r="G12" s="468"/>
      <c r="H12" s="468"/>
      <c r="I12" s="468"/>
      <c r="J12" s="468"/>
      <c r="K12" s="468"/>
      <c r="L12" s="514"/>
      <c r="M12" s="455"/>
      <c r="N12" s="455"/>
      <c r="O12" s="614"/>
      <c r="P12" s="636"/>
      <c r="Q12" s="595">
        <f t="shared" si="0"/>
        <v>0</v>
      </c>
    </row>
    <row r="13" spans="1:17" x14ac:dyDescent="0.25">
      <c r="A13" s="578"/>
      <c r="B13" s="479" t="s">
        <v>250</v>
      </c>
      <c r="C13" s="447"/>
      <c r="D13" s="447"/>
      <c r="E13" s="468"/>
      <c r="F13" s="468"/>
      <c r="G13" s="468"/>
      <c r="H13" s="468"/>
      <c r="I13" s="468"/>
      <c r="J13" s="468"/>
      <c r="K13" s="468"/>
      <c r="L13" s="514"/>
      <c r="M13" s="455"/>
      <c r="N13" s="455"/>
      <c r="O13" s="614"/>
      <c r="P13" s="636"/>
      <c r="Q13" s="595">
        <f t="shared" si="0"/>
        <v>0</v>
      </c>
    </row>
    <row r="14" spans="1:17" x14ac:dyDescent="0.25">
      <c r="A14" s="578"/>
      <c r="B14" s="447" t="s">
        <v>674</v>
      </c>
      <c r="C14" s="447"/>
      <c r="D14" s="447"/>
      <c r="E14" s="467" t="s">
        <v>679</v>
      </c>
      <c r="F14" s="468"/>
      <c r="G14" s="467" t="s">
        <v>680</v>
      </c>
      <c r="H14" s="468"/>
      <c r="I14" s="467" t="s">
        <v>681</v>
      </c>
      <c r="J14" s="461">
        <f>+I14*1.06</f>
        <v>0.10600000000000001</v>
      </c>
      <c r="K14" s="461">
        <f>+J14*1.065</f>
        <v>0.11289</v>
      </c>
      <c r="L14" s="513">
        <v>1.2E-2</v>
      </c>
      <c r="M14" s="454">
        <v>1.2E-2</v>
      </c>
      <c r="N14" s="454">
        <v>1.2E-2</v>
      </c>
      <c r="O14" s="613">
        <v>1.2E-2</v>
      </c>
      <c r="P14" s="635">
        <v>1.272E-2</v>
      </c>
      <c r="Q14" s="593">
        <f t="shared" si="0"/>
        <v>1.3483200000000001E-2</v>
      </c>
    </row>
    <row r="15" spans="1:17" x14ac:dyDescent="0.25">
      <c r="A15" s="578"/>
      <c r="B15" s="447"/>
      <c r="C15" s="447"/>
      <c r="D15" s="447"/>
      <c r="E15" s="468"/>
      <c r="F15" s="468"/>
      <c r="G15" s="468"/>
      <c r="H15" s="468"/>
      <c r="I15" s="468"/>
      <c r="J15" s="468"/>
      <c r="K15" s="468"/>
      <c r="L15" s="514"/>
      <c r="M15" s="455"/>
      <c r="N15" s="455"/>
      <c r="O15" s="614"/>
      <c r="P15" s="636"/>
      <c r="Q15" s="595">
        <f t="shared" si="0"/>
        <v>0</v>
      </c>
    </row>
    <row r="16" spans="1:17" x14ac:dyDescent="0.25">
      <c r="A16" s="578"/>
      <c r="B16" s="479" t="s">
        <v>682</v>
      </c>
      <c r="C16" s="447"/>
      <c r="D16" s="447"/>
      <c r="E16" s="468"/>
      <c r="F16" s="468"/>
      <c r="G16" s="468"/>
      <c r="H16" s="468"/>
      <c r="I16" s="468"/>
      <c r="J16" s="468"/>
      <c r="K16" s="468"/>
      <c r="L16" s="514"/>
      <c r="M16" s="455"/>
      <c r="N16" s="455"/>
      <c r="O16" s="614"/>
      <c r="P16" s="636"/>
      <c r="Q16" s="595">
        <f t="shared" si="0"/>
        <v>0</v>
      </c>
    </row>
    <row r="17" spans="1:17" x14ac:dyDescent="0.25">
      <c r="A17" s="578"/>
      <c r="B17" s="447" t="s">
        <v>674</v>
      </c>
      <c r="C17" s="447"/>
      <c r="D17" s="447"/>
      <c r="E17" s="467" t="s">
        <v>683</v>
      </c>
      <c r="F17" s="468"/>
      <c r="G17" s="467" t="s">
        <v>684</v>
      </c>
      <c r="H17" s="468"/>
      <c r="I17" s="467" t="s">
        <v>685</v>
      </c>
      <c r="J17" s="461">
        <f>+I17*1.06</f>
        <v>0.13780000000000001</v>
      </c>
      <c r="K17" s="461">
        <f>+J17*1.065</f>
        <v>0.146757</v>
      </c>
      <c r="L17" s="513">
        <v>1.2E-2</v>
      </c>
      <c r="M17" s="454">
        <v>1.2E-2</v>
      </c>
      <c r="N17" s="454">
        <v>1.2E-2</v>
      </c>
      <c r="O17" s="613">
        <v>1.2E-2</v>
      </c>
      <c r="P17" s="635">
        <v>1.272E-2</v>
      </c>
      <c r="Q17" s="593">
        <f t="shared" si="0"/>
        <v>1.3483200000000001E-2</v>
      </c>
    </row>
    <row r="18" spans="1:17" x14ac:dyDescent="0.25">
      <c r="A18" s="578"/>
      <c r="B18" s="447"/>
      <c r="C18" s="447"/>
      <c r="D18" s="447"/>
      <c r="E18" s="468"/>
      <c r="F18" s="468"/>
      <c r="G18" s="468"/>
      <c r="H18" s="468"/>
      <c r="I18" s="468"/>
      <c r="J18" s="468"/>
      <c r="K18" s="468"/>
      <c r="L18" s="514"/>
      <c r="M18" s="455"/>
      <c r="N18" s="455"/>
      <c r="O18" s="614"/>
      <c r="P18" s="636"/>
      <c r="Q18" s="595">
        <f t="shared" si="0"/>
        <v>0</v>
      </c>
    </row>
    <row r="19" spans="1:17" x14ac:dyDescent="0.25">
      <c r="A19" s="578"/>
      <c r="B19" s="479" t="s">
        <v>686</v>
      </c>
      <c r="C19" s="447"/>
      <c r="D19" s="447"/>
      <c r="E19" s="468"/>
      <c r="F19" s="468"/>
      <c r="G19" s="468"/>
      <c r="H19" s="468"/>
      <c r="I19" s="468"/>
      <c r="J19" s="468"/>
      <c r="K19" s="468"/>
      <c r="L19" s="514"/>
      <c r="M19" s="455"/>
      <c r="N19" s="455"/>
      <c r="O19" s="614"/>
      <c r="P19" s="636"/>
      <c r="Q19" s="595">
        <f t="shared" si="0"/>
        <v>0</v>
      </c>
    </row>
    <row r="20" spans="1:17" x14ac:dyDescent="0.25">
      <c r="A20" s="578"/>
      <c r="B20" s="447" t="s">
        <v>674</v>
      </c>
      <c r="C20" s="447"/>
      <c r="D20" s="447"/>
      <c r="E20" s="467" t="s">
        <v>687</v>
      </c>
      <c r="F20" s="468"/>
      <c r="G20" s="467" t="s">
        <v>688</v>
      </c>
      <c r="H20" s="468"/>
      <c r="I20" s="467" t="s">
        <v>679</v>
      </c>
      <c r="J20" s="461">
        <f>+I20*1.06</f>
        <v>8.48E-2</v>
      </c>
      <c r="K20" s="461">
        <f>+J20*1.065</f>
        <v>9.031199999999999E-2</v>
      </c>
      <c r="L20" s="513">
        <v>1.2E-2</v>
      </c>
      <c r="M20" s="454">
        <v>1.2E-2</v>
      </c>
      <c r="N20" s="454">
        <v>1.2E-2</v>
      </c>
      <c r="O20" s="613">
        <v>1.2E-2</v>
      </c>
      <c r="P20" s="635">
        <v>1.272E-2</v>
      </c>
      <c r="Q20" s="593">
        <f t="shared" si="0"/>
        <v>1.3483200000000001E-2</v>
      </c>
    </row>
    <row r="21" spans="1:17" x14ac:dyDescent="0.25">
      <c r="A21" s="578"/>
      <c r="B21" s="447"/>
      <c r="C21" s="447"/>
      <c r="D21" s="447"/>
      <c r="E21" s="467"/>
      <c r="F21" s="468"/>
      <c r="G21" s="467"/>
      <c r="H21" s="468"/>
      <c r="I21" s="467"/>
      <c r="J21" s="461"/>
      <c r="K21" s="461"/>
      <c r="L21" s="513"/>
      <c r="M21" s="454"/>
      <c r="N21" s="454"/>
      <c r="O21" s="615"/>
      <c r="P21" s="637"/>
      <c r="Q21" s="454">
        <f t="shared" si="0"/>
        <v>0</v>
      </c>
    </row>
    <row r="22" spans="1:17" x14ac:dyDescent="0.25">
      <c r="A22" s="578"/>
      <c r="B22" s="479" t="s">
        <v>251</v>
      </c>
      <c r="C22" s="447"/>
      <c r="D22" s="447"/>
      <c r="E22" s="467"/>
      <c r="F22" s="468"/>
      <c r="G22" s="467"/>
      <c r="H22" s="468"/>
      <c r="I22" s="467"/>
      <c r="J22" s="461"/>
      <c r="K22" s="461"/>
      <c r="L22" s="513">
        <v>2.4E-2</v>
      </c>
      <c r="M22" s="513">
        <v>2.4E-2</v>
      </c>
      <c r="N22" s="513">
        <v>2.4E-2</v>
      </c>
      <c r="O22" s="613">
        <v>2.4E-2</v>
      </c>
      <c r="P22" s="635">
        <v>2.5440000000000001E-2</v>
      </c>
      <c r="Q22" s="592">
        <f t="shared" si="0"/>
        <v>2.6966400000000001E-2</v>
      </c>
    </row>
    <row r="23" spans="1:17" x14ac:dyDescent="0.25">
      <c r="A23" s="578"/>
      <c r="B23" s="447"/>
      <c r="C23" s="447"/>
      <c r="D23" s="447"/>
      <c r="E23" s="467"/>
      <c r="F23" s="468"/>
      <c r="G23" s="467"/>
      <c r="H23" s="468"/>
      <c r="I23" s="467"/>
      <c r="J23" s="461"/>
      <c r="K23" s="461"/>
      <c r="L23" s="513"/>
      <c r="M23" s="513"/>
      <c r="N23" s="513"/>
      <c r="O23" s="613"/>
      <c r="P23" s="635"/>
      <c r="Q23" s="592">
        <f t="shared" si="0"/>
        <v>0</v>
      </c>
    </row>
    <row r="24" spans="1:17" x14ac:dyDescent="0.25">
      <c r="A24" s="578"/>
      <c r="B24" s="479" t="s">
        <v>248</v>
      </c>
      <c r="C24" s="447"/>
      <c r="D24" s="447"/>
      <c r="E24" s="468"/>
      <c r="F24" s="468"/>
      <c r="G24" s="468"/>
      <c r="H24" s="468"/>
      <c r="I24" s="468"/>
      <c r="J24" s="468"/>
      <c r="K24" s="468"/>
      <c r="L24" s="514">
        <v>2.4E-2</v>
      </c>
      <c r="M24" s="514">
        <v>2.4E-2</v>
      </c>
      <c r="N24" s="514">
        <v>2.4E-2</v>
      </c>
      <c r="O24" s="614">
        <v>2.4E-2</v>
      </c>
      <c r="P24" s="636">
        <v>2.5440000000000001E-2</v>
      </c>
      <c r="Q24" s="594">
        <f t="shared" si="0"/>
        <v>2.6966400000000001E-2</v>
      </c>
    </row>
    <row r="25" spans="1:17" x14ac:dyDescent="0.25">
      <c r="A25" s="578"/>
      <c r="B25" s="479"/>
      <c r="C25" s="447"/>
      <c r="D25" s="447"/>
      <c r="E25" s="468"/>
      <c r="F25" s="468"/>
      <c r="G25" s="468"/>
      <c r="H25" s="468"/>
      <c r="I25" s="468"/>
      <c r="J25" s="468"/>
      <c r="K25" s="468"/>
      <c r="L25" s="514"/>
      <c r="M25" s="455"/>
      <c r="N25" s="455"/>
      <c r="O25" s="614"/>
      <c r="P25" s="636"/>
      <c r="Q25" s="595">
        <f t="shared" si="0"/>
        <v>0</v>
      </c>
    </row>
    <row r="26" spans="1:17" x14ac:dyDescent="0.25">
      <c r="A26" s="578"/>
      <c r="B26" s="479" t="s">
        <v>509</v>
      </c>
      <c r="C26" s="447"/>
      <c r="D26" s="447"/>
      <c r="E26" s="468"/>
      <c r="F26" s="468"/>
      <c r="G26" s="468"/>
      <c r="H26" s="468"/>
      <c r="I26" s="468"/>
      <c r="J26" s="468"/>
      <c r="K26" s="468"/>
      <c r="L26" s="514">
        <f>0.012/4</f>
        <v>3.0000000000000001E-3</v>
      </c>
      <c r="M26" s="455">
        <f>0.013/4</f>
        <v>3.2499999999999999E-3</v>
      </c>
      <c r="N26" s="455">
        <f>0.013/4</f>
        <v>3.2499999999999999E-3</v>
      </c>
      <c r="O26" s="614">
        <f>0.012/4</f>
        <v>3.0000000000000001E-3</v>
      </c>
      <c r="P26" s="636">
        <v>3.1800000000000001E-3</v>
      </c>
      <c r="Q26" s="595">
        <f t="shared" si="0"/>
        <v>3.3708000000000002E-3</v>
      </c>
    </row>
    <row r="27" spans="1:17" x14ac:dyDescent="0.25">
      <c r="A27" s="578"/>
      <c r="B27" s="479"/>
      <c r="C27" s="447"/>
      <c r="D27" s="447"/>
      <c r="E27" s="468"/>
      <c r="F27" s="468"/>
      <c r="G27" s="468"/>
      <c r="H27" s="468"/>
      <c r="I27" s="468"/>
      <c r="J27" s="468"/>
      <c r="K27" s="468"/>
      <c r="L27" s="527">
        <v>0.75</v>
      </c>
      <c r="M27" s="527">
        <v>0.5</v>
      </c>
      <c r="N27" s="527">
        <v>0.25</v>
      </c>
      <c r="O27" s="616"/>
      <c r="P27" s="638"/>
      <c r="Q27" s="596">
        <f t="shared" si="0"/>
        <v>0</v>
      </c>
    </row>
    <row r="28" spans="1:17" x14ac:dyDescent="0.25">
      <c r="A28" s="578"/>
      <c r="B28" s="482"/>
      <c r="C28" s="447"/>
      <c r="D28" s="447"/>
      <c r="E28" s="468"/>
      <c r="F28" s="468"/>
      <c r="G28" s="468"/>
      <c r="H28" s="468"/>
      <c r="I28" s="468"/>
      <c r="J28" s="468"/>
      <c r="K28" s="468"/>
      <c r="L28" s="514"/>
      <c r="M28" s="455"/>
      <c r="N28" s="455"/>
      <c r="O28" s="614"/>
      <c r="P28" s="636"/>
      <c r="Q28" s="595">
        <f t="shared" si="0"/>
        <v>0</v>
      </c>
    </row>
    <row r="29" spans="1:17" x14ac:dyDescent="0.25">
      <c r="A29" s="578"/>
      <c r="B29" s="479" t="s">
        <v>249</v>
      </c>
      <c r="C29" s="447"/>
      <c r="D29" s="447"/>
      <c r="E29" s="468"/>
      <c r="F29" s="468"/>
      <c r="G29" s="468"/>
      <c r="H29" s="468"/>
      <c r="I29" s="468"/>
      <c r="J29" s="468"/>
      <c r="K29" s="468"/>
      <c r="L29" s="514">
        <v>2.4E-2</v>
      </c>
      <c r="M29" s="514">
        <v>2.4E-2</v>
      </c>
      <c r="N29" s="514">
        <v>2.4E-2</v>
      </c>
      <c r="O29" s="614">
        <v>0</v>
      </c>
      <c r="P29" s="636">
        <v>0</v>
      </c>
      <c r="Q29" s="594">
        <f t="shared" si="0"/>
        <v>0</v>
      </c>
    </row>
    <row r="30" spans="1:17" x14ac:dyDescent="0.25">
      <c r="A30" s="578"/>
      <c r="B30" s="447"/>
      <c r="C30" s="447"/>
      <c r="D30" s="447"/>
      <c r="E30" s="468"/>
      <c r="F30" s="468"/>
      <c r="G30" s="468"/>
      <c r="H30" s="468"/>
      <c r="I30" s="468"/>
      <c r="J30" s="468"/>
      <c r="K30" s="468"/>
      <c r="L30" s="514"/>
      <c r="M30" s="455"/>
      <c r="N30" s="455"/>
      <c r="O30" s="614"/>
      <c r="P30" s="636"/>
      <c r="Q30" s="595">
        <f t="shared" si="0"/>
        <v>0</v>
      </c>
    </row>
    <row r="31" spans="1:17" x14ac:dyDescent="0.25">
      <c r="A31" s="503" t="s">
        <v>689</v>
      </c>
      <c r="B31" s="580" t="s">
        <v>202</v>
      </c>
      <c r="C31" s="447"/>
      <c r="D31" s="447"/>
      <c r="E31" s="468"/>
      <c r="F31" s="468"/>
      <c r="G31" s="468"/>
      <c r="H31" s="468"/>
      <c r="I31" s="468"/>
      <c r="J31" s="468"/>
      <c r="K31" s="468"/>
      <c r="L31" s="514"/>
      <c r="M31" s="455"/>
      <c r="N31" s="455"/>
      <c r="O31" s="617"/>
      <c r="P31" s="639"/>
      <c r="Q31" s="455">
        <f t="shared" si="0"/>
        <v>0</v>
      </c>
    </row>
    <row r="32" spans="1:17" x14ac:dyDescent="0.25">
      <c r="A32" s="578"/>
      <c r="B32" s="447"/>
      <c r="C32" s="447"/>
      <c r="D32" s="447"/>
      <c r="E32" s="468"/>
      <c r="F32" s="468"/>
      <c r="G32" s="468"/>
      <c r="H32" s="468"/>
      <c r="I32" s="468"/>
      <c r="J32" s="468"/>
      <c r="K32" s="468"/>
      <c r="L32" s="514"/>
      <c r="M32" s="455"/>
      <c r="N32" s="455"/>
      <c r="O32" s="617"/>
      <c r="P32" s="639"/>
      <c r="Q32" s="455">
        <f t="shared" si="0"/>
        <v>0</v>
      </c>
    </row>
    <row r="33" spans="1:17" x14ac:dyDescent="0.25">
      <c r="A33" s="578"/>
      <c r="B33" s="447" t="s">
        <v>521</v>
      </c>
      <c r="C33" s="447"/>
      <c r="D33" s="447"/>
      <c r="E33" s="467" t="s">
        <v>203</v>
      </c>
      <c r="F33" s="468"/>
      <c r="G33" s="467" t="s">
        <v>204</v>
      </c>
      <c r="H33" s="468"/>
      <c r="I33" s="467" t="s">
        <v>205</v>
      </c>
      <c r="J33" s="484">
        <f t="shared" ref="J33:J49" si="1">+I33*1.06</f>
        <v>52.660800000000002</v>
      </c>
      <c r="K33" s="484">
        <f t="shared" ref="K33:K49" si="2">+J33*1.065</f>
        <v>56.083751999999997</v>
      </c>
      <c r="L33" s="515">
        <f>+K33*1.083-0.01</f>
        <v>60.728703415999995</v>
      </c>
      <c r="M33" s="466">
        <f t="shared" ref="M33:M49" si="3">+L33*1.25</f>
        <v>75.910879269999995</v>
      </c>
      <c r="N33" s="466">
        <f>+M33*1.07</f>
        <v>81.224640818899999</v>
      </c>
      <c r="O33" s="618">
        <f>+N33*1.06</f>
        <v>86.098119268033997</v>
      </c>
      <c r="P33" s="640">
        <v>91.2</v>
      </c>
      <c r="Q33" s="466">
        <f t="shared" si="0"/>
        <v>96.671999999999997</v>
      </c>
    </row>
    <row r="34" spans="1:17" x14ac:dyDescent="0.25">
      <c r="A34" s="578"/>
      <c r="B34" s="447" t="s">
        <v>206</v>
      </c>
      <c r="C34" s="447"/>
      <c r="D34" s="447"/>
      <c r="E34" s="467" t="s">
        <v>203</v>
      </c>
      <c r="F34" s="468"/>
      <c r="G34" s="467" t="s">
        <v>204</v>
      </c>
      <c r="H34" s="468"/>
      <c r="I34" s="467" t="s">
        <v>205</v>
      </c>
      <c r="J34" s="484">
        <f t="shared" si="1"/>
        <v>52.660800000000002</v>
      </c>
      <c r="K34" s="484">
        <f t="shared" si="2"/>
        <v>56.083751999999997</v>
      </c>
      <c r="L34" s="515">
        <f>+K34*1.083-0.01</f>
        <v>60.728703415999995</v>
      </c>
      <c r="M34" s="466">
        <f t="shared" si="3"/>
        <v>75.910879269999995</v>
      </c>
      <c r="N34" s="466">
        <f t="shared" ref="N34:N49" si="4">+M34*1.07</f>
        <v>81.224640818899999</v>
      </c>
      <c r="O34" s="618">
        <f t="shared" ref="O34:O49" si="5">+N34*1.06</f>
        <v>86.098119268033997</v>
      </c>
      <c r="P34" s="640">
        <v>91.2</v>
      </c>
      <c r="Q34" s="466">
        <f t="shared" si="0"/>
        <v>96.671999999999997</v>
      </c>
    </row>
    <row r="35" spans="1:17" x14ac:dyDescent="0.25">
      <c r="A35" s="578"/>
      <c r="B35" s="447" t="s">
        <v>207</v>
      </c>
      <c r="C35" s="447"/>
      <c r="D35" s="447"/>
      <c r="E35" s="467" t="s">
        <v>208</v>
      </c>
      <c r="F35" s="468"/>
      <c r="G35" s="467" t="s">
        <v>209</v>
      </c>
      <c r="H35" s="468"/>
      <c r="I35" s="467" t="s">
        <v>210</v>
      </c>
      <c r="J35" s="484">
        <f t="shared" si="1"/>
        <v>184.334</v>
      </c>
      <c r="K35" s="484">
        <f t="shared" si="2"/>
        <v>196.31571</v>
      </c>
      <c r="L35" s="515">
        <f t="shared" ref="L35:L49" si="6">+K35*1.083</f>
        <v>212.60991392999998</v>
      </c>
      <c r="M35" s="466">
        <f t="shared" si="3"/>
        <v>265.76239241249999</v>
      </c>
      <c r="N35" s="466">
        <f t="shared" si="4"/>
        <v>284.36575988137503</v>
      </c>
      <c r="O35" s="618">
        <f t="shared" si="5"/>
        <v>301.42770547425755</v>
      </c>
      <c r="P35" s="640">
        <v>319.5</v>
      </c>
      <c r="Q35" s="466">
        <f t="shared" si="0"/>
        <v>338.67</v>
      </c>
    </row>
    <row r="36" spans="1:17" x14ac:dyDescent="0.25">
      <c r="A36" s="578"/>
      <c r="B36" s="447" t="s">
        <v>690</v>
      </c>
      <c r="C36" s="447"/>
      <c r="D36" s="447"/>
      <c r="E36" s="467" t="s">
        <v>691</v>
      </c>
      <c r="F36" s="468"/>
      <c r="G36" s="467" t="s">
        <v>692</v>
      </c>
      <c r="H36" s="468"/>
      <c r="I36" s="467" t="s">
        <v>693</v>
      </c>
      <c r="J36" s="484">
        <f t="shared" si="1"/>
        <v>658.32359999999994</v>
      </c>
      <c r="K36" s="484">
        <f t="shared" si="2"/>
        <v>701.11463399999991</v>
      </c>
      <c r="L36" s="515">
        <f t="shared" si="6"/>
        <v>759.30714862199989</v>
      </c>
      <c r="M36" s="466">
        <f t="shared" si="3"/>
        <v>949.1339357774998</v>
      </c>
      <c r="N36" s="466">
        <f t="shared" si="4"/>
        <v>1015.5733112819248</v>
      </c>
      <c r="O36" s="618">
        <f t="shared" si="5"/>
        <v>1076.5077099588405</v>
      </c>
      <c r="P36" s="640">
        <v>1141.0999999999999</v>
      </c>
      <c r="Q36" s="466">
        <f t="shared" si="0"/>
        <v>1209.5659999999998</v>
      </c>
    </row>
    <row r="37" spans="1:17" x14ac:dyDescent="0.25">
      <c r="A37" s="578"/>
      <c r="B37" s="447" t="s">
        <v>694</v>
      </c>
      <c r="C37" s="447"/>
      <c r="D37" s="447"/>
      <c r="E37" s="467" t="s">
        <v>695</v>
      </c>
      <c r="F37" s="468"/>
      <c r="G37" s="467" t="s">
        <v>696</v>
      </c>
      <c r="H37" s="468"/>
      <c r="I37" s="467" t="s">
        <v>697</v>
      </c>
      <c r="J37" s="484">
        <f t="shared" si="1"/>
        <v>637.25080000000003</v>
      </c>
      <c r="K37" s="484">
        <f t="shared" si="2"/>
        <v>678.672102</v>
      </c>
      <c r="L37" s="515">
        <f t="shared" si="6"/>
        <v>735.00188646599997</v>
      </c>
      <c r="M37" s="466">
        <f t="shared" si="3"/>
        <v>918.7523580825</v>
      </c>
      <c r="N37" s="466">
        <f t="shared" si="4"/>
        <v>983.06502314827503</v>
      </c>
      <c r="O37" s="618">
        <f t="shared" si="5"/>
        <v>1042.0489245371716</v>
      </c>
      <c r="P37" s="640">
        <v>1104.5999999999999</v>
      </c>
      <c r="Q37" s="466">
        <f t="shared" si="0"/>
        <v>1170.876</v>
      </c>
    </row>
    <row r="38" spans="1:17" x14ac:dyDescent="0.25">
      <c r="A38" s="578"/>
      <c r="B38" s="447" t="s">
        <v>698</v>
      </c>
      <c r="C38" s="447"/>
      <c r="D38" s="447"/>
      <c r="E38" s="467" t="s">
        <v>699</v>
      </c>
      <c r="F38" s="468"/>
      <c r="G38" s="467" t="s">
        <v>700</v>
      </c>
      <c r="H38" s="468"/>
      <c r="I38" s="467" t="s">
        <v>701</v>
      </c>
      <c r="J38" s="484">
        <f t="shared" si="1"/>
        <v>639.87959999999998</v>
      </c>
      <c r="K38" s="484">
        <f t="shared" si="2"/>
        <v>681.47177399999998</v>
      </c>
      <c r="L38" s="515">
        <f t="shared" si="6"/>
        <v>738.03393124199999</v>
      </c>
      <c r="M38" s="466">
        <f t="shared" si="3"/>
        <v>922.54241405250002</v>
      </c>
      <c r="N38" s="466">
        <f t="shared" si="4"/>
        <v>987.1203830361751</v>
      </c>
      <c r="O38" s="618">
        <f t="shared" si="5"/>
        <v>1046.3476060183457</v>
      </c>
      <c r="P38" s="640">
        <v>1109.0999999999999</v>
      </c>
      <c r="Q38" s="466">
        <f t="shared" si="0"/>
        <v>1175.646</v>
      </c>
    </row>
    <row r="39" spans="1:17" x14ac:dyDescent="0.25">
      <c r="A39" s="578"/>
      <c r="B39" s="447" t="s">
        <v>702</v>
      </c>
      <c r="C39" s="447"/>
      <c r="D39" s="447"/>
      <c r="E39" s="467" t="s">
        <v>699</v>
      </c>
      <c r="F39" s="468"/>
      <c r="G39" s="467" t="s">
        <v>700</v>
      </c>
      <c r="H39" s="468"/>
      <c r="I39" s="467" t="s">
        <v>701</v>
      </c>
      <c r="J39" s="484">
        <f t="shared" si="1"/>
        <v>639.87959999999998</v>
      </c>
      <c r="K39" s="484">
        <f t="shared" si="2"/>
        <v>681.47177399999998</v>
      </c>
      <c r="L39" s="515">
        <f t="shared" si="6"/>
        <v>738.03393124199999</v>
      </c>
      <c r="M39" s="466">
        <f t="shared" si="3"/>
        <v>922.54241405250002</v>
      </c>
      <c r="N39" s="466">
        <f t="shared" si="4"/>
        <v>987.1203830361751</v>
      </c>
      <c r="O39" s="618">
        <f t="shared" si="5"/>
        <v>1046.3476060183457</v>
      </c>
      <c r="P39" s="640">
        <v>1109.0999999999999</v>
      </c>
      <c r="Q39" s="466">
        <f t="shared" si="0"/>
        <v>1175.646</v>
      </c>
    </row>
    <row r="40" spans="1:17" x14ac:dyDescent="0.25">
      <c r="A40" s="578"/>
      <c r="B40" s="447" t="s">
        <v>703</v>
      </c>
      <c r="C40" s="447"/>
      <c r="D40" s="447"/>
      <c r="E40" s="467" t="s">
        <v>704</v>
      </c>
      <c r="F40" s="468"/>
      <c r="G40" s="467" t="s">
        <v>705</v>
      </c>
      <c r="H40" s="468"/>
      <c r="I40" s="467" t="s">
        <v>706</v>
      </c>
      <c r="J40" s="484">
        <f t="shared" si="1"/>
        <v>6945.2471999999998</v>
      </c>
      <c r="K40" s="484">
        <f t="shared" si="2"/>
        <v>7396.688267999999</v>
      </c>
      <c r="L40" s="515">
        <f t="shared" si="6"/>
        <v>8010.6133942439983</v>
      </c>
      <c r="M40" s="466">
        <f t="shared" si="3"/>
        <v>10013.266742804997</v>
      </c>
      <c r="N40" s="466">
        <f t="shared" si="4"/>
        <v>10714.195414801348</v>
      </c>
      <c r="O40" s="618">
        <f t="shared" si="5"/>
        <v>11357.04713968943</v>
      </c>
      <c r="P40" s="640">
        <v>12040</v>
      </c>
      <c r="Q40" s="466">
        <f t="shared" si="0"/>
        <v>12762.4</v>
      </c>
    </row>
    <row r="41" spans="1:17" x14ac:dyDescent="0.25">
      <c r="A41" s="578"/>
      <c r="B41" s="447" t="s">
        <v>707</v>
      </c>
      <c r="C41" s="447"/>
      <c r="D41" s="447"/>
      <c r="E41" s="467" t="s">
        <v>708</v>
      </c>
      <c r="F41" s="468"/>
      <c r="G41" s="467" t="s">
        <v>709</v>
      </c>
      <c r="H41" s="468"/>
      <c r="I41" s="467" t="s">
        <v>710</v>
      </c>
      <c r="J41" s="484">
        <f t="shared" si="1"/>
        <v>190.90600000000001</v>
      </c>
      <c r="K41" s="484">
        <f t="shared" si="2"/>
        <v>203.31488999999999</v>
      </c>
      <c r="L41" s="515">
        <f t="shared" si="6"/>
        <v>220.19002586999997</v>
      </c>
      <c r="M41" s="466">
        <f t="shared" si="3"/>
        <v>275.23753233749994</v>
      </c>
      <c r="N41" s="466">
        <f t="shared" si="4"/>
        <v>294.50415960112497</v>
      </c>
      <c r="O41" s="618">
        <f t="shared" si="5"/>
        <v>312.1744091771925</v>
      </c>
      <c r="P41" s="640">
        <v>330.9</v>
      </c>
      <c r="Q41" s="466">
        <f t="shared" si="0"/>
        <v>350.75399999999996</v>
      </c>
    </row>
    <row r="42" spans="1:17" x14ac:dyDescent="0.25">
      <c r="A42" s="578"/>
      <c r="B42" s="447" t="s">
        <v>711</v>
      </c>
      <c r="C42" s="447"/>
      <c r="D42" s="447"/>
      <c r="E42" s="467" t="s">
        <v>712</v>
      </c>
      <c r="F42" s="468"/>
      <c r="G42" s="467" t="s">
        <v>713</v>
      </c>
      <c r="H42" s="468"/>
      <c r="I42" s="467" t="s">
        <v>714</v>
      </c>
      <c r="J42" s="484">
        <f t="shared" si="1"/>
        <v>215.93260000000001</v>
      </c>
      <c r="K42" s="484">
        <f t="shared" si="2"/>
        <v>229.968219</v>
      </c>
      <c r="L42" s="515">
        <f t="shared" si="6"/>
        <v>249.05558117699999</v>
      </c>
      <c r="M42" s="466">
        <f t="shared" si="3"/>
        <v>311.31947647124997</v>
      </c>
      <c r="N42" s="466">
        <f t="shared" si="4"/>
        <v>333.11183982423751</v>
      </c>
      <c r="O42" s="618">
        <f t="shared" si="5"/>
        <v>353.09855021369179</v>
      </c>
      <c r="P42" s="640">
        <v>374.3</v>
      </c>
      <c r="Q42" s="466">
        <f t="shared" si="0"/>
        <v>396.75800000000004</v>
      </c>
    </row>
    <row r="43" spans="1:17" x14ac:dyDescent="0.25">
      <c r="A43" s="578"/>
      <c r="B43" s="447" t="s">
        <v>715</v>
      </c>
      <c r="C43" s="447"/>
      <c r="D43" s="447"/>
      <c r="E43" s="467" t="s">
        <v>716</v>
      </c>
      <c r="F43" s="468"/>
      <c r="G43" s="467" t="s">
        <v>717</v>
      </c>
      <c r="H43" s="468"/>
      <c r="I43" s="467" t="s">
        <v>718</v>
      </c>
      <c r="J43" s="484">
        <f t="shared" si="1"/>
        <v>1217.8976</v>
      </c>
      <c r="K43" s="484">
        <f t="shared" si="2"/>
        <v>1297.0609439999998</v>
      </c>
      <c r="L43" s="515">
        <f t="shared" si="6"/>
        <v>1404.7170023519998</v>
      </c>
      <c r="M43" s="466">
        <f t="shared" si="3"/>
        <v>1755.8962529399996</v>
      </c>
      <c r="N43" s="466">
        <f t="shared" si="4"/>
        <v>1878.8089906457997</v>
      </c>
      <c r="O43" s="618">
        <f t="shared" si="5"/>
        <v>1991.5375300845478</v>
      </c>
      <c r="P43" s="640">
        <v>2111</v>
      </c>
      <c r="Q43" s="466">
        <f t="shared" si="0"/>
        <v>2237.66</v>
      </c>
    </row>
    <row r="44" spans="1:17" x14ac:dyDescent="0.25">
      <c r="A44" s="578"/>
      <c r="B44" s="447" t="s">
        <v>719</v>
      </c>
      <c r="C44" s="447"/>
      <c r="D44" s="447"/>
      <c r="E44" s="467" t="s">
        <v>720</v>
      </c>
      <c r="F44" s="467"/>
      <c r="G44" s="467" t="s">
        <v>721</v>
      </c>
      <c r="H44" s="468"/>
      <c r="I44" s="467" t="s">
        <v>722</v>
      </c>
      <c r="J44" s="484">
        <f t="shared" si="1"/>
        <v>9407.3622000000014</v>
      </c>
      <c r="K44" s="484">
        <f t="shared" si="2"/>
        <v>10018.840743000001</v>
      </c>
      <c r="L44" s="515">
        <f t="shared" si="6"/>
        <v>10850.404524669</v>
      </c>
      <c r="M44" s="466">
        <f t="shared" si="3"/>
        <v>13563.00565583625</v>
      </c>
      <c r="N44" s="466">
        <f t="shared" si="4"/>
        <v>14512.416051744789</v>
      </c>
      <c r="O44" s="618">
        <f t="shared" si="5"/>
        <v>15383.161014849476</v>
      </c>
      <c r="P44" s="640">
        <v>16306.1</v>
      </c>
      <c r="Q44" s="466">
        <f t="shared" si="0"/>
        <v>17284.466</v>
      </c>
    </row>
    <row r="45" spans="1:17" x14ac:dyDescent="0.25">
      <c r="A45" s="578"/>
      <c r="B45" s="447" t="s">
        <v>723</v>
      </c>
      <c r="C45" s="447"/>
      <c r="D45" s="447"/>
      <c r="E45" s="467" t="s">
        <v>724</v>
      </c>
      <c r="F45" s="468"/>
      <c r="G45" s="467" t="s">
        <v>725</v>
      </c>
      <c r="H45" s="468"/>
      <c r="I45" s="467" t="s">
        <v>726</v>
      </c>
      <c r="J45" s="484">
        <f t="shared" si="1"/>
        <v>217.24699999999999</v>
      </c>
      <c r="K45" s="484">
        <f t="shared" si="2"/>
        <v>231.36805499999997</v>
      </c>
      <c r="L45" s="515">
        <f t="shared" si="6"/>
        <v>250.57160356499995</v>
      </c>
      <c r="M45" s="466">
        <f t="shared" si="3"/>
        <v>313.21450445624993</v>
      </c>
      <c r="N45" s="466">
        <f t="shared" si="4"/>
        <v>335.13951976818743</v>
      </c>
      <c r="O45" s="618">
        <f t="shared" si="5"/>
        <v>355.24789095427872</v>
      </c>
      <c r="P45" s="640">
        <v>376.5</v>
      </c>
      <c r="Q45" s="466">
        <f t="shared" si="0"/>
        <v>399.09</v>
      </c>
    </row>
    <row r="46" spans="1:17" x14ac:dyDescent="0.25">
      <c r="A46" s="578"/>
      <c r="B46" s="447" t="s">
        <v>727</v>
      </c>
      <c r="C46" s="447"/>
      <c r="D46" s="447"/>
      <c r="E46" s="467" t="s">
        <v>728</v>
      </c>
      <c r="F46" s="468"/>
      <c r="G46" s="467" t="s">
        <v>729</v>
      </c>
      <c r="H46" s="468"/>
      <c r="I46" s="467" t="s">
        <v>730</v>
      </c>
      <c r="J46" s="484">
        <f t="shared" si="1"/>
        <v>434.49399999999997</v>
      </c>
      <c r="K46" s="484">
        <f t="shared" si="2"/>
        <v>462.73610999999994</v>
      </c>
      <c r="L46" s="515">
        <f t="shared" si="6"/>
        <v>501.14320712999989</v>
      </c>
      <c r="M46" s="466">
        <f t="shared" si="3"/>
        <v>626.42900891249985</v>
      </c>
      <c r="N46" s="466">
        <f t="shared" si="4"/>
        <v>670.27903953637485</v>
      </c>
      <c r="O46" s="618">
        <f t="shared" si="5"/>
        <v>710.49578190855743</v>
      </c>
      <c r="P46" s="640">
        <v>753.1</v>
      </c>
      <c r="Q46" s="466">
        <f t="shared" si="0"/>
        <v>798.28600000000006</v>
      </c>
    </row>
    <row r="47" spans="1:17" x14ac:dyDescent="0.25">
      <c r="A47" s="578"/>
      <c r="B47" s="447" t="s">
        <v>731</v>
      </c>
      <c r="C47" s="447"/>
      <c r="D47" s="447"/>
      <c r="E47" s="467" t="s">
        <v>732</v>
      </c>
      <c r="F47" s="468"/>
      <c r="G47" s="467" t="s">
        <v>733</v>
      </c>
      <c r="H47" s="468"/>
      <c r="I47" s="467" t="s">
        <v>734</v>
      </c>
      <c r="J47" s="484">
        <f t="shared" si="1"/>
        <v>77.6768</v>
      </c>
      <c r="K47" s="484">
        <f t="shared" si="2"/>
        <v>82.725791999999998</v>
      </c>
      <c r="L47" s="515">
        <f t="shared" si="6"/>
        <v>89.592032735999993</v>
      </c>
      <c r="M47" s="466">
        <f t="shared" si="3"/>
        <v>111.99004091999998</v>
      </c>
      <c r="N47" s="466">
        <f t="shared" si="4"/>
        <v>119.8293437844</v>
      </c>
      <c r="O47" s="618">
        <f t="shared" si="5"/>
        <v>127.019104411464</v>
      </c>
      <c r="P47" s="640">
        <v>134.6</v>
      </c>
      <c r="Q47" s="466">
        <f t="shared" si="0"/>
        <v>142.67599999999999</v>
      </c>
    </row>
    <row r="48" spans="1:17" x14ac:dyDescent="0.25">
      <c r="A48" s="578"/>
      <c r="B48" s="447" t="s">
        <v>735</v>
      </c>
      <c r="C48" s="447"/>
      <c r="D48" s="447"/>
      <c r="E48" s="467" t="s">
        <v>736</v>
      </c>
      <c r="F48" s="468"/>
      <c r="G48" s="467" t="s">
        <v>737</v>
      </c>
      <c r="H48" s="468"/>
      <c r="I48" s="467" t="s">
        <v>738</v>
      </c>
      <c r="J48" s="484">
        <f t="shared" si="1"/>
        <v>169.11240000000001</v>
      </c>
      <c r="K48" s="484">
        <f t="shared" si="2"/>
        <v>180.10470599999999</v>
      </c>
      <c r="L48" s="515">
        <f t="shared" si="6"/>
        <v>195.05339659799998</v>
      </c>
      <c r="M48" s="466">
        <f t="shared" si="3"/>
        <v>243.81674574749997</v>
      </c>
      <c r="N48" s="466">
        <f t="shared" si="4"/>
        <v>260.88391794982499</v>
      </c>
      <c r="O48" s="618">
        <f t="shared" si="5"/>
        <v>276.5369530268145</v>
      </c>
      <c r="P48" s="640">
        <v>293.10000000000002</v>
      </c>
      <c r="Q48" s="466">
        <f t="shared" si="0"/>
        <v>310.68600000000004</v>
      </c>
    </row>
    <row r="49" spans="1:17" x14ac:dyDescent="0.25">
      <c r="A49" s="578"/>
      <c r="B49" s="447" t="s">
        <v>739</v>
      </c>
      <c r="C49" s="447"/>
      <c r="D49" s="447"/>
      <c r="E49" s="467" t="s">
        <v>740</v>
      </c>
      <c r="F49" s="468"/>
      <c r="G49" s="467" t="s">
        <v>741</v>
      </c>
      <c r="H49" s="468"/>
      <c r="I49" s="467" t="s">
        <v>742</v>
      </c>
      <c r="J49" s="484">
        <f t="shared" si="1"/>
        <v>181.18580000000003</v>
      </c>
      <c r="K49" s="484">
        <f t="shared" si="2"/>
        <v>192.96287700000002</v>
      </c>
      <c r="L49" s="515">
        <f t="shared" si="6"/>
        <v>208.97879579100001</v>
      </c>
      <c r="M49" s="466">
        <f t="shared" si="3"/>
        <v>261.22349473874999</v>
      </c>
      <c r="N49" s="466">
        <f t="shared" si="4"/>
        <v>279.50913937046249</v>
      </c>
      <c r="O49" s="618">
        <f t="shared" si="5"/>
        <v>296.27968773269026</v>
      </c>
      <c r="P49" s="640">
        <v>314.10000000000002</v>
      </c>
      <c r="Q49" s="466">
        <f t="shared" si="0"/>
        <v>332.94600000000003</v>
      </c>
    </row>
    <row r="50" spans="1:17" x14ac:dyDescent="0.25">
      <c r="A50" s="578"/>
      <c r="B50" s="447"/>
      <c r="C50" s="447"/>
      <c r="D50" s="447"/>
      <c r="E50" s="468"/>
      <c r="F50" s="468"/>
      <c r="G50" s="468"/>
      <c r="H50" s="468"/>
      <c r="I50" s="468"/>
      <c r="J50" s="468"/>
      <c r="K50" s="468"/>
      <c r="L50" s="516"/>
      <c r="M50" s="485"/>
      <c r="N50" s="485"/>
      <c r="O50" s="619"/>
      <c r="P50" s="641"/>
      <c r="Q50" s="485">
        <f t="shared" si="0"/>
        <v>0</v>
      </c>
    </row>
    <row r="51" spans="1:17" x14ac:dyDescent="0.25">
      <c r="A51" s="503" t="s">
        <v>743</v>
      </c>
      <c r="B51" s="580" t="s">
        <v>211</v>
      </c>
      <c r="C51" s="447"/>
      <c r="D51" s="447"/>
      <c r="E51" s="468"/>
      <c r="F51" s="468"/>
      <c r="G51" s="468"/>
      <c r="H51" s="468"/>
      <c r="I51" s="468"/>
      <c r="J51" s="468"/>
      <c r="K51" s="468"/>
      <c r="L51" s="516"/>
      <c r="M51" s="485"/>
      <c r="N51" s="485"/>
      <c r="O51" s="619"/>
      <c r="P51" s="641"/>
      <c r="Q51" s="485">
        <f t="shared" si="0"/>
        <v>0</v>
      </c>
    </row>
    <row r="52" spans="1:17" x14ac:dyDescent="0.25">
      <c r="A52" s="503"/>
      <c r="B52" s="580"/>
      <c r="C52" s="447"/>
      <c r="D52" s="447"/>
      <c r="E52" s="468"/>
      <c r="F52" s="468"/>
      <c r="G52" s="468"/>
      <c r="H52" s="468"/>
      <c r="I52" s="468"/>
      <c r="J52" s="468"/>
      <c r="K52" s="468"/>
      <c r="L52" s="516"/>
      <c r="M52" s="485"/>
      <c r="N52" s="485"/>
      <c r="O52" s="619"/>
      <c r="P52" s="641"/>
      <c r="Q52" s="485">
        <f t="shared" si="0"/>
        <v>0</v>
      </c>
    </row>
    <row r="53" spans="1:17" x14ac:dyDescent="0.25">
      <c r="A53" s="578"/>
      <c r="B53" s="447" t="s">
        <v>206</v>
      </c>
      <c r="C53" s="447"/>
      <c r="D53" s="447"/>
      <c r="E53" s="467" t="s">
        <v>212</v>
      </c>
      <c r="F53" s="468"/>
      <c r="G53" s="467" t="s">
        <v>213</v>
      </c>
      <c r="H53" s="468"/>
      <c r="I53" s="467" t="s">
        <v>214</v>
      </c>
      <c r="J53" s="461">
        <f>+I53*1.06</f>
        <v>36.241399999999999</v>
      </c>
      <c r="K53" s="461">
        <f>+J53*1.065</f>
        <v>38.597090999999999</v>
      </c>
      <c r="L53" s="515">
        <f>+K53*1.083</f>
        <v>41.800649553</v>
      </c>
      <c r="M53" s="466">
        <f t="shared" ref="M53:N56" si="7">+L53*1.07</f>
        <v>44.72669502171</v>
      </c>
      <c r="N53" s="466">
        <f t="shared" si="7"/>
        <v>47.857563673229706</v>
      </c>
      <c r="O53" s="618">
        <f>+N53*1.06</f>
        <v>50.729017493623488</v>
      </c>
      <c r="P53" s="640">
        <v>53.7</v>
      </c>
      <c r="Q53" s="466">
        <f t="shared" si="0"/>
        <v>56.922000000000004</v>
      </c>
    </row>
    <row r="54" spans="1:17" x14ac:dyDescent="0.25">
      <c r="A54" s="578"/>
      <c r="B54" s="447" t="s">
        <v>215</v>
      </c>
      <c r="C54" s="447"/>
      <c r="D54" s="447"/>
      <c r="E54" s="467" t="s">
        <v>216</v>
      </c>
      <c r="F54" s="468"/>
      <c r="G54" s="467" t="s">
        <v>217</v>
      </c>
      <c r="H54" s="468"/>
      <c r="I54" s="467" t="s">
        <v>218</v>
      </c>
      <c r="J54" s="461">
        <f>+I54*1.06</f>
        <v>44.700200000000002</v>
      </c>
      <c r="K54" s="461">
        <f>+J54*1.065</f>
        <v>47.605713000000002</v>
      </c>
      <c r="L54" s="515">
        <f>+K54*1.083</f>
        <v>51.556987178999997</v>
      </c>
      <c r="M54" s="466">
        <f t="shared" si="7"/>
        <v>55.16597628153</v>
      </c>
      <c r="N54" s="466">
        <f t="shared" si="7"/>
        <v>59.027594621237107</v>
      </c>
      <c r="O54" s="618">
        <f t="shared" ref="O54:O56" si="8">+N54*1.06</f>
        <v>62.569250298511335</v>
      </c>
      <c r="P54" s="640">
        <v>66.3</v>
      </c>
      <c r="Q54" s="466">
        <f t="shared" si="0"/>
        <v>70.277999999999992</v>
      </c>
    </row>
    <row r="55" spans="1:17" x14ac:dyDescent="0.25">
      <c r="A55" s="578"/>
      <c r="B55" s="447" t="s">
        <v>244</v>
      </c>
      <c r="C55" s="447"/>
      <c r="D55" s="447"/>
      <c r="E55" s="468"/>
      <c r="F55" s="468"/>
      <c r="G55" s="468"/>
      <c r="H55" s="468"/>
      <c r="I55" s="468"/>
      <c r="J55" s="468"/>
      <c r="K55" s="468">
        <v>150</v>
      </c>
      <c r="L55" s="516">
        <f>150*1.083</f>
        <v>162.44999999999999</v>
      </c>
      <c r="M55" s="485">
        <f t="shared" si="7"/>
        <v>173.82149999999999</v>
      </c>
      <c r="N55" s="485">
        <f t="shared" si="7"/>
        <v>185.98900499999999</v>
      </c>
      <c r="O55" s="618">
        <f t="shared" si="8"/>
        <v>197.14834529999999</v>
      </c>
      <c r="P55" s="640">
        <v>209</v>
      </c>
      <c r="Q55" s="466">
        <f t="shared" si="0"/>
        <v>221.54</v>
      </c>
    </row>
    <row r="56" spans="1:17" x14ac:dyDescent="0.25">
      <c r="A56" s="578"/>
      <c r="B56" s="447" t="s">
        <v>254</v>
      </c>
      <c r="C56" s="447"/>
      <c r="D56" s="447"/>
      <c r="E56" s="468"/>
      <c r="F56" s="468"/>
      <c r="G56" s="468"/>
      <c r="H56" s="468"/>
      <c r="I56" s="468"/>
      <c r="J56" s="468"/>
      <c r="K56" s="468"/>
      <c r="L56" s="516">
        <v>160.5</v>
      </c>
      <c r="M56" s="485">
        <f t="shared" si="7"/>
        <v>171.73500000000001</v>
      </c>
      <c r="N56" s="485">
        <f t="shared" si="7"/>
        <v>183.75645000000003</v>
      </c>
      <c r="O56" s="618">
        <f t="shared" si="8"/>
        <v>194.78183700000005</v>
      </c>
      <c r="P56" s="640">
        <v>206.5</v>
      </c>
      <c r="Q56" s="466">
        <f t="shared" si="0"/>
        <v>218.89</v>
      </c>
    </row>
    <row r="57" spans="1:17" x14ac:dyDescent="0.25">
      <c r="A57" s="578"/>
      <c r="B57" s="447"/>
      <c r="C57" s="447"/>
      <c r="D57" s="447"/>
      <c r="E57" s="468"/>
      <c r="F57" s="468"/>
      <c r="G57" s="468"/>
      <c r="H57" s="468"/>
      <c r="I57" s="468"/>
      <c r="J57" s="468"/>
      <c r="K57" s="468"/>
      <c r="L57" s="516"/>
      <c r="M57" s="485"/>
      <c r="N57" s="485"/>
      <c r="O57" s="618"/>
      <c r="P57" s="640"/>
      <c r="Q57" s="466">
        <f t="shared" si="0"/>
        <v>0</v>
      </c>
    </row>
    <row r="58" spans="1:17" x14ac:dyDescent="0.25">
      <c r="A58" s="503" t="s">
        <v>744</v>
      </c>
      <c r="B58" s="580" t="s">
        <v>219</v>
      </c>
      <c r="C58" s="447"/>
      <c r="D58" s="447"/>
      <c r="E58" s="468"/>
      <c r="F58" s="468"/>
      <c r="G58" s="468"/>
      <c r="H58" s="468"/>
      <c r="I58" s="468"/>
      <c r="J58" s="468"/>
      <c r="K58" s="488"/>
      <c r="L58" s="517"/>
      <c r="M58" s="489"/>
      <c r="N58" s="489"/>
      <c r="O58" s="620"/>
      <c r="P58" s="642"/>
      <c r="Q58" s="489">
        <f t="shared" si="0"/>
        <v>0</v>
      </c>
    </row>
    <row r="59" spans="1:17" x14ac:dyDescent="0.25">
      <c r="A59" s="503"/>
      <c r="B59" s="482"/>
      <c r="C59" s="447"/>
      <c r="D59" s="447"/>
      <c r="E59" s="468"/>
      <c r="F59" s="468"/>
      <c r="G59" s="468"/>
      <c r="H59" s="468"/>
      <c r="I59" s="468"/>
      <c r="J59" s="468"/>
      <c r="K59" s="488"/>
      <c r="L59" s="517"/>
      <c r="M59" s="489"/>
      <c r="N59" s="489"/>
      <c r="O59" s="620"/>
      <c r="P59" s="642"/>
      <c r="Q59" s="489">
        <f t="shared" si="0"/>
        <v>0</v>
      </c>
    </row>
    <row r="60" spans="1:17" x14ac:dyDescent="0.25">
      <c r="A60" s="578"/>
      <c r="B60" s="447" t="s">
        <v>220</v>
      </c>
      <c r="C60" s="528"/>
      <c r="D60" s="485" t="s">
        <v>252</v>
      </c>
      <c r="E60" s="467" t="s">
        <v>221</v>
      </c>
      <c r="F60" s="468"/>
      <c r="G60" s="467" t="s">
        <v>222</v>
      </c>
      <c r="H60" s="468"/>
      <c r="I60" s="467" t="s">
        <v>223</v>
      </c>
      <c r="J60" s="467">
        <f>+I60*1.06</f>
        <v>25.970000000000002</v>
      </c>
      <c r="K60" s="461">
        <f>+(J60*1.24)+0.07</f>
        <v>32.272800000000004</v>
      </c>
      <c r="L60" s="515">
        <f>+(K60*1.25)</f>
        <v>40.341000000000008</v>
      </c>
      <c r="M60" s="466">
        <f>+(L60*1.25)</f>
        <v>50.42625000000001</v>
      </c>
      <c r="N60" s="466">
        <f>+(M60*1.07)</f>
        <v>53.956087500000017</v>
      </c>
      <c r="O60" s="618">
        <f>+(N60*1.06)</f>
        <v>57.19345275000002</v>
      </c>
      <c r="P60" s="640">
        <v>60.6</v>
      </c>
      <c r="Q60" s="466">
        <f t="shared" si="0"/>
        <v>64.236000000000004</v>
      </c>
    </row>
    <row r="61" spans="1:17" x14ac:dyDescent="0.25">
      <c r="A61" s="578"/>
      <c r="B61" s="490" t="s">
        <v>381</v>
      </c>
      <c r="C61" s="447"/>
      <c r="D61" s="447"/>
      <c r="E61" s="467"/>
      <c r="F61" s="468"/>
      <c r="G61" s="467"/>
      <c r="H61" s="468"/>
      <c r="I61" s="491" t="s">
        <v>224</v>
      </c>
      <c r="J61" s="491" t="s">
        <v>224</v>
      </c>
      <c r="K61" s="491" t="s">
        <v>224</v>
      </c>
      <c r="L61" s="518" t="s">
        <v>252</v>
      </c>
      <c r="M61" s="492" t="s">
        <v>252</v>
      </c>
      <c r="N61" s="492" t="s">
        <v>252</v>
      </c>
      <c r="O61" s="621" t="s">
        <v>510</v>
      </c>
      <c r="P61" s="643" t="s">
        <v>510</v>
      </c>
      <c r="Q61" s="492" t="s">
        <v>510</v>
      </c>
    </row>
    <row r="62" spans="1:17" x14ac:dyDescent="0.25">
      <c r="A62" s="578"/>
      <c r="B62" s="490" t="s">
        <v>381</v>
      </c>
      <c r="C62" s="447"/>
      <c r="D62" s="447"/>
      <c r="E62" s="491" t="s">
        <v>224</v>
      </c>
      <c r="F62" s="491"/>
      <c r="G62" s="491" t="s">
        <v>224</v>
      </c>
      <c r="H62" s="491"/>
      <c r="I62" s="491" t="s">
        <v>224</v>
      </c>
      <c r="J62" s="491" t="s">
        <v>224</v>
      </c>
      <c r="K62" s="491" t="s">
        <v>224</v>
      </c>
      <c r="L62" s="516">
        <v>3.75</v>
      </c>
      <c r="M62" s="485">
        <f>+L62*1.25</f>
        <v>4.6875</v>
      </c>
      <c r="N62" s="485">
        <f>+M62*1.07</f>
        <v>5.015625</v>
      </c>
      <c r="O62" s="619">
        <f>+N62*1.06</f>
        <v>5.3165624999999999</v>
      </c>
      <c r="P62" s="641">
        <v>5.65</v>
      </c>
      <c r="Q62" s="485">
        <f t="shared" si="0"/>
        <v>5.9890000000000008</v>
      </c>
    </row>
    <row r="63" spans="1:17" x14ac:dyDescent="0.25">
      <c r="A63" s="578"/>
      <c r="B63" s="447" t="s">
        <v>382</v>
      </c>
      <c r="C63" s="447"/>
      <c r="D63" s="447"/>
      <c r="E63" s="467" t="s">
        <v>225</v>
      </c>
      <c r="F63" s="468"/>
      <c r="G63" s="467" t="s">
        <v>226</v>
      </c>
      <c r="H63" s="468"/>
      <c r="I63" s="467" t="s">
        <v>227</v>
      </c>
      <c r="J63" s="461">
        <f>+I63*1.06</f>
        <v>2.4167999999999998</v>
      </c>
      <c r="K63" s="461">
        <f>+J63*1.24</f>
        <v>2.9968319999999999</v>
      </c>
      <c r="L63" s="515">
        <v>4.9800000000000004</v>
      </c>
      <c r="M63" s="466">
        <f>4.98*1.25</f>
        <v>6.2250000000000005</v>
      </c>
      <c r="N63" s="485">
        <f>+M63*1.07</f>
        <v>6.6607500000000011</v>
      </c>
      <c r="O63" s="619">
        <f t="shared" ref="O63:O64" si="9">+N63*1.06</f>
        <v>7.0603950000000015</v>
      </c>
      <c r="P63" s="641">
        <v>7.5</v>
      </c>
      <c r="Q63" s="485">
        <f t="shared" si="0"/>
        <v>7.95</v>
      </c>
    </row>
    <row r="64" spans="1:17" x14ac:dyDescent="0.25">
      <c r="A64" s="578"/>
      <c r="B64" s="490" t="s">
        <v>228</v>
      </c>
      <c r="C64" s="447"/>
      <c r="D64" s="447"/>
      <c r="E64" s="467" t="s">
        <v>229</v>
      </c>
      <c r="F64" s="468"/>
      <c r="G64" s="467" t="s">
        <v>230</v>
      </c>
      <c r="H64" s="468"/>
      <c r="I64" s="467" t="s">
        <v>231</v>
      </c>
      <c r="J64" s="461">
        <f>+I64*1.06</f>
        <v>2.6500000000000004</v>
      </c>
      <c r="K64" s="461">
        <f>+J64*1.24</f>
        <v>3.2860000000000005</v>
      </c>
      <c r="L64" s="515">
        <v>5.46</v>
      </c>
      <c r="M64" s="466">
        <f>5.46*1.25</f>
        <v>6.8250000000000002</v>
      </c>
      <c r="N64" s="485">
        <f>+M64*1.07</f>
        <v>7.3027500000000005</v>
      </c>
      <c r="O64" s="619">
        <f t="shared" si="9"/>
        <v>7.7409150000000011</v>
      </c>
      <c r="P64" s="641">
        <v>8.1999999999999993</v>
      </c>
      <c r="Q64" s="485">
        <f t="shared" si="0"/>
        <v>8.6919999999999984</v>
      </c>
    </row>
    <row r="65" spans="1:17" x14ac:dyDescent="0.25">
      <c r="A65" s="578"/>
      <c r="B65" s="490" t="s">
        <v>522</v>
      </c>
      <c r="C65" s="447"/>
      <c r="D65" s="447"/>
      <c r="E65" s="467"/>
      <c r="F65" s="468"/>
      <c r="G65" s="467"/>
      <c r="H65" s="468"/>
      <c r="I65" s="467"/>
      <c r="J65" s="461"/>
      <c r="K65" s="461"/>
      <c r="L65" s="515"/>
      <c r="M65" s="466"/>
      <c r="N65" s="485"/>
      <c r="O65" s="619"/>
      <c r="P65" s="641">
        <v>56.5</v>
      </c>
      <c r="Q65" s="485">
        <f t="shared" si="0"/>
        <v>59.89</v>
      </c>
    </row>
    <row r="66" spans="1:17" x14ac:dyDescent="0.25">
      <c r="A66" s="578"/>
      <c r="B66" s="447"/>
      <c r="C66" s="447"/>
      <c r="D66" s="447"/>
      <c r="E66" s="468"/>
      <c r="F66" s="468"/>
      <c r="G66" s="468"/>
      <c r="H66" s="468"/>
      <c r="I66" s="468"/>
      <c r="J66" s="468"/>
      <c r="K66" s="468"/>
      <c r="L66" s="516"/>
      <c r="M66" s="485"/>
      <c r="N66" s="485"/>
      <c r="O66" s="619"/>
      <c r="P66" s="641"/>
      <c r="Q66" s="485">
        <f t="shared" si="0"/>
        <v>0</v>
      </c>
    </row>
    <row r="67" spans="1:17" x14ac:dyDescent="0.25">
      <c r="A67" s="578"/>
      <c r="B67" s="479" t="s">
        <v>745</v>
      </c>
      <c r="C67" s="447"/>
      <c r="D67" s="447"/>
      <c r="E67" s="468"/>
      <c r="F67" s="468"/>
      <c r="G67" s="468"/>
      <c r="H67" s="468"/>
      <c r="I67" s="468"/>
      <c r="J67" s="468"/>
      <c r="K67" s="468"/>
      <c r="L67" s="516"/>
      <c r="M67" s="485"/>
      <c r="N67" s="485"/>
      <c r="O67" s="619"/>
      <c r="P67" s="641"/>
      <c r="Q67" s="485">
        <f t="shared" si="0"/>
        <v>0</v>
      </c>
    </row>
    <row r="68" spans="1:17" x14ac:dyDescent="0.25">
      <c r="A68" s="578"/>
      <c r="B68" s="447" t="s">
        <v>746</v>
      </c>
      <c r="C68" s="447"/>
      <c r="D68" s="447"/>
      <c r="E68" s="468"/>
      <c r="F68" s="468"/>
      <c r="G68" s="468"/>
      <c r="H68" s="468"/>
      <c r="I68" s="468"/>
      <c r="J68" s="468"/>
      <c r="K68" s="468"/>
      <c r="L68" s="516"/>
      <c r="M68" s="485"/>
      <c r="N68" s="485"/>
      <c r="O68" s="619"/>
      <c r="P68" s="641"/>
      <c r="Q68" s="485">
        <f t="shared" si="0"/>
        <v>0</v>
      </c>
    </row>
    <row r="69" spans="1:17" x14ac:dyDescent="0.25">
      <c r="A69" s="578"/>
      <c r="B69" s="447"/>
      <c r="C69" s="447"/>
      <c r="D69" s="447"/>
      <c r="E69" s="468"/>
      <c r="F69" s="468"/>
      <c r="G69" s="468"/>
      <c r="H69" s="468"/>
      <c r="I69" s="468"/>
      <c r="J69" s="493"/>
      <c r="K69" s="493"/>
      <c r="L69" s="516"/>
      <c r="M69" s="485"/>
      <c r="N69" s="485"/>
      <c r="O69" s="619"/>
      <c r="P69" s="641"/>
      <c r="Q69" s="485">
        <f t="shared" si="0"/>
        <v>0</v>
      </c>
    </row>
    <row r="70" spans="1:17" x14ac:dyDescent="0.25">
      <c r="A70" s="578"/>
      <c r="B70" s="479" t="s">
        <v>747</v>
      </c>
      <c r="C70" s="447"/>
      <c r="D70" s="447"/>
      <c r="E70" s="468"/>
      <c r="F70" s="468"/>
      <c r="G70" s="468"/>
      <c r="H70" s="468"/>
      <c r="I70" s="468"/>
      <c r="J70" s="493"/>
      <c r="K70" s="493"/>
      <c r="L70" s="516"/>
      <c r="M70" s="485"/>
      <c r="N70" s="485"/>
      <c r="O70" s="619"/>
      <c r="P70" s="641"/>
      <c r="Q70" s="485">
        <f t="shared" si="0"/>
        <v>0</v>
      </c>
    </row>
    <row r="71" spans="1:17" x14ac:dyDescent="0.25">
      <c r="A71" s="578"/>
      <c r="B71" s="447" t="s">
        <v>748</v>
      </c>
      <c r="C71" s="447"/>
      <c r="D71" s="447"/>
      <c r="E71" s="467" t="s">
        <v>749</v>
      </c>
      <c r="F71" s="468"/>
      <c r="G71" s="467" t="s">
        <v>749</v>
      </c>
      <c r="H71" s="468"/>
      <c r="I71" s="467" t="s">
        <v>750</v>
      </c>
      <c r="J71" s="461">
        <f>+I71*1.06</f>
        <v>90.736000000000004</v>
      </c>
      <c r="K71" s="461">
        <f>+J71*1.24</f>
        <v>112.51264</v>
      </c>
      <c r="L71" s="515">
        <v>186.77</v>
      </c>
      <c r="M71" s="466">
        <f>186.77*1.25</f>
        <v>233.46250000000001</v>
      </c>
      <c r="N71" s="466">
        <f>+M71*1.07</f>
        <v>249.80487500000001</v>
      </c>
      <c r="O71" s="618">
        <f>+N71*1.06</f>
        <v>264.79316750000004</v>
      </c>
      <c r="P71" s="640">
        <v>283</v>
      </c>
      <c r="Q71" s="466">
        <f t="shared" si="0"/>
        <v>299.98</v>
      </c>
    </row>
    <row r="72" spans="1:17" ht="13.8" thickBot="1" x14ac:dyDescent="0.3">
      <c r="A72" s="584"/>
      <c r="B72" s="486"/>
      <c r="C72" s="486"/>
      <c r="D72" s="486"/>
      <c r="E72" s="487"/>
      <c r="F72" s="487"/>
      <c r="G72" s="487"/>
      <c r="H72" s="487"/>
      <c r="I72" s="487"/>
      <c r="J72" s="501"/>
      <c r="K72" s="501"/>
      <c r="L72" s="519"/>
      <c r="M72" s="502"/>
      <c r="N72" s="502"/>
      <c r="O72" s="622"/>
      <c r="P72" s="644"/>
      <c r="Q72" s="502">
        <f t="shared" si="0"/>
        <v>0</v>
      </c>
    </row>
    <row r="73" spans="1:17" x14ac:dyDescent="0.25">
      <c r="A73" s="503"/>
      <c r="B73" s="580" t="s">
        <v>122</v>
      </c>
      <c r="C73" s="447"/>
      <c r="D73" s="447"/>
      <c r="E73" s="468"/>
      <c r="F73" s="468"/>
      <c r="G73" s="468"/>
      <c r="H73" s="468"/>
      <c r="I73" s="468"/>
      <c r="J73" s="493"/>
      <c r="K73" s="493"/>
      <c r="L73" s="514"/>
      <c r="M73" s="481"/>
      <c r="N73" s="481"/>
      <c r="O73" s="611"/>
      <c r="P73" s="645"/>
      <c r="Q73" s="591">
        <v>27</v>
      </c>
    </row>
    <row r="74" spans="1:17" x14ac:dyDescent="0.25">
      <c r="A74" s="578"/>
      <c r="B74" s="447"/>
      <c r="C74" s="447"/>
      <c r="D74" s="447"/>
      <c r="E74" s="468"/>
      <c r="F74" s="468"/>
      <c r="G74" s="468"/>
      <c r="H74" s="468"/>
      <c r="I74" s="468"/>
      <c r="J74" s="493"/>
      <c r="K74" s="493"/>
      <c r="L74" s="514"/>
      <c r="M74" s="455"/>
      <c r="N74" s="455"/>
      <c r="O74" s="617"/>
      <c r="P74" s="639"/>
      <c r="Q74" s="455"/>
    </row>
    <row r="75" spans="1:17" x14ac:dyDescent="0.25">
      <c r="A75" s="578"/>
      <c r="B75" s="479" t="s">
        <v>232</v>
      </c>
      <c r="C75" s="447"/>
      <c r="D75" s="447"/>
      <c r="E75" s="468"/>
      <c r="F75" s="468"/>
      <c r="G75" s="468"/>
      <c r="H75" s="468"/>
      <c r="I75" s="468"/>
      <c r="J75" s="493"/>
      <c r="K75" s="493"/>
      <c r="L75" s="514"/>
      <c r="M75" s="455"/>
      <c r="N75" s="455"/>
      <c r="O75" s="617"/>
      <c r="P75" s="639"/>
      <c r="Q75" s="455"/>
    </row>
    <row r="76" spans="1:17" x14ac:dyDescent="0.25">
      <c r="A76" s="578"/>
      <c r="B76" s="447" t="s">
        <v>220</v>
      </c>
      <c r="C76" s="447"/>
      <c r="D76" s="485" t="s">
        <v>252</v>
      </c>
      <c r="E76" s="467" t="s">
        <v>233</v>
      </c>
      <c r="F76" s="468"/>
      <c r="G76" s="467" t="s">
        <v>234</v>
      </c>
      <c r="H76" s="468"/>
      <c r="I76" s="467" t="s">
        <v>235</v>
      </c>
      <c r="J76" s="461">
        <f>+I76*1.056</f>
        <v>23.052479999999999</v>
      </c>
      <c r="K76" s="461">
        <v>31.24</v>
      </c>
      <c r="L76" s="515">
        <f>+K76*1.34</f>
        <v>41.861600000000003</v>
      </c>
      <c r="M76" s="466">
        <f>+L76*1.19</f>
        <v>49.815303999999998</v>
      </c>
      <c r="N76" s="466">
        <f>+M76*1.2038</f>
        <v>59.967662955199998</v>
      </c>
      <c r="O76" s="618">
        <f>+N76*1.1103</f>
        <v>66.582096179158555</v>
      </c>
      <c r="P76" s="640">
        <v>71.239999999999995</v>
      </c>
      <c r="Q76" s="466">
        <f>+(P76*0.0739)+P76</f>
        <v>76.504635999999991</v>
      </c>
    </row>
    <row r="77" spans="1:17" x14ac:dyDescent="0.25">
      <c r="A77" s="578"/>
      <c r="B77" s="447" t="s">
        <v>253</v>
      </c>
      <c r="C77" s="447"/>
      <c r="D77" s="447"/>
      <c r="E77" s="467"/>
      <c r="F77" s="468"/>
      <c r="G77" s="467"/>
      <c r="H77" s="468"/>
      <c r="I77" s="491" t="s">
        <v>224</v>
      </c>
      <c r="J77" s="491" t="s">
        <v>224</v>
      </c>
      <c r="K77" s="491" t="s">
        <v>224</v>
      </c>
      <c r="L77" s="518" t="s">
        <v>252</v>
      </c>
      <c r="M77" s="492" t="s">
        <v>252</v>
      </c>
      <c r="N77" s="492" t="s">
        <v>252</v>
      </c>
      <c r="O77" s="621" t="s">
        <v>510</v>
      </c>
      <c r="P77" s="643" t="s">
        <v>510</v>
      </c>
      <c r="Q77" s="492" t="s">
        <v>510</v>
      </c>
    </row>
    <row r="78" spans="1:17" x14ac:dyDescent="0.25">
      <c r="A78" s="578"/>
      <c r="B78" s="447" t="s">
        <v>236</v>
      </c>
      <c r="C78" s="447"/>
      <c r="D78" s="447"/>
      <c r="E78" s="467" t="s">
        <v>237</v>
      </c>
      <c r="F78" s="468"/>
      <c r="G78" s="467" t="s">
        <v>238</v>
      </c>
      <c r="H78" s="468"/>
      <c r="I78" s="467" t="s">
        <v>239</v>
      </c>
      <c r="J78" s="461">
        <f>+I78*1.056</f>
        <v>0.41184000000000004</v>
      </c>
      <c r="K78" s="461">
        <v>0.56000000000000005</v>
      </c>
      <c r="L78" s="515">
        <f>+K78*1.34</f>
        <v>0.75040000000000007</v>
      </c>
      <c r="M78" s="466">
        <f>+L78*1.19</f>
        <v>0.89297599999999999</v>
      </c>
      <c r="N78" s="466">
        <f>+M78*1.2038</f>
        <v>1.0749645087999999</v>
      </c>
      <c r="O78" s="618">
        <f>+N78*1.1103</f>
        <v>1.1935330941206399</v>
      </c>
      <c r="P78" s="640">
        <f>+O78*1.07</f>
        <v>1.2770804107090847</v>
      </c>
      <c r="Q78" s="466">
        <f>+(P78*0.0739)+P78</f>
        <v>1.3714566530604861</v>
      </c>
    </row>
    <row r="79" spans="1:17" x14ac:dyDescent="0.25">
      <c r="A79" s="578"/>
      <c r="B79" s="447"/>
      <c r="C79" s="447"/>
      <c r="D79" s="447"/>
      <c r="E79" s="468"/>
      <c r="F79" s="468"/>
      <c r="G79" s="468"/>
      <c r="H79" s="468"/>
      <c r="I79" s="468"/>
      <c r="J79" s="493"/>
      <c r="K79" s="493"/>
      <c r="L79" s="516"/>
      <c r="M79" s="485"/>
      <c r="N79" s="485"/>
      <c r="O79" s="619"/>
      <c r="P79" s="641"/>
      <c r="Q79" s="466">
        <f t="shared" ref="Q79:Q109" si="10">+(P79*0.0739)+P79</f>
        <v>0</v>
      </c>
    </row>
    <row r="80" spans="1:17" x14ac:dyDescent="0.25">
      <c r="A80" s="578"/>
      <c r="B80" s="479" t="s">
        <v>751</v>
      </c>
      <c r="C80" s="447"/>
      <c r="D80" s="447"/>
      <c r="E80" s="468"/>
      <c r="F80" s="468"/>
      <c r="G80" s="468"/>
      <c r="H80" s="468"/>
      <c r="I80" s="468"/>
      <c r="J80" s="493"/>
      <c r="K80" s="493"/>
      <c r="L80" s="516"/>
      <c r="M80" s="485"/>
      <c r="N80" s="485"/>
      <c r="O80" s="619"/>
      <c r="P80" s="641"/>
      <c r="Q80" s="466">
        <f t="shared" si="10"/>
        <v>0</v>
      </c>
    </row>
    <row r="81" spans="1:17" x14ac:dyDescent="0.25">
      <c r="A81" s="578"/>
      <c r="B81" s="447" t="s">
        <v>752</v>
      </c>
      <c r="C81" s="447"/>
      <c r="D81" s="447"/>
      <c r="E81" s="467" t="s">
        <v>753</v>
      </c>
      <c r="F81" s="468"/>
      <c r="G81" s="467" t="s">
        <v>754</v>
      </c>
      <c r="H81" s="468"/>
      <c r="I81" s="467" t="s">
        <v>755</v>
      </c>
      <c r="J81" s="461">
        <f>+I81*1.056</f>
        <v>57.446400000000004</v>
      </c>
      <c r="K81" s="461">
        <v>77.849999999999994</v>
      </c>
      <c r="L81" s="515">
        <f>+K81*1.34</f>
        <v>104.319</v>
      </c>
      <c r="M81" s="466">
        <f>+L81*1.19</f>
        <v>124.13960999999999</v>
      </c>
      <c r="N81" s="466">
        <f>+M81*1.2038</f>
        <v>149.43926251799999</v>
      </c>
      <c r="O81" s="618">
        <f>+N81*1.1103</f>
        <v>165.92241317373541</v>
      </c>
      <c r="P81" s="640">
        <v>177.54</v>
      </c>
      <c r="Q81" s="466">
        <f t="shared" si="10"/>
        <v>190.66020599999999</v>
      </c>
    </row>
    <row r="82" spans="1:17" x14ac:dyDescent="0.25">
      <c r="A82" s="578"/>
      <c r="B82" s="447" t="s">
        <v>236</v>
      </c>
      <c r="C82" s="447"/>
      <c r="D82" s="447"/>
      <c r="E82" s="467" t="s">
        <v>756</v>
      </c>
      <c r="F82" s="468"/>
      <c r="G82" s="467" t="s">
        <v>757</v>
      </c>
      <c r="H82" s="468"/>
      <c r="I82" s="467" t="s">
        <v>758</v>
      </c>
      <c r="J82" s="461">
        <f>+I82*1.056</f>
        <v>0.47520000000000001</v>
      </c>
      <c r="K82" s="461">
        <v>0.64</v>
      </c>
      <c r="L82" s="515">
        <f>+K82*1.34</f>
        <v>0.85760000000000003</v>
      </c>
      <c r="M82" s="466">
        <f>+L82*1.19</f>
        <v>1.0205439999999999</v>
      </c>
      <c r="N82" s="466">
        <f>+M82*1.2038</f>
        <v>1.2285308671999999</v>
      </c>
      <c r="O82" s="618">
        <v>1.26</v>
      </c>
      <c r="P82" s="640">
        <v>1.35</v>
      </c>
      <c r="Q82" s="466">
        <f t="shared" si="10"/>
        <v>1.4497650000000002</v>
      </c>
    </row>
    <row r="83" spans="1:17" x14ac:dyDescent="0.25">
      <c r="A83" s="578"/>
      <c r="B83" s="447"/>
      <c r="C83" s="447"/>
      <c r="D83" s="447"/>
      <c r="E83" s="468"/>
      <c r="F83" s="468"/>
      <c r="G83" s="468"/>
      <c r="H83" s="468"/>
      <c r="I83" s="468"/>
      <c r="J83" s="468"/>
      <c r="K83" s="468"/>
      <c r="L83" s="516"/>
      <c r="M83" s="485"/>
      <c r="N83" s="485"/>
      <c r="O83" s="619"/>
      <c r="P83" s="641"/>
      <c r="Q83" s="466">
        <f t="shared" si="10"/>
        <v>0</v>
      </c>
    </row>
    <row r="84" spans="1:17" x14ac:dyDescent="0.25">
      <c r="A84" s="578"/>
      <c r="B84" s="479" t="s">
        <v>759</v>
      </c>
      <c r="C84" s="447"/>
      <c r="D84" s="447"/>
      <c r="E84" s="468"/>
      <c r="F84" s="468"/>
      <c r="G84" s="468"/>
      <c r="H84" s="468"/>
      <c r="I84" s="468"/>
      <c r="J84" s="468"/>
      <c r="K84" s="468"/>
      <c r="L84" s="516"/>
      <c r="M84" s="485"/>
      <c r="N84" s="485"/>
      <c r="O84" s="619"/>
      <c r="P84" s="641"/>
      <c r="Q84" s="466">
        <f t="shared" si="10"/>
        <v>0</v>
      </c>
    </row>
    <row r="85" spans="1:17" x14ac:dyDescent="0.25">
      <c r="A85" s="578"/>
      <c r="B85" s="447" t="s">
        <v>752</v>
      </c>
      <c r="C85" s="447"/>
      <c r="D85" s="447"/>
      <c r="E85" s="467" t="s">
        <v>760</v>
      </c>
      <c r="F85" s="468"/>
      <c r="G85" s="467" t="s">
        <v>761</v>
      </c>
      <c r="H85" s="468"/>
      <c r="I85" s="467" t="s">
        <v>762</v>
      </c>
      <c r="J85" s="461">
        <f>+I85*1.056</f>
        <v>70.920959999999994</v>
      </c>
      <c r="K85" s="461">
        <v>96.11</v>
      </c>
      <c r="L85" s="515">
        <f>+K85*1.34</f>
        <v>128.78740000000002</v>
      </c>
      <c r="M85" s="466">
        <f>+L85*1.19</f>
        <v>153.25700600000002</v>
      </c>
      <c r="N85" s="466">
        <f>+M85*1.2038</f>
        <v>184.49078382280001</v>
      </c>
      <c r="O85" s="618">
        <f>+N85*1.1103</f>
        <v>204.84011727845487</v>
      </c>
      <c r="P85" s="640">
        <v>219.18</v>
      </c>
      <c r="Q85" s="466">
        <f t="shared" si="10"/>
        <v>235.37740200000002</v>
      </c>
    </row>
    <row r="86" spans="1:17" x14ac:dyDescent="0.25">
      <c r="A86" s="578"/>
      <c r="B86" s="447" t="s">
        <v>236</v>
      </c>
      <c r="C86" s="447"/>
      <c r="D86" s="447"/>
      <c r="E86" s="467" t="s">
        <v>763</v>
      </c>
      <c r="F86" s="468"/>
      <c r="G86" s="467" t="s">
        <v>764</v>
      </c>
      <c r="H86" s="468"/>
      <c r="I86" s="467" t="s">
        <v>765</v>
      </c>
      <c r="J86" s="461">
        <f>+I86*1.056</f>
        <v>0.23232</v>
      </c>
      <c r="K86" s="461">
        <v>0.31</v>
      </c>
      <c r="L86" s="515">
        <f>+K86*1.34</f>
        <v>0.41540000000000005</v>
      </c>
      <c r="M86" s="466">
        <f>+L86*1.19</f>
        <v>0.49432600000000004</v>
      </c>
      <c r="N86" s="466">
        <f>+M86*1.2038</f>
        <v>0.59506963880000008</v>
      </c>
      <c r="O86" s="623">
        <v>0.67390000000000005</v>
      </c>
      <c r="P86" s="646">
        <v>0.72109999999999996</v>
      </c>
      <c r="Q86" s="466">
        <f t="shared" si="10"/>
        <v>0.77438929000000001</v>
      </c>
    </row>
    <row r="87" spans="1:17" x14ac:dyDescent="0.25">
      <c r="A87" s="578"/>
      <c r="B87" s="447"/>
      <c r="C87" s="447"/>
      <c r="D87" s="447"/>
      <c r="E87" s="468"/>
      <c r="F87" s="468"/>
      <c r="G87" s="468"/>
      <c r="H87" s="468"/>
      <c r="I87" s="468"/>
      <c r="J87" s="468"/>
      <c r="K87" s="468"/>
      <c r="L87" s="516"/>
      <c r="M87" s="485"/>
      <c r="N87" s="485"/>
      <c r="O87" s="619"/>
      <c r="P87" s="641"/>
      <c r="Q87" s="466">
        <f t="shared" si="10"/>
        <v>0</v>
      </c>
    </row>
    <row r="88" spans="1:17" x14ac:dyDescent="0.25">
      <c r="A88" s="578"/>
      <c r="B88" s="479" t="s">
        <v>766</v>
      </c>
      <c r="C88" s="447"/>
      <c r="D88" s="447"/>
      <c r="E88" s="468"/>
      <c r="F88" s="468"/>
      <c r="G88" s="468"/>
      <c r="H88" s="468"/>
      <c r="I88" s="468"/>
      <c r="J88" s="468"/>
      <c r="K88" s="468"/>
      <c r="L88" s="516"/>
      <c r="M88" s="485"/>
      <c r="N88" s="485"/>
      <c r="O88" s="619"/>
      <c r="P88" s="641"/>
      <c r="Q88" s="466">
        <f t="shared" si="10"/>
        <v>0</v>
      </c>
    </row>
    <row r="89" spans="1:17" x14ac:dyDescent="0.25">
      <c r="A89" s="578"/>
      <c r="B89" s="447" t="s">
        <v>767</v>
      </c>
      <c r="C89" s="447"/>
      <c r="D89" s="447"/>
      <c r="E89" s="467" t="s">
        <v>768</v>
      </c>
      <c r="F89" s="468"/>
      <c r="G89" s="467" t="s">
        <v>769</v>
      </c>
      <c r="H89" s="468"/>
      <c r="I89" s="467" t="s">
        <v>770</v>
      </c>
      <c r="J89" s="461">
        <f>+I89*1.056</f>
        <v>0.44352000000000003</v>
      </c>
      <c r="K89" s="461">
        <v>0.6</v>
      </c>
      <c r="L89" s="515">
        <f>+K89*1.34</f>
        <v>0.80400000000000005</v>
      </c>
      <c r="M89" s="466">
        <f>+L89*1.19</f>
        <v>0.95676000000000005</v>
      </c>
      <c r="N89" s="466">
        <f>+M89*1.2038</f>
        <v>1.1517476880000002</v>
      </c>
      <c r="O89" s="618">
        <v>1.26</v>
      </c>
      <c r="P89" s="640">
        <v>1.35</v>
      </c>
      <c r="Q89" s="466">
        <f t="shared" si="10"/>
        <v>1.4497650000000002</v>
      </c>
    </row>
    <row r="90" spans="1:17" x14ac:dyDescent="0.25">
      <c r="A90" s="578"/>
      <c r="B90" s="447"/>
      <c r="C90" s="447"/>
      <c r="D90" s="447"/>
      <c r="E90" s="468"/>
      <c r="F90" s="468"/>
      <c r="G90" s="468"/>
      <c r="H90" s="468"/>
      <c r="I90" s="468"/>
      <c r="J90" s="468"/>
      <c r="K90" s="468"/>
      <c r="L90" s="516"/>
      <c r="M90" s="485"/>
      <c r="N90" s="485"/>
      <c r="O90" s="619"/>
      <c r="P90" s="641"/>
      <c r="Q90" s="466">
        <f t="shared" si="10"/>
        <v>0</v>
      </c>
    </row>
    <row r="91" spans="1:17" x14ac:dyDescent="0.25">
      <c r="A91" s="578"/>
      <c r="B91" s="479" t="s">
        <v>745</v>
      </c>
      <c r="C91" s="447"/>
      <c r="D91" s="447"/>
      <c r="E91" s="468"/>
      <c r="F91" s="468"/>
      <c r="G91" s="468"/>
      <c r="H91" s="468"/>
      <c r="I91" s="468"/>
      <c r="J91" s="468"/>
      <c r="K91" s="468"/>
      <c r="L91" s="516"/>
      <c r="M91" s="485"/>
      <c r="N91" s="485"/>
      <c r="O91" s="619"/>
      <c r="P91" s="641"/>
      <c r="Q91" s="466">
        <f t="shared" si="10"/>
        <v>0</v>
      </c>
    </row>
    <row r="92" spans="1:17" x14ac:dyDescent="0.25">
      <c r="A92" s="578"/>
      <c r="B92" s="447" t="s">
        <v>771</v>
      </c>
      <c r="C92" s="447"/>
      <c r="D92" s="447"/>
      <c r="E92" s="468"/>
      <c r="F92" s="468"/>
      <c r="G92" s="468"/>
      <c r="H92" s="468"/>
      <c r="I92" s="468"/>
      <c r="J92" s="468"/>
      <c r="K92" s="468"/>
      <c r="L92" s="516"/>
      <c r="M92" s="485"/>
      <c r="N92" s="485"/>
      <c r="O92" s="619"/>
      <c r="P92" s="641"/>
      <c r="Q92" s="466">
        <f t="shared" si="10"/>
        <v>0</v>
      </c>
    </row>
    <row r="93" spans="1:17" x14ac:dyDescent="0.25">
      <c r="A93" s="578"/>
      <c r="B93" s="447"/>
      <c r="C93" s="447"/>
      <c r="D93" s="447"/>
      <c r="E93" s="468"/>
      <c r="F93" s="468"/>
      <c r="G93" s="468"/>
      <c r="H93" s="468"/>
      <c r="I93" s="468"/>
      <c r="J93" s="468"/>
      <c r="K93" s="468"/>
      <c r="L93" s="516"/>
      <c r="M93" s="485"/>
      <c r="N93" s="485"/>
      <c r="O93" s="619"/>
      <c r="P93" s="641"/>
      <c r="Q93" s="466">
        <f t="shared" si="10"/>
        <v>0</v>
      </c>
    </row>
    <row r="94" spans="1:17" x14ac:dyDescent="0.25">
      <c r="A94" s="578"/>
      <c r="B94" s="479" t="s">
        <v>747</v>
      </c>
      <c r="C94" s="447"/>
      <c r="D94" s="447"/>
      <c r="E94" s="468"/>
      <c r="F94" s="468"/>
      <c r="G94" s="468"/>
      <c r="H94" s="468"/>
      <c r="I94" s="468"/>
      <c r="J94" s="468"/>
      <c r="K94" s="468"/>
      <c r="L94" s="516"/>
      <c r="M94" s="485"/>
      <c r="N94" s="485"/>
      <c r="O94" s="619"/>
      <c r="P94" s="641"/>
      <c r="Q94" s="466">
        <f t="shared" si="10"/>
        <v>0</v>
      </c>
    </row>
    <row r="95" spans="1:17" x14ac:dyDescent="0.25">
      <c r="A95" s="578"/>
      <c r="B95" s="447" t="s">
        <v>772</v>
      </c>
      <c r="C95" s="447"/>
      <c r="D95" s="447"/>
      <c r="E95" s="467" t="s">
        <v>740</v>
      </c>
      <c r="F95" s="468"/>
      <c r="G95" s="467" t="s">
        <v>740</v>
      </c>
      <c r="H95" s="467"/>
      <c r="I95" s="467" t="s">
        <v>773</v>
      </c>
      <c r="J95" s="461">
        <f>+I95*1.056</f>
        <v>169.488</v>
      </c>
      <c r="K95" s="461">
        <f>+J95*1.12</f>
        <v>189.82656000000003</v>
      </c>
      <c r="L95" s="515">
        <f>+K95*1.34</f>
        <v>254.36759040000004</v>
      </c>
      <c r="M95" s="466">
        <f>+L95*1.19</f>
        <v>302.69743257600004</v>
      </c>
      <c r="N95" s="466">
        <f>+M95*1.2038</f>
        <v>364.38716933498887</v>
      </c>
      <c r="O95" s="618">
        <f>+N95*1.1103</f>
        <v>404.57907411263818</v>
      </c>
      <c r="P95" s="640">
        <v>433</v>
      </c>
      <c r="Q95" s="466">
        <f t="shared" si="10"/>
        <v>464.99869999999999</v>
      </c>
    </row>
    <row r="96" spans="1:17" x14ac:dyDescent="0.25">
      <c r="A96" s="578"/>
      <c r="B96" s="447"/>
      <c r="C96" s="447"/>
      <c r="D96" s="447"/>
      <c r="E96" s="468"/>
      <c r="F96" s="468"/>
      <c r="G96" s="468"/>
      <c r="H96" s="468"/>
      <c r="I96" s="468"/>
      <c r="J96" s="468"/>
      <c r="K96" s="468"/>
      <c r="L96" s="514"/>
      <c r="M96" s="455"/>
      <c r="N96" s="455"/>
      <c r="O96" s="617"/>
      <c r="P96" s="639"/>
      <c r="Q96" s="466">
        <f t="shared" si="10"/>
        <v>0</v>
      </c>
    </row>
    <row r="97" spans="1:17" x14ac:dyDescent="0.25">
      <c r="A97" s="578"/>
      <c r="B97" s="479" t="s">
        <v>774</v>
      </c>
      <c r="C97" s="447"/>
      <c r="D97" s="447"/>
      <c r="E97" s="468"/>
      <c r="F97" s="468"/>
      <c r="G97" s="468"/>
      <c r="H97" s="468"/>
      <c r="I97" s="468"/>
      <c r="J97" s="468"/>
      <c r="K97" s="468"/>
      <c r="L97" s="516"/>
      <c r="M97" s="485"/>
      <c r="N97" s="485"/>
      <c r="O97" s="619"/>
      <c r="P97" s="641"/>
      <c r="Q97" s="466">
        <f t="shared" si="10"/>
        <v>0</v>
      </c>
    </row>
    <row r="98" spans="1:17" x14ac:dyDescent="0.25">
      <c r="A98" s="578"/>
      <c r="B98" s="447" t="s">
        <v>775</v>
      </c>
      <c r="C98" s="447"/>
      <c r="D98" s="447"/>
      <c r="E98" s="467" t="s">
        <v>776</v>
      </c>
      <c r="F98" s="468"/>
      <c r="G98" s="467" t="s">
        <v>776</v>
      </c>
      <c r="H98" s="468"/>
      <c r="I98" s="467" t="s">
        <v>777</v>
      </c>
      <c r="J98" s="461">
        <f>+I98*1.056</f>
        <v>22.598399999999998</v>
      </c>
      <c r="K98" s="461">
        <v>30.61</v>
      </c>
      <c r="L98" s="515">
        <f>+K98*1.34</f>
        <v>41.017400000000002</v>
      </c>
      <c r="M98" s="466">
        <f>+L98*1.19</f>
        <v>48.810706000000003</v>
      </c>
      <c r="N98" s="466">
        <f>+M98*1.2038</f>
        <v>58.758327882800003</v>
      </c>
      <c r="O98" s="618">
        <f>+N98*1.1103</f>
        <v>65.239371448272848</v>
      </c>
      <c r="P98" s="640">
        <v>69.849999999999994</v>
      </c>
      <c r="Q98" s="466">
        <f t="shared" si="10"/>
        <v>75.011914999999988</v>
      </c>
    </row>
    <row r="99" spans="1:17" x14ac:dyDescent="0.25">
      <c r="A99" s="578"/>
      <c r="B99" s="447"/>
      <c r="C99" s="447"/>
      <c r="D99" s="447"/>
      <c r="E99" s="468"/>
      <c r="F99" s="468"/>
      <c r="G99" s="468"/>
      <c r="H99" s="468"/>
      <c r="I99" s="468"/>
      <c r="J99" s="468"/>
      <c r="K99" s="468"/>
      <c r="L99" s="516"/>
      <c r="M99" s="485"/>
      <c r="N99" s="485"/>
      <c r="O99" s="619"/>
      <c r="P99" s="641"/>
      <c r="Q99" s="466">
        <f t="shared" si="10"/>
        <v>0</v>
      </c>
    </row>
    <row r="100" spans="1:17" x14ac:dyDescent="0.25">
      <c r="A100" s="578"/>
      <c r="B100" s="479" t="s">
        <v>778</v>
      </c>
      <c r="C100" s="447"/>
      <c r="D100" s="447"/>
      <c r="E100" s="468"/>
      <c r="F100" s="468"/>
      <c r="G100" s="468"/>
      <c r="H100" s="468"/>
      <c r="I100" s="468"/>
      <c r="J100" s="468"/>
      <c r="K100" s="468"/>
      <c r="L100" s="516"/>
      <c r="M100" s="485"/>
      <c r="N100" s="485"/>
      <c r="O100" s="619"/>
      <c r="P100" s="641"/>
      <c r="Q100" s="466">
        <f t="shared" si="10"/>
        <v>0</v>
      </c>
    </row>
    <row r="101" spans="1:17" x14ac:dyDescent="0.25">
      <c r="A101" s="578"/>
      <c r="B101" s="447" t="s">
        <v>779</v>
      </c>
      <c r="C101" s="447"/>
      <c r="D101" s="447"/>
      <c r="E101" s="467" t="s">
        <v>780</v>
      </c>
      <c r="F101" s="468"/>
      <c r="G101" s="467" t="s">
        <v>780</v>
      </c>
      <c r="H101" s="468"/>
      <c r="I101" s="467" t="s">
        <v>780</v>
      </c>
      <c r="J101" s="467" t="s">
        <v>780</v>
      </c>
      <c r="K101" s="467" t="s">
        <v>780</v>
      </c>
      <c r="L101" s="515">
        <v>600</v>
      </c>
      <c r="M101" s="466">
        <v>650</v>
      </c>
      <c r="N101" s="466">
        <v>650</v>
      </c>
      <c r="O101" s="618">
        <v>650</v>
      </c>
      <c r="P101" s="640">
        <v>700</v>
      </c>
      <c r="Q101" s="466">
        <f t="shared" si="10"/>
        <v>751.73</v>
      </c>
    </row>
    <row r="102" spans="1:17" x14ac:dyDescent="0.25">
      <c r="A102" s="578"/>
      <c r="B102" s="447" t="s">
        <v>215</v>
      </c>
      <c r="C102" s="447"/>
      <c r="D102" s="447"/>
      <c r="E102" s="467" t="s">
        <v>781</v>
      </c>
      <c r="F102" s="468"/>
      <c r="G102" s="467" t="s">
        <v>781</v>
      </c>
      <c r="H102" s="468"/>
      <c r="I102" s="467" t="s">
        <v>781</v>
      </c>
      <c r="J102" s="467" t="s">
        <v>781</v>
      </c>
      <c r="K102" s="467" t="s">
        <v>781</v>
      </c>
      <c r="L102" s="515">
        <v>1000</v>
      </c>
      <c r="M102" s="466">
        <v>1050</v>
      </c>
      <c r="N102" s="466">
        <v>1050</v>
      </c>
      <c r="O102" s="618">
        <v>1050</v>
      </c>
      <c r="P102" s="640">
        <v>1150</v>
      </c>
      <c r="Q102" s="466">
        <f t="shared" si="10"/>
        <v>1234.9849999999999</v>
      </c>
    </row>
    <row r="103" spans="1:17" x14ac:dyDescent="0.25">
      <c r="A103" s="578"/>
      <c r="B103" s="447" t="s">
        <v>782</v>
      </c>
      <c r="C103" s="447"/>
      <c r="D103" s="447"/>
      <c r="E103" s="467" t="s">
        <v>740</v>
      </c>
      <c r="F103" s="468"/>
      <c r="G103" s="467" t="s">
        <v>740</v>
      </c>
      <c r="H103" s="468"/>
      <c r="I103" s="467" t="s">
        <v>740</v>
      </c>
      <c r="J103" s="467" t="s">
        <v>740</v>
      </c>
      <c r="K103" s="467" t="s">
        <v>740</v>
      </c>
      <c r="L103" s="515">
        <v>237.28</v>
      </c>
      <c r="M103" s="466">
        <f>+L103*1.22</f>
        <v>289.48160000000001</v>
      </c>
      <c r="N103" s="466">
        <f>+M103*1.2038+0.02</f>
        <v>348.49795008000001</v>
      </c>
      <c r="O103" s="618">
        <f>+N103*1.1103</f>
        <v>386.93727397382401</v>
      </c>
      <c r="P103" s="640">
        <v>418</v>
      </c>
      <c r="Q103" s="466">
        <f t="shared" si="10"/>
        <v>448.89019999999999</v>
      </c>
    </row>
    <row r="104" spans="1:17" x14ac:dyDescent="0.25">
      <c r="A104" s="578"/>
      <c r="B104" s="447"/>
      <c r="C104" s="447"/>
      <c r="D104" s="447"/>
      <c r="E104" s="467"/>
      <c r="F104" s="468"/>
      <c r="G104" s="467"/>
      <c r="H104" s="468"/>
      <c r="I104" s="467"/>
      <c r="J104" s="467"/>
      <c r="K104" s="467"/>
      <c r="L104" s="515"/>
      <c r="M104" s="466"/>
      <c r="N104" s="466"/>
      <c r="O104" s="618"/>
      <c r="P104" s="640"/>
      <c r="Q104" s="466">
        <f t="shared" si="10"/>
        <v>0</v>
      </c>
    </row>
    <row r="105" spans="1:17" x14ac:dyDescent="0.25">
      <c r="A105" s="578"/>
      <c r="B105" s="479" t="s">
        <v>783</v>
      </c>
      <c r="C105" s="447"/>
      <c r="D105" s="447"/>
      <c r="E105" s="467"/>
      <c r="F105" s="468"/>
      <c r="G105" s="467"/>
      <c r="H105" s="468"/>
      <c r="I105" s="467"/>
      <c r="J105" s="461"/>
      <c r="K105" s="461"/>
      <c r="L105" s="515"/>
      <c r="M105" s="466"/>
      <c r="N105" s="466"/>
      <c r="O105" s="618"/>
      <c r="P105" s="640"/>
      <c r="Q105" s="466">
        <f t="shared" si="10"/>
        <v>0</v>
      </c>
    </row>
    <row r="106" spans="1:17" x14ac:dyDescent="0.25">
      <c r="A106" s="578"/>
      <c r="B106" s="447" t="s">
        <v>784</v>
      </c>
      <c r="C106" s="447"/>
      <c r="D106" s="447"/>
      <c r="E106" s="467" t="s">
        <v>785</v>
      </c>
      <c r="F106" s="468"/>
      <c r="G106" s="467" t="s">
        <v>785</v>
      </c>
      <c r="H106" s="468"/>
      <c r="I106" s="467">
        <f>G106*1.07</f>
        <v>80.25</v>
      </c>
      <c r="J106" s="461">
        <f>+I106*1.056</f>
        <v>84.744</v>
      </c>
      <c r="K106" s="461">
        <v>114.95</v>
      </c>
      <c r="L106" s="515">
        <f>+K106*1.34</f>
        <v>154.03300000000002</v>
      </c>
      <c r="M106" s="466">
        <f>+L106*1.19</f>
        <v>183.29927000000001</v>
      </c>
      <c r="N106" s="466">
        <f>+M106*1.2038+0.02+0.02</f>
        <v>220.69566122600003</v>
      </c>
      <c r="O106" s="618">
        <f>+N106*1.1103</f>
        <v>245.03839265922784</v>
      </c>
      <c r="P106" s="640">
        <v>262.2</v>
      </c>
      <c r="Q106" s="466">
        <f t="shared" si="10"/>
        <v>281.57657999999998</v>
      </c>
    </row>
    <row r="107" spans="1:17" x14ac:dyDescent="0.25">
      <c r="A107" s="578"/>
      <c r="B107" s="447"/>
      <c r="C107" s="447"/>
      <c r="D107" s="447"/>
      <c r="E107" s="467"/>
      <c r="F107" s="468"/>
      <c r="G107" s="467"/>
      <c r="H107" s="468"/>
      <c r="I107" s="467"/>
      <c r="J107" s="461"/>
      <c r="K107" s="461"/>
      <c r="L107" s="515"/>
      <c r="M107" s="466"/>
      <c r="N107" s="466"/>
      <c r="O107" s="618"/>
      <c r="P107" s="640"/>
      <c r="Q107" s="466">
        <f t="shared" si="10"/>
        <v>0</v>
      </c>
    </row>
    <row r="108" spans="1:17" x14ac:dyDescent="0.25">
      <c r="A108" s="578"/>
      <c r="B108" s="479" t="s">
        <v>786</v>
      </c>
      <c r="C108" s="447"/>
      <c r="D108" s="447"/>
      <c r="E108" s="467"/>
      <c r="F108" s="468"/>
      <c r="G108" s="467"/>
      <c r="H108" s="468"/>
      <c r="I108" s="467"/>
      <c r="J108" s="461"/>
      <c r="K108" s="461"/>
      <c r="L108" s="515"/>
      <c r="M108" s="466"/>
      <c r="N108" s="466"/>
      <c r="O108" s="618"/>
      <c r="P108" s="640"/>
      <c r="Q108" s="466">
        <f t="shared" si="10"/>
        <v>0</v>
      </c>
    </row>
    <row r="109" spans="1:17" x14ac:dyDescent="0.25">
      <c r="A109" s="578"/>
      <c r="B109" s="447" t="s">
        <v>787</v>
      </c>
      <c r="C109" s="447"/>
      <c r="D109" s="447"/>
      <c r="E109" s="467" t="s">
        <v>788</v>
      </c>
      <c r="F109" s="468"/>
      <c r="G109" s="467" t="s">
        <v>788</v>
      </c>
      <c r="H109" s="468"/>
      <c r="I109" s="467">
        <f>G109*1.07</f>
        <v>26.75</v>
      </c>
      <c r="J109" s="461">
        <f>+I109*1.056</f>
        <v>28.248000000000001</v>
      </c>
      <c r="K109" s="461">
        <v>38.72</v>
      </c>
      <c r="L109" s="515">
        <f>+K109*1.34</f>
        <v>51.884799999999998</v>
      </c>
      <c r="M109" s="466">
        <f>+L109*1.19</f>
        <v>61.742911999999997</v>
      </c>
      <c r="N109" s="466">
        <f>+M109*1.2038-0.03</f>
        <v>74.296117465599991</v>
      </c>
      <c r="O109" s="618">
        <f>+N109*1.1103</f>
        <v>82.490979222055671</v>
      </c>
      <c r="P109" s="640">
        <v>88.3</v>
      </c>
      <c r="Q109" s="466">
        <f t="shared" si="10"/>
        <v>94.825369999999992</v>
      </c>
    </row>
    <row r="110" spans="1:17" x14ac:dyDescent="0.25">
      <c r="A110" s="578"/>
      <c r="B110" s="447"/>
      <c r="C110" s="447"/>
      <c r="D110" s="447"/>
      <c r="E110" s="467"/>
      <c r="F110" s="468"/>
      <c r="G110" s="467"/>
      <c r="H110" s="468"/>
      <c r="I110" s="467"/>
      <c r="J110" s="461"/>
      <c r="K110" s="461"/>
      <c r="L110" s="515"/>
      <c r="M110" s="466"/>
      <c r="N110" s="466"/>
      <c r="O110" s="618"/>
      <c r="P110" s="640"/>
      <c r="Q110" s="466"/>
    </row>
    <row r="111" spans="1:17" x14ac:dyDescent="0.25">
      <c r="A111" s="503" t="s">
        <v>789</v>
      </c>
      <c r="B111" s="580" t="s">
        <v>790</v>
      </c>
      <c r="C111" s="447"/>
      <c r="D111" s="447"/>
      <c r="E111" s="467"/>
      <c r="F111" s="468"/>
      <c r="G111" s="467"/>
      <c r="H111" s="468"/>
      <c r="I111" s="467"/>
      <c r="J111" s="461"/>
      <c r="K111" s="461"/>
      <c r="L111" s="515"/>
      <c r="M111" s="466"/>
      <c r="N111" s="466"/>
      <c r="O111" s="618"/>
      <c r="P111" s="640"/>
      <c r="Q111" s="466"/>
    </row>
    <row r="112" spans="1:17" x14ac:dyDescent="0.25">
      <c r="A112" s="503"/>
      <c r="B112" s="580"/>
      <c r="C112" s="447"/>
      <c r="D112" s="447"/>
      <c r="E112" s="467"/>
      <c r="F112" s="468"/>
      <c r="G112" s="467"/>
      <c r="H112" s="468"/>
      <c r="I112" s="467"/>
      <c r="J112" s="461"/>
      <c r="K112" s="461"/>
      <c r="L112" s="515"/>
      <c r="M112" s="466"/>
      <c r="N112" s="466"/>
      <c r="O112" s="618"/>
      <c r="P112" s="640"/>
      <c r="Q112" s="466"/>
    </row>
    <row r="113" spans="1:17" x14ac:dyDescent="0.25">
      <c r="A113" s="578"/>
      <c r="B113" s="447" t="s">
        <v>791</v>
      </c>
      <c r="C113" s="447"/>
      <c r="D113" s="447"/>
      <c r="E113" s="467" t="s">
        <v>792</v>
      </c>
      <c r="F113" s="468"/>
      <c r="G113" s="467" t="s">
        <v>792</v>
      </c>
      <c r="H113" s="468"/>
      <c r="I113" s="467">
        <f t="shared" ref="I113:I118" si="11">G113*1.07</f>
        <v>53.5</v>
      </c>
      <c r="J113" s="461">
        <f t="shared" ref="J113:J118" si="12">+I113*1.056</f>
        <v>56.496000000000002</v>
      </c>
      <c r="K113" s="461">
        <f>+(J113*1.065)+0.33</f>
        <v>60.498239999999996</v>
      </c>
      <c r="L113" s="515">
        <f>+(K113*1.083)</f>
        <v>65.519593919999991</v>
      </c>
      <c r="M113" s="466">
        <f t="shared" ref="M113:N115" si="13">+(L113*1.07)</f>
        <v>70.105965494399996</v>
      </c>
      <c r="N113" s="466">
        <f>+(M113*1.07)-0.01</f>
        <v>75.003383079007989</v>
      </c>
      <c r="O113" s="618">
        <f>+(N113*1.06)</f>
        <v>79.503586063748472</v>
      </c>
      <c r="P113" s="640">
        <v>85</v>
      </c>
      <c r="Q113" s="466">
        <f t="shared" ref="Q113:Q174" si="14">(P113*0.06)+P113</f>
        <v>90.1</v>
      </c>
    </row>
    <row r="114" spans="1:17" x14ac:dyDescent="0.25">
      <c r="A114" s="578"/>
      <c r="B114" s="447" t="s">
        <v>793</v>
      </c>
      <c r="C114" s="447"/>
      <c r="D114" s="447"/>
      <c r="E114" s="467" t="s">
        <v>794</v>
      </c>
      <c r="F114" s="468"/>
      <c r="G114" s="467" t="s">
        <v>794</v>
      </c>
      <c r="H114" s="468"/>
      <c r="I114" s="467">
        <f t="shared" si="11"/>
        <v>37.450000000000003</v>
      </c>
      <c r="J114" s="461">
        <f t="shared" si="12"/>
        <v>39.547200000000004</v>
      </c>
      <c r="K114" s="461">
        <f>+(J114*1.065)+0.38</f>
        <v>42.497768000000008</v>
      </c>
      <c r="L114" s="515">
        <f>+(K114*1.083)</f>
        <v>46.025082744000009</v>
      </c>
      <c r="M114" s="466">
        <f t="shared" si="13"/>
        <v>49.246838536080013</v>
      </c>
      <c r="N114" s="466">
        <f>+(M114*1.07)+0.01</f>
        <v>52.704117233605615</v>
      </c>
      <c r="O114" s="618">
        <f t="shared" ref="O114:O115" si="15">+(N114*1.06)</f>
        <v>55.866364267621954</v>
      </c>
      <c r="P114" s="640">
        <v>60</v>
      </c>
      <c r="Q114" s="466">
        <f t="shared" si="14"/>
        <v>63.6</v>
      </c>
    </row>
    <row r="115" spans="1:17" x14ac:dyDescent="0.25">
      <c r="A115" s="578"/>
      <c r="B115" s="447" t="s">
        <v>795</v>
      </c>
      <c r="C115" s="447"/>
      <c r="D115" s="447"/>
      <c r="E115" s="467" t="s">
        <v>225</v>
      </c>
      <c r="F115" s="468"/>
      <c r="G115" s="467" t="s">
        <v>225</v>
      </c>
      <c r="H115" s="468"/>
      <c r="I115" s="467">
        <f t="shared" si="11"/>
        <v>2.14</v>
      </c>
      <c r="J115" s="461">
        <f t="shared" si="12"/>
        <v>2.2598400000000001</v>
      </c>
      <c r="K115" s="461">
        <f>+(J115*1.065)+0.09</f>
        <v>2.4967295999999997</v>
      </c>
      <c r="L115" s="515">
        <f>+(K115*1.083)</f>
        <v>2.7039581567999997</v>
      </c>
      <c r="M115" s="466">
        <f t="shared" si="13"/>
        <v>2.8932352277760001</v>
      </c>
      <c r="N115" s="466">
        <f t="shared" si="13"/>
        <v>3.0957616937203203</v>
      </c>
      <c r="O115" s="618">
        <f t="shared" si="15"/>
        <v>3.2815073953435396</v>
      </c>
      <c r="P115" s="640">
        <v>3.5</v>
      </c>
      <c r="Q115" s="466">
        <f t="shared" si="14"/>
        <v>3.71</v>
      </c>
    </row>
    <row r="116" spans="1:17" x14ac:dyDescent="0.25">
      <c r="A116" s="578"/>
      <c r="B116" s="447" t="s">
        <v>796</v>
      </c>
      <c r="C116" s="447"/>
      <c r="D116" s="447"/>
      <c r="E116" s="467" t="s">
        <v>797</v>
      </c>
      <c r="F116" s="468"/>
      <c r="G116" s="467" t="s">
        <v>797</v>
      </c>
      <c r="H116" s="468"/>
      <c r="I116" s="467">
        <f t="shared" si="11"/>
        <v>3.21</v>
      </c>
      <c r="J116" s="461">
        <f t="shared" si="12"/>
        <v>3.3897600000000003</v>
      </c>
      <c r="K116" s="461">
        <v>3.6</v>
      </c>
      <c r="L116" s="515">
        <f>+K116*1.083</f>
        <v>3.8988</v>
      </c>
      <c r="M116" s="466">
        <f>+L116*1.07</f>
        <v>4.171716</v>
      </c>
      <c r="N116" s="466">
        <f>+M116*1.07+0.04</f>
        <v>4.5037361200000001</v>
      </c>
      <c r="O116" s="618">
        <f t="shared" ref="O116:O118" si="16">+N116*1.06</f>
        <v>4.7739602872000004</v>
      </c>
      <c r="P116" s="640">
        <v>5</v>
      </c>
      <c r="Q116" s="466">
        <f t="shared" si="14"/>
        <v>5.3</v>
      </c>
    </row>
    <row r="117" spans="1:17" x14ac:dyDescent="0.25">
      <c r="A117" s="578"/>
      <c r="B117" s="447" t="s">
        <v>798</v>
      </c>
      <c r="C117" s="447"/>
      <c r="D117" s="447"/>
      <c r="E117" s="467" t="s">
        <v>797</v>
      </c>
      <c r="F117" s="468"/>
      <c r="G117" s="467" t="s">
        <v>797</v>
      </c>
      <c r="H117" s="468"/>
      <c r="I117" s="467">
        <f t="shared" si="11"/>
        <v>3.21</v>
      </c>
      <c r="J117" s="461">
        <f t="shared" si="12"/>
        <v>3.3897600000000003</v>
      </c>
      <c r="K117" s="461">
        <v>3.6</v>
      </c>
      <c r="L117" s="515">
        <f>+K117*1.083</f>
        <v>3.8988</v>
      </c>
      <c r="M117" s="466">
        <f>+L117*1.07</f>
        <v>4.171716</v>
      </c>
      <c r="N117" s="466">
        <f>+M117*1.07+0.04</f>
        <v>4.5037361200000001</v>
      </c>
      <c r="O117" s="618">
        <f t="shared" si="16"/>
        <v>4.7739602872000004</v>
      </c>
      <c r="P117" s="640">
        <v>5</v>
      </c>
      <c r="Q117" s="466">
        <f t="shared" si="14"/>
        <v>5.3</v>
      </c>
    </row>
    <row r="118" spans="1:17" x14ac:dyDescent="0.25">
      <c r="A118" s="578"/>
      <c r="B118" s="447" t="s">
        <v>799</v>
      </c>
      <c r="C118" s="447"/>
      <c r="D118" s="447"/>
      <c r="E118" s="467" t="s">
        <v>800</v>
      </c>
      <c r="F118" s="468"/>
      <c r="G118" s="467" t="s">
        <v>800</v>
      </c>
      <c r="H118" s="468"/>
      <c r="I118" s="467">
        <f t="shared" si="11"/>
        <v>5.3500000000000005</v>
      </c>
      <c r="J118" s="461">
        <f t="shared" si="12"/>
        <v>5.6496000000000004</v>
      </c>
      <c r="K118" s="461">
        <v>6</v>
      </c>
      <c r="L118" s="515">
        <f>+K118*1.083</f>
        <v>6.4979999999999993</v>
      </c>
      <c r="M118" s="466">
        <f>+L118*1.07</f>
        <v>6.9528599999999994</v>
      </c>
      <c r="N118" s="466">
        <f>+M118*1.07+0.06</f>
        <v>7.4995601999999995</v>
      </c>
      <c r="O118" s="618">
        <f t="shared" si="16"/>
        <v>7.9495338119999994</v>
      </c>
      <c r="P118" s="640">
        <v>8.5</v>
      </c>
      <c r="Q118" s="466">
        <f t="shared" si="14"/>
        <v>9.01</v>
      </c>
    </row>
    <row r="119" spans="1:17" x14ac:dyDescent="0.25">
      <c r="A119" s="578"/>
      <c r="B119" s="447"/>
      <c r="C119" s="447"/>
      <c r="D119" s="447"/>
      <c r="E119" s="467"/>
      <c r="F119" s="468"/>
      <c r="G119" s="467"/>
      <c r="H119" s="468"/>
      <c r="I119" s="467"/>
      <c r="J119" s="461"/>
      <c r="K119" s="461"/>
      <c r="L119" s="515"/>
      <c r="M119" s="466"/>
      <c r="N119" s="466"/>
      <c r="O119" s="618"/>
      <c r="P119" s="640"/>
      <c r="Q119" s="466">
        <f t="shared" si="14"/>
        <v>0</v>
      </c>
    </row>
    <row r="120" spans="1:17" x14ac:dyDescent="0.25">
      <c r="A120" s="503" t="s">
        <v>801</v>
      </c>
      <c r="B120" s="580" t="s">
        <v>802</v>
      </c>
      <c r="C120" s="447"/>
      <c r="D120" s="447"/>
      <c r="E120" s="467"/>
      <c r="F120" s="468"/>
      <c r="G120" s="467"/>
      <c r="H120" s="468"/>
      <c r="I120" s="467"/>
      <c r="J120" s="467"/>
      <c r="K120" s="467"/>
      <c r="L120" s="515"/>
      <c r="M120" s="466"/>
      <c r="N120" s="466"/>
      <c r="O120" s="618"/>
      <c r="P120" s="640"/>
      <c r="Q120" s="466">
        <f t="shared" si="14"/>
        <v>0</v>
      </c>
    </row>
    <row r="121" spans="1:17" x14ac:dyDescent="0.25">
      <c r="A121" s="503"/>
      <c r="B121" s="580"/>
      <c r="C121" s="447"/>
      <c r="D121" s="447"/>
      <c r="E121" s="467"/>
      <c r="F121" s="468"/>
      <c r="G121" s="467"/>
      <c r="H121" s="468"/>
      <c r="I121" s="467"/>
      <c r="J121" s="467"/>
      <c r="K121" s="467"/>
      <c r="L121" s="515"/>
      <c r="M121" s="466"/>
      <c r="N121" s="466"/>
      <c r="O121" s="618"/>
      <c r="P121" s="640"/>
      <c r="Q121" s="466">
        <f t="shared" si="14"/>
        <v>0</v>
      </c>
    </row>
    <row r="122" spans="1:17" x14ac:dyDescent="0.25">
      <c r="A122" s="578"/>
      <c r="B122" s="447" t="s">
        <v>803</v>
      </c>
      <c r="C122" s="447"/>
      <c r="D122" s="447"/>
      <c r="E122" s="467" t="s">
        <v>804</v>
      </c>
      <c r="F122" s="468"/>
      <c r="G122" s="467" t="s">
        <v>804</v>
      </c>
      <c r="H122" s="468"/>
      <c r="I122" s="467">
        <f>G122*1.07</f>
        <v>139.1</v>
      </c>
      <c r="J122" s="467">
        <v>147.44999999999999</v>
      </c>
      <c r="K122" s="484">
        <f>+(J122*1.065)-0.03</f>
        <v>157.00424999999998</v>
      </c>
      <c r="L122" s="515">
        <f>+(K122*1.083)</f>
        <v>170.03560274999998</v>
      </c>
      <c r="M122" s="466">
        <f>+(L122*1.07)</f>
        <v>181.93809494249999</v>
      </c>
      <c r="N122" s="466">
        <f>+(M122*1.07)+0.03</f>
        <v>194.703761588475</v>
      </c>
      <c r="O122" s="618">
        <f>+(N122*1.06)</f>
        <v>206.38598728378352</v>
      </c>
      <c r="P122" s="640">
        <v>218</v>
      </c>
      <c r="Q122" s="466">
        <f t="shared" si="14"/>
        <v>231.08</v>
      </c>
    </row>
    <row r="123" spans="1:17" x14ac:dyDescent="0.25">
      <c r="A123" s="578"/>
      <c r="B123" s="447" t="s">
        <v>805</v>
      </c>
      <c r="C123" s="447"/>
      <c r="D123" s="447"/>
      <c r="E123" s="467" t="s">
        <v>212</v>
      </c>
      <c r="F123" s="468"/>
      <c r="G123" s="467" t="s">
        <v>212</v>
      </c>
      <c r="H123" s="468"/>
      <c r="I123" s="467">
        <f>G123*1.07</f>
        <v>32.1</v>
      </c>
      <c r="J123" s="461">
        <f>+I123*1.06</f>
        <v>34.026000000000003</v>
      </c>
      <c r="K123" s="461">
        <f>+(J123*1.065)+0.26</f>
        <v>36.497689999999999</v>
      </c>
      <c r="L123" s="515">
        <f>+(K123*1.083)</f>
        <v>39.52699827</v>
      </c>
      <c r="M123" s="466">
        <f>+(L123*1.07)</f>
        <v>42.293888148900002</v>
      </c>
      <c r="N123" s="466">
        <f>+(M123*1.07)-0.05</f>
        <v>45.204460319323005</v>
      </c>
      <c r="O123" s="618">
        <f>+(N123*1.06)</f>
        <v>47.916727938482389</v>
      </c>
      <c r="P123" s="640">
        <v>51</v>
      </c>
      <c r="Q123" s="466">
        <f t="shared" si="14"/>
        <v>54.06</v>
      </c>
    </row>
    <row r="124" spans="1:17" ht="13.8" thickBot="1" x14ac:dyDescent="0.3">
      <c r="A124" s="584"/>
      <c r="B124" s="486"/>
      <c r="C124" s="486"/>
      <c r="D124" s="486"/>
      <c r="E124" s="460"/>
      <c r="F124" s="487"/>
      <c r="G124" s="460"/>
      <c r="H124" s="487"/>
      <c r="I124" s="460"/>
      <c r="J124" s="460"/>
      <c r="K124" s="460"/>
      <c r="L124" s="520"/>
      <c r="M124" s="465"/>
      <c r="N124" s="465"/>
      <c r="O124" s="624"/>
      <c r="P124" s="647"/>
      <c r="Q124" s="465">
        <f t="shared" si="14"/>
        <v>0</v>
      </c>
    </row>
    <row r="125" spans="1:17" x14ac:dyDescent="0.25">
      <c r="A125" s="585" t="s">
        <v>806</v>
      </c>
      <c r="B125" s="581" t="s">
        <v>807</v>
      </c>
      <c r="C125" s="494"/>
      <c r="D125" s="494"/>
      <c r="E125" s="495"/>
      <c r="F125" s="496"/>
      <c r="G125" s="495"/>
      <c r="H125" s="496"/>
      <c r="I125" s="495"/>
      <c r="J125" s="467"/>
      <c r="K125" s="497"/>
      <c r="L125" s="521"/>
      <c r="M125" s="498"/>
      <c r="N125" s="498"/>
      <c r="O125" s="625"/>
      <c r="P125" s="648"/>
      <c r="Q125" s="498">
        <v>28</v>
      </c>
    </row>
    <row r="126" spans="1:17" x14ac:dyDescent="0.25">
      <c r="A126" s="503"/>
      <c r="B126" s="580"/>
      <c r="C126" s="447"/>
      <c r="D126" s="447"/>
      <c r="E126" s="467"/>
      <c r="F126" s="468"/>
      <c r="G126" s="467"/>
      <c r="H126" s="468"/>
      <c r="I126" s="467"/>
      <c r="J126" s="467"/>
      <c r="K126" s="469"/>
      <c r="L126" s="521"/>
      <c r="M126" s="457"/>
      <c r="N126" s="457"/>
      <c r="O126" s="626"/>
      <c r="P126" s="649"/>
      <c r="Q126" s="457">
        <f t="shared" si="14"/>
        <v>0</v>
      </c>
    </row>
    <row r="127" spans="1:17" x14ac:dyDescent="0.25">
      <c r="A127" s="578"/>
      <c r="B127" s="447" t="s">
        <v>101</v>
      </c>
      <c r="C127" s="447"/>
      <c r="D127" s="447"/>
      <c r="E127" s="467" t="s">
        <v>792</v>
      </c>
      <c r="F127" s="468"/>
      <c r="G127" s="467" t="s">
        <v>792</v>
      </c>
      <c r="H127" s="468"/>
      <c r="I127" s="467">
        <f>G127*1.07</f>
        <v>53.5</v>
      </c>
      <c r="J127" s="461">
        <f>+I127*1.06</f>
        <v>56.71</v>
      </c>
      <c r="K127" s="461">
        <f>+(J127*1.065)+0.6</f>
        <v>60.99615</v>
      </c>
      <c r="L127" s="515">
        <f>+(K127*1.083)</f>
        <v>66.058830450000002</v>
      </c>
      <c r="M127" s="466">
        <f>+(L127*1.07)</f>
        <v>70.6829485815</v>
      </c>
      <c r="N127" s="466">
        <f>+(M127*1.07)-0.03</f>
        <v>75.600754982205004</v>
      </c>
      <c r="O127" s="618">
        <f>+(N127*1.06)</f>
        <v>80.136800281137312</v>
      </c>
      <c r="P127" s="640">
        <v>85</v>
      </c>
      <c r="Q127" s="466">
        <f t="shared" si="14"/>
        <v>90.1</v>
      </c>
    </row>
    <row r="128" spans="1:17" x14ac:dyDescent="0.25">
      <c r="A128" s="578"/>
      <c r="B128" s="447" t="s">
        <v>808</v>
      </c>
      <c r="C128" s="447"/>
      <c r="D128" s="447"/>
      <c r="E128" s="467" t="s">
        <v>809</v>
      </c>
      <c r="F128" s="468"/>
      <c r="G128" s="467" t="s">
        <v>809</v>
      </c>
      <c r="H128" s="468"/>
      <c r="I128" s="467">
        <f>G128*1.07</f>
        <v>10.700000000000001</v>
      </c>
      <c r="J128" s="461">
        <f>+I128*1.06</f>
        <v>11.342000000000002</v>
      </c>
      <c r="K128" s="461">
        <f>+(J128*1.065)+0.42</f>
        <v>12.499230000000003</v>
      </c>
      <c r="L128" s="515">
        <f>+(K128*1.083)</f>
        <v>13.536666090000002</v>
      </c>
      <c r="M128" s="466">
        <f t="shared" ref="M128:N130" si="17">+(L128*1.07)</f>
        <v>14.484232716300003</v>
      </c>
      <c r="N128" s="466">
        <f t="shared" si="17"/>
        <v>15.498129006441005</v>
      </c>
      <c r="O128" s="618">
        <f>+(N128*1.06)</f>
        <v>16.428016746827467</v>
      </c>
      <c r="P128" s="640">
        <v>17</v>
      </c>
      <c r="Q128" s="466">
        <f t="shared" si="14"/>
        <v>18.02</v>
      </c>
    </row>
    <row r="129" spans="1:17" x14ac:dyDescent="0.25">
      <c r="A129" s="578"/>
      <c r="B129" s="447" t="s">
        <v>810</v>
      </c>
      <c r="C129" s="447"/>
      <c r="D129" s="447"/>
      <c r="E129" s="467" t="s">
        <v>800</v>
      </c>
      <c r="F129" s="468"/>
      <c r="G129" s="467" t="s">
        <v>800</v>
      </c>
      <c r="H129" s="468"/>
      <c r="I129" s="467">
        <f>G129*1.07</f>
        <v>5.3500000000000005</v>
      </c>
      <c r="J129" s="461">
        <f>+I129*1.06</f>
        <v>5.6710000000000012</v>
      </c>
      <c r="K129" s="461">
        <f>+(J129*1.065)-0.04</f>
        <v>5.9996150000000013</v>
      </c>
      <c r="L129" s="515">
        <f>+(K129*1.083)</f>
        <v>6.4975830450000007</v>
      </c>
      <c r="M129" s="466">
        <f t="shared" si="17"/>
        <v>6.9524138581500008</v>
      </c>
      <c r="N129" s="466">
        <f>+(M129*1.07)-0.04</f>
        <v>7.399082828220501</v>
      </c>
      <c r="O129" s="618">
        <f t="shared" ref="O129:O130" si="18">+(N129*1.06)</f>
        <v>7.8430277979137317</v>
      </c>
      <c r="P129" s="640">
        <v>8</v>
      </c>
      <c r="Q129" s="466">
        <f t="shared" si="14"/>
        <v>8.48</v>
      </c>
    </row>
    <row r="130" spans="1:17" x14ac:dyDescent="0.25">
      <c r="A130" s="578"/>
      <c r="B130" s="447" t="s">
        <v>811</v>
      </c>
      <c r="C130" s="447"/>
      <c r="D130" s="447"/>
      <c r="E130" s="467" t="s">
        <v>225</v>
      </c>
      <c r="F130" s="468"/>
      <c r="G130" s="467" t="s">
        <v>225</v>
      </c>
      <c r="H130" s="468"/>
      <c r="I130" s="467">
        <f>G130*1.07</f>
        <v>2.14</v>
      </c>
      <c r="J130" s="461">
        <f>+I130*1.06</f>
        <v>2.2684000000000002</v>
      </c>
      <c r="K130" s="461">
        <f>+(J130*1.065)+0.08</f>
        <v>2.4958460000000002</v>
      </c>
      <c r="L130" s="515">
        <f>+(K130*1.083)</f>
        <v>2.7030012180000003</v>
      </c>
      <c r="M130" s="466">
        <f t="shared" si="17"/>
        <v>2.8922113032600003</v>
      </c>
      <c r="N130" s="466">
        <f>+(M130*1.07)+0.01</f>
        <v>3.1046660944882003</v>
      </c>
      <c r="O130" s="618">
        <f t="shared" si="18"/>
        <v>3.2909460601574927</v>
      </c>
      <c r="P130" s="640">
        <v>3.5</v>
      </c>
      <c r="Q130" s="466">
        <f t="shared" si="14"/>
        <v>3.71</v>
      </c>
    </row>
    <row r="131" spans="1:17" x14ac:dyDescent="0.25">
      <c r="A131" s="578"/>
      <c r="B131" s="447" t="s">
        <v>812</v>
      </c>
      <c r="C131" s="447"/>
      <c r="D131" s="447"/>
      <c r="E131" s="467" t="s">
        <v>813</v>
      </c>
      <c r="F131" s="468"/>
      <c r="G131" s="467" t="s">
        <v>813</v>
      </c>
      <c r="H131" s="468"/>
      <c r="I131" s="499">
        <v>0.1</v>
      </c>
      <c r="J131" s="499">
        <v>0.1</v>
      </c>
      <c r="K131" s="499">
        <v>0.1</v>
      </c>
      <c r="L131" s="522">
        <v>0.1</v>
      </c>
      <c r="M131" s="500">
        <v>0.1</v>
      </c>
      <c r="N131" s="500">
        <v>0.1</v>
      </c>
      <c r="O131" s="627">
        <v>0.1</v>
      </c>
      <c r="P131" s="650">
        <v>0.1</v>
      </c>
      <c r="Q131" s="500">
        <f t="shared" si="14"/>
        <v>0.10600000000000001</v>
      </c>
    </row>
    <row r="132" spans="1:17" x14ac:dyDescent="0.25">
      <c r="A132" s="578"/>
      <c r="B132" s="447"/>
      <c r="C132" s="447"/>
      <c r="D132" s="447"/>
      <c r="E132" s="467"/>
      <c r="F132" s="468"/>
      <c r="G132" s="467"/>
      <c r="H132" s="468"/>
      <c r="I132" s="467"/>
      <c r="J132" s="467"/>
      <c r="K132" s="467"/>
      <c r="L132" s="515"/>
      <c r="M132" s="466"/>
      <c r="N132" s="466"/>
      <c r="O132" s="618"/>
      <c r="P132" s="640"/>
      <c r="Q132" s="466">
        <f t="shared" si="14"/>
        <v>0</v>
      </c>
    </row>
    <row r="133" spans="1:17" x14ac:dyDescent="0.25">
      <c r="A133" s="503">
        <v>9</v>
      </c>
      <c r="B133" s="580" t="s">
        <v>572</v>
      </c>
      <c r="C133" s="447"/>
      <c r="D133" s="447"/>
      <c r="E133" s="467"/>
      <c r="F133" s="468"/>
      <c r="G133" s="467"/>
      <c r="H133" s="468"/>
      <c r="I133" s="467"/>
      <c r="J133" s="467"/>
      <c r="K133" s="467"/>
      <c r="L133" s="515"/>
      <c r="M133" s="466"/>
      <c r="N133" s="466"/>
      <c r="O133" s="618"/>
      <c r="P133" s="640"/>
      <c r="Q133" s="466">
        <f t="shared" si="14"/>
        <v>0</v>
      </c>
    </row>
    <row r="134" spans="1:17" x14ac:dyDescent="0.25">
      <c r="A134" s="503"/>
      <c r="B134" s="482"/>
      <c r="C134" s="447"/>
      <c r="D134" s="447"/>
      <c r="E134" s="467"/>
      <c r="F134" s="468"/>
      <c r="G134" s="467"/>
      <c r="H134" s="468"/>
      <c r="I134" s="467"/>
      <c r="J134" s="467"/>
      <c r="K134" s="467"/>
      <c r="L134" s="515"/>
      <c r="M134" s="466"/>
      <c r="N134" s="466"/>
      <c r="O134" s="618"/>
      <c r="P134" s="640"/>
      <c r="Q134" s="466">
        <f t="shared" si="14"/>
        <v>0</v>
      </c>
    </row>
    <row r="135" spans="1:17" x14ac:dyDescent="0.25">
      <c r="A135" s="578"/>
      <c r="B135" s="479" t="s">
        <v>814</v>
      </c>
      <c r="C135" s="447"/>
      <c r="D135" s="447"/>
      <c r="E135" s="467"/>
      <c r="F135" s="468"/>
      <c r="G135" s="467"/>
      <c r="H135" s="468"/>
      <c r="I135" s="467"/>
      <c r="J135" s="467"/>
      <c r="K135" s="467"/>
      <c r="L135" s="515"/>
      <c r="M135" s="466"/>
      <c r="N135" s="466"/>
      <c r="O135" s="618"/>
      <c r="P135" s="640"/>
      <c r="Q135" s="466">
        <f t="shared" si="14"/>
        <v>0</v>
      </c>
    </row>
    <row r="136" spans="1:17" x14ac:dyDescent="0.25">
      <c r="A136" s="578"/>
      <c r="B136" s="447" t="s">
        <v>815</v>
      </c>
      <c r="C136" s="447"/>
      <c r="D136" s="447"/>
      <c r="E136" s="467" t="s">
        <v>816</v>
      </c>
      <c r="F136" s="468"/>
      <c r="G136" s="467" t="s">
        <v>816</v>
      </c>
      <c r="H136" s="468"/>
      <c r="I136" s="467">
        <f>G136*1.07</f>
        <v>267.5</v>
      </c>
      <c r="J136" s="461">
        <f>+I136*1.06</f>
        <v>283.55</v>
      </c>
      <c r="K136" s="461">
        <f>+(J136*1.065)+0.02</f>
        <v>302.00074999999998</v>
      </c>
      <c r="L136" s="515">
        <f>+(K136*1.083)</f>
        <v>327.06681224999994</v>
      </c>
      <c r="M136" s="466">
        <f>+(L136*1.07)</f>
        <v>349.96148910749997</v>
      </c>
      <c r="N136" s="466">
        <f>+(M136*1.07)-0.06</f>
        <v>374.39879334502501</v>
      </c>
      <c r="O136" s="618">
        <f>+(N136*1.06)</f>
        <v>396.86272094572655</v>
      </c>
      <c r="P136" s="640">
        <v>420</v>
      </c>
      <c r="Q136" s="466">
        <f t="shared" si="14"/>
        <v>445.2</v>
      </c>
    </row>
    <row r="137" spans="1:17" x14ac:dyDescent="0.25">
      <c r="A137" s="578"/>
      <c r="B137" s="447" t="s">
        <v>817</v>
      </c>
      <c r="C137" s="447"/>
      <c r="D137" s="447"/>
      <c r="E137" s="467" t="s">
        <v>818</v>
      </c>
      <c r="F137" s="468"/>
      <c r="G137" s="467" t="s">
        <v>818</v>
      </c>
      <c r="H137" s="468"/>
      <c r="I137" s="467">
        <f>G137*1.07</f>
        <v>428</v>
      </c>
      <c r="J137" s="461">
        <f>+I137*1.06</f>
        <v>453.68</v>
      </c>
      <c r="K137" s="461">
        <f>+(J137*1.065)+1.83</f>
        <v>484.99919999999997</v>
      </c>
      <c r="L137" s="515">
        <f>+(K137*1.083)</f>
        <v>525.25413359999993</v>
      </c>
      <c r="M137" s="466">
        <f>+(L137*1.07)</f>
        <v>562.02192295199995</v>
      </c>
      <c r="N137" s="466">
        <f>+(M137*1.07)-0.06</f>
        <v>601.30345755864005</v>
      </c>
      <c r="O137" s="618">
        <f t="shared" ref="O137:O147" si="19">+(N137*1.06)</f>
        <v>637.38166501215846</v>
      </c>
      <c r="P137" s="640">
        <v>675</v>
      </c>
      <c r="Q137" s="466">
        <f t="shared" si="14"/>
        <v>715.5</v>
      </c>
    </row>
    <row r="138" spans="1:17" x14ac:dyDescent="0.25">
      <c r="A138" s="578"/>
      <c r="B138" s="447" t="s">
        <v>819</v>
      </c>
      <c r="C138" s="447"/>
      <c r="D138" s="447"/>
      <c r="E138" s="467" t="s">
        <v>820</v>
      </c>
      <c r="F138" s="468"/>
      <c r="G138" s="467" t="s">
        <v>820</v>
      </c>
      <c r="H138" s="468"/>
      <c r="I138" s="467">
        <f>G138*1.07</f>
        <v>240.75</v>
      </c>
      <c r="J138" s="461">
        <f>+I138*1.06</f>
        <v>255.19500000000002</v>
      </c>
      <c r="K138" s="461">
        <f>+(J138*1.065)+0.22</f>
        <v>272.00267500000001</v>
      </c>
      <c r="L138" s="515">
        <f>+(K138*1.083)</f>
        <v>294.578897025</v>
      </c>
      <c r="M138" s="466">
        <f>+(L138*1.07)</f>
        <v>315.19941981675004</v>
      </c>
      <c r="N138" s="466">
        <f>+(M138*1.07)-0.06</f>
        <v>337.20337920392257</v>
      </c>
      <c r="O138" s="618">
        <f t="shared" si="19"/>
        <v>357.43558195615793</v>
      </c>
      <c r="P138" s="640">
        <v>380</v>
      </c>
      <c r="Q138" s="466">
        <f t="shared" si="14"/>
        <v>402.8</v>
      </c>
    </row>
    <row r="139" spans="1:17" x14ac:dyDescent="0.25">
      <c r="A139" s="578"/>
      <c r="B139" s="447"/>
      <c r="C139" s="447"/>
      <c r="D139" s="447"/>
      <c r="E139" s="467"/>
      <c r="F139" s="468"/>
      <c r="G139" s="467"/>
      <c r="H139" s="468"/>
      <c r="I139" s="467"/>
      <c r="J139" s="461"/>
      <c r="K139" s="461"/>
      <c r="L139" s="515"/>
      <c r="M139" s="466"/>
      <c r="N139" s="466"/>
      <c r="O139" s="618"/>
      <c r="P139" s="640"/>
      <c r="Q139" s="466">
        <f t="shared" si="14"/>
        <v>0</v>
      </c>
    </row>
    <row r="140" spans="1:17" x14ac:dyDescent="0.25">
      <c r="A140" s="578"/>
      <c r="B140" s="479" t="s">
        <v>821</v>
      </c>
      <c r="C140" s="447"/>
      <c r="D140" s="447"/>
      <c r="E140" s="467"/>
      <c r="F140" s="468"/>
      <c r="G140" s="467"/>
      <c r="H140" s="468"/>
      <c r="I140" s="467"/>
      <c r="J140" s="467"/>
      <c r="K140" s="467"/>
      <c r="L140" s="515"/>
      <c r="M140" s="466"/>
      <c r="N140" s="466"/>
      <c r="O140" s="618"/>
      <c r="P140" s="640"/>
      <c r="Q140" s="466">
        <f t="shared" si="14"/>
        <v>0</v>
      </c>
    </row>
    <row r="141" spans="1:17" x14ac:dyDescent="0.25">
      <c r="A141" s="578"/>
      <c r="B141" s="447" t="s">
        <v>815</v>
      </c>
      <c r="C141" s="447"/>
      <c r="D141" s="447"/>
      <c r="E141" s="467" t="s">
        <v>822</v>
      </c>
      <c r="F141" s="468"/>
      <c r="G141" s="467" t="s">
        <v>822</v>
      </c>
      <c r="H141" s="468"/>
      <c r="I141" s="467">
        <f t="shared" ref="I141:I147" si="20">G141*1.07</f>
        <v>107</v>
      </c>
      <c r="J141" s="461">
        <f t="shared" ref="J141:J147" si="21">+I141*1.06</f>
        <v>113.42</v>
      </c>
      <c r="K141" s="461">
        <f>+(J141*1.065)+0.21</f>
        <v>121.00229999999999</v>
      </c>
      <c r="L141" s="515">
        <f>+(K141*1.083)</f>
        <v>131.04549089999998</v>
      </c>
      <c r="M141" s="466">
        <f>+(L141*1.07)</f>
        <v>140.21867526299999</v>
      </c>
      <c r="N141" s="466">
        <f>+(M141*1.07)-0.03</f>
        <v>150.00398253141</v>
      </c>
      <c r="O141" s="618">
        <f t="shared" si="19"/>
        <v>159.0042214832946</v>
      </c>
      <c r="P141" s="640">
        <v>168</v>
      </c>
      <c r="Q141" s="466">
        <f t="shared" si="14"/>
        <v>178.08</v>
      </c>
    </row>
    <row r="142" spans="1:17" x14ac:dyDescent="0.25">
      <c r="A142" s="578"/>
      <c r="B142" s="447" t="s">
        <v>817</v>
      </c>
      <c r="C142" s="447"/>
      <c r="D142" s="447"/>
      <c r="E142" s="467" t="s">
        <v>740</v>
      </c>
      <c r="F142" s="468"/>
      <c r="G142" s="467" t="s">
        <v>740</v>
      </c>
      <c r="H142" s="468"/>
      <c r="I142" s="467">
        <f t="shared" si="20"/>
        <v>160.5</v>
      </c>
      <c r="J142" s="461">
        <f t="shared" si="21"/>
        <v>170.13</v>
      </c>
      <c r="K142" s="461">
        <f>+(J142*1.065)+0.81</f>
        <v>181.99844999999999</v>
      </c>
      <c r="L142" s="515">
        <f>+(K142*1.083)</f>
        <v>197.10432134999999</v>
      </c>
      <c r="M142" s="466">
        <f>+(L142*1.07)</f>
        <v>210.90162384449999</v>
      </c>
      <c r="N142" s="466">
        <f>+(M142*1.07)-0.06</f>
        <v>225.60473751361499</v>
      </c>
      <c r="O142" s="618">
        <f t="shared" si="19"/>
        <v>239.14102176443191</v>
      </c>
      <c r="P142" s="640">
        <v>250</v>
      </c>
      <c r="Q142" s="466">
        <f t="shared" si="14"/>
        <v>265</v>
      </c>
    </row>
    <row r="143" spans="1:17" x14ac:dyDescent="0.25">
      <c r="A143" s="578"/>
      <c r="B143" s="447" t="s">
        <v>823</v>
      </c>
      <c r="C143" s="447"/>
      <c r="D143" s="447"/>
      <c r="E143" s="467" t="s">
        <v>792</v>
      </c>
      <c r="F143" s="468"/>
      <c r="G143" s="467" t="s">
        <v>792</v>
      </c>
      <c r="H143" s="468"/>
      <c r="I143" s="467">
        <f t="shared" si="20"/>
        <v>53.5</v>
      </c>
      <c r="J143" s="461">
        <f t="shared" si="21"/>
        <v>56.71</v>
      </c>
      <c r="K143" s="461">
        <f>(+J143*1.065)+0.1</f>
        <v>60.49615</v>
      </c>
      <c r="L143" s="515">
        <f>(+K143*1.083)</f>
        <v>65.517330450000003</v>
      </c>
      <c r="M143" s="466">
        <f>(+L143*1.07)</f>
        <v>70.103543581500006</v>
      </c>
      <c r="N143" s="466">
        <f>(+M143*1.07)-0.01</f>
        <v>75.000791632205008</v>
      </c>
      <c r="O143" s="618">
        <f t="shared" si="19"/>
        <v>79.500839130137308</v>
      </c>
      <c r="P143" s="640">
        <v>85</v>
      </c>
      <c r="Q143" s="466">
        <f t="shared" si="14"/>
        <v>90.1</v>
      </c>
    </row>
    <row r="144" spans="1:17" x14ac:dyDescent="0.25">
      <c r="A144" s="578"/>
      <c r="B144" s="447" t="s">
        <v>819</v>
      </c>
      <c r="C144" s="447"/>
      <c r="D144" s="447"/>
      <c r="E144" s="467" t="s">
        <v>740</v>
      </c>
      <c r="F144" s="468"/>
      <c r="G144" s="467" t="s">
        <v>740</v>
      </c>
      <c r="H144" s="468"/>
      <c r="I144" s="467">
        <f t="shared" si="20"/>
        <v>160.5</v>
      </c>
      <c r="J144" s="461">
        <f t="shared" si="21"/>
        <v>170.13</v>
      </c>
      <c r="K144" s="461">
        <f>+(J144*1.065)+0.81</f>
        <v>181.99844999999999</v>
      </c>
      <c r="L144" s="515">
        <f>+(K144*1.083)</f>
        <v>197.10432134999999</v>
      </c>
      <c r="M144" s="466">
        <f>+(L144*1.07)</f>
        <v>210.90162384449999</v>
      </c>
      <c r="N144" s="466">
        <f>+(M144*1.07)-0.06</f>
        <v>225.60473751361499</v>
      </c>
      <c r="O144" s="618">
        <f t="shared" si="19"/>
        <v>239.14102176443191</v>
      </c>
      <c r="P144" s="640">
        <v>255</v>
      </c>
      <c r="Q144" s="466">
        <f t="shared" si="14"/>
        <v>270.3</v>
      </c>
    </row>
    <row r="145" spans="1:17" x14ac:dyDescent="0.25">
      <c r="A145" s="578"/>
      <c r="B145" s="447" t="s">
        <v>824</v>
      </c>
      <c r="C145" s="447"/>
      <c r="D145" s="447"/>
      <c r="E145" s="467" t="s">
        <v>825</v>
      </c>
      <c r="F145" s="468"/>
      <c r="G145" s="467" t="s">
        <v>825</v>
      </c>
      <c r="H145" s="468"/>
      <c r="I145" s="467">
        <f t="shared" si="20"/>
        <v>187.25</v>
      </c>
      <c r="J145" s="461">
        <f t="shared" si="21"/>
        <v>198.48500000000001</v>
      </c>
      <c r="K145" s="461">
        <f>+(J145*1.065)+0.61</f>
        <v>211.99652500000002</v>
      </c>
      <c r="L145" s="515">
        <f>+(K145*1.083)</f>
        <v>229.59223657500002</v>
      </c>
      <c r="M145" s="466">
        <f>+(L145*1.07)</f>
        <v>245.66369313525004</v>
      </c>
      <c r="N145" s="466">
        <f>+(M145*1.07)-0.06</f>
        <v>262.80015165471758</v>
      </c>
      <c r="O145" s="618">
        <f t="shared" si="19"/>
        <v>278.56816075400064</v>
      </c>
      <c r="P145" s="640">
        <v>295</v>
      </c>
      <c r="Q145" s="466">
        <f t="shared" si="14"/>
        <v>312.7</v>
      </c>
    </row>
    <row r="146" spans="1:17" x14ac:dyDescent="0.25">
      <c r="A146" s="578"/>
      <c r="B146" s="447" t="s">
        <v>826</v>
      </c>
      <c r="C146" s="447"/>
      <c r="D146" s="447"/>
      <c r="E146" s="467" t="s">
        <v>827</v>
      </c>
      <c r="F146" s="468"/>
      <c r="G146" s="467" t="s">
        <v>827</v>
      </c>
      <c r="H146" s="468"/>
      <c r="I146" s="467">
        <f t="shared" si="20"/>
        <v>90.95</v>
      </c>
      <c r="J146" s="461">
        <f t="shared" si="21"/>
        <v>96.407000000000011</v>
      </c>
      <c r="K146" s="461">
        <f>+(J146*1.065)+0.33</f>
        <v>103.003455</v>
      </c>
      <c r="L146" s="515">
        <f>+(K146*1.083)</f>
        <v>111.55274176499999</v>
      </c>
      <c r="M146" s="466">
        <f>+(L146*1.07)</f>
        <v>119.36143368854999</v>
      </c>
      <c r="N146" s="466">
        <f>+(M146*1.07)-0.02</f>
        <v>127.6967340467485</v>
      </c>
      <c r="O146" s="618">
        <f t="shared" si="19"/>
        <v>135.35853808955341</v>
      </c>
      <c r="P146" s="640">
        <v>144</v>
      </c>
      <c r="Q146" s="466">
        <f t="shared" si="14"/>
        <v>152.63999999999999</v>
      </c>
    </row>
    <row r="147" spans="1:17" x14ac:dyDescent="0.25">
      <c r="A147" s="578"/>
      <c r="B147" s="447" t="s">
        <v>828</v>
      </c>
      <c r="C147" s="447"/>
      <c r="D147" s="447"/>
      <c r="E147" s="467" t="s">
        <v>829</v>
      </c>
      <c r="F147" s="468"/>
      <c r="G147" s="467" t="s">
        <v>829</v>
      </c>
      <c r="H147" s="468"/>
      <c r="I147" s="467">
        <f t="shared" si="20"/>
        <v>214</v>
      </c>
      <c r="J147" s="461">
        <f t="shared" si="21"/>
        <v>226.84</v>
      </c>
      <c r="K147" s="461">
        <f>+(J147*1.065)+0.42</f>
        <v>242.00459999999998</v>
      </c>
      <c r="L147" s="515">
        <f>+(K147*1.083)</f>
        <v>262.09098179999995</v>
      </c>
      <c r="M147" s="466">
        <f>+(L147*1.07)</f>
        <v>280.43735052599999</v>
      </c>
      <c r="N147" s="466">
        <f>+(M147*1.07)-0.07</f>
        <v>299.99796506282001</v>
      </c>
      <c r="O147" s="618">
        <f t="shared" si="19"/>
        <v>317.99784296658925</v>
      </c>
      <c r="P147" s="640">
        <v>120</v>
      </c>
      <c r="Q147" s="466">
        <f t="shared" si="14"/>
        <v>127.2</v>
      </c>
    </row>
    <row r="148" spans="1:17" x14ac:dyDescent="0.25">
      <c r="A148" s="578"/>
      <c r="B148" s="447" t="s">
        <v>830</v>
      </c>
      <c r="C148" s="447"/>
      <c r="D148" s="447"/>
      <c r="E148" s="467" t="s">
        <v>831</v>
      </c>
      <c r="F148" s="468"/>
      <c r="G148" s="467" t="s">
        <v>831</v>
      </c>
      <c r="H148" s="468"/>
      <c r="I148" s="467">
        <f>G148*1.07</f>
        <v>321</v>
      </c>
      <c r="J148" s="461">
        <f>+I148*1.06</f>
        <v>340.26</v>
      </c>
      <c r="K148" s="461">
        <f>+(J148*1.065)+0.62</f>
        <v>362.99689999999998</v>
      </c>
      <c r="L148" s="515"/>
      <c r="M148" s="466"/>
      <c r="N148" s="466"/>
      <c r="O148" s="618"/>
      <c r="P148" s="640"/>
      <c r="Q148" s="466">
        <f t="shared" si="14"/>
        <v>0</v>
      </c>
    </row>
    <row r="149" spans="1:17" x14ac:dyDescent="0.25">
      <c r="A149" s="578"/>
      <c r="B149" s="447" t="s">
        <v>832</v>
      </c>
      <c r="C149" s="447"/>
      <c r="D149" s="447"/>
      <c r="E149" s="467"/>
      <c r="F149" s="468"/>
      <c r="G149" s="467"/>
      <c r="H149" s="468"/>
      <c r="I149" s="467"/>
      <c r="J149" s="467"/>
      <c r="K149" s="467"/>
      <c r="L149" s="515"/>
      <c r="M149" s="466"/>
      <c r="N149" s="466"/>
      <c r="O149" s="618">
        <f>+(N150*1.06)</f>
        <v>212</v>
      </c>
      <c r="P149" s="640">
        <v>220</v>
      </c>
      <c r="Q149" s="466">
        <f t="shared" si="14"/>
        <v>233.2</v>
      </c>
    </row>
    <row r="150" spans="1:17" x14ac:dyDescent="0.25">
      <c r="A150" s="578"/>
      <c r="B150" s="447" t="s">
        <v>833</v>
      </c>
      <c r="C150" s="447"/>
      <c r="D150" s="447"/>
      <c r="E150" s="467"/>
      <c r="F150" s="468"/>
      <c r="G150" s="467"/>
      <c r="H150" s="468"/>
      <c r="I150" s="467"/>
      <c r="J150" s="467"/>
      <c r="K150" s="467"/>
      <c r="L150" s="515"/>
      <c r="M150" s="466"/>
      <c r="N150" s="466">
        <v>200</v>
      </c>
      <c r="O150" s="618">
        <f>200*1.06</f>
        <v>212</v>
      </c>
      <c r="P150" s="640">
        <v>168</v>
      </c>
      <c r="Q150" s="466">
        <f t="shared" si="14"/>
        <v>178.08</v>
      </c>
    </row>
    <row r="151" spans="1:17" x14ac:dyDescent="0.25">
      <c r="A151" s="578"/>
      <c r="B151" s="447"/>
      <c r="C151" s="447"/>
      <c r="D151" s="447"/>
      <c r="E151" s="467"/>
      <c r="F151" s="468"/>
      <c r="G151" s="467"/>
      <c r="H151" s="468"/>
      <c r="I151" s="467"/>
      <c r="J151" s="467"/>
      <c r="K151" s="467"/>
      <c r="L151" s="513"/>
      <c r="M151" s="454"/>
      <c r="N151" s="454"/>
      <c r="O151" s="615"/>
      <c r="P151" s="637"/>
      <c r="Q151" s="454">
        <f t="shared" si="14"/>
        <v>0</v>
      </c>
    </row>
    <row r="152" spans="1:17" x14ac:dyDescent="0.25">
      <c r="A152" s="503">
        <v>10</v>
      </c>
      <c r="B152" s="580" t="s">
        <v>834</v>
      </c>
      <c r="C152" s="447"/>
      <c r="D152" s="447"/>
      <c r="E152" s="467"/>
      <c r="F152" s="468"/>
      <c r="G152" s="467"/>
      <c r="H152" s="468"/>
      <c r="I152" s="467"/>
      <c r="J152" s="467"/>
      <c r="K152" s="467"/>
      <c r="L152" s="513"/>
      <c r="M152" s="454"/>
      <c r="N152" s="454"/>
      <c r="O152" s="615"/>
      <c r="P152" s="637"/>
      <c r="Q152" s="454">
        <f t="shared" si="14"/>
        <v>0</v>
      </c>
    </row>
    <row r="153" spans="1:17" x14ac:dyDescent="0.25">
      <c r="A153" s="503"/>
      <c r="B153" s="580"/>
      <c r="C153" s="447"/>
      <c r="D153" s="447"/>
      <c r="E153" s="467"/>
      <c r="F153" s="468"/>
      <c r="G153" s="467"/>
      <c r="H153" s="468"/>
      <c r="I153" s="467"/>
      <c r="J153" s="467"/>
      <c r="K153" s="467"/>
      <c r="L153" s="513"/>
      <c r="M153" s="454"/>
      <c r="N153" s="454"/>
      <c r="O153" s="615"/>
      <c r="P153" s="637"/>
      <c r="Q153" s="454">
        <f t="shared" si="14"/>
        <v>0</v>
      </c>
    </row>
    <row r="154" spans="1:17" x14ac:dyDescent="0.25">
      <c r="A154" s="578"/>
      <c r="B154" s="447" t="s">
        <v>835</v>
      </c>
      <c r="C154" s="447"/>
      <c r="D154" s="447"/>
      <c r="E154" s="467" t="s">
        <v>816</v>
      </c>
      <c r="F154" s="468"/>
      <c r="G154" s="467" t="s">
        <v>816</v>
      </c>
      <c r="H154" s="468"/>
      <c r="I154" s="467">
        <f>G154*1.07</f>
        <v>267.5</v>
      </c>
      <c r="J154" s="461">
        <f>+I154*1.06</f>
        <v>283.55</v>
      </c>
      <c r="K154" s="461">
        <f>+(J154*1.065)+0.02</f>
        <v>302.00074999999998</v>
      </c>
      <c r="L154" s="515">
        <f>+(K154*1.083)</f>
        <v>327.06681224999994</v>
      </c>
      <c r="M154" s="466">
        <f>+(L154*1.07)</f>
        <v>349.96148910749997</v>
      </c>
      <c r="N154" s="466">
        <f>+(M154*1.07)-0.06</f>
        <v>374.39879334502501</v>
      </c>
      <c r="O154" s="618">
        <f>+(N154*1.06)*1.06</f>
        <v>420.67448420247018</v>
      </c>
      <c r="P154" s="640">
        <v>445</v>
      </c>
      <c r="Q154" s="466">
        <f t="shared" si="14"/>
        <v>471.7</v>
      </c>
    </row>
    <row r="155" spans="1:17" x14ac:dyDescent="0.25">
      <c r="A155" s="578"/>
      <c r="B155" s="447" t="s">
        <v>836</v>
      </c>
      <c r="C155" s="447"/>
      <c r="D155" s="447"/>
      <c r="E155" s="467" t="s">
        <v>829</v>
      </c>
      <c r="F155" s="468"/>
      <c r="G155" s="467" t="s">
        <v>829</v>
      </c>
      <c r="H155" s="468"/>
      <c r="I155" s="467">
        <f>G155*1.07</f>
        <v>214</v>
      </c>
      <c r="J155" s="461">
        <v>250</v>
      </c>
      <c r="K155" s="461">
        <v>250</v>
      </c>
      <c r="L155" s="515">
        <f>+K155*1.083-0.75</f>
        <v>270</v>
      </c>
      <c r="M155" s="466">
        <f>+L155*1.07</f>
        <v>288.90000000000003</v>
      </c>
      <c r="N155" s="466">
        <v>309.10000000000002</v>
      </c>
      <c r="O155" s="618">
        <f t="shared" ref="O155:O166" si="22">+(N155*1.06)</f>
        <v>327.64600000000002</v>
      </c>
      <c r="P155" s="640">
        <v>347</v>
      </c>
      <c r="Q155" s="466">
        <f t="shared" si="14"/>
        <v>367.82</v>
      </c>
    </row>
    <row r="156" spans="1:17" x14ac:dyDescent="0.25">
      <c r="A156" s="578"/>
      <c r="B156" s="447" t="s">
        <v>837</v>
      </c>
      <c r="C156" s="447"/>
      <c r="D156" s="447"/>
      <c r="E156" s="467"/>
      <c r="F156" s="468"/>
      <c r="G156" s="467"/>
      <c r="H156" s="468"/>
      <c r="I156" s="467"/>
      <c r="J156" s="461">
        <v>250</v>
      </c>
      <c r="K156" s="461">
        <v>250</v>
      </c>
      <c r="L156" s="515">
        <f>+K156*1.083-0.75</f>
        <v>270</v>
      </c>
      <c r="M156" s="466">
        <f>+L156*1.07</f>
        <v>288.90000000000003</v>
      </c>
      <c r="N156" s="466">
        <v>400</v>
      </c>
      <c r="O156" s="618">
        <f t="shared" si="22"/>
        <v>424</v>
      </c>
      <c r="P156" s="640">
        <v>450</v>
      </c>
      <c r="Q156" s="466">
        <f t="shared" si="14"/>
        <v>477</v>
      </c>
    </row>
    <row r="157" spans="1:17" x14ac:dyDescent="0.25">
      <c r="A157" s="578"/>
      <c r="B157" s="447" t="s">
        <v>838</v>
      </c>
      <c r="C157" s="447"/>
      <c r="D157" s="447"/>
      <c r="E157" s="467" t="s">
        <v>740</v>
      </c>
      <c r="F157" s="468"/>
      <c r="G157" s="467" t="s">
        <v>740</v>
      </c>
      <c r="H157" s="468"/>
      <c r="I157" s="467">
        <f t="shared" ref="I157:I163" si="23">G157*1.07</f>
        <v>160.5</v>
      </c>
      <c r="J157" s="461">
        <f t="shared" ref="J157:J163" si="24">+I157*1.06</f>
        <v>170.13</v>
      </c>
      <c r="K157" s="461">
        <f>+(J157*1.065)+0.81</f>
        <v>181.99844999999999</v>
      </c>
      <c r="L157" s="515">
        <f t="shared" ref="L157:L163" si="25">+(K157*1.083)</f>
        <v>197.10432134999999</v>
      </c>
      <c r="M157" s="466">
        <f t="shared" ref="M157:M163" si="26">+(L157*1.07)</f>
        <v>210.90162384449999</v>
      </c>
      <c r="N157" s="466">
        <f>+(M157*1.07)-0.06</f>
        <v>225.60473751361499</v>
      </c>
      <c r="O157" s="618">
        <f>+(N157*1.06)*1.06</f>
        <v>253.48948307029784</v>
      </c>
      <c r="P157" s="640">
        <v>268</v>
      </c>
      <c r="Q157" s="466">
        <f t="shared" si="14"/>
        <v>284.08</v>
      </c>
    </row>
    <row r="158" spans="1:17" x14ac:dyDescent="0.25">
      <c r="A158" s="578"/>
      <c r="B158" s="447" t="s">
        <v>839</v>
      </c>
      <c r="C158" s="447"/>
      <c r="D158" s="447"/>
      <c r="E158" s="467" t="s">
        <v>822</v>
      </c>
      <c r="F158" s="468"/>
      <c r="G158" s="467" t="s">
        <v>822</v>
      </c>
      <c r="H158" s="468"/>
      <c r="I158" s="467">
        <f t="shared" si="23"/>
        <v>107</v>
      </c>
      <c r="J158" s="461">
        <f t="shared" si="24"/>
        <v>113.42</v>
      </c>
      <c r="K158" s="461">
        <f>+(J158*1.065)+0.21</f>
        <v>121.00229999999999</v>
      </c>
      <c r="L158" s="515">
        <f t="shared" si="25"/>
        <v>131.04549089999998</v>
      </c>
      <c r="M158" s="466">
        <f t="shared" si="26"/>
        <v>140.21867526299999</v>
      </c>
      <c r="N158" s="466">
        <f>+(M158*1.07)-0.03</f>
        <v>150.00398253141</v>
      </c>
      <c r="O158" s="618">
        <f t="shared" si="22"/>
        <v>159.0042214832946</v>
      </c>
      <c r="P158" s="640">
        <v>170</v>
      </c>
      <c r="Q158" s="466">
        <f t="shared" si="14"/>
        <v>180.2</v>
      </c>
    </row>
    <row r="159" spans="1:17" x14ac:dyDescent="0.25">
      <c r="A159" s="578"/>
      <c r="B159" s="447" t="s">
        <v>840</v>
      </c>
      <c r="C159" s="447"/>
      <c r="D159" s="447"/>
      <c r="E159" s="467" t="s">
        <v>822</v>
      </c>
      <c r="F159" s="468"/>
      <c r="G159" s="467" t="s">
        <v>822</v>
      </c>
      <c r="H159" s="468"/>
      <c r="I159" s="467">
        <f t="shared" si="23"/>
        <v>107</v>
      </c>
      <c r="J159" s="461">
        <f t="shared" si="24"/>
        <v>113.42</v>
      </c>
      <c r="K159" s="461">
        <f>+(J159*1.065)+0.21</f>
        <v>121.00229999999999</v>
      </c>
      <c r="L159" s="515">
        <f t="shared" si="25"/>
        <v>131.04549089999998</v>
      </c>
      <c r="M159" s="466">
        <f t="shared" si="26"/>
        <v>140.21867526299999</v>
      </c>
      <c r="N159" s="466">
        <f>+(M159*1.07)-0.03</f>
        <v>150.00398253141</v>
      </c>
      <c r="O159" s="618">
        <f>+(N159*1.06)*1.06</f>
        <v>168.54447477229229</v>
      </c>
      <c r="P159" s="640">
        <v>170</v>
      </c>
      <c r="Q159" s="466">
        <f t="shared" si="14"/>
        <v>180.2</v>
      </c>
    </row>
    <row r="160" spans="1:17" x14ac:dyDescent="0.25">
      <c r="A160" s="578"/>
      <c r="B160" s="447" t="s">
        <v>841</v>
      </c>
      <c r="C160" s="447"/>
      <c r="D160" s="447"/>
      <c r="E160" s="467" t="s">
        <v>829</v>
      </c>
      <c r="F160" s="468"/>
      <c r="G160" s="467" t="s">
        <v>829</v>
      </c>
      <c r="H160" s="468"/>
      <c r="I160" s="467">
        <f t="shared" si="23"/>
        <v>214</v>
      </c>
      <c r="J160" s="461">
        <f t="shared" si="24"/>
        <v>226.84</v>
      </c>
      <c r="K160" s="461">
        <f>+(J160*1.065)+0.42</f>
        <v>242.00459999999998</v>
      </c>
      <c r="L160" s="515">
        <f t="shared" si="25"/>
        <v>262.09098179999995</v>
      </c>
      <c r="M160" s="466">
        <f t="shared" si="26"/>
        <v>280.43735052599999</v>
      </c>
      <c r="N160" s="466">
        <f>+(M160*1.07)-0.07</f>
        <v>299.99796506282001</v>
      </c>
      <c r="O160" s="618">
        <f>+(N160*1.06)*1.06</f>
        <v>337.07771354458464</v>
      </c>
      <c r="P160" s="640">
        <v>360</v>
      </c>
      <c r="Q160" s="466">
        <f t="shared" si="14"/>
        <v>381.6</v>
      </c>
    </row>
    <row r="161" spans="1:17" x14ac:dyDescent="0.25">
      <c r="A161" s="578"/>
      <c r="B161" s="447" t="s">
        <v>839</v>
      </c>
      <c r="C161" s="447"/>
      <c r="D161" s="447"/>
      <c r="E161" s="467" t="s">
        <v>740</v>
      </c>
      <c r="F161" s="468"/>
      <c r="G161" s="467" t="s">
        <v>740</v>
      </c>
      <c r="H161" s="468"/>
      <c r="I161" s="467">
        <f t="shared" si="23"/>
        <v>160.5</v>
      </c>
      <c r="J161" s="461">
        <f t="shared" si="24"/>
        <v>170.13</v>
      </c>
      <c r="K161" s="461">
        <f>+(J161*1.065)+0.81</f>
        <v>181.99844999999999</v>
      </c>
      <c r="L161" s="515">
        <f t="shared" si="25"/>
        <v>197.10432134999999</v>
      </c>
      <c r="M161" s="466">
        <f t="shared" si="26"/>
        <v>210.90162384449999</v>
      </c>
      <c r="N161" s="466">
        <f>+(M161*1.07)-0.06</f>
        <v>225.60473751361499</v>
      </c>
      <c r="O161" s="618">
        <f t="shared" si="22"/>
        <v>239.14102176443191</v>
      </c>
      <c r="P161" s="640">
        <v>250</v>
      </c>
      <c r="Q161" s="466">
        <f t="shared" si="14"/>
        <v>265</v>
      </c>
    </row>
    <row r="162" spans="1:17" x14ac:dyDescent="0.25">
      <c r="A162" s="578"/>
      <c r="B162" s="447" t="s">
        <v>842</v>
      </c>
      <c r="C162" s="447"/>
      <c r="D162" s="447"/>
      <c r="E162" s="467" t="s">
        <v>740</v>
      </c>
      <c r="F162" s="468"/>
      <c r="G162" s="467" t="s">
        <v>740</v>
      </c>
      <c r="H162" s="468"/>
      <c r="I162" s="467">
        <f t="shared" si="23"/>
        <v>160.5</v>
      </c>
      <c r="J162" s="461">
        <f t="shared" si="24"/>
        <v>170.13</v>
      </c>
      <c r="K162" s="461">
        <f>+(J162*1.065)+0.81</f>
        <v>181.99844999999999</v>
      </c>
      <c r="L162" s="515">
        <f t="shared" si="25"/>
        <v>197.10432134999999</v>
      </c>
      <c r="M162" s="466">
        <f t="shared" si="26"/>
        <v>210.90162384449999</v>
      </c>
      <c r="N162" s="466">
        <f>+(M162*1.07)-0.06</f>
        <v>225.60473751361499</v>
      </c>
      <c r="O162" s="618">
        <f>+(N162*1.06)*1.06</f>
        <v>253.48948307029784</v>
      </c>
      <c r="P162" s="640">
        <v>270</v>
      </c>
      <c r="Q162" s="466">
        <f t="shared" si="14"/>
        <v>286.2</v>
      </c>
    </row>
    <row r="163" spans="1:17" x14ac:dyDescent="0.25">
      <c r="A163" s="578"/>
      <c r="B163" s="447" t="s">
        <v>839</v>
      </c>
      <c r="C163" s="447"/>
      <c r="D163" s="447"/>
      <c r="E163" s="467" t="s">
        <v>822</v>
      </c>
      <c r="F163" s="468"/>
      <c r="G163" s="467" t="s">
        <v>822</v>
      </c>
      <c r="H163" s="468"/>
      <c r="I163" s="467">
        <f t="shared" si="23"/>
        <v>107</v>
      </c>
      <c r="J163" s="461">
        <f t="shared" si="24"/>
        <v>113.42</v>
      </c>
      <c r="K163" s="461">
        <f>+(J163*1.065)+0.21</f>
        <v>121.00229999999999</v>
      </c>
      <c r="L163" s="515">
        <f t="shared" si="25"/>
        <v>131.04549089999998</v>
      </c>
      <c r="M163" s="466">
        <f t="shared" si="26"/>
        <v>140.21867526299999</v>
      </c>
      <c r="N163" s="466">
        <f>+(M163*1.07)-0.03</f>
        <v>150.00398253141</v>
      </c>
      <c r="O163" s="618">
        <f t="shared" si="22"/>
        <v>159.0042214832946</v>
      </c>
      <c r="P163" s="640">
        <v>170</v>
      </c>
      <c r="Q163" s="466">
        <f t="shared" si="14"/>
        <v>180.2</v>
      </c>
    </row>
    <row r="164" spans="1:17" x14ac:dyDescent="0.25">
      <c r="A164" s="578"/>
      <c r="B164" s="447" t="s">
        <v>843</v>
      </c>
      <c r="C164" s="447"/>
      <c r="D164" s="447"/>
      <c r="E164" s="467"/>
      <c r="F164" s="468"/>
      <c r="G164" s="467"/>
      <c r="H164" s="468"/>
      <c r="I164" s="467"/>
      <c r="J164" s="461"/>
      <c r="K164" s="461"/>
      <c r="L164" s="515">
        <v>350</v>
      </c>
      <c r="M164" s="466">
        <v>370</v>
      </c>
      <c r="N164" s="466">
        <v>370</v>
      </c>
      <c r="O164" s="618">
        <f t="shared" si="22"/>
        <v>392.20000000000005</v>
      </c>
      <c r="P164" s="640">
        <v>420</v>
      </c>
      <c r="Q164" s="466">
        <f t="shared" si="14"/>
        <v>445.2</v>
      </c>
    </row>
    <row r="165" spans="1:17" x14ac:dyDescent="0.25">
      <c r="A165" s="578"/>
      <c r="B165" s="447" t="s">
        <v>844</v>
      </c>
      <c r="C165" s="447"/>
      <c r="D165" s="447"/>
      <c r="E165" s="467"/>
      <c r="F165" s="468"/>
      <c r="G165" s="467"/>
      <c r="H165" s="468"/>
      <c r="I165" s="467"/>
      <c r="J165" s="467"/>
      <c r="K165" s="467"/>
      <c r="L165" s="515">
        <v>300</v>
      </c>
      <c r="M165" s="466">
        <v>320</v>
      </c>
      <c r="N165" s="466">
        <v>320</v>
      </c>
      <c r="O165" s="618">
        <f t="shared" si="22"/>
        <v>339.20000000000005</v>
      </c>
      <c r="P165" s="640">
        <v>360</v>
      </c>
      <c r="Q165" s="466">
        <f t="shared" si="14"/>
        <v>381.6</v>
      </c>
    </row>
    <row r="166" spans="1:17" x14ac:dyDescent="0.25">
      <c r="A166" s="578"/>
      <c r="B166" s="447" t="s">
        <v>845</v>
      </c>
      <c r="C166" s="447"/>
      <c r="D166" s="447"/>
      <c r="E166" s="467"/>
      <c r="F166" s="468" t="s">
        <v>846</v>
      </c>
      <c r="G166" s="467"/>
      <c r="H166" s="468"/>
      <c r="I166" s="467"/>
      <c r="J166" s="467"/>
      <c r="K166" s="468" t="s">
        <v>847</v>
      </c>
      <c r="L166" s="516" t="s">
        <v>848</v>
      </c>
      <c r="M166" s="466"/>
      <c r="N166" s="466">
        <v>100</v>
      </c>
      <c r="O166" s="618">
        <f t="shared" si="22"/>
        <v>106</v>
      </c>
      <c r="P166" s="640">
        <v>120</v>
      </c>
      <c r="Q166" s="466">
        <f t="shared" si="14"/>
        <v>127.2</v>
      </c>
    </row>
    <row r="167" spans="1:17" x14ac:dyDescent="0.25">
      <c r="A167" s="578"/>
      <c r="B167" s="447"/>
      <c r="C167" s="447"/>
      <c r="D167" s="447"/>
      <c r="E167" s="467"/>
      <c r="F167" s="468"/>
      <c r="G167" s="467"/>
      <c r="H167" s="468"/>
      <c r="I167" s="467"/>
      <c r="J167" s="467"/>
      <c r="K167" s="467"/>
      <c r="L167" s="513"/>
      <c r="M167" s="454"/>
      <c r="N167" s="454"/>
      <c r="O167" s="615"/>
      <c r="P167" s="637"/>
      <c r="Q167" s="454">
        <f t="shared" si="14"/>
        <v>0</v>
      </c>
    </row>
    <row r="168" spans="1:17" x14ac:dyDescent="0.25">
      <c r="A168" s="503">
        <v>11</v>
      </c>
      <c r="B168" s="580" t="s">
        <v>849</v>
      </c>
      <c r="C168" s="447"/>
      <c r="D168" s="447"/>
      <c r="E168" s="467"/>
      <c r="F168" s="468"/>
      <c r="G168" s="467"/>
      <c r="H168" s="468"/>
      <c r="I168" s="467"/>
      <c r="J168" s="467"/>
      <c r="K168" s="467"/>
      <c r="L168" s="513"/>
      <c r="M168" s="454"/>
      <c r="N168" s="454"/>
      <c r="O168" s="615"/>
      <c r="P168" s="637"/>
      <c r="Q168" s="454">
        <f t="shared" si="14"/>
        <v>0</v>
      </c>
    </row>
    <row r="169" spans="1:17" x14ac:dyDescent="0.25">
      <c r="A169" s="503"/>
      <c r="B169" s="580"/>
      <c r="C169" s="447"/>
      <c r="D169" s="447"/>
      <c r="E169" s="467"/>
      <c r="F169" s="468"/>
      <c r="G169" s="467"/>
      <c r="H169" s="468"/>
      <c r="I169" s="467"/>
      <c r="J169" s="467"/>
      <c r="K169" s="467"/>
      <c r="L169" s="513"/>
      <c r="M169" s="454"/>
      <c r="N169" s="454"/>
      <c r="O169" s="615"/>
      <c r="P169" s="637"/>
      <c r="Q169" s="454">
        <f t="shared" si="14"/>
        <v>0</v>
      </c>
    </row>
    <row r="170" spans="1:17" x14ac:dyDescent="0.25">
      <c r="A170" s="578"/>
      <c r="B170" s="447" t="s">
        <v>850</v>
      </c>
      <c r="C170" s="447"/>
      <c r="D170" s="447"/>
      <c r="E170" s="467"/>
      <c r="F170" s="468"/>
      <c r="G170" s="467"/>
      <c r="H170" s="468"/>
      <c r="I170" s="467"/>
      <c r="J170" s="467"/>
      <c r="K170" s="467"/>
      <c r="L170" s="513"/>
      <c r="M170" s="454"/>
      <c r="N170" s="455" t="s">
        <v>851</v>
      </c>
      <c r="O170" s="617" t="s">
        <v>851</v>
      </c>
      <c r="P170" s="639" t="s">
        <v>851</v>
      </c>
      <c r="Q170" s="455"/>
    </row>
    <row r="171" spans="1:17" x14ac:dyDescent="0.25">
      <c r="A171" s="578"/>
      <c r="B171" s="447"/>
      <c r="C171" s="447"/>
      <c r="D171" s="447"/>
      <c r="E171" s="467"/>
      <c r="F171" s="468"/>
      <c r="G171" s="467"/>
      <c r="H171" s="468"/>
      <c r="I171" s="467"/>
      <c r="J171" s="467"/>
      <c r="K171" s="467"/>
      <c r="L171" s="513"/>
      <c r="M171" s="454"/>
      <c r="N171" s="454"/>
      <c r="O171" s="615"/>
      <c r="P171" s="637"/>
      <c r="Q171" s="454">
        <f t="shared" si="14"/>
        <v>0</v>
      </c>
    </row>
    <row r="172" spans="1:17" x14ac:dyDescent="0.25">
      <c r="A172" s="503">
        <v>12</v>
      </c>
      <c r="B172" s="580" t="s">
        <v>852</v>
      </c>
      <c r="C172" s="447"/>
      <c r="D172" s="447"/>
      <c r="E172" s="467"/>
      <c r="F172" s="468"/>
      <c r="G172" s="467"/>
      <c r="H172" s="468"/>
      <c r="I172" s="467"/>
      <c r="J172" s="467"/>
      <c r="K172" s="467"/>
      <c r="L172" s="513"/>
      <c r="M172" s="454"/>
      <c r="N172" s="454"/>
      <c r="O172" s="615"/>
      <c r="P172" s="637"/>
      <c r="Q172" s="454">
        <f t="shared" si="14"/>
        <v>0</v>
      </c>
    </row>
    <row r="173" spans="1:17" x14ac:dyDescent="0.25">
      <c r="A173" s="503"/>
      <c r="B173" s="580"/>
      <c r="C173" s="447"/>
      <c r="D173" s="447"/>
      <c r="E173" s="467"/>
      <c r="F173" s="468"/>
      <c r="G173" s="467"/>
      <c r="H173" s="468"/>
      <c r="I173" s="467"/>
      <c r="J173" s="467"/>
      <c r="K173" s="467"/>
      <c r="L173" s="513"/>
      <c r="M173" s="454"/>
      <c r="N173" s="454"/>
      <c r="O173" s="615"/>
      <c r="P173" s="637"/>
      <c r="Q173" s="454">
        <f t="shared" si="14"/>
        <v>0</v>
      </c>
    </row>
    <row r="174" spans="1:17" x14ac:dyDescent="0.25">
      <c r="A174" s="578"/>
      <c r="B174" s="447" t="s">
        <v>853</v>
      </c>
      <c r="C174" s="447"/>
      <c r="D174" s="447"/>
      <c r="E174" s="467"/>
      <c r="F174" s="468"/>
      <c r="G174" s="467"/>
      <c r="H174" s="468"/>
      <c r="I174" s="467"/>
      <c r="J174" s="467"/>
      <c r="K174" s="467"/>
      <c r="L174" s="513"/>
      <c r="M174" s="454"/>
      <c r="N174" s="454"/>
      <c r="O174" s="615"/>
      <c r="P174" s="637"/>
      <c r="Q174" s="454">
        <f t="shared" si="14"/>
        <v>0</v>
      </c>
    </row>
    <row r="175" spans="1:17" x14ac:dyDescent="0.25">
      <c r="A175" s="578"/>
      <c r="B175" s="447" t="s">
        <v>854</v>
      </c>
      <c r="C175" s="447"/>
      <c r="D175" s="447"/>
      <c r="E175" s="467" t="s">
        <v>855</v>
      </c>
      <c r="F175" s="468"/>
      <c r="G175" s="467" t="s">
        <v>855</v>
      </c>
      <c r="H175" s="468"/>
      <c r="I175" s="467" t="s">
        <v>856</v>
      </c>
      <c r="J175" s="467" t="s">
        <v>857</v>
      </c>
      <c r="K175" s="467" t="s">
        <v>858</v>
      </c>
      <c r="L175" s="513" t="s">
        <v>859</v>
      </c>
      <c r="M175" s="454" t="s">
        <v>860</v>
      </c>
      <c r="N175" s="505" t="s">
        <v>860</v>
      </c>
      <c r="O175" s="628" t="s">
        <v>860</v>
      </c>
      <c r="P175" s="651" t="s">
        <v>860</v>
      </c>
      <c r="Q175" s="505" t="s">
        <v>860</v>
      </c>
    </row>
    <row r="176" spans="1:17" x14ac:dyDescent="0.25">
      <c r="A176" s="578"/>
      <c r="B176" s="447" t="s">
        <v>861</v>
      </c>
      <c r="C176" s="447"/>
      <c r="D176" s="447"/>
      <c r="E176" s="467" t="s">
        <v>862</v>
      </c>
      <c r="F176" s="468"/>
      <c r="G176" s="467" t="s">
        <v>862</v>
      </c>
      <c r="H176" s="468"/>
      <c r="I176" s="467" t="s">
        <v>863</v>
      </c>
      <c r="J176" s="467" t="s">
        <v>864</v>
      </c>
      <c r="K176" s="467" t="s">
        <v>865</v>
      </c>
      <c r="L176" s="513" t="s">
        <v>866</v>
      </c>
      <c r="M176" s="454" t="s">
        <v>867</v>
      </c>
      <c r="N176" s="505" t="s">
        <v>867</v>
      </c>
      <c r="O176" s="628" t="s">
        <v>867</v>
      </c>
      <c r="P176" s="651" t="s">
        <v>867</v>
      </c>
      <c r="Q176" s="505" t="s">
        <v>867</v>
      </c>
    </row>
    <row r="177" spans="1:17" x14ac:dyDescent="0.25">
      <c r="A177" s="578"/>
      <c r="B177" s="447" t="s">
        <v>868</v>
      </c>
      <c r="C177" s="447"/>
      <c r="D177" s="447"/>
      <c r="E177" s="467" t="s">
        <v>869</v>
      </c>
      <c r="F177" s="468"/>
      <c r="G177" s="467" t="s">
        <v>869</v>
      </c>
      <c r="H177" s="468"/>
      <c r="I177" s="467" t="s">
        <v>870</v>
      </c>
      <c r="J177" s="467" t="s">
        <v>871</v>
      </c>
      <c r="K177" s="467" t="s">
        <v>872</v>
      </c>
      <c r="L177" s="513" t="s">
        <v>873</v>
      </c>
      <c r="M177" s="454" t="s">
        <v>874</v>
      </c>
      <c r="N177" s="505" t="s">
        <v>874</v>
      </c>
      <c r="O177" s="628" t="s">
        <v>874</v>
      </c>
      <c r="P177" s="651" t="s">
        <v>874</v>
      </c>
      <c r="Q177" s="505" t="s">
        <v>874</v>
      </c>
    </row>
    <row r="178" spans="1:17" x14ac:dyDescent="0.25">
      <c r="A178" s="578"/>
      <c r="B178" s="447" t="s">
        <v>875</v>
      </c>
      <c r="C178" s="447"/>
      <c r="D178" s="447"/>
      <c r="E178" s="467" t="s">
        <v>876</v>
      </c>
      <c r="F178" s="468"/>
      <c r="G178" s="467" t="s">
        <v>876</v>
      </c>
      <c r="H178" s="468"/>
      <c r="I178" s="467" t="s">
        <v>877</v>
      </c>
      <c r="J178" s="467" t="s">
        <v>878</v>
      </c>
      <c r="K178" s="467" t="s">
        <v>879</v>
      </c>
      <c r="L178" s="513" t="s">
        <v>880</v>
      </c>
      <c r="M178" s="454" t="s">
        <v>881</v>
      </c>
      <c r="N178" s="505" t="s">
        <v>881</v>
      </c>
      <c r="O178" s="628" t="s">
        <v>881</v>
      </c>
      <c r="P178" s="651" t="s">
        <v>881</v>
      </c>
      <c r="Q178" s="505" t="s">
        <v>881</v>
      </c>
    </row>
    <row r="179" spans="1:17" x14ac:dyDescent="0.25">
      <c r="A179" s="578"/>
      <c r="B179" s="447" t="s">
        <v>882</v>
      </c>
      <c r="C179" s="447"/>
      <c r="D179" s="447"/>
      <c r="E179" s="467"/>
      <c r="F179" s="468"/>
      <c r="G179" s="467"/>
      <c r="H179" s="468"/>
      <c r="I179" s="467"/>
      <c r="J179" s="468" t="s">
        <v>883</v>
      </c>
      <c r="K179" s="468" t="s">
        <v>884</v>
      </c>
      <c r="L179" s="514" t="s">
        <v>885</v>
      </c>
      <c r="M179" s="455" t="s">
        <v>886</v>
      </c>
      <c r="N179" s="506" t="s">
        <v>886</v>
      </c>
      <c r="O179" s="629" t="s">
        <v>886</v>
      </c>
      <c r="P179" s="652" t="s">
        <v>886</v>
      </c>
      <c r="Q179" s="506" t="s">
        <v>886</v>
      </c>
    </row>
    <row r="180" spans="1:17" x14ac:dyDescent="0.25">
      <c r="A180" s="578"/>
      <c r="B180" s="447"/>
      <c r="C180" s="447"/>
      <c r="D180" s="447"/>
      <c r="E180" s="467"/>
      <c r="F180" s="468"/>
      <c r="G180" s="467"/>
      <c r="H180" s="468"/>
      <c r="I180" s="467"/>
      <c r="J180" s="468"/>
      <c r="K180" s="468"/>
      <c r="L180" s="514"/>
      <c r="M180" s="455"/>
      <c r="N180" s="455"/>
      <c r="O180" s="617"/>
      <c r="P180" s="639"/>
      <c r="Q180" s="455">
        <f t="shared" ref="Q180:Q228" si="27">(P180*0.06)+P180</f>
        <v>0</v>
      </c>
    </row>
    <row r="181" spans="1:17" x14ac:dyDescent="0.25">
      <c r="A181" s="503">
        <v>13</v>
      </c>
      <c r="B181" s="580" t="s">
        <v>887</v>
      </c>
      <c r="C181" s="447"/>
      <c r="D181" s="447"/>
      <c r="E181" s="467"/>
      <c r="F181" s="468"/>
      <c r="G181" s="467"/>
      <c r="H181" s="468"/>
      <c r="I181" s="467"/>
      <c r="J181" s="467"/>
      <c r="K181" s="467"/>
      <c r="L181" s="513"/>
      <c r="M181" s="454"/>
      <c r="N181" s="454"/>
      <c r="O181" s="615"/>
      <c r="P181" s="637"/>
      <c r="Q181" s="454">
        <f t="shared" si="27"/>
        <v>0</v>
      </c>
    </row>
    <row r="182" spans="1:17" x14ac:dyDescent="0.25">
      <c r="A182" s="578"/>
      <c r="B182" s="447"/>
      <c r="C182" s="447"/>
      <c r="D182" s="447"/>
      <c r="E182" s="467"/>
      <c r="F182" s="468"/>
      <c r="G182" s="467"/>
      <c r="H182" s="468"/>
      <c r="I182" s="467"/>
      <c r="J182" s="467"/>
      <c r="K182" s="467"/>
      <c r="L182" s="513"/>
      <c r="M182" s="454"/>
      <c r="N182" s="454"/>
      <c r="O182" s="615"/>
      <c r="P182" s="637"/>
      <c r="Q182" s="454">
        <f t="shared" si="27"/>
        <v>0</v>
      </c>
    </row>
    <row r="183" spans="1:17" x14ac:dyDescent="0.25">
      <c r="A183" s="578"/>
      <c r="B183" s="447" t="s">
        <v>854</v>
      </c>
      <c r="C183" s="447"/>
      <c r="D183" s="447"/>
      <c r="E183" s="467" t="s">
        <v>855</v>
      </c>
      <c r="F183" s="468"/>
      <c r="G183" s="467" t="s">
        <v>855</v>
      </c>
      <c r="H183" s="468"/>
      <c r="I183" s="467" t="s">
        <v>856</v>
      </c>
      <c r="J183" s="467" t="s">
        <v>857</v>
      </c>
      <c r="K183" s="467" t="s">
        <v>858</v>
      </c>
      <c r="L183" s="513" t="s">
        <v>859</v>
      </c>
      <c r="M183" s="454" t="s">
        <v>860</v>
      </c>
      <c r="N183" s="454" t="s">
        <v>860</v>
      </c>
      <c r="O183" s="615" t="s">
        <v>860</v>
      </c>
      <c r="P183" s="637" t="s">
        <v>888</v>
      </c>
      <c r="Q183" s="454" t="s">
        <v>888</v>
      </c>
    </row>
    <row r="184" spans="1:17" x14ac:dyDescent="0.25">
      <c r="A184" s="578"/>
      <c r="B184" s="447" t="s">
        <v>861</v>
      </c>
      <c r="C184" s="447"/>
      <c r="D184" s="447"/>
      <c r="E184" s="467" t="s">
        <v>862</v>
      </c>
      <c r="F184" s="468"/>
      <c r="G184" s="467" t="s">
        <v>862</v>
      </c>
      <c r="H184" s="468"/>
      <c r="I184" s="467" t="s">
        <v>863</v>
      </c>
      <c r="J184" s="467" t="s">
        <v>864</v>
      </c>
      <c r="K184" s="467" t="s">
        <v>865</v>
      </c>
      <c r="L184" s="513" t="s">
        <v>866</v>
      </c>
      <c r="M184" s="454" t="s">
        <v>867</v>
      </c>
      <c r="N184" s="454" t="s">
        <v>867</v>
      </c>
      <c r="O184" s="615" t="s">
        <v>867</v>
      </c>
      <c r="P184" s="637" t="s">
        <v>889</v>
      </c>
      <c r="Q184" s="454" t="s">
        <v>889</v>
      </c>
    </row>
    <row r="185" spans="1:17" x14ac:dyDescent="0.25">
      <c r="A185" s="578"/>
      <c r="B185" s="447" t="s">
        <v>868</v>
      </c>
      <c r="C185" s="447"/>
      <c r="D185" s="447"/>
      <c r="E185" s="467" t="s">
        <v>869</v>
      </c>
      <c r="F185" s="468"/>
      <c r="G185" s="467" t="s">
        <v>869</v>
      </c>
      <c r="H185" s="468"/>
      <c r="I185" s="467" t="s">
        <v>870</v>
      </c>
      <c r="J185" s="467" t="s">
        <v>871</v>
      </c>
      <c r="K185" s="467" t="s">
        <v>872</v>
      </c>
      <c r="L185" s="513" t="s">
        <v>873</v>
      </c>
      <c r="M185" s="454" t="s">
        <v>874</v>
      </c>
      <c r="N185" s="454" t="s">
        <v>874</v>
      </c>
      <c r="O185" s="615" t="s">
        <v>874</v>
      </c>
      <c r="P185" s="637" t="s">
        <v>890</v>
      </c>
      <c r="Q185" s="454" t="s">
        <v>890</v>
      </c>
    </row>
    <row r="186" spans="1:17" x14ac:dyDescent="0.25">
      <c r="A186" s="578"/>
      <c r="B186" s="447" t="s">
        <v>875</v>
      </c>
      <c r="C186" s="447"/>
      <c r="D186" s="447"/>
      <c r="E186" s="467" t="s">
        <v>876</v>
      </c>
      <c r="F186" s="468"/>
      <c r="G186" s="467" t="s">
        <v>876</v>
      </c>
      <c r="H186" s="468"/>
      <c r="I186" s="467" t="s">
        <v>877</v>
      </c>
      <c r="J186" s="467" t="s">
        <v>878</v>
      </c>
      <c r="K186" s="467" t="s">
        <v>879</v>
      </c>
      <c r="L186" s="513" t="s">
        <v>880</v>
      </c>
      <c r="M186" s="454" t="s">
        <v>881</v>
      </c>
      <c r="N186" s="454" t="s">
        <v>881</v>
      </c>
      <c r="O186" s="615" t="s">
        <v>881</v>
      </c>
      <c r="P186" s="637" t="s">
        <v>891</v>
      </c>
      <c r="Q186" s="454" t="s">
        <v>891</v>
      </c>
    </row>
    <row r="187" spans="1:17" x14ac:dyDescent="0.25">
      <c r="A187" s="578"/>
      <c r="B187" s="447" t="s">
        <v>882</v>
      </c>
      <c r="C187" s="447"/>
      <c r="D187" s="447"/>
      <c r="E187" s="467"/>
      <c r="F187" s="468"/>
      <c r="G187" s="467"/>
      <c r="H187" s="468"/>
      <c r="I187" s="467"/>
      <c r="J187" s="468" t="s">
        <v>883</v>
      </c>
      <c r="K187" s="468" t="s">
        <v>884</v>
      </c>
      <c r="L187" s="514" t="s">
        <v>885</v>
      </c>
      <c r="M187" s="455" t="s">
        <v>886</v>
      </c>
      <c r="N187" s="455" t="s">
        <v>886</v>
      </c>
      <c r="O187" s="617" t="s">
        <v>886</v>
      </c>
      <c r="P187" s="639" t="s">
        <v>892</v>
      </c>
      <c r="Q187" s="455" t="s">
        <v>892</v>
      </c>
    </row>
    <row r="188" spans="1:17" x14ac:dyDescent="0.25">
      <c r="A188" s="586"/>
      <c r="B188" s="434"/>
      <c r="C188" s="434"/>
      <c r="D188" s="434"/>
      <c r="E188" s="434"/>
      <c r="F188" s="434"/>
      <c r="G188" s="434"/>
      <c r="H188" s="434"/>
      <c r="I188" s="434"/>
      <c r="J188" s="434"/>
      <c r="K188" s="434"/>
      <c r="L188" s="523"/>
      <c r="M188" s="434"/>
      <c r="N188" s="526"/>
      <c r="O188" s="630"/>
      <c r="P188" s="653"/>
      <c r="Q188" s="526">
        <f t="shared" si="27"/>
        <v>0</v>
      </c>
    </row>
    <row r="189" spans="1:17" x14ac:dyDescent="0.25">
      <c r="A189" s="503">
        <v>14</v>
      </c>
      <c r="B189" s="580" t="s">
        <v>893</v>
      </c>
      <c r="C189" s="447"/>
      <c r="D189" s="447"/>
      <c r="E189" s="467"/>
      <c r="F189" s="468"/>
      <c r="G189" s="467"/>
      <c r="H189" s="468"/>
      <c r="I189" s="467"/>
      <c r="J189" s="467"/>
      <c r="K189" s="467"/>
      <c r="L189" s="513"/>
      <c r="M189" s="454"/>
      <c r="N189" s="454"/>
      <c r="O189" s="615"/>
      <c r="P189" s="637"/>
      <c r="Q189" s="454">
        <f t="shared" si="27"/>
        <v>0</v>
      </c>
    </row>
    <row r="190" spans="1:17" x14ac:dyDescent="0.25">
      <c r="A190" s="503"/>
      <c r="B190" s="580"/>
      <c r="C190" s="447"/>
      <c r="D190" s="447"/>
      <c r="E190" s="467"/>
      <c r="F190" s="468"/>
      <c r="G190" s="467"/>
      <c r="H190" s="468"/>
      <c r="I190" s="467"/>
      <c r="J190" s="467"/>
      <c r="K190" s="467"/>
      <c r="L190" s="513"/>
      <c r="M190" s="454"/>
      <c r="N190" s="454"/>
      <c r="O190" s="615"/>
      <c r="P190" s="637"/>
      <c r="Q190" s="454">
        <f t="shared" si="27"/>
        <v>0</v>
      </c>
    </row>
    <row r="191" spans="1:17" x14ac:dyDescent="0.25">
      <c r="A191" s="578"/>
      <c r="B191" s="447" t="s">
        <v>894</v>
      </c>
      <c r="C191" s="447"/>
      <c r="D191" s="447"/>
      <c r="E191" s="467"/>
      <c r="F191" s="468"/>
      <c r="G191" s="467"/>
      <c r="H191" s="468"/>
      <c r="I191" s="467"/>
      <c r="J191" s="467"/>
      <c r="K191" s="467"/>
      <c r="L191" s="513"/>
      <c r="M191" s="454"/>
      <c r="N191" s="454"/>
      <c r="O191" s="615"/>
      <c r="P191" s="637"/>
      <c r="Q191" s="454">
        <f t="shared" si="27"/>
        <v>0</v>
      </c>
    </row>
    <row r="192" spans="1:17" ht="13.8" thickBot="1" x14ac:dyDescent="0.3">
      <c r="A192" s="584"/>
      <c r="B192" s="486"/>
      <c r="C192" s="486"/>
      <c r="D192" s="486"/>
      <c r="E192" s="460"/>
      <c r="F192" s="487"/>
      <c r="G192" s="460"/>
      <c r="H192" s="487"/>
      <c r="I192" s="460"/>
      <c r="J192" s="460"/>
      <c r="K192" s="460"/>
      <c r="L192" s="520"/>
      <c r="M192" s="465"/>
      <c r="N192" s="465"/>
      <c r="O192" s="624"/>
      <c r="P192" s="647"/>
      <c r="Q192" s="465">
        <f t="shared" si="27"/>
        <v>0</v>
      </c>
    </row>
    <row r="193" spans="1:17" x14ac:dyDescent="0.25">
      <c r="A193" s="578"/>
      <c r="B193" s="447"/>
      <c r="C193" s="447"/>
      <c r="D193" s="447"/>
      <c r="E193" s="467"/>
      <c r="F193" s="468"/>
      <c r="G193" s="467"/>
      <c r="H193" s="468"/>
      <c r="I193" s="467"/>
      <c r="J193" s="467"/>
      <c r="K193" s="467"/>
      <c r="L193" s="513"/>
      <c r="M193" s="457"/>
      <c r="N193" s="457"/>
      <c r="O193" s="626"/>
      <c r="P193" s="649"/>
      <c r="Q193" s="457">
        <v>29</v>
      </c>
    </row>
    <row r="194" spans="1:17" x14ac:dyDescent="0.25">
      <c r="A194" s="503">
        <v>15</v>
      </c>
      <c r="B194" s="580" t="s">
        <v>895</v>
      </c>
      <c r="C194" s="447"/>
      <c r="D194" s="447"/>
      <c r="E194" s="467"/>
      <c r="F194" s="468"/>
      <c r="G194" s="467"/>
      <c r="H194" s="468"/>
      <c r="I194" s="467"/>
      <c r="J194" s="467"/>
      <c r="K194" s="467"/>
      <c r="L194" s="513"/>
      <c r="M194" s="454"/>
      <c r="N194" s="454"/>
      <c r="O194" s="615"/>
      <c r="P194" s="637"/>
      <c r="Q194" s="454">
        <f t="shared" si="27"/>
        <v>0</v>
      </c>
    </row>
    <row r="195" spans="1:17" x14ac:dyDescent="0.25">
      <c r="A195" s="503"/>
      <c r="B195" s="482"/>
      <c r="C195" s="447"/>
      <c r="D195" s="447"/>
      <c r="E195" s="467"/>
      <c r="F195" s="468"/>
      <c r="G195" s="467"/>
      <c r="H195" s="468"/>
      <c r="I195" s="467"/>
      <c r="J195" s="467"/>
      <c r="K195" s="467"/>
      <c r="L195" s="513"/>
      <c r="M195" s="454"/>
      <c r="N195" s="454"/>
      <c r="O195" s="615"/>
      <c r="P195" s="637"/>
      <c r="Q195" s="454">
        <f t="shared" si="27"/>
        <v>0</v>
      </c>
    </row>
    <row r="196" spans="1:17" x14ac:dyDescent="0.25">
      <c r="A196" s="503"/>
      <c r="B196" s="447" t="s">
        <v>896</v>
      </c>
      <c r="C196" s="447" t="s">
        <v>897</v>
      </c>
      <c r="D196" s="447"/>
      <c r="E196" s="467"/>
      <c r="F196" s="468"/>
      <c r="G196" s="467"/>
      <c r="H196" s="468"/>
      <c r="I196" s="467"/>
      <c r="J196" s="467"/>
      <c r="K196" s="467"/>
      <c r="L196" s="515">
        <v>60</v>
      </c>
      <c r="M196" s="466">
        <f>+L196*1.07</f>
        <v>64.2</v>
      </c>
      <c r="N196" s="466">
        <f>+M196*1.07-0.09</f>
        <v>68.603999999999999</v>
      </c>
      <c r="O196" s="618">
        <v>84.8</v>
      </c>
      <c r="P196" s="640">
        <v>90</v>
      </c>
      <c r="Q196" s="466">
        <f t="shared" si="27"/>
        <v>95.4</v>
      </c>
    </row>
    <row r="197" spans="1:17" x14ac:dyDescent="0.25">
      <c r="A197" s="503"/>
      <c r="B197" s="447" t="s">
        <v>578</v>
      </c>
      <c r="C197" s="447" t="s">
        <v>897</v>
      </c>
      <c r="D197" s="447"/>
      <c r="E197" s="467"/>
      <c r="F197" s="468"/>
      <c r="G197" s="467"/>
      <c r="H197" s="468"/>
      <c r="I197" s="467"/>
      <c r="J197" s="467"/>
      <c r="K197" s="467"/>
      <c r="L197" s="515">
        <v>220</v>
      </c>
      <c r="M197" s="466">
        <f t="shared" ref="M197:N204" si="28">+L197*1.07</f>
        <v>235.4</v>
      </c>
      <c r="N197" s="466">
        <f>+M197*1.07-0.08</f>
        <v>251.798</v>
      </c>
      <c r="O197" s="618">
        <v>311.2</v>
      </c>
      <c r="P197" s="640">
        <v>330</v>
      </c>
      <c r="Q197" s="466">
        <f t="shared" si="27"/>
        <v>349.8</v>
      </c>
    </row>
    <row r="198" spans="1:17" x14ac:dyDescent="0.25">
      <c r="A198" s="503"/>
      <c r="B198" s="447" t="s">
        <v>898</v>
      </c>
      <c r="C198" s="447" t="s">
        <v>897</v>
      </c>
      <c r="D198" s="447"/>
      <c r="E198" s="467"/>
      <c r="F198" s="468"/>
      <c r="G198" s="467"/>
      <c r="H198" s="468"/>
      <c r="I198" s="467"/>
      <c r="J198" s="467"/>
      <c r="K198" s="467"/>
      <c r="L198" s="515">
        <v>160</v>
      </c>
      <c r="M198" s="466">
        <f t="shared" si="28"/>
        <v>171.20000000000002</v>
      </c>
      <c r="N198" s="466">
        <f>+M198*1.07-0.08</f>
        <v>183.10400000000001</v>
      </c>
      <c r="O198" s="618">
        <v>226.3</v>
      </c>
      <c r="P198" s="640">
        <v>240</v>
      </c>
      <c r="Q198" s="466">
        <f t="shared" si="27"/>
        <v>254.4</v>
      </c>
    </row>
    <row r="199" spans="1:17" x14ac:dyDescent="0.25">
      <c r="A199" s="503"/>
      <c r="B199" s="447" t="s">
        <v>899</v>
      </c>
      <c r="C199" s="447" t="s">
        <v>897</v>
      </c>
      <c r="D199" s="447"/>
      <c r="E199" s="467"/>
      <c r="F199" s="468"/>
      <c r="G199" s="467"/>
      <c r="H199" s="468"/>
      <c r="I199" s="467"/>
      <c r="J199" s="467"/>
      <c r="K199" s="467"/>
      <c r="L199" s="515">
        <v>150</v>
      </c>
      <c r="M199" s="466">
        <f t="shared" si="28"/>
        <v>160.5</v>
      </c>
      <c r="N199" s="466">
        <f>+M199*1.07-0.04</f>
        <v>171.69500000000002</v>
      </c>
      <c r="O199" s="618">
        <v>212.2</v>
      </c>
      <c r="P199" s="640">
        <v>225</v>
      </c>
      <c r="Q199" s="466">
        <f t="shared" si="27"/>
        <v>238.5</v>
      </c>
    </row>
    <row r="200" spans="1:17" x14ac:dyDescent="0.25">
      <c r="A200" s="503"/>
      <c r="B200" s="447" t="s">
        <v>900</v>
      </c>
      <c r="C200" s="447" t="s">
        <v>897</v>
      </c>
      <c r="D200" s="447"/>
      <c r="E200" s="467"/>
      <c r="F200" s="468"/>
      <c r="G200" s="467"/>
      <c r="H200" s="468"/>
      <c r="I200" s="467"/>
      <c r="J200" s="467"/>
      <c r="K200" s="467"/>
      <c r="L200" s="515">
        <v>45</v>
      </c>
      <c r="M200" s="466">
        <f t="shared" si="28"/>
        <v>48.150000000000006</v>
      </c>
      <c r="N200" s="466">
        <f>+M200*1.07-0.02</f>
        <v>51.500500000000009</v>
      </c>
      <c r="O200" s="618">
        <v>63.6</v>
      </c>
      <c r="P200" s="640">
        <v>67</v>
      </c>
      <c r="Q200" s="466">
        <f t="shared" si="27"/>
        <v>71.02</v>
      </c>
    </row>
    <row r="201" spans="1:17" x14ac:dyDescent="0.25">
      <c r="A201" s="503"/>
      <c r="B201" s="447" t="s">
        <v>901</v>
      </c>
      <c r="C201" s="447" t="s">
        <v>897</v>
      </c>
      <c r="D201" s="447"/>
      <c r="E201" s="467"/>
      <c r="F201" s="468"/>
      <c r="G201" s="467"/>
      <c r="H201" s="468"/>
      <c r="I201" s="467"/>
      <c r="J201" s="467"/>
      <c r="K201" s="467"/>
      <c r="L201" s="515">
        <v>40</v>
      </c>
      <c r="M201" s="466">
        <f t="shared" si="28"/>
        <v>42.800000000000004</v>
      </c>
      <c r="N201" s="466">
        <f t="shared" si="28"/>
        <v>45.796000000000006</v>
      </c>
      <c r="O201" s="618">
        <v>56.6</v>
      </c>
      <c r="P201" s="640">
        <f t="shared" ref="P201" si="29">+O201*1.06</f>
        <v>59.996000000000002</v>
      </c>
      <c r="Q201" s="466">
        <f t="shared" si="27"/>
        <v>63.595759999999999</v>
      </c>
    </row>
    <row r="202" spans="1:17" x14ac:dyDescent="0.25">
      <c r="A202" s="503"/>
      <c r="B202" s="447" t="s">
        <v>902</v>
      </c>
      <c r="C202" s="447" t="s">
        <v>897</v>
      </c>
      <c r="D202" s="447"/>
      <c r="E202" s="467"/>
      <c r="F202" s="468"/>
      <c r="G202" s="467"/>
      <c r="H202" s="468"/>
      <c r="I202" s="467"/>
      <c r="J202" s="467"/>
      <c r="K202" s="467"/>
      <c r="L202" s="515">
        <v>45</v>
      </c>
      <c r="M202" s="466">
        <f t="shared" si="28"/>
        <v>48.150000000000006</v>
      </c>
      <c r="N202" s="466">
        <f>+M202*1.07-0.02</f>
        <v>51.500500000000009</v>
      </c>
      <c r="O202" s="618">
        <v>63.6</v>
      </c>
      <c r="P202" s="640">
        <v>67</v>
      </c>
      <c r="Q202" s="466">
        <f t="shared" si="27"/>
        <v>71.02</v>
      </c>
    </row>
    <row r="203" spans="1:17" x14ac:dyDescent="0.25">
      <c r="A203" s="503"/>
      <c r="B203" s="447" t="s">
        <v>903</v>
      </c>
      <c r="C203" s="447" t="s">
        <v>897</v>
      </c>
      <c r="D203" s="447"/>
      <c r="E203" s="467"/>
      <c r="F203" s="468"/>
      <c r="G203" s="467"/>
      <c r="H203" s="468"/>
      <c r="I203" s="467"/>
      <c r="J203" s="467"/>
      <c r="K203" s="467"/>
      <c r="L203" s="515">
        <v>90</v>
      </c>
      <c r="M203" s="466">
        <f t="shared" si="28"/>
        <v>96.300000000000011</v>
      </c>
      <c r="N203" s="466">
        <f>+M203*1.07-0.04</f>
        <v>103.00100000000002</v>
      </c>
      <c r="O203" s="618">
        <v>127.3</v>
      </c>
      <c r="P203" s="640">
        <v>135</v>
      </c>
      <c r="Q203" s="466">
        <f t="shared" si="27"/>
        <v>143.1</v>
      </c>
    </row>
    <row r="204" spans="1:17" x14ac:dyDescent="0.25">
      <c r="A204" s="503"/>
      <c r="B204" s="447" t="s">
        <v>904</v>
      </c>
      <c r="C204" s="447" t="s">
        <v>897</v>
      </c>
      <c r="D204" s="447"/>
      <c r="E204" s="467"/>
      <c r="F204" s="468"/>
      <c r="G204" s="467"/>
      <c r="H204" s="468"/>
      <c r="I204" s="467"/>
      <c r="J204" s="467"/>
      <c r="K204" s="467"/>
      <c r="L204" s="515">
        <v>280</v>
      </c>
      <c r="M204" s="466">
        <f t="shared" si="28"/>
        <v>299.60000000000002</v>
      </c>
      <c r="N204" s="466">
        <f>+M204*1.07-0.07</f>
        <v>320.50200000000007</v>
      </c>
      <c r="O204" s="618">
        <v>396.1</v>
      </c>
      <c r="P204" s="640">
        <v>420</v>
      </c>
      <c r="Q204" s="466">
        <f t="shared" si="27"/>
        <v>445.2</v>
      </c>
    </row>
    <row r="205" spans="1:17" x14ac:dyDescent="0.25">
      <c r="A205" s="503"/>
      <c r="B205" s="447" t="s">
        <v>905</v>
      </c>
      <c r="C205" s="447" t="s">
        <v>897</v>
      </c>
      <c r="D205" s="447"/>
      <c r="E205" s="467"/>
      <c r="F205" s="468"/>
      <c r="G205" s="467"/>
      <c r="H205" s="468"/>
      <c r="I205" s="467"/>
      <c r="J205" s="467"/>
      <c r="K205" s="467"/>
      <c r="L205" s="515">
        <v>131</v>
      </c>
      <c r="M205" s="466">
        <f>+L205*1.07</f>
        <v>140.17000000000002</v>
      </c>
      <c r="N205" s="466">
        <f>+M205*1.07+0.02</f>
        <v>150.00190000000003</v>
      </c>
      <c r="O205" s="618">
        <v>185.4</v>
      </c>
      <c r="P205" s="640">
        <v>195</v>
      </c>
      <c r="Q205" s="466">
        <f t="shared" si="27"/>
        <v>206.7</v>
      </c>
    </row>
    <row r="206" spans="1:17" x14ac:dyDescent="0.25">
      <c r="A206" s="503"/>
      <c r="B206" s="447" t="s">
        <v>906</v>
      </c>
      <c r="C206" s="447"/>
      <c r="D206" s="447"/>
      <c r="E206" s="467"/>
      <c r="F206" s="468"/>
      <c r="G206" s="467"/>
      <c r="H206" s="468"/>
      <c r="I206" s="467"/>
      <c r="J206" s="467"/>
      <c r="K206" s="467"/>
      <c r="L206" s="515"/>
      <c r="M206" s="466"/>
      <c r="N206" s="466"/>
      <c r="O206" s="618">
        <v>500</v>
      </c>
      <c r="P206" s="640">
        <v>535</v>
      </c>
      <c r="Q206" s="466">
        <f t="shared" si="27"/>
        <v>567.1</v>
      </c>
    </row>
    <row r="207" spans="1:17" x14ac:dyDescent="0.25">
      <c r="A207" s="503"/>
      <c r="B207" s="447" t="s">
        <v>907</v>
      </c>
      <c r="C207" s="447"/>
      <c r="D207" s="447"/>
      <c r="E207" s="467"/>
      <c r="F207" s="468"/>
      <c r="G207" s="467"/>
      <c r="H207" s="468"/>
      <c r="I207" s="467"/>
      <c r="J207" s="467"/>
      <c r="K207" s="467"/>
      <c r="L207" s="515"/>
      <c r="M207" s="466"/>
      <c r="N207" s="466"/>
      <c r="O207" s="618">
        <v>300</v>
      </c>
      <c r="P207" s="640">
        <v>320</v>
      </c>
      <c r="Q207" s="466">
        <f t="shared" si="27"/>
        <v>339.2</v>
      </c>
    </row>
    <row r="208" spans="1:17" x14ac:dyDescent="0.25">
      <c r="A208" s="503"/>
      <c r="B208" s="447" t="s">
        <v>908</v>
      </c>
      <c r="C208" s="447"/>
      <c r="D208" s="447"/>
      <c r="E208" s="467"/>
      <c r="F208" s="468"/>
      <c r="G208" s="467"/>
      <c r="H208" s="468"/>
      <c r="I208" s="467"/>
      <c r="J208" s="467"/>
      <c r="K208" s="467"/>
      <c r="L208" s="515"/>
      <c r="M208" s="466"/>
      <c r="N208" s="466"/>
      <c r="O208" s="618">
        <v>350</v>
      </c>
      <c r="P208" s="640">
        <v>350</v>
      </c>
      <c r="Q208" s="466">
        <f t="shared" si="27"/>
        <v>371</v>
      </c>
    </row>
    <row r="209" spans="1:17" x14ac:dyDescent="0.25">
      <c r="A209" s="503"/>
      <c r="B209" s="447"/>
      <c r="C209" s="447"/>
      <c r="D209" s="447"/>
      <c r="E209" s="467"/>
      <c r="F209" s="468"/>
      <c r="G209" s="467"/>
      <c r="H209" s="468"/>
      <c r="I209" s="467"/>
      <c r="J209" s="467"/>
      <c r="K209" s="467"/>
      <c r="L209" s="515"/>
      <c r="M209" s="466"/>
      <c r="N209" s="466"/>
      <c r="O209" s="618"/>
      <c r="P209" s="640"/>
      <c r="Q209" s="466">
        <f t="shared" si="27"/>
        <v>0</v>
      </c>
    </row>
    <row r="210" spans="1:17" x14ac:dyDescent="0.25">
      <c r="A210" s="503">
        <v>16</v>
      </c>
      <c r="B210" s="580" t="s">
        <v>909</v>
      </c>
      <c r="C210" s="482"/>
      <c r="D210" s="447"/>
      <c r="E210" s="467"/>
      <c r="F210" s="468"/>
      <c r="G210" s="467"/>
      <c r="H210" s="468"/>
      <c r="I210" s="467"/>
      <c r="J210" s="467"/>
      <c r="K210" s="467"/>
      <c r="L210" s="515"/>
      <c r="M210" s="457"/>
      <c r="N210" s="457"/>
      <c r="O210" s="626"/>
      <c r="P210" s="649"/>
      <c r="Q210" s="457">
        <f t="shared" si="27"/>
        <v>0</v>
      </c>
    </row>
    <row r="211" spans="1:17" x14ac:dyDescent="0.25">
      <c r="A211" s="503"/>
      <c r="B211" s="447"/>
      <c r="C211" s="447"/>
      <c r="D211" s="447"/>
      <c r="E211" s="467"/>
      <c r="F211" s="468"/>
      <c r="G211" s="467"/>
      <c r="H211" s="468"/>
      <c r="I211" s="467"/>
      <c r="J211" s="467"/>
      <c r="K211" s="467"/>
      <c r="L211" s="515"/>
      <c r="M211" s="466"/>
      <c r="N211" s="466"/>
      <c r="O211" s="618"/>
      <c r="P211" s="640"/>
      <c r="Q211" s="466">
        <f t="shared" si="27"/>
        <v>0</v>
      </c>
    </row>
    <row r="212" spans="1:17" x14ac:dyDescent="0.25">
      <c r="A212" s="503"/>
      <c r="B212" s="447" t="s">
        <v>910</v>
      </c>
      <c r="C212" s="447"/>
      <c r="D212" s="447"/>
      <c r="E212" s="467"/>
      <c r="F212" s="468"/>
      <c r="G212" s="467"/>
      <c r="H212" s="468"/>
      <c r="I212" s="467"/>
      <c r="J212" s="467"/>
      <c r="K212" s="467"/>
      <c r="L212" s="515">
        <v>40</v>
      </c>
      <c r="M212" s="466">
        <f t="shared" ref="M212:N215" si="30">+L212*1.07</f>
        <v>42.800000000000004</v>
      </c>
      <c r="N212" s="466">
        <f t="shared" si="30"/>
        <v>45.796000000000006</v>
      </c>
      <c r="O212" s="618">
        <f>+N212*1.06</f>
        <v>48.543760000000006</v>
      </c>
      <c r="P212" s="640">
        <v>52</v>
      </c>
      <c r="Q212" s="466">
        <f t="shared" si="27"/>
        <v>55.12</v>
      </c>
    </row>
    <row r="213" spans="1:17" x14ac:dyDescent="0.25">
      <c r="A213" s="503"/>
      <c r="B213" s="447" t="s">
        <v>911</v>
      </c>
      <c r="C213" s="447"/>
      <c r="D213" s="447"/>
      <c r="E213" s="467"/>
      <c r="F213" s="468"/>
      <c r="G213" s="467"/>
      <c r="H213" s="468"/>
      <c r="I213" s="467"/>
      <c r="J213" s="467"/>
      <c r="K213" s="467"/>
      <c r="L213" s="515">
        <v>30</v>
      </c>
      <c r="M213" s="466">
        <f t="shared" si="30"/>
        <v>32.1</v>
      </c>
      <c r="N213" s="466">
        <f>+M213*1.07-0.05</f>
        <v>34.297000000000004</v>
      </c>
      <c r="O213" s="618">
        <f t="shared" ref="O213:O215" si="31">+N213*1.06</f>
        <v>36.354820000000004</v>
      </c>
      <c r="P213" s="640">
        <v>39</v>
      </c>
      <c r="Q213" s="466">
        <f t="shared" si="27"/>
        <v>41.34</v>
      </c>
    </row>
    <row r="214" spans="1:17" x14ac:dyDescent="0.25">
      <c r="A214" s="503"/>
      <c r="B214" s="447" t="s">
        <v>912</v>
      </c>
      <c r="C214" s="447"/>
      <c r="D214" s="447"/>
      <c r="E214" s="467"/>
      <c r="F214" s="468"/>
      <c r="G214" s="467"/>
      <c r="H214" s="468"/>
      <c r="I214" s="467"/>
      <c r="J214" s="467"/>
      <c r="K214" s="467"/>
      <c r="L214" s="515">
        <v>30</v>
      </c>
      <c r="M214" s="466">
        <f t="shared" si="30"/>
        <v>32.1</v>
      </c>
      <c r="N214" s="466">
        <f>+M214*1.07-0.05</f>
        <v>34.297000000000004</v>
      </c>
      <c r="O214" s="618">
        <f t="shared" si="31"/>
        <v>36.354820000000004</v>
      </c>
      <c r="P214" s="640">
        <v>39</v>
      </c>
      <c r="Q214" s="466">
        <f t="shared" si="27"/>
        <v>41.34</v>
      </c>
    </row>
    <row r="215" spans="1:17" x14ac:dyDescent="0.25">
      <c r="A215" s="503"/>
      <c r="B215" s="447" t="s">
        <v>913</v>
      </c>
      <c r="C215" s="447"/>
      <c r="D215" s="447"/>
      <c r="E215" s="467"/>
      <c r="F215" s="468"/>
      <c r="G215" s="467"/>
      <c r="H215" s="468"/>
      <c r="I215" s="467"/>
      <c r="J215" s="467"/>
      <c r="K215" s="467"/>
      <c r="L215" s="515">
        <v>60</v>
      </c>
      <c r="M215" s="466">
        <f t="shared" si="30"/>
        <v>64.2</v>
      </c>
      <c r="N215" s="466">
        <f>+M215*1.07-0.09</f>
        <v>68.603999999999999</v>
      </c>
      <c r="O215" s="618">
        <f t="shared" si="31"/>
        <v>72.720240000000004</v>
      </c>
      <c r="P215" s="640">
        <v>77</v>
      </c>
      <c r="Q215" s="466">
        <f t="shared" si="27"/>
        <v>81.62</v>
      </c>
    </row>
    <row r="216" spans="1:17" x14ac:dyDescent="0.25">
      <c r="A216" s="503"/>
      <c r="B216" s="482"/>
      <c r="C216" s="447"/>
      <c r="D216" s="447"/>
      <c r="E216" s="467"/>
      <c r="F216" s="468"/>
      <c r="G216" s="467"/>
      <c r="H216" s="468"/>
      <c r="I216" s="467"/>
      <c r="J216" s="467"/>
      <c r="K216" s="467"/>
      <c r="L216" s="513"/>
      <c r="M216" s="454"/>
      <c r="N216" s="454"/>
      <c r="O216" s="615"/>
      <c r="P216" s="637"/>
      <c r="Q216" s="454">
        <f t="shared" si="27"/>
        <v>0</v>
      </c>
    </row>
    <row r="217" spans="1:17" x14ac:dyDescent="0.25">
      <c r="A217" s="578"/>
      <c r="B217" s="447" t="s">
        <v>914</v>
      </c>
      <c r="C217" s="447"/>
      <c r="D217" s="447"/>
      <c r="E217" s="467" t="s">
        <v>915</v>
      </c>
      <c r="F217" s="468"/>
      <c r="G217" s="467" t="s">
        <v>915</v>
      </c>
      <c r="H217" s="468"/>
      <c r="I217" s="467" t="s">
        <v>915</v>
      </c>
      <c r="J217" s="467" t="s">
        <v>915</v>
      </c>
      <c r="K217" s="467" t="s">
        <v>915</v>
      </c>
      <c r="L217" s="513" t="s">
        <v>915</v>
      </c>
      <c r="M217" s="454" t="s">
        <v>915</v>
      </c>
      <c r="N217" s="454" t="s">
        <v>915</v>
      </c>
      <c r="O217" s="615" t="s">
        <v>915</v>
      </c>
      <c r="P217" s="637" t="s">
        <v>915</v>
      </c>
      <c r="Q217" s="454" t="s">
        <v>915</v>
      </c>
    </row>
    <row r="218" spans="1:17" x14ac:dyDescent="0.25">
      <c r="A218" s="578"/>
      <c r="B218" s="447"/>
      <c r="C218" s="447"/>
      <c r="D218" s="447"/>
      <c r="E218" s="468" t="s">
        <v>220</v>
      </c>
      <c r="F218" s="468"/>
      <c r="G218" s="468" t="s">
        <v>220</v>
      </c>
      <c r="H218" s="468"/>
      <c r="I218" s="468" t="s">
        <v>220</v>
      </c>
      <c r="J218" s="468" t="s">
        <v>220</v>
      </c>
      <c r="K218" s="468" t="s">
        <v>220</v>
      </c>
      <c r="L218" s="514" t="s">
        <v>220</v>
      </c>
      <c r="M218" s="455" t="s">
        <v>220</v>
      </c>
      <c r="N218" s="455" t="s">
        <v>220</v>
      </c>
      <c r="O218" s="617" t="s">
        <v>220</v>
      </c>
      <c r="P218" s="639" t="s">
        <v>220</v>
      </c>
      <c r="Q218" s="455" t="s">
        <v>220</v>
      </c>
    </row>
    <row r="219" spans="1:17" x14ac:dyDescent="0.25">
      <c r="A219" s="578"/>
      <c r="B219" s="447"/>
      <c r="C219" s="447"/>
      <c r="D219" s="447"/>
      <c r="E219" s="467" t="s">
        <v>831</v>
      </c>
      <c r="F219" s="468"/>
      <c r="G219" s="467" t="s">
        <v>831</v>
      </c>
      <c r="H219" s="468"/>
      <c r="I219" s="467">
        <f>G219*1.07</f>
        <v>321</v>
      </c>
      <c r="J219" s="467">
        <v>340</v>
      </c>
      <c r="K219" s="467">
        <v>340</v>
      </c>
      <c r="L219" s="524">
        <v>340</v>
      </c>
      <c r="M219" s="458">
        <v>340</v>
      </c>
      <c r="N219" s="458">
        <v>340</v>
      </c>
      <c r="O219" s="631">
        <v>340</v>
      </c>
      <c r="P219" s="654">
        <v>363</v>
      </c>
      <c r="Q219" s="579">
        <f t="shared" si="27"/>
        <v>384.78</v>
      </c>
    </row>
    <row r="220" spans="1:17" x14ac:dyDescent="0.25">
      <c r="A220" s="578"/>
      <c r="B220" s="447"/>
      <c r="C220" s="447"/>
      <c r="D220" s="447"/>
      <c r="E220" s="468" t="s">
        <v>916</v>
      </c>
      <c r="F220" s="468"/>
      <c r="G220" s="468" t="s">
        <v>916</v>
      </c>
      <c r="H220" s="468"/>
      <c r="I220" s="468" t="s">
        <v>916</v>
      </c>
      <c r="J220" s="468" t="s">
        <v>916</v>
      </c>
      <c r="K220" s="468" t="s">
        <v>916</v>
      </c>
      <c r="L220" s="525" t="s">
        <v>916</v>
      </c>
      <c r="M220" s="459" t="s">
        <v>916</v>
      </c>
      <c r="N220" s="459" t="s">
        <v>916</v>
      </c>
      <c r="O220" s="632" t="s">
        <v>916</v>
      </c>
      <c r="P220" s="655" t="s">
        <v>916</v>
      </c>
      <c r="Q220" s="459" t="s">
        <v>916</v>
      </c>
    </row>
    <row r="221" spans="1:17" x14ac:dyDescent="0.25">
      <c r="A221" s="578"/>
      <c r="B221" s="447"/>
      <c r="C221" s="447"/>
      <c r="D221" s="447"/>
      <c r="E221" s="467" t="s">
        <v>818</v>
      </c>
      <c r="F221" s="468"/>
      <c r="G221" s="467" t="s">
        <v>818</v>
      </c>
      <c r="H221" s="468"/>
      <c r="I221" s="467">
        <f>G221*1.07</f>
        <v>428</v>
      </c>
      <c r="J221" s="467">
        <v>454</v>
      </c>
      <c r="K221" s="467">
        <v>454</v>
      </c>
      <c r="L221" s="524">
        <v>454</v>
      </c>
      <c r="M221" s="458">
        <v>454</v>
      </c>
      <c r="N221" s="458">
        <v>454</v>
      </c>
      <c r="O221" s="631">
        <v>454</v>
      </c>
      <c r="P221" s="654">
        <v>485</v>
      </c>
      <c r="Q221" s="579">
        <f t="shared" si="27"/>
        <v>514.1</v>
      </c>
    </row>
    <row r="222" spans="1:17" x14ac:dyDescent="0.25">
      <c r="A222" s="578"/>
      <c r="B222" s="447" t="s">
        <v>917</v>
      </c>
      <c r="C222" s="447"/>
      <c r="D222" s="447"/>
      <c r="E222" s="467" t="s">
        <v>918</v>
      </c>
      <c r="F222" s="468"/>
      <c r="G222" s="467" t="s">
        <v>918</v>
      </c>
      <c r="H222" s="468"/>
      <c r="I222" s="467" t="s">
        <v>918</v>
      </c>
      <c r="J222" s="467" t="s">
        <v>918</v>
      </c>
      <c r="K222" s="467" t="s">
        <v>919</v>
      </c>
      <c r="L222" s="513" t="s">
        <v>919</v>
      </c>
      <c r="M222" s="454" t="s">
        <v>920</v>
      </c>
      <c r="N222" s="454" t="s">
        <v>920</v>
      </c>
      <c r="O222" s="615" t="s">
        <v>920</v>
      </c>
      <c r="P222" s="637" t="s">
        <v>920</v>
      </c>
      <c r="Q222" s="454" t="s">
        <v>920</v>
      </c>
    </row>
    <row r="223" spans="1:17" x14ac:dyDescent="0.25">
      <c r="A223" s="578"/>
      <c r="B223" s="447"/>
      <c r="C223" s="447"/>
      <c r="D223" s="447"/>
      <c r="E223" s="467"/>
      <c r="F223" s="468"/>
      <c r="G223" s="467"/>
      <c r="H223" s="468"/>
      <c r="I223" s="467"/>
      <c r="J223" s="467"/>
      <c r="K223" s="469"/>
      <c r="L223" s="521"/>
      <c r="M223" s="457"/>
      <c r="N223" s="457"/>
      <c r="O223" s="626"/>
      <c r="P223" s="649"/>
      <c r="Q223" s="457">
        <f t="shared" si="27"/>
        <v>0</v>
      </c>
    </row>
    <row r="224" spans="1:17" x14ac:dyDescent="0.25">
      <c r="A224" s="578"/>
      <c r="B224" s="447" t="s">
        <v>921</v>
      </c>
      <c r="C224" s="447"/>
      <c r="D224" s="447"/>
      <c r="E224" s="467" t="s">
        <v>212</v>
      </c>
      <c r="F224" s="468"/>
      <c r="G224" s="467" t="s">
        <v>212</v>
      </c>
      <c r="H224" s="468"/>
      <c r="I224" s="467">
        <f>G224*1.07</f>
        <v>32.1</v>
      </c>
      <c r="J224" s="461">
        <v>34</v>
      </c>
      <c r="K224" s="461">
        <f>(34*1.065)+0.29</f>
        <v>36.5</v>
      </c>
      <c r="L224" s="515">
        <f>(34*1.083)</f>
        <v>36.821999999999996</v>
      </c>
      <c r="M224" s="466">
        <f>+L224*1.07</f>
        <v>39.399539999999995</v>
      </c>
      <c r="N224" s="466">
        <f>+M224*1.07-0.06</f>
        <v>42.097507799999995</v>
      </c>
      <c r="O224" s="618">
        <f>+N224*1.06</f>
        <v>44.623358267999997</v>
      </c>
      <c r="P224" s="640">
        <v>47</v>
      </c>
      <c r="Q224" s="466">
        <f t="shared" si="27"/>
        <v>49.82</v>
      </c>
    </row>
    <row r="225" spans="1:17" x14ac:dyDescent="0.25">
      <c r="A225" s="578"/>
      <c r="B225" s="447" t="s">
        <v>922</v>
      </c>
      <c r="C225" s="447"/>
      <c r="D225" s="447"/>
      <c r="E225" s="467"/>
      <c r="F225" s="468"/>
      <c r="G225" s="467"/>
      <c r="H225" s="468"/>
      <c r="I225" s="467"/>
      <c r="J225" s="467"/>
      <c r="K225" s="467"/>
      <c r="L225" s="513"/>
      <c r="M225" s="454"/>
      <c r="N225" s="454"/>
      <c r="O225" s="615"/>
      <c r="P225" s="637"/>
      <c r="Q225" s="454">
        <f t="shared" si="27"/>
        <v>0</v>
      </c>
    </row>
    <row r="226" spans="1:17" x14ac:dyDescent="0.25">
      <c r="A226" s="578"/>
      <c r="B226" s="447"/>
      <c r="C226" s="447"/>
      <c r="D226" s="447"/>
      <c r="E226" s="467"/>
      <c r="F226" s="468"/>
      <c r="G226" s="467"/>
      <c r="H226" s="468"/>
      <c r="I226" s="467"/>
      <c r="J226" s="467"/>
      <c r="K226" s="467"/>
      <c r="L226" s="513"/>
      <c r="M226" s="454"/>
      <c r="N226" s="454"/>
      <c r="O226" s="615"/>
      <c r="P226" s="637"/>
      <c r="Q226" s="454">
        <f t="shared" si="27"/>
        <v>0</v>
      </c>
    </row>
    <row r="227" spans="1:17" x14ac:dyDescent="0.25">
      <c r="A227" s="578"/>
      <c r="B227" s="447" t="s">
        <v>923</v>
      </c>
      <c r="C227" s="447"/>
      <c r="D227" s="447"/>
      <c r="E227" s="467" t="s">
        <v>831</v>
      </c>
      <c r="F227" s="468"/>
      <c r="G227" s="467" t="s">
        <v>831</v>
      </c>
      <c r="H227" s="468"/>
      <c r="I227" s="467">
        <f>G227*1.07</f>
        <v>321</v>
      </c>
      <c r="J227" s="467">
        <v>340</v>
      </c>
      <c r="K227" s="467">
        <v>363</v>
      </c>
      <c r="L227" s="524">
        <v>393</v>
      </c>
      <c r="M227" s="458">
        <f>+L227*1.07</f>
        <v>420.51000000000005</v>
      </c>
      <c r="N227" s="458">
        <f>+M227*1.07</f>
        <v>449.9457000000001</v>
      </c>
      <c r="O227" s="631">
        <v>476</v>
      </c>
      <c r="P227" s="654">
        <v>506</v>
      </c>
      <c r="Q227" s="579">
        <f t="shared" si="27"/>
        <v>536.36</v>
      </c>
    </row>
    <row r="228" spans="1:17" x14ac:dyDescent="0.25">
      <c r="A228" s="578"/>
      <c r="B228" s="447" t="s">
        <v>924</v>
      </c>
      <c r="C228" s="447"/>
      <c r="D228" s="447"/>
      <c r="E228" s="467" t="s">
        <v>829</v>
      </c>
      <c r="F228" s="468"/>
      <c r="G228" s="467" t="s">
        <v>829</v>
      </c>
      <c r="H228" s="468"/>
      <c r="I228" s="467">
        <f>G228*1.07</f>
        <v>214</v>
      </c>
      <c r="J228" s="467">
        <v>227</v>
      </c>
      <c r="K228" s="467">
        <v>242</v>
      </c>
      <c r="L228" s="524">
        <v>262</v>
      </c>
      <c r="M228" s="458">
        <f>+L228*1.07</f>
        <v>280.34000000000003</v>
      </c>
      <c r="N228" s="458">
        <f>+M228*1.07</f>
        <v>299.96380000000005</v>
      </c>
      <c r="O228" s="631">
        <v>318</v>
      </c>
      <c r="P228" s="654">
        <v>337</v>
      </c>
      <c r="Q228" s="579">
        <f t="shared" si="27"/>
        <v>357.22</v>
      </c>
    </row>
    <row r="229" spans="1:17" x14ac:dyDescent="0.25">
      <c r="A229" s="578"/>
      <c r="B229" s="447" t="s">
        <v>925</v>
      </c>
      <c r="C229" s="447"/>
      <c r="D229" s="447"/>
      <c r="E229" s="467"/>
      <c r="F229" s="468"/>
      <c r="G229" s="467"/>
      <c r="H229" s="468"/>
      <c r="I229" s="467"/>
      <c r="J229" s="468" t="s">
        <v>926</v>
      </c>
      <c r="K229" s="468" t="s">
        <v>926</v>
      </c>
      <c r="L229" s="514" t="s">
        <v>926</v>
      </c>
      <c r="M229" s="455" t="s">
        <v>926</v>
      </c>
      <c r="N229" s="455" t="s">
        <v>926</v>
      </c>
      <c r="O229" s="617" t="s">
        <v>926</v>
      </c>
      <c r="P229" s="639" t="s">
        <v>926</v>
      </c>
      <c r="Q229" s="455" t="s">
        <v>926</v>
      </c>
    </row>
    <row r="230" spans="1:17" x14ac:dyDescent="0.25">
      <c r="A230" s="578"/>
      <c r="B230" s="447" t="s">
        <v>927</v>
      </c>
      <c r="C230" s="447"/>
      <c r="D230" s="447"/>
      <c r="E230" s="467"/>
      <c r="F230" s="468"/>
      <c r="G230" s="467"/>
      <c r="H230" s="468"/>
      <c r="I230" s="467"/>
      <c r="J230" s="468" t="s">
        <v>928</v>
      </c>
      <c r="K230" s="468" t="s">
        <v>928</v>
      </c>
      <c r="L230" s="514" t="s">
        <v>928</v>
      </c>
      <c r="M230" s="455" t="s">
        <v>928</v>
      </c>
      <c r="N230" s="455" t="s">
        <v>928</v>
      </c>
      <c r="O230" s="617" t="s">
        <v>928</v>
      </c>
      <c r="P230" s="639" t="s">
        <v>928</v>
      </c>
      <c r="Q230" s="455" t="s">
        <v>928</v>
      </c>
    </row>
    <row r="231" spans="1:17" x14ac:dyDescent="0.25">
      <c r="A231" s="578"/>
      <c r="B231" s="447"/>
      <c r="C231" s="447"/>
      <c r="D231" s="447"/>
      <c r="E231" s="467"/>
      <c r="F231" s="468"/>
      <c r="G231" s="467"/>
      <c r="H231" s="468"/>
      <c r="I231" s="467"/>
      <c r="J231" s="468" t="s">
        <v>929</v>
      </c>
      <c r="K231" s="468" t="s">
        <v>929</v>
      </c>
      <c r="L231" s="514" t="s">
        <v>929</v>
      </c>
      <c r="M231" s="455" t="s">
        <v>929</v>
      </c>
      <c r="N231" s="455" t="s">
        <v>929</v>
      </c>
      <c r="O231" s="617" t="s">
        <v>929</v>
      </c>
      <c r="P231" s="639" t="s">
        <v>930</v>
      </c>
      <c r="Q231" s="609" t="e">
        <f>(P231*0.06)+P231</f>
        <v>#VALUE!</v>
      </c>
    </row>
    <row r="232" spans="1:17" x14ac:dyDescent="0.25">
      <c r="A232" s="578"/>
      <c r="B232" s="447"/>
      <c r="C232" s="447"/>
      <c r="D232" s="447"/>
      <c r="E232" s="467"/>
      <c r="F232" s="468"/>
      <c r="G232" s="467"/>
      <c r="H232" s="468"/>
      <c r="I232" s="467"/>
      <c r="J232" s="468" t="s">
        <v>931</v>
      </c>
      <c r="K232" s="468" t="s">
        <v>931</v>
      </c>
      <c r="L232" s="514" t="s">
        <v>931</v>
      </c>
      <c r="M232" s="455" t="s">
        <v>931</v>
      </c>
      <c r="N232" s="455" t="s">
        <v>931</v>
      </c>
      <c r="O232" s="617" t="s">
        <v>931</v>
      </c>
      <c r="P232" s="639" t="s">
        <v>931</v>
      </c>
      <c r="Q232" s="455" t="s">
        <v>931</v>
      </c>
    </row>
    <row r="233" spans="1:17" x14ac:dyDescent="0.25">
      <c r="A233" s="578"/>
      <c r="B233" s="447"/>
      <c r="C233" s="447"/>
      <c r="D233" s="447"/>
      <c r="E233" s="467"/>
      <c r="F233" s="468"/>
      <c r="G233" s="467"/>
      <c r="H233" s="468"/>
      <c r="I233" s="467"/>
      <c r="J233" s="468" t="s">
        <v>932</v>
      </c>
      <c r="K233" s="468" t="s">
        <v>932</v>
      </c>
      <c r="L233" s="514" t="s">
        <v>932</v>
      </c>
      <c r="M233" s="455" t="s">
        <v>932</v>
      </c>
      <c r="N233" s="455" t="s">
        <v>932</v>
      </c>
      <c r="O233" s="617" t="s">
        <v>932</v>
      </c>
      <c r="P233" s="639" t="s">
        <v>933</v>
      </c>
      <c r="Q233" s="609" t="e">
        <f>(P233*0.06)+P233</f>
        <v>#VALUE!</v>
      </c>
    </row>
    <row r="234" spans="1:17" x14ac:dyDescent="0.25">
      <c r="A234" s="578"/>
      <c r="B234" s="447"/>
      <c r="C234" s="447"/>
      <c r="D234" s="447"/>
      <c r="E234" s="467"/>
      <c r="F234" s="468"/>
      <c r="G234" s="467"/>
      <c r="H234" s="468"/>
      <c r="I234" s="467"/>
      <c r="J234" s="468" t="s">
        <v>934</v>
      </c>
      <c r="K234" s="468" t="s">
        <v>934</v>
      </c>
      <c r="L234" s="514" t="s">
        <v>934</v>
      </c>
      <c r="M234" s="455" t="s">
        <v>934</v>
      </c>
      <c r="N234" s="455" t="s">
        <v>934</v>
      </c>
      <c r="O234" s="617" t="s">
        <v>934</v>
      </c>
      <c r="P234" s="639" t="s">
        <v>934</v>
      </c>
      <c r="Q234" s="455" t="s">
        <v>934</v>
      </c>
    </row>
    <row r="235" spans="1:17" ht="13.8" thickBot="1" x14ac:dyDescent="0.3">
      <c r="A235" s="578"/>
      <c r="B235" s="447"/>
      <c r="C235" s="447"/>
      <c r="D235" s="447"/>
      <c r="E235" s="467"/>
      <c r="F235" s="468"/>
      <c r="G235" s="467"/>
      <c r="H235" s="468"/>
      <c r="I235" s="467"/>
      <c r="J235" s="468" t="s">
        <v>935</v>
      </c>
      <c r="K235" s="468" t="s">
        <v>935</v>
      </c>
      <c r="L235" s="519" t="s">
        <v>935</v>
      </c>
      <c r="M235" s="502" t="s">
        <v>935</v>
      </c>
      <c r="N235" s="502" t="s">
        <v>935</v>
      </c>
      <c r="O235" s="622" t="s">
        <v>935</v>
      </c>
      <c r="P235" s="644" t="s">
        <v>936</v>
      </c>
      <c r="Q235" s="610" t="e">
        <f>(P235*0.06)+P235</f>
        <v>#VALUE!</v>
      </c>
    </row>
    <row r="236" spans="1:17" x14ac:dyDescent="0.25">
      <c r="A236" s="731" t="s">
        <v>937</v>
      </c>
      <c r="B236" s="732"/>
      <c r="C236" s="732"/>
      <c r="D236" s="732"/>
      <c r="E236" s="732"/>
      <c r="F236" s="732"/>
      <c r="G236" s="732"/>
      <c r="H236" s="732"/>
      <c r="I236" s="732"/>
      <c r="J236" s="732"/>
      <c r="K236" s="732"/>
      <c r="L236" s="732"/>
      <c r="M236" s="732"/>
      <c r="N236" s="733"/>
      <c r="O236" s="441"/>
      <c r="P236" s="441"/>
      <c r="Q236" s="433"/>
    </row>
    <row r="237" spans="1:17" x14ac:dyDescent="0.25">
      <c r="A237" s="734" t="s">
        <v>949</v>
      </c>
      <c r="B237" s="735"/>
      <c r="C237" s="735"/>
      <c r="D237" s="735"/>
      <c r="E237" s="735"/>
      <c r="F237" s="735"/>
      <c r="G237" s="735"/>
      <c r="H237" s="735"/>
      <c r="I237" s="735"/>
      <c r="J237" s="735"/>
      <c r="K237" s="735"/>
      <c r="L237" s="735"/>
      <c r="M237" s="735"/>
      <c r="N237" s="736"/>
      <c r="O237" s="441"/>
      <c r="P237" s="441"/>
      <c r="Q237" s="433"/>
    </row>
  </sheetData>
  <mergeCells count="3">
    <mergeCell ref="A1:I1"/>
    <mergeCell ref="A236:N236"/>
    <mergeCell ref="A237:N2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8</vt:i4>
      </vt:variant>
    </vt:vector>
  </HeadingPairs>
  <TitlesOfParts>
    <vt:vector size="41" baseType="lpstr">
      <vt:lpstr>Coverpage</vt:lpstr>
      <vt:lpstr> HIGH LEVEL BUDGET  SUMMARY</vt:lpstr>
      <vt:lpstr>INCEXP</vt:lpstr>
      <vt:lpstr>EXP ALLOCATION</vt:lpstr>
      <vt:lpstr>GRAPHS</vt:lpstr>
      <vt:lpstr>INPUT</vt:lpstr>
      <vt:lpstr>SUMMARY</vt:lpstr>
      <vt:lpstr>COVER PAGE</vt:lpstr>
      <vt:lpstr>SUMMARY2</vt:lpstr>
      <vt:lpstr>COUNCIL</vt:lpstr>
      <vt:lpstr>MAYOR</vt:lpstr>
      <vt:lpstr>SPEAKER</vt:lpstr>
      <vt:lpstr>MM</vt:lpstr>
      <vt:lpstr>CORP</vt:lpstr>
      <vt:lpstr>PROP</vt:lpstr>
      <vt:lpstr>RATES</vt:lpstr>
      <vt:lpstr>THALL</vt:lpstr>
      <vt:lpstr>FIN</vt:lpstr>
      <vt:lpstr>SOCIAL</vt:lpstr>
      <vt:lpstr>CEMETERY</vt:lpstr>
      <vt:lpstr>LIBRARIES</vt:lpstr>
      <vt:lpstr>HOUSING</vt:lpstr>
      <vt:lpstr>TRAFFIC</vt:lpstr>
      <vt:lpstr>PARKS</vt:lpstr>
      <vt:lpstr>REFUSE</vt:lpstr>
      <vt:lpstr>SEWAGE</vt:lpstr>
      <vt:lpstr>PWORKS</vt:lpstr>
      <vt:lpstr>WATER</vt:lpstr>
      <vt:lpstr>ELECTRIC</vt:lpstr>
      <vt:lpstr>Sheet2</vt:lpstr>
      <vt:lpstr>Sheet1</vt:lpstr>
      <vt:lpstr>CAPITAL</vt:lpstr>
      <vt:lpstr>TARIFFS</vt:lpstr>
      <vt:lpstr>' HIGH LEVEL BUDGET  SUMMARY'!Print_Area</vt:lpstr>
      <vt:lpstr>COUNCIL!Print_Area</vt:lpstr>
      <vt:lpstr>Coverpage!Print_Area</vt:lpstr>
      <vt:lpstr>ELECTRIC!Print_Area</vt:lpstr>
      <vt:lpstr>'EXP ALLOCATION'!Print_Area</vt:lpstr>
      <vt:lpstr>INCEXP!Print_Area</vt:lpstr>
      <vt:lpstr>SUMMARY!Print_Area</vt:lpstr>
      <vt:lpstr>' HIGH LEVEL BUDGET  SUMMARY'!Print_Titles</vt:lpstr>
    </vt:vector>
  </TitlesOfParts>
  <Company>LDM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Nthabeleng Hlalele</cp:lastModifiedBy>
  <cp:lastPrinted>2014-03-20T09:33:10Z</cp:lastPrinted>
  <dcterms:created xsi:type="dcterms:W3CDTF">2005-03-18T05:21:05Z</dcterms:created>
  <dcterms:modified xsi:type="dcterms:W3CDTF">2014-04-14T08:54:53Z</dcterms:modified>
</cp:coreProperties>
</file>